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ILZA RAMIREZ\sebastian carrero\programacion\proyectos2024\documentos\"/>
    </mc:Choice>
  </mc:AlternateContent>
  <bookViews>
    <workbookView xWindow="-120" yWindow="-120" windowWidth="20640" windowHeight="11160" tabRatio="748" firstSheet="2" activeTab="2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6" l="1"/>
  <c r="C33" i="7"/>
  <c r="G33" i="7" s="1"/>
  <c r="E33" i="7"/>
  <c r="F33" i="7"/>
  <c r="C45" i="6"/>
  <c r="C32" i="7"/>
  <c r="G32" i="7" s="1"/>
  <c r="E32" i="7"/>
  <c r="F32" i="7" s="1"/>
  <c r="C44" i="6"/>
  <c r="C31" i="7"/>
  <c r="G31" i="7" s="1"/>
  <c r="E31" i="7"/>
  <c r="F31" i="7"/>
  <c r="C43" i="6"/>
  <c r="C30" i="7"/>
  <c r="G30" i="7" s="1"/>
  <c r="E30" i="7"/>
  <c r="F30" i="7"/>
  <c r="G3" i="11"/>
  <c r="K3" i="11"/>
  <c r="B7" i="10"/>
  <c r="H7" i="10" s="1"/>
  <c r="I7" i="10" s="1"/>
  <c r="F7" i="10"/>
  <c r="J7" i="10" s="1"/>
  <c r="G7" i="10"/>
  <c r="L7" i="10"/>
  <c r="B38" i="9"/>
  <c r="C38" i="9" s="1"/>
  <c r="I38" i="9"/>
  <c r="L38" i="9" s="1"/>
  <c r="W38" i="9" s="1"/>
  <c r="U38" i="9"/>
  <c r="Y38" i="9"/>
  <c r="B37" i="9"/>
  <c r="C37" i="9" s="1"/>
  <c r="I37" i="9"/>
  <c r="L37" i="9" s="1"/>
  <c r="W37" i="9" s="1"/>
  <c r="U37" i="9"/>
  <c r="Y37" i="9" s="1"/>
  <c r="B36" i="9"/>
  <c r="C36" i="9" s="1"/>
  <c r="I36" i="9"/>
  <c r="L36" i="9" s="1"/>
  <c r="W36" i="9" s="1"/>
  <c r="U36" i="9"/>
  <c r="Y36" i="9" s="1"/>
  <c r="C29" i="7"/>
  <c r="G29" i="7" s="1"/>
  <c r="E29" i="7"/>
  <c r="F29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E28" i="7"/>
  <c r="F28" i="7" s="1"/>
  <c r="C27" i="7"/>
  <c r="G27" i="7" s="1"/>
  <c r="E27" i="7"/>
  <c r="F27" i="7"/>
  <c r="C26" i="7"/>
  <c r="E26" i="7"/>
  <c r="F26" i="7" s="1"/>
  <c r="K7" i="10" l="1"/>
  <c r="F38" i="9"/>
  <c r="M38" i="9" s="1"/>
  <c r="E38" i="9"/>
  <c r="D38" i="9"/>
  <c r="F37" i="9"/>
  <c r="E37" i="9"/>
  <c r="N37" i="9" s="1"/>
  <c r="Q37" i="9" s="1"/>
  <c r="D37" i="9"/>
  <c r="F36" i="9"/>
  <c r="E36" i="9"/>
  <c r="D36" i="9"/>
  <c r="G28" i="7"/>
  <c r="G26" i="7"/>
  <c r="C25" i="7"/>
  <c r="E25" i="7"/>
  <c r="F25" i="7"/>
  <c r="L4" i="10"/>
  <c r="L5" i="10"/>
  <c r="L6" i="10"/>
  <c r="C24" i="7"/>
  <c r="G24" i="7" s="1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2" i="9"/>
  <c r="L32" i="9" s="1"/>
  <c r="W32" i="9" s="1"/>
  <c r="B33" i="9"/>
  <c r="C33" i="9" s="1"/>
  <c r="I33" i="9"/>
  <c r="L33" i="9" s="1"/>
  <c r="W33" i="9" s="1"/>
  <c r="U33" i="9"/>
  <c r="Y33" i="9" s="1"/>
  <c r="H16" i="13"/>
  <c r="H15" i="13"/>
  <c r="H14" i="13"/>
  <c r="H13" i="13"/>
  <c r="H12" i="13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E23" i="7"/>
  <c r="F23" i="7"/>
  <c r="H11" i="13"/>
  <c r="H10" i="13"/>
  <c r="H4" i="13"/>
  <c r="H5" i="13"/>
  <c r="H6" i="13"/>
  <c r="H7" i="13"/>
  <c r="H8" i="13"/>
  <c r="H9" i="13"/>
  <c r="N5" i="13" s="1"/>
  <c r="H3" i="13"/>
  <c r="M3" i="13"/>
  <c r="M5" i="13"/>
  <c r="M4" i="13"/>
  <c r="L3" i="13"/>
  <c r="L5" i="13"/>
  <c r="L4" i="13"/>
  <c r="E22" i="7"/>
  <c r="F22" i="7" s="1"/>
  <c r="M3" i="11"/>
  <c r="G7" i="11"/>
  <c r="G10" i="1"/>
  <c r="I10" i="1"/>
  <c r="J10" i="1" s="1"/>
  <c r="G9" i="1"/>
  <c r="I9" i="1"/>
  <c r="J9" i="1" s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O10" i="11" s="1"/>
  <c r="K10" i="11"/>
  <c r="L10" i="11"/>
  <c r="N10" i="11" s="1"/>
  <c r="M10" i="11"/>
  <c r="G9" i="11"/>
  <c r="K9" i="11"/>
  <c r="L9" i="11"/>
  <c r="N9" i="11" s="1"/>
  <c r="M9" i="11"/>
  <c r="G8" i="11"/>
  <c r="K8" i="11"/>
  <c r="L8" i="11"/>
  <c r="N8" i="11" s="1"/>
  <c r="M8" i="11"/>
  <c r="K7" i="11"/>
  <c r="O7" i="11" s="1"/>
  <c r="L7" i="11"/>
  <c r="N7" i="11" s="1"/>
  <c r="M7" i="11"/>
  <c r="E21" i="7"/>
  <c r="F21" i="7" s="1"/>
  <c r="E20" i="7"/>
  <c r="F20" i="7" s="1"/>
  <c r="E19" i="7"/>
  <c r="F19" i="7" s="1"/>
  <c r="B5" i="10"/>
  <c r="H5" i="10" s="1"/>
  <c r="F5" i="10"/>
  <c r="J5" i="10" s="1"/>
  <c r="B32" i="9"/>
  <c r="C32" i="9" s="1"/>
  <c r="U32" i="9"/>
  <c r="Y32" i="9" s="1"/>
  <c r="I16" i="9"/>
  <c r="L16" i="9" s="1"/>
  <c r="W16" i="9" s="1"/>
  <c r="B31" i="9"/>
  <c r="C31" i="9" s="1"/>
  <c r="I31" i="9"/>
  <c r="L31" i="9" s="1"/>
  <c r="W31" i="9" s="1"/>
  <c r="U31" i="9"/>
  <c r="Y31" i="9" s="1"/>
  <c r="B30" i="9"/>
  <c r="C30" i="9" s="1"/>
  <c r="I30" i="9"/>
  <c r="L30" i="9" s="1"/>
  <c r="W30" i="9" s="1"/>
  <c r="U30" i="9"/>
  <c r="Y3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3" i="7"/>
  <c r="F3" i="7" s="1"/>
  <c r="E4" i="7"/>
  <c r="F4" i="7" s="1"/>
  <c r="E5" i="7"/>
  <c r="E6" i="7"/>
  <c r="F6" i="7" s="1"/>
  <c r="E7" i="7"/>
  <c r="F7" i="7" s="1"/>
  <c r="E8" i="7"/>
  <c r="F8" i="7" s="1"/>
  <c r="E9" i="7"/>
  <c r="F9" i="7" s="1"/>
  <c r="E10" i="7"/>
  <c r="F10" i="7" s="1"/>
  <c r="E11" i="7"/>
  <c r="E12" i="7"/>
  <c r="F12" i="7" s="1"/>
  <c r="E13" i="7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F13" i="7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M6" i="11"/>
  <c r="G6" i="11"/>
  <c r="B29" i="9"/>
  <c r="C29" i="9" s="1"/>
  <c r="I29" i="9"/>
  <c r="L29" i="9" s="1"/>
  <c r="W29" i="9" s="1"/>
  <c r="U29" i="9"/>
  <c r="Y29" i="9" s="1"/>
  <c r="B28" i="9"/>
  <c r="C28" i="9" s="1"/>
  <c r="I28" i="9"/>
  <c r="L28" i="9" s="1"/>
  <c r="W28" i="9" s="1"/>
  <c r="U28" i="9"/>
  <c r="Y28" i="9" s="1"/>
  <c r="B27" i="9"/>
  <c r="C27" i="9" s="1"/>
  <c r="I27" i="9"/>
  <c r="L27" i="9" s="1"/>
  <c r="W27" i="9" s="1"/>
  <c r="U27" i="9"/>
  <c r="Y27" i="9" s="1"/>
  <c r="M4" i="11"/>
  <c r="M5" i="1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L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F11" i="7"/>
  <c r="F5" i="7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1" i="9"/>
  <c r="C21" i="9" s="1"/>
  <c r="I21" i="9"/>
  <c r="L21" i="9" s="1"/>
  <c r="W21" i="9" s="1"/>
  <c r="U21" i="9"/>
  <c r="Y21" i="9" s="1"/>
  <c r="B20" i="9"/>
  <c r="C20" i="9" s="1"/>
  <c r="I20" i="9"/>
  <c r="L20" i="9" s="1"/>
  <c r="W20" i="9" s="1"/>
  <c r="U20" i="9"/>
  <c r="Y20" i="9" s="1"/>
  <c r="B19" i="9"/>
  <c r="C19" i="9" s="1"/>
  <c r="I19" i="9"/>
  <c r="L19" i="9" s="1"/>
  <c r="W19" i="9" s="1"/>
  <c r="U19" i="9"/>
  <c r="Y19" i="9" s="1"/>
  <c r="B18" i="9"/>
  <c r="C18" i="9" s="1"/>
  <c r="I18" i="9"/>
  <c r="L18" i="9" s="1"/>
  <c r="W18" i="9" s="1"/>
  <c r="U18" i="9"/>
  <c r="Y18" i="9" s="1"/>
  <c r="B17" i="9"/>
  <c r="C17" i="9" s="1"/>
  <c r="I17" i="9"/>
  <c r="L17" i="9" s="1"/>
  <c r="W17" i="9" s="1"/>
  <c r="U17" i="9"/>
  <c r="Y17" i="9" s="1"/>
  <c r="B16" i="9"/>
  <c r="C16" i="9" s="1"/>
  <c r="U16" i="9"/>
  <c r="Y16" i="9" s="1"/>
  <c r="B15" i="9"/>
  <c r="C15" i="9" s="1"/>
  <c r="I15" i="9"/>
  <c r="L15" i="9" s="1"/>
  <c r="W15" i="9" s="1"/>
  <c r="U15" i="9"/>
  <c r="Y15" i="9" s="1"/>
  <c r="B14" i="9"/>
  <c r="D14" i="9" s="1"/>
  <c r="I14" i="9"/>
  <c r="L14" i="9" s="1"/>
  <c r="W14" i="9" s="1"/>
  <c r="U14" i="9"/>
  <c r="Y14" i="9" s="1"/>
  <c r="B13" i="9"/>
  <c r="C13" i="9" s="1"/>
  <c r="I13" i="9"/>
  <c r="L13" i="9" s="1"/>
  <c r="W13" i="9" s="1"/>
  <c r="U13" i="9"/>
  <c r="Y13" i="9" s="1"/>
  <c r="B12" i="9"/>
  <c r="C12" i="9" s="1"/>
  <c r="I12" i="9"/>
  <c r="L12" i="9" s="1"/>
  <c r="W12" i="9" s="1"/>
  <c r="U12" i="9"/>
  <c r="Y12" i="9" s="1"/>
  <c r="I3" i="9"/>
  <c r="L3" i="9" s="1"/>
  <c r="W3" i="9" s="1"/>
  <c r="I4" i="9"/>
  <c r="L4" i="9" s="1"/>
  <c r="W4" i="9" s="1"/>
  <c r="I5" i="9"/>
  <c r="L5" i="9" s="1"/>
  <c r="W5" i="9" s="1"/>
  <c r="I6" i="9"/>
  <c r="L6" i="9" s="1"/>
  <c r="W6" i="9" s="1"/>
  <c r="I7" i="9"/>
  <c r="L7" i="9" s="1"/>
  <c r="W7" i="9" s="1"/>
  <c r="I8" i="9"/>
  <c r="L8" i="9" s="1"/>
  <c r="W8" i="9" s="1"/>
  <c r="I9" i="9"/>
  <c r="L9" i="9" s="1"/>
  <c r="W9" i="9" s="1"/>
  <c r="I10" i="9"/>
  <c r="L10" i="9" s="1"/>
  <c r="W10" i="9" s="1"/>
  <c r="I11" i="9"/>
  <c r="B11" i="9"/>
  <c r="C11" i="9" s="1"/>
  <c r="U11" i="9"/>
  <c r="Y11" i="9" s="1"/>
  <c r="B10" i="9"/>
  <c r="C10" i="9" s="1"/>
  <c r="U10" i="9"/>
  <c r="Y10" i="9" s="1"/>
  <c r="B9" i="9"/>
  <c r="C9" i="9" s="1"/>
  <c r="U9" i="9"/>
  <c r="Y9" i="9" s="1"/>
  <c r="B8" i="9"/>
  <c r="C8" i="9" s="1"/>
  <c r="U8" i="9"/>
  <c r="Y8" i="9" s="1"/>
  <c r="B7" i="9"/>
  <c r="C7" i="9" s="1"/>
  <c r="U7" i="9"/>
  <c r="Y7" i="9" s="1"/>
  <c r="B6" i="9"/>
  <c r="C6" i="9" s="1"/>
  <c r="U6" i="9"/>
  <c r="Y6" i="9" s="1"/>
  <c r="U5" i="9"/>
  <c r="Y5" i="9" s="1"/>
  <c r="B5" i="9"/>
  <c r="C5" i="9" s="1"/>
  <c r="B4" i="9"/>
  <c r="C4" i="9" s="1"/>
  <c r="B3" i="9"/>
  <c r="E3" i="9" s="1"/>
  <c r="U4" i="9"/>
  <c r="Y4" i="9" s="1"/>
  <c r="U3" i="9"/>
  <c r="Y3" i="9" s="1"/>
  <c r="M37" i="9" l="1"/>
  <c r="V38" i="9"/>
  <c r="N38" i="9"/>
  <c r="Q38" i="9" s="1"/>
  <c r="X38" i="9"/>
  <c r="X37" i="9"/>
  <c r="V37" i="9"/>
  <c r="N36" i="9"/>
  <c r="Q36" i="9" s="1"/>
  <c r="X36" i="9"/>
  <c r="V36" i="9"/>
  <c r="M36" i="9"/>
  <c r="G25" i="7"/>
  <c r="G21" i="7"/>
  <c r="G17" i="7"/>
  <c r="G13" i="7"/>
  <c r="G9" i="7"/>
  <c r="G5" i="7"/>
  <c r="I6" i="10"/>
  <c r="K6" i="10" s="1"/>
  <c r="I4" i="10"/>
  <c r="K4" i="10" s="1"/>
  <c r="I5" i="10"/>
  <c r="K5" i="10" s="1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F35" i="9"/>
  <c r="X35" i="9" s="1"/>
  <c r="E35" i="9"/>
  <c r="D35" i="9"/>
  <c r="F34" i="9"/>
  <c r="E34" i="9"/>
  <c r="N34" i="9" s="1"/>
  <c r="Q34" i="9" s="1"/>
  <c r="D34" i="9"/>
  <c r="F33" i="9"/>
  <c r="E33" i="9"/>
  <c r="D33" i="9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N3" i="13"/>
  <c r="N4" i="13"/>
  <c r="M6" i="13"/>
  <c r="O6" i="13" s="1"/>
  <c r="L6" i="13"/>
  <c r="O3" i="13"/>
  <c r="F32" i="9"/>
  <c r="M32" i="9" s="1"/>
  <c r="E32" i="9"/>
  <c r="D32" i="9"/>
  <c r="F31" i="9"/>
  <c r="E31" i="9"/>
  <c r="N31" i="9" s="1"/>
  <c r="Q31" i="9" s="1"/>
  <c r="D31" i="9"/>
  <c r="F30" i="9"/>
  <c r="E30" i="9"/>
  <c r="D30" i="9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9" i="9"/>
  <c r="X29" i="9" s="1"/>
  <c r="E29" i="9"/>
  <c r="D29" i="9"/>
  <c r="F28" i="9"/>
  <c r="E28" i="9"/>
  <c r="N28" i="9" s="1"/>
  <c r="Q28" i="9" s="1"/>
  <c r="D28" i="9"/>
  <c r="F27" i="9"/>
  <c r="E27" i="9"/>
  <c r="D27" i="9"/>
  <c r="I3" i="10"/>
  <c r="K3" i="10" s="1"/>
  <c r="F26" i="9"/>
  <c r="X26" i="9" s="1"/>
  <c r="E26" i="9"/>
  <c r="D26" i="9"/>
  <c r="F25" i="9"/>
  <c r="V25" i="9" s="1"/>
  <c r="E25" i="9"/>
  <c r="D25" i="9"/>
  <c r="F24" i="9"/>
  <c r="M24" i="9" s="1"/>
  <c r="E24" i="9"/>
  <c r="D24" i="9"/>
  <c r="F23" i="9"/>
  <c r="M23" i="9" s="1"/>
  <c r="E23" i="9"/>
  <c r="D23" i="9"/>
  <c r="F22" i="9"/>
  <c r="E22" i="9"/>
  <c r="D22" i="9"/>
  <c r="F21" i="9"/>
  <c r="X21" i="9" s="1"/>
  <c r="E21" i="9"/>
  <c r="D21" i="9"/>
  <c r="F20" i="9"/>
  <c r="E20" i="9"/>
  <c r="D20" i="9"/>
  <c r="F19" i="9"/>
  <c r="X19" i="9" s="1"/>
  <c r="E19" i="9"/>
  <c r="D19" i="9"/>
  <c r="F18" i="9"/>
  <c r="X18" i="9" s="1"/>
  <c r="E18" i="9"/>
  <c r="D18" i="9"/>
  <c r="F17" i="9"/>
  <c r="E17" i="9"/>
  <c r="X17" i="9" s="1"/>
  <c r="D17" i="9"/>
  <c r="F16" i="9"/>
  <c r="E16" i="9"/>
  <c r="X16" i="9" s="1"/>
  <c r="D16" i="9"/>
  <c r="F15" i="9"/>
  <c r="E15" i="9"/>
  <c r="X15" i="9" s="1"/>
  <c r="D15" i="9"/>
  <c r="F14" i="9"/>
  <c r="E14" i="9"/>
  <c r="X14" i="9" s="1"/>
  <c r="C14" i="9"/>
  <c r="F13" i="9"/>
  <c r="E13" i="9"/>
  <c r="D13" i="9"/>
  <c r="X13" i="9" s="1"/>
  <c r="F12" i="9"/>
  <c r="E12" i="9"/>
  <c r="D12" i="9"/>
  <c r="X12" i="9" s="1"/>
  <c r="L11" i="9"/>
  <c r="W11" i="9" s="1"/>
  <c r="F11" i="9"/>
  <c r="E11" i="9"/>
  <c r="D11" i="9"/>
  <c r="X11" i="9" s="1"/>
  <c r="F10" i="9"/>
  <c r="E10" i="9"/>
  <c r="D10" i="9"/>
  <c r="X10" i="9" s="1"/>
  <c r="F9" i="9"/>
  <c r="D9" i="9"/>
  <c r="E9" i="9"/>
  <c r="X9" i="9" s="1"/>
  <c r="F8" i="9"/>
  <c r="X8" i="9" s="1"/>
  <c r="E8" i="9"/>
  <c r="D8" i="9"/>
  <c r="F7" i="9"/>
  <c r="E7" i="9"/>
  <c r="D7" i="9"/>
  <c r="X7" i="9" s="1"/>
  <c r="F6" i="9"/>
  <c r="E6" i="9"/>
  <c r="X6" i="9" s="1"/>
  <c r="D6" i="9"/>
  <c r="F5" i="9"/>
  <c r="E5" i="9"/>
  <c r="D5" i="9"/>
  <c r="X5" i="9" s="1"/>
  <c r="F3" i="9"/>
  <c r="F4" i="9"/>
  <c r="E4" i="9"/>
  <c r="X4" i="9" s="1"/>
  <c r="D4" i="9"/>
  <c r="D3" i="9"/>
  <c r="X3" i="9" s="1"/>
  <c r="V35" i="9" l="1"/>
  <c r="M35" i="9"/>
  <c r="N35" i="9"/>
  <c r="Q35" i="9" s="1"/>
  <c r="X34" i="9"/>
  <c r="V34" i="9"/>
  <c r="M34" i="9"/>
  <c r="N33" i="9"/>
  <c r="Q33" i="9" s="1"/>
  <c r="X33" i="9"/>
  <c r="V33" i="9"/>
  <c r="M33" i="9"/>
  <c r="O5" i="13"/>
  <c r="N6" i="13"/>
  <c r="O4" i="13"/>
  <c r="V31" i="9"/>
  <c r="V32" i="9"/>
  <c r="N32" i="9"/>
  <c r="Q32" i="9" s="1"/>
  <c r="X32" i="9"/>
  <c r="X31" i="9"/>
  <c r="M31" i="9"/>
  <c r="N30" i="9"/>
  <c r="Q30" i="9" s="1"/>
  <c r="X30" i="9"/>
  <c r="V30" i="9"/>
  <c r="M30" i="9"/>
  <c r="S7" i="12"/>
  <c r="T7" i="12" s="1"/>
  <c r="V29" i="9"/>
  <c r="N29" i="9"/>
  <c r="Q29" i="9" s="1"/>
  <c r="M29" i="9"/>
  <c r="X28" i="9"/>
  <c r="M28" i="9"/>
  <c r="V28" i="9"/>
  <c r="N27" i="9"/>
  <c r="Q27" i="9" s="1"/>
  <c r="X27" i="9"/>
  <c r="V27" i="9"/>
  <c r="M27" i="9"/>
  <c r="M26" i="9"/>
  <c r="V26" i="9"/>
  <c r="N26" i="9"/>
  <c r="Q26" i="9" s="1"/>
  <c r="M25" i="9"/>
  <c r="N25" i="9"/>
  <c r="Q25" i="9" s="1"/>
  <c r="X25" i="9"/>
  <c r="X20" i="9"/>
  <c r="V20" i="9"/>
  <c r="V24" i="9"/>
  <c r="N24" i="9"/>
  <c r="Q24" i="9" s="1"/>
  <c r="X24" i="9"/>
  <c r="V23" i="9"/>
  <c r="N23" i="9"/>
  <c r="Q23" i="9" s="1"/>
  <c r="X23" i="9"/>
  <c r="M22" i="9"/>
  <c r="X22" i="9"/>
  <c r="V22" i="9"/>
  <c r="N22" i="9"/>
  <c r="Q22" i="9" s="1"/>
  <c r="N3" i="9"/>
  <c r="Q3" i="9" s="1"/>
  <c r="V18" i="9"/>
  <c r="M4" i="9"/>
  <c r="V4" i="9"/>
  <c r="M6" i="9"/>
  <c r="V6" i="9"/>
  <c r="M9" i="9"/>
  <c r="V9" i="9"/>
  <c r="V14" i="9"/>
  <c r="M19" i="9"/>
  <c r="V19" i="9"/>
  <c r="M7" i="9"/>
  <c r="V7" i="9"/>
  <c r="M11" i="9"/>
  <c r="V11" i="9"/>
  <c r="M12" i="9"/>
  <c r="V12" i="9"/>
  <c r="M17" i="9"/>
  <c r="V17" i="9"/>
  <c r="M5" i="9"/>
  <c r="V5" i="9"/>
  <c r="M15" i="9"/>
  <c r="V15" i="9"/>
  <c r="M20" i="9"/>
  <c r="M13" i="9"/>
  <c r="V13" i="9"/>
  <c r="N8" i="9"/>
  <c r="Q8" i="9" s="1"/>
  <c r="V8" i="9"/>
  <c r="M10" i="9"/>
  <c r="V10" i="9"/>
  <c r="M16" i="9"/>
  <c r="V16" i="9"/>
  <c r="M21" i="9"/>
  <c r="V21" i="9"/>
  <c r="V3" i="9"/>
  <c r="M14" i="9"/>
  <c r="M3" i="9"/>
  <c r="M8" i="9"/>
  <c r="N18" i="9"/>
  <c r="Q18" i="9" s="1"/>
  <c r="M18" i="9"/>
  <c r="N21" i="9"/>
  <c r="Q21" i="9" s="1"/>
  <c r="N20" i="9"/>
  <c r="Q20" i="9" s="1"/>
  <c r="N19" i="9"/>
  <c r="Q19" i="9" s="1"/>
  <c r="N17" i="9"/>
  <c r="Q17" i="9" s="1"/>
  <c r="N16" i="9"/>
  <c r="Q16" i="9" s="1"/>
  <c r="N15" i="9"/>
  <c r="Q15" i="9" s="1"/>
  <c r="N14" i="9"/>
  <c r="Q14" i="9" s="1"/>
  <c r="N13" i="9"/>
  <c r="Q13" i="9" s="1"/>
  <c r="N12" i="9"/>
  <c r="Q12" i="9" s="1"/>
  <c r="N11" i="9"/>
  <c r="Q11" i="9" s="1"/>
  <c r="N10" i="9"/>
  <c r="Q10" i="9" s="1"/>
  <c r="N9" i="9"/>
  <c r="Q9" i="9" s="1"/>
  <c r="N7" i="9"/>
  <c r="Q7" i="9" s="1"/>
  <c r="N6" i="9"/>
  <c r="Q6" i="9" s="1"/>
  <c r="N5" i="9"/>
  <c r="Q5" i="9" s="1"/>
  <c r="N4" i="9"/>
  <c r="Q4" i="9" s="1"/>
  <c r="S8" i="12" l="1"/>
  <c r="T8" i="12" s="1"/>
</calcChain>
</file>

<file path=xl/sharedStrings.xml><?xml version="1.0" encoding="utf-8"?>
<sst xmlns="http://schemas.openxmlformats.org/spreadsheetml/2006/main" count="239" uniqueCount="114">
  <si>
    <t>FECHA</t>
  </si>
  <si>
    <t>TOTAL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</si>
  <si>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</si>
  <si>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</si>
  <si>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</si>
  <si>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</si>
  <si>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</si>
  <si>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</si>
  <si>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</si>
  <si>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</si>
  <si>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</si>
  <si>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</si>
  <si>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</si>
  <si>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</si>
  <si>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</si>
  <si>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</si>
  <si>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</si>
  <si>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</si>
  <si>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</si>
  <si>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</si>
  <si>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</si>
  <si>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</si>
  <si>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</si>
  <si>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</si>
  <si>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</si>
  <si>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</si>
  <si>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</si>
  <si>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</si>
  <si>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</si>
  <si>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</si>
  <si>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</si>
  <si>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</si>
  <si>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</si>
  <si>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</si>
  <si>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</si>
  <si>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</si>
  <si>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</si>
  <si>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</si>
  <si>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</si>
  <si>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</si>
  <si>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</si>
  <si>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</si>
  <si>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</si>
  <si>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</si>
  <si>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</si>
  <si>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</si>
  <si>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</si>
  <si>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</si>
  <si>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</si>
  <si>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</si>
  <si>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</si>
  <si>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</si>
  <si>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</si>
  <si>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</si>
  <si>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</si>
  <si>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</si>
  <si>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</si>
  <si>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</si>
  <si>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</si>
  <si>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</si>
  <si>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</si>
  <si>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</si>
  <si>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</si>
  <si>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</si>
  <si>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</si>
  <si>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</si>
  <si>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</si>
  <si>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</si>
  <si>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</si>
  <si>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</si>
  <si>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</si>
  <si>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</si>
  <si>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</si>
  <si>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</si>
  <si>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</si>
  <si>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</si>
  <si>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</si>
  <si>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</si>
  <si>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</si>
  <si>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</si>
  <si>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</si>
  <si>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</si>
  <si>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</si>
  <si>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</si>
  <si>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</si>
  <si>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</si>
  <si>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</si>
  <si>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</si>
  <si>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</si>
  <si>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</si>
  <si>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</si>
  <si>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</si>
  <si>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</si>
  <si>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</si>
  <si>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</si>
  <si>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</si>
  <si>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</si>
  <si>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</si>
  <si>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</si>
  <si>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</si>
  <si>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</si>
  <si>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</si>
  <si>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</si>
  <si>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</si>
  <si>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</si>
  <si>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INICIAL TOTAL</t>
  </si>
  <si>
    <t>CAPITAL FINAL TOTAL</t>
  </si>
  <si>
    <t>% DEL TOTAL CAPITAL</t>
  </si>
  <si>
    <t>CRIPTOMONEDAS</t>
  </si>
  <si>
    <t>TOTAL G/P</t>
  </si>
  <si>
    <t>CAPITAL INVERTIDO ESTE MES</t>
  </si>
  <si>
    <t>PRECIO DEL DÓLAR</t>
  </si>
  <si>
    <t>VALOR INVERSION 1</t>
  </si>
  <si>
    <t>VALOR EN 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</si>
</sst>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</cellXfs>
  <cellStyles count="3">
    <cellStyle name="Moneda" xfId="2" builtinId="4"/>
    <cellStyle name="Normal" xfId="0" builtinId="0"/>
    <cellStyle name="Porcentaje" xfId="1" builtinId="5"/>
  </cellStyles>
  <dxfs count="1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>
      <tableStyleElement type="wholeTable" dxfId="102"/>
      <tableStyleElement type="headerRow" dxfId="101"/>
      <tableStyleElement type="secondRowStripe" dxfId="100"/>
    </tableStyle>
    <tableStyle name="Estilo de tabla 2" pivot="0" count="5">
      <tableStyleElement type="wholeTable" dxfId="99"/>
      <tableStyleElement type="headerRow" dxfId="98"/>
      <tableStyleElement type="firstRowStripe" dxfId="97"/>
      <tableStyleElement type="secondRowStripe" dxfId="96"/>
      <tableStyleElement type="firstColumnStripe" dxfId="95"/>
    </tableStyle>
    <tableStyle name="Estilo de tabla 3" pivot="0" count="3">
      <tableStyleElement type="headerRow" dxfId="94"/>
      <tableStyleElement type="firstRowStripe" dxfId="93"/>
      <tableStyleElement type="secondRowStripe" dxfId="92"/>
    </tableStyle>
    <tableStyle name="Estilo de tabla 4" pivot="0" count="4">
      <tableStyleElement type="wholeTable" dxfId="91"/>
      <tableStyleElement type="headerRow" dxfId="90"/>
      <tableStyleElement type="firstRowStripe" dxfId="89"/>
      <tableStyleElement type="secondRowStripe" dxfId="88"/>
    </tableStyle>
    <tableStyle name="Estilo de tabla 5" pivot="0" count="4">
      <tableStyleElement type="wholeTable" dxfId="87"/>
      <tableStyleElement type="headerRow" dxfId="86"/>
      <tableStyleElement type="firstRowStripe" dxfId="85"/>
      <tableStyleElement type="secondRowStripe" dxfId="84"/>
    </tableStyle>
  </tableStyles>
  <colors>
    <mruColors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CRIPTOS!$B$3:$B$119</c:f>
              <c:numCache>
                <c:formatCode>m/d/yyyy</c:formatCode>
                <c:ptCount val="117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</c:numCache>
            </c:numRef>
          </c:cat>
          <c:val>
            <c:numRef>
              <c:f>CRIPTOS!$C$3:$C$119</c:f>
              <c:numCache>
                <c:formatCode>_-[$$-240A]\ * #,##0.00_-;\-[$$-240A]\ * #,##0.00_-;_-[$$-240A]\ * "-"??_-;_-@_-</c:formatCode>
                <c:ptCount val="117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  <c:pt idx="114">
                  <c:v>3999.63</c:v>
                </c:pt>
                <c:pt idx="115">
                  <c:v>3999.63</c:v>
                </c:pt>
                <c:pt idx="116">
                  <c:v>4030.16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CRIPTOS!$B$3:$B$119</c:f>
              <c:numCache>
                <c:formatCode>m/d/yyyy</c:formatCode>
                <c:ptCount val="117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</c:numCache>
            </c:numRef>
          </c:cat>
          <c:val>
            <c:numRef>
              <c:f>CRIPTOS!$D$3:$D$119</c:f>
              <c:numCache>
                <c:formatCode>_-[$$-240A]\ * #,##0.00_-;\-[$$-240A]\ * #,##0.00_-;_-[$$-240A]\ * "-"??_-;_-@_-</c:formatCode>
                <c:ptCount val="117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  <c:pt idx="114">
                  <c:v>59441.99</c:v>
                </c:pt>
                <c:pt idx="115">
                  <c:v>58427.35</c:v>
                </c:pt>
                <c:pt idx="116">
                  <c:v>59064.9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CRIPTOS!$B$3:$B$119</c:f>
              <c:numCache>
                <c:formatCode>m/d/yyyy</c:formatCode>
                <c:ptCount val="117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</c:numCache>
            </c:numRef>
          </c:cat>
          <c:val>
            <c:numRef>
              <c:f>CRIPTOS!$E$3:$E$119</c:f>
              <c:numCache>
                <c:formatCode>_-[$$-240A]\ * #,##0.00_-;\-[$$-240A]\ * #,##0.00_-;_-[$$-240A]\ * "-"??_-;_-@_-</c:formatCode>
                <c:ptCount val="117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  <c:pt idx="114">
                  <c:v>1.74</c:v>
                </c:pt>
                <c:pt idx="115">
                  <c:v>1.72</c:v>
                </c:pt>
                <c:pt idx="116">
                  <c:v>1.69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CRIPTOS!$B$3:$B$119</c:f>
              <c:numCache>
                <c:formatCode>m/d/yyyy</c:formatCode>
                <c:ptCount val="117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</c:numCache>
            </c:numRef>
          </c:cat>
          <c:val>
            <c:numRef>
              <c:f>CRIPTOS!$F$3:$F$119</c:f>
              <c:numCache>
                <c:formatCode>_-[$$-240A]\ * #,##0.00_-;\-[$$-240A]\ * #,##0.00_-;_-[$$-240A]\ * "-"??_-;_-@_-</c:formatCode>
                <c:ptCount val="117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  <c:pt idx="114">
                  <c:v>2614.6999999999998</c:v>
                </c:pt>
                <c:pt idx="115">
                  <c:v>2611.4</c:v>
                </c:pt>
                <c:pt idx="116">
                  <c:v>2617.6999999999998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CRIPTOS!$B$3:$B$119</c:f>
              <c:numCache>
                <c:formatCode>m/d/yyyy</c:formatCode>
                <c:ptCount val="117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</c:numCache>
            </c:numRef>
          </c:cat>
          <c:val>
            <c:numRef>
              <c:f>CRIPTOS!$G$3:$G$119</c:f>
              <c:numCache>
                <c:formatCode>_-[$$-240A]\ * #,##0.00_-;\-[$$-240A]\ * #,##0.00_-;_-[$$-240A]\ * "-"??_-;_-@_-</c:formatCode>
                <c:ptCount val="117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  <c:pt idx="114">
                  <c:v>3948</c:v>
                </c:pt>
                <c:pt idx="115">
                  <c:v>3883</c:v>
                </c:pt>
                <c:pt idx="116">
                  <c:v>3937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432065184"/>
        <c:axId val="-1432068992"/>
      </c:lineChart>
      <c:dateAx>
        <c:axId val="-1432065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32068992"/>
        <c:crosses val="autoZero"/>
        <c:auto val="1"/>
        <c:lblOffset val="100"/>
        <c:baseTimeUnit val="days"/>
      </c:dateAx>
      <c:valAx>
        <c:axId val="-14320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3206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Bolsa'!$B$3:$B$33</c:f>
              <c:numCache>
                <c:formatCode>m/d/yyyy</c:formatCode>
                <c:ptCount val="31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</c:numCache>
            </c:numRef>
          </c:cat>
          <c:val>
            <c:numRef>
              <c:f>'Inv Bolsa'!$C$3:$C$33</c:f>
              <c:numCache>
                <c:formatCode>_("$"* #,##0.00_);_("$"* \(#,##0.00\);_("$"* "-"??_);_(@_)</c:formatCode>
                <c:ptCount val="31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Bolsa'!$B$3:$B$33</c:f>
              <c:numCache>
                <c:formatCode>m/d/yyyy</c:formatCode>
                <c:ptCount val="31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</c:numCache>
            </c:numRef>
          </c:cat>
          <c:val>
            <c:numRef>
              <c:f>'Inv Bolsa'!$D$3:$D$33</c:f>
              <c:numCache>
                <c:formatCode>_("$"* #,##0.00_);_("$"* \(#,##0.00\);_("$"* "-"??_);_(@_)</c:formatCode>
                <c:ptCount val="31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Bolsa'!$B$3:$B$33</c:f>
              <c:numCache>
                <c:formatCode>m/d/yyyy</c:formatCode>
                <c:ptCount val="31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</c:numCache>
            </c:numRef>
          </c:cat>
          <c:val>
            <c:numRef>
              <c:f>'Inv Bolsa'!$E$3:$E$33</c:f>
              <c:numCache>
                <c:formatCode>_("$"* #,##0.00_);_("$"* \(#,##0.00\);_("$"* "-"??_);_(@_)</c:formatCode>
                <c:ptCount val="31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Bolsa'!$B$3:$B$33</c:f>
              <c:numCache>
                <c:formatCode>m/d/yyyy</c:formatCode>
                <c:ptCount val="31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</c:numCache>
            </c:numRef>
          </c:cat>
          <c:val>
            <c:numRef>
              <c:f>'Inv Bolsa'!$F$3:$F$33</c:f>
              <c:numCache>
                <c:formatCode>_("$"* #,##0.00_);_("$"* \(#,##0.00\);_("$"* "-"??_);_(@_)</c:formatCode>
                <c:ptCount val="31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Bolsa'!$B$3:$B$33</c:f>
              <c:numCache>
                <c:formatCode>m/d/yyyy</c:formatCode>
                <c:ptCount val="31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</c:numCache>
            </c:numRef>
          </c:cat>
          <c:val>
            <c:numRef>
              <c:f>'Inv Bolsa'!$G$3:$G$33</c:f>
              <c:numCache>
                <c:formatCode>_("$"* #,##0.00_);_("$"* \(#,##0.00\);_("$"* "-"??_);_(@_)</c:formatCode>
                <c:ptCount val="31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2063008"/>
        <c:axId val="-1432076608"/>
      </c:lineChart>
      <c:dateAx>
        <c:axId val="-1432063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32076608"/>
        <c:crosses val="autoZero"/>
        <c:auto val="1"/>
        <c:lblOffset val="100"/>
        <c:baseTimeUnit val="days"/>
      </c:dateAx>
      <c:valAx>
        <c:axId val="-14320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320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BOLSA!$B$3:$B$46</c:f>
              <c:numCache>
                <c:formatCode>m/d/yyyy</c:formatCode>
                <c:ptCount val="44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</c:numCache>
            </c:numRef>
          </c:cat>
          <c:val>
            <c:numRef>
              <c:f>BOLSA!$C$3:$C$46</c:f>
              <c:numCache>
                <c:formatCode>_-[$$-240A]\ * #,##0.00_-;\-[$$-240A]\ * #,##0.00_-;_-[$$-240A]\ * "-"??_-;_-@_-</c:formatCode>
                <c:ptCount val="44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BOLSA!$B$3:$B$46</c:f>
              <c:numCache>
                <c:formatCode>m/d/yyyy</c:formatCode>
                <c:ptCount val="44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</c:numCache>
            </c:numRef>
          </c:cat>
          <c:val>
            <c:numRef>
              <c:f>BOLSA!$D$3:$D$46</c:f>
              <c:numCache>
                <c:formatCode>_-[$$-240A]\ * #,##0.00_-;\-[$$-240A]\ * #,##0.00_-;_-[$$-240A]\ * "-"??_-;_-@_-</c:formatCode>
                <c:ptCount val="44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BOLSA!$B$3:$B$46</c:f>
              <c:numCache>
                <c:formatCode>m/d/yyyy</c:formatCode>
                <c:ptCount val="44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</c:numCache>
            </c:numRef>
          </c:cat>
          <c:val>
            <c:numRef>
              <c:f>BOLSA!$E$3:$E$46</c:f>
              <c:numCache>
                <c:formatCode>_-[$$-240A]\ * #,##0.00_-;\-[$$-240A]\ * #,##0.00_-;_-[$$-240A]\ * "-"??_-;_-@_-</c:formatCode>
                <c:ptCount val="44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432072256"/>
        <c:axId val="-1432071712"/>
      </c:lineChart>
      <c:dateAx>
        <c:axId val="-1432072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32071712"/>
        <c:crosses val="autoZero"/>
        <c:auto val="1"/>
        <c:lblOffset val="100"/>
        <c:baseTimeUnit val="days"/>
      </c:dateAx>
      <c:valAx>
        <c:axId val="-1432071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320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BOLSA!$B$3:$B$46</c:f>
              <c:numCache>
                <c:formatCode>m/d/yyyy</c:formatCode>
                <c:ptCount val="44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</c:numCache>
            </c:numRef>
          </c:cat>
          <c:val>
            <c:numRef>
              <c:f>BOLSA!$F$3:$F$46</c:f>
              <c:numCache>
                <c:formatCode>_-[$$-240A]\ * #,##0.00_-;\-[$$-240A]\ * #,##0.00_-;_-[$$-240A]\ * "-"??_-;_-@_-</c:formatCode>
                <c:ptCount val="44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BOLSA!$B$3:$B$46</c:f>
              <c:numCache>
                <c:formatCode>m/d/yyyy</c:formatCode>
                <c:ptCount val="44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</c:numCache>
            </c:numRef>
          </c:cat>
          <c:val>
            <c:numRef>
              <c:f>BOLSA!$G$3:$G$46</c:f>
              <c:numCache>
                <c:formatCode>_-[$$-240A]\ * #,##0.00_-;\-[$$-240A]\ * #,##0.00_-;_-[$$-240A]\ * "-"??_-;_-@_-</c:formatCode>
                <c:ptCount val="44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BOLSA!$B$3:$B$46</c:f>
              <c:numCache>
                <c:formatCode>m/d/yyyy</c:formatCode>
                <c:ptCount val="44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</c:numCache>
            </c:numRef>
          </c:cat>
          <c:val>
            <c:numRef>
              <c:f>BOLSA!$H$3:$H$46</c:f>
              <c:numCache>
                <c:formatCode>_-[$$-240A]\ * #,##0.00_-;\-[$$-240A]\ * #,##0.00_-;_-[$$-240A]\ * "-"??_-;_-@_-</c:formatCode>
                <c:ptCount val="44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BOLSA!$B$3:$B$46</c:f>
              <c:numCache>
                <c:formatCode>m/d/yyyy</c:formatCode>
                <c:ptCount val="44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</c:numCache>
            </c:numRef>
          </c:cat>
          <c:val>
            <c:numRef>
              <c:f>BOLSA!$I$3:$I$46</c:f>
              <c:numCache>
                <c:formatCode>_-[$$-240A]\ * #,##0.00_-;\-[$$-240A]\ * #,##0.00_-;_-[$$-240A]\ * "-"??_-;_-@_-</c:formatCode>
                <c:ptCount val="44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BOLSA!$B$3:$B$46</c:f>
              <c:numCache>
                <c:formatCode>m/d/yyyy</c:formatCode>
                <c:ptCount val="44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</c:numCache>
            </c:numRef>
          </c:cat>
          <c:val>
            <c:numRef>
              <c:f>BOLSA!$J$3:$J$46</c:f>
              <c:numCache>
                <c:formatCode>_-[$$-240A]\ * #,##0.00_-;\-[$$-240A]\ * #,##0.00_-;_-[$$-240A]\ * "-"??_-;_-@_-</c:formatCode>
                <c:ptCount val="44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BOLSA!$B$3:$B$46</c:f>
              <c:numCache>
                <c:formatCode>m/d/yyyy</c:formatCode>
                <c:ptCount val="44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</c:numCache>
            </c:numRef>
          </c:cat>
          <c:val>
            <c:numRef>
              <c:f>BOLSA!$K$3:$K$46</c:f>
              <c:numCache>
                <c:formatCode>_-[$$-240A]\ * #,##0.00_-;\-[$$-240A]\ * #,##0.00_-;_-[$$-240A]\ * "-"??_-;_-@_-</c:formatCode>
                <c:ptCount val="44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366118624"/>
        <c:axId val="-1366118080"/>
      </c:lineChart>
      <c:dateAx>
        <c:axId val="-136611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66118080"/>
        <c:crosses val="autoZero"/>
        <c:auto val="1"/>
        <c:lblOffset val="100"/>
        <c:baseTimeUnit val="days"/>
      </c:dateAx>
      <c:valAx>
        <c:axId val="-13661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6611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0</xdr:row>
      <xdr:rowOff>166687</xdr:rowOff>
    </xdr:from>
    <xdr:to>
      <xdr:col>28</xdr:col>
      <xdr:colOff>638174</xdr:colOff>
      <xdr:row>15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a8" displayName="Tabla8" ref="B2:I16" totalsRowShown="0">
  <autoFilter ref="B2:I16"/>
  <tableColumns count="8">
    <tableColumn id="1" name="MES"/>
    <tableColumn id="2" name="TIPO DE INVERSION"/>
    <tableColumn id="7" name="NOMBRE"/>
    <tableColumn id="3" name="CAPITAL A INICIO DE MES" dataCellStyle="Moneda"/>
    <tableColumn id="8" name="CAPITAL INVERTIDO ESTE MES" dataDxfId="81" dataCellStyle="Moneda"/>
    <tableColumn id="4" name="CAPITAL A FIN DE MES" dataCellStyle="Moneda"/>
    <tableColumn id="5" name="GANANCIA/PERDIDA" dataCellStyle="Moneda">
      <calculatedColumnFormula>G3-E3</calculatedColumnFormula>
    </tableColumn>
    <tableColumn id="6" name="RENTABILIDAD"/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id="3" name="Tabla3" displayName="Tabla3" ref="B2:T14" totalsRowShown="0" headerRowDxfId="19">
  <autoFilter ref="B2:T14"/>
  <tableColumns count="19">
    <tableColumn id="1" name="FECHA ACTUAL" dataDxfId="18">
      <calculatedColumnFormula>TODAY()</calculatedColumnFormula>
    </tableColumn>
    <tableColumn id="2" name="PRECIO ACT KO" dataDxfId="17" dataCellStyle="Moneda">
      <calculatedColumnFormula>VLOOKUP(B3,Tabla1[],5,FALSE)</calculatedColumnFormula>
    </tableColumn>
    <tableColumn id="3" name="PRECIO ACT JNJ" dataDxfId="16">
      <calculatedColumnFormula>VLOOKUP(B3,Tabla1[],6,FALSE)</calculatedColumnFormula>
    </tableColumn>
    <tableColumn id="4" name="PRECIO ACT PG" dataDxfId="15">
      <calculatedColumnFormula>VLOOKUP(B3,Tabla1[],7,FALSE)</calculatedColumnFormula>
    </tableColumn>
    <tableColumn id="5" name="PRECIO ACT PEP" dataDxfId="14">
      <calculatedColumnFormula>VLOOKUP(B3,Tabla1[],8,FALSE)</calculatedColumnFormula>
    </tableColumn>
    <tableColumn id="6" name="PRECIO ACT MSFT" dataDxfId="13">
      <calculatedColumnFormula>VLOOKUP(B3,Tabla1[],9,FALSE)</calculatedColumnFormula>
    </tableColumn>
    <tableColumn id="7" name="PRECIO ACT MCD" dataDxfId="12">
      <calculatedColumnFormula>VLOOKUP(B3,Tabla1[],10,FALSE)</calculatedColumnFormula>
    </tableColumn>
    <tableColumn id="20" name="PRECIO ACT VOO" dataDxfId="11">
      <calculatedColumnFormula>VLOOKUP(B3,Tabla2[],3,FALSE)</calculatedColumnFormula>
    </tableColumn>
    <tableColumn id="8" name="EMPRESA" dataDxfId="10"/>
    <tableColumn id="9" name="FECHA COMPRA" dataDxfId="9"/>
    <tableColumn id="10" name="PRECIO COMPRA" dataDxfId="8" dataCellStyle="Moneda"/>
    <tableColumn id="11" name="CAPITAL INVE" dataDxfId="7" dataCellStyle="Moneda"/>
    <tableColumn id="12" name="CANTIDAD DE ACCIONES" dataDxfId="6" dataCellStyle="Moneda">
      <calculatedColumnFormula>(M3/L3)</calculatedColumnFormula>
    </tableColumn>
    <tableColumn id="13" name="VALOR ACTUAL INVE" dataDxfId="5" dataCellStyle="Moneda">
      <calculatedColumnFormula>ROUND(IF(J3="KO",N3*C3,IF(J3="JNJ",N3*D3,IF(J3="PG",N3*E3,IF(J3="PEP",N3*F3,IF(J3="MSFT",N3*G3,IF(J3="MCD",N3*H3,IF(J3="VOO",N3*I3,0))))))),2)</calculatedColumnFormula>
    </tableColumn>
    <tableColumn id="14" name="FECHA DIVIDENDO" dataDxfId="4"/>
    <tableColumn id="15" name="VALOR DIVIDENDO POR ACCION" dataDxfId="3" dataCellStyle="Moneda"/>
    <tableColumn id="16" name="TOTAL DIVIDENDO RECIBIDO" dataDxfId="2" dataCellStyle="Moneda">
      <calculatedColumnFormula>ROUND(Q3*N3,2)</calculatedColumnFormula>
    </tableColumn>
    <tableColumn id="17" name="GANACIA/PERDIDA" dataDxfId="1" dataCellStyle="Moneda">
      <calculatedColumnFormula>ROUND(O3-M3,2)</calculatedColumnFormula>
    </tableColumn>
    <tableColumn id="18" name="RENTABILIDAD" dataDxfId="0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K2:O6" totalsRowShown="0">
  <autoFilter ref="K2:O6"/>
  <tableColumns count="5">
    <tableColumn id="1" name="TIPO DE INVERSION"/>
    <tableColumn id="2" name="CAPITAL INICIAL TOTAL" dataCellStyle="Moneda"/>
    <tableColumn id="3" name="CAPITAL FINAL TOTAL" dataCellStyle="Moneda"/>
    <tableColumn id="6" name="TOTAL G/P" dataDxfId="80" dataCellStyle="Moneda">
      <calculatedColumnFormula>SUMIF(C:C,"CRIPTOMONEDA",H:H)</calculatedColumnFormula>
    </tableColumn>
    <tableColumn id="4" name="% DEL TOTAL CAPITAL" dataDxfId="79" dataCellStyle="Porcentaje">
      <calculatedColumnFormula>M3/SUM(M3:M5)</calculatedColumnFormula>
    </tableColumn>
  </tableColumns>
  <tableStyleInfo name="Estilo de tabla 2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B2:J10" totalsRowShown="0" headerRowDxfId="78">
  <autoFilter ref="B2:J10"/>
  <tableColumns count="9">
    <tableColumn id="1" name="MES"/>
    <tableColumn id="2" name="CUENTA"/>
    <tableColumn id="3" name="CANTIDAD INICIAL" dataDxfId="77"/>
    <tableColumn id="4" name="CAPITAL INVERTIDO" dataDxfId="76"/>
    <tableColumn id="5" name="INTERES OBTENIDO" dataDxfId="75"/>
    <tableColumn id="6" name="PORCENTAJE DE INTERES" dataDxfId="74" dataCellStyle="Porcentaje">
      <calculatedColumnFormula>(F3/(D3+E3))</calculatedColumnFormula>
    </tableColumn>
    <tableColumn id="7" name="RETIROS DE CAPITAL" dataDxfId="73"/>
    <tableColumn id="8" name="TOTAL CAPITAL FIN DE MES" dataDxfId="72">
      <calculatedColumnFormula>D3+E3+F3-H3</calculatedColumnFormula>
    </tableColumn>
    <tableColumn id="9" name="RENTABILIDAD" dataDxfId="71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G119" totalsRowShown="0">
  <autoFilter ref="B2:G119"/>
  <tableColumns count="6">
    <tableColumn id="1" name="FECHA" dataDxfId="70"/>
    <tableColumn id="2" name="DÓLAR" dataDxfId="69"/>
    <tableColumn id="3" name="BITCOIN" dataDxfId="68"/>
    <tableColumn id="5" name="io.net" dataDxfId="67"/>
    <tableColumn id="4" name="ETHEREUM" dataDxfId="66"/>
    <tableColumn id="6" name="USDT" dataDxfId="65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B2:Z38" totalsRowShown="0">
  <autoFilter ref="B2:Z38">
    <filterColumn colId="23">
      <filters>
        <filter val="ACTIVA"/>
      </filters>
    </filterColumn>
  </autoFilter>
  <tableColumns count="25">
    <tableColumn id="1" name="fecha act" dataDxfId="60">
      <calculatedColumnFormula>TODAY()</calculatedColumnFormula>
    </tableColumn>
    <tableColumn id="2" name="precio actual dólar" dataDxfId="59">
      <calculatedColumnFormula>VLOOKUP(B3,Tabla4[],2,FALSE)</calculatedColumnFormula>
    </tableColumn>
    <tableColumn id="3" name="precio actual btc" dataDxfId="58">
      <calculatedColumnFormula>VLOOKUP(B3,Tabla4[],3,FALSE)</calculatedColumnFormula>
    </tableColumn>
    <tableColumn id="4" name="precio actul eth" dataDxfId="57">
      <calculatedColumnFormula>VLOOKUP(B3,Tabla4[],5,FALSE)</calculatedColumnFormula>
    </tableColumn>
    <tableColumn id="5" name="precio actual io.net" dataDxfId="56">
      <calculatedColumnFormula>VLOOKUP(B3,Tabla4[],4,FALSE)</calculatedColumnFormula>
    </tableColumn>
    <tableColumn id="6" name="moneda"/>
    <tableColumn id="27" name="FECHA COMPRA"/>
    <tableColumn id="20" name="PRECIO DEL DÓLAR, DIA COMPRA" dataDxfId="55">
      <calculatedColumnFormula>VLOOKUP(H3,Tabla4[],2,FALSE)</calculatedColumnFormula>
    </tableColumn>
    <tableColumn id="7" name="precio de compra" dataDxfId="54"/>
    <tableColumn id="8" name="cantidad" dataDxfId="53" dataCellStyle="Porcentaje"/>
    <tableColumn id="18" name="COSTO DE COMPRA" dataDxfId="52" dataCellStyle="Porcentaje">
      <calculatedColumnFormula>Tabla6[[#This Row],[precio de compra]]*Tabla6[[#This Row],[cantidad]]*Tabla6[[#This Row],[PRECIO DEL DÓLAR, DIA COMPRA]]</calculatedColumnFormula>
    </tableColumn>
    <tableColumn id="21" name="VALOR ACTUAL INV" dataDxfId="51" dataCellStyle="Porcentaje">
      <calculatedColumnFormula xml:space="preserve"> K3 * (IF(G3="BTC", D3, IF(G3="ETH", E3, IF(G3="IO.NET", F3, 0)))) * C3</calculatedColumnFormula>
    </tableColumn>
    <tableColumn id="9" name="rentabilidad" dataDxfId="50" dataCellStyle="Porcentaje">
      <calculatedColumnFormula>IF(G3 = "BTC", (D3 - J3) / J3,
 IF(G3 = "ETH", (E3 - J3) / J3,
 IF(G3 = "IO.NET", (F3 - J3) / J3,
 "Moneda no soportada")))</calculatedColumnFormula>
    </tableColumn>
    <tableColumn id="10" name="meta1" dataDxfId="49" dataCellStyle="Porcentaje"/>
    <tableColumn id="11" name="META2" dataDxfId="48" dataCellStyle="Porcentaje"/>
    <tableColumn id="12" name="ACCION" dataDxfId="47">
      <calculatedColumnFormula>IF(N3 &lt; O3, "MANTENER", IF(N3 &lt; P3, "VENTA PARCIAL", "VENDER"))</calculatedColumnFormula>
    </tableColumn>
    <tableColumn id="13" name="FECHA DE VENTA"/>
    <tableColumn id="17" name="CANTIDAD VENDIDA"/>
    <tableColumn id="14" name="PRECIO DE VENTA" dataDxfId="46"/>
    <tableColumn id="23" name="INVENTARIO" dataDxfId="45">
      <calculatedColumnFormula>Tabla6[[#This Row],[cantidad]]-Tabla6[[#This Row],[CANTIDAD VENDIDA]]</calculatedColumnFormula>
    </tableColumn>
    <tableColumn id="24" name="VALOR ACTUAL" dataDxfId="44">
      <calculatedColumnFormula>IF(G3="BTC", D3 * U3 * C3, IF(G3="ETH", E3 * U3 * C3, IF(G3="IO.NET", F3 * U3 * C3, 0)))</calculatedColumnFormula>
    </tableColumn>
    <tableColumn id="15" name="GANANCIA/PERDIDA" dataDxfId="43">
      <calculatedColumnFormula>IF(G3 = "BTC", ((T3 - L3)), IF(G3 = "ETH", ((T3 - L3)), IF(G3 = "IO.NET", ((T3 - L3)), "Moneda no soportada")))</calculatedColumnFormula>
    </tableColumn>
    <tableColumn id="25" name="RENTABILIDAD TOTAL" dataDxfId="42" dataCellStyle="Porcentaje">
      <calculatedColumnFormula>IF(G3 = "BTC", (((D3 - J3) / J3)),IF(G3 = "ETH", ((E3 - J3) / J3), IF(G3 = "IO.NET", ((F3 - J3) / J3), "Moneda no soportada")))</calculatedColumnFormula>
    </tableColumn>
    <tableColumn id="26" name="ESTADO DE LA INVERSION" dataDxfId="41">
      <calculatedColumnFormula>IF(U3=0,"VENDIDA","ACTIVA")</calculatedColumnFormula>
    </tableColumn>
    <tableColumn id="16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B2:L7" totalsRowShown="0">
  <autoFilter ref="B2:L7"/>
  <tableColumns count="11">
    <tableColumn id="1" name="FECHA ACT" dataDxfId="40">
      <calculatedColumnFormula>TODAY()</calculatedColumnFormula>
    </tableColumn>
    <tableColumn id="11" name="FECHA COMPRA" dataDxfId="39"/>
    <tableColumn id="2" name="PRECIO DEL USD,DIA COMPRA"/>
    <tableColumn id="3" name="CANTIDAD COPRADA"/>
    <tableColumn id="4" name="CONTO EN COP">
      <calculatedColumnFormula>D3*E3</calculatedColumnFormula>
    </tableColumn>
    <tableColumn id="5" name="CANTIDAD TOTAL(USD)" dataDxfId="38">
      <calculatedColumnFormula>G2+E3</calculatedColumnFormula>
    </tableColumn>
    <tableColumn id="6" name="PRECIO ACTUAL(USD)">
      <calculatedColumnFormula>VLOOKUP(B3,Tabla4[],6,FALSE)</calculatedColumnFormula>
    </tableColumn>
    <tableColumn id="7" name="VALOR ACTUAL EN COP">
      <calculatedColumnFormula>G3*H3</calculatedColumnFormula>
    </tableColumn>
    <tableColumn id="8" name="COSTO TOTAL EN COP">
      <calculatedColumnFormula>F3+J2</calculatedColumnFormula>
    </tableColumn>
    <tableColumn id="9" name="RENTABILIDAD" dataDxfId="37" dataCellStyle="Porcentaje">
      <calculatedColumnFormula>((I3-J3)/J3)</calculatedColumnFormula>
    </tableColumn>
    <tableColumn id="10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9" displayName="Tabla9" ref="B2:O10" totalsRowShown="0">
  <autoFilter ref="B2:O10"/>
  <tableColumns count="14">
    <tableColumn id="1" name="MES" dataDxfId="36"/>
    <tableColumn id="2" name="CRIPTOMONEDA"/>
    <tableColumn id="3" name="CANTIDAD INICIAL"/>
    <tableColumn id="4" name="PRECIO DÓLAR INICIAL"/>
    <tableColumn id="5" name="PRECIO INICIAL USD" dataCellStyle="Moneda"/>
    <tableColumn id="6" name="VALOR INICIAL EN COP">
      <calculatedColumnFormula>D3*F3*E3</calculatedColumnFormula>
    </tableColumn>
    <tableColumn id="7" name="CANTIDAD A FIN DE MES"/>
    <tableColumn id="8" name="PRECIO DÓLAR FINAL"/>
    <tableColumn id="9" name="PRECIO A FIN DE MES(USD)"/>
    <tableColumn id="10" name="PRECIO FINAL(COP)">
      <calculatedColumnFormula>H3*J3*I3</calculatedColumnFormula>
    </tableColumn>
    <tableColumn id="11" name="DIFERENCIA DE CANTIDAD">
      <calculatedColumnFormula>H3-D3</calculatedColumnFormula>
    </tableColumn>
    <tableColumn id="12" name="DIFERENCIA EN PRECIO">
      <calculatedColumnFormula>J3-F3</calculatedColumnFormula>
    </tableColumn>
    <tableColumn id="13" name="PRECIO DE LA DIFERENCIA EN COP">
      <calculatedColumnFormula>L3*J3*I3</calculatedColumnFormula>
    </tableColumn>
    <tableColumn id="14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id="2" name="Tabla2" displayName="Tabla2" ref="B2:G33" totalsRowShown="0">
  <autoFilter ref="B2:G33"/>
  <tableColumns count="6">
    <tableColumn id="1" name="FECHA" dataDxfId="35"/>
    <tableColumn id="5" name="PRECIO DEL DÓLAR" dataDxfId="34">
      <calculatedColumnFormula>VLOOKUP(B3,Tabla4[],2,FALSE)</calculatedColumnFormula>
    </tableColumn>
    <tableColumn id="2" name="VOO" dataDxfId="33" dataCellStyle="Moneda"/>
    <tableColumn id="3" name="VALOR INVERSION 1" dataDxfId="32">
      <calculatedColumnFormula>0.01518 * D3</calculatedColumnFormula>
    </tableColumn>
    <tableColumn id="4" name="GAN/PER" dataDxfId="31">
      <calculatedColumnFormula>Tabla2[[#This Row],[VALOR INVERSION 1]]-7.7</calculatedColumnFormula>
    </tableColumn>
    <tableColumn id="6" name="VALOR EN COP" dataDxfId="30">
      <calculatedColumnFormula>Tabla2[[#This Row],[VALOR INVERSION 1]]*Tabla2[[#This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a1" displayName="Tabla1" ref="B2:K46" totalsRowShown="0" headerRowDxfId="29">
  <autoFilter ref="B2:K46"/>
  <tableColumns count="10">
    <tableColumn id="1" name="FECHA"/>
    <tableColumn id="2" name="DÓLAR" dataDxfId="28">
      <calculatedColumnFormula>VLOOKUP(B3,Tabla4[],2,FALSE)</calculatedColumnFormula>
    </tableColumn>
    <tableColumn id="3" name="S&amp;P 500" dataDxfId="27"/>
    <tableColumn id="4" name="NASDAQ-100" dataDxfId="26"/>
    <tableColumn id="5" name="KO" dataDxfId="25"/>
    <tableColumn id="6" name="JNJ" dataDxfId="24"/>
    <tableColumn id="7" name="PG" dataDxfId="23"/>
    <tableColumn id="8" name="PEP" dataDxfId="22"/>
    <tableColumn id="13" name="MSFT" dataDxfId="21"/>
    <tableColumn id="9" name="MCD" dataDxfId="2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6"/>
  <sheetViews>
    <sheetView workbookViewId="0">
      <selection activeCell="F16" sqref="F16"/>
    </sheetView>
  </sheetViews>
  <sheetFormatPr baseColWidth="10" defaultRowHeight="14.25"/>
  <cols>
    <col min="3" max="4" width="20.875" customWidth="1"/>
    <col min="5" max="6" width="25.875" customWidth="1"/>
    <col min="7" max="7" width="22.875" customWidth="1"/>
    <col min="8" max="8" width="21.75" customWidth="1"/>
    <col min="9" max="9" width="16.375" customWidth="1"/>
    <col min="11" max="11" width="20.875" customWidth="1"/>
    <col min="12" max="12" width="23.75" customWidth="1"/>
    <col min="13" max="14" width="22.125" customWidth="1"/>
    <col min="15" max="15" width="22.625" customWidth="1"/>
  </cols>
  <sheetData>
    <row r="2" spans="2:15">
      <c r="B2" t="s">
        <v>53</v>
      </c>
      <c r="C2" t="s">
        <v>99</v>
      </c>
      <c r="D2" t="s">
        <v>103</v>
      </c>
      <c r="E2" t="s">
        <v>101</v>
      </c>
      <c r="F2" t="s">
        <v>110</v>
      </c>
      <c r="G2" t="s">
        <v>100</v>
      </c>
      <c r="H2" t="s">
        <v>29</v>
      </c>
      <c r="I2" t="s">
        <v>48</v>
      </c>
      <c r="K2" t="s">
        <v>99</v>
      </c>
      <c r="L2" t="s">
        <v>105</v>
      </c>
      <c r="M2" t="s">
        <v>106</v>
      </c>
      <c r="N2" t="s">
        <v>109</v>
      </c>
      <c r="O2" t="s">
        <v>107</v>
      </c>
    </row>
    <row r="3" spans="2:15">
      <c r="B3" t="s">
        <v>65</v>
      </c>
      <c r="C3" t="s">
        <v>102</v>
      </c>
      <c r="D3" t="s">
        <v>94</v>
      </c>
      <c r="E3" s="7">
        <v>18566.62</v>
      </c>
      <c r="F3" s="7">
        <v>6000</v>
      </c>
      <c r="G3" s="7">
        <v>24997.599999999999</v>
      </c>
      <c r="H3" s="7">
        <f>(Tabla8[[#This Row],[CAPITAL A FIN DE MES]]-(Tabla8[[#This Row],[CAPITAL A INICIO DE MES]]+Tabla8[[#This Row],[CAPITAL INVERTIDO ESTE MES]]))</f>
        <v>430.97999999999956</v>
      </c>
      <c r="K3" t="s">
        <v>102</v>
      </c>
      <c r="L3" s="7">
        <f>SUMIF(C:C,"CUENTA DE AHORRO",E:E)</f>
        <v>45037.35</v>
      </c>
      <c r="M3" s="7">
        <f>SUMIF(C:C,"CUENTA DE AHORRO",G:G)</f>
        <v>25740.73</v>
      </c>
      <c r="N3" s="7">
        <f>SUMIF(C:C,"CUENTA DE AHORRO",H:H)</f>
        <v>-31296.62</v>
      </c>
      <c r="O3" s="9">
        <f>M3/SUM(M3:M5)</f>
        <v>0.36574904245808215</v>
      </c>
    </row>
    <row r="4" spans="2:15">
      <c r="B4" t="s">
        <v>65</v>
      </c>
      <c r="C4" t="s">
        <v>102</v>
      </c>
      <c r="D4" t="s">
        <v>97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K4" t="s">
        <v>108</v>
      </c>
      <c r="L4" s="7">
        <f>SUMIF(C:C,"CRIPTOMONEDA",E:E)</f>
        <v>26948.260000000002</v>
      </c>
      <c r="M4" s="7">
        <f>SUMIF(C:C,"CRIPTOMONEDA",G:G)</f>
        <v>13972.429999999998</v>
      </c>
      <c r="N4" s="7">
        <f>SUMIF(C:C,"CRIPTOMONEDA",H:H)</f>
        <v>-17275.829999999998</v>
      </c>
      <c r="O4" s="9">
        <f t="shared" ref="O4" si="0">M4/SUM(M4:M6)</f>
        <v>0.12148300694401998</v>
      </c>
    </row>
    <row r="5" spans="2:15">
      <c r="B5" t="s">
        <v>65</v>
      </c>
      <c r="C5" t="s">
        <v>54</v>
      </c>
      <c r="D5" t="s">
        <v>15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K5" t="s">
        <v>104</v>
      </c>
      <c r="L5" s="7">
        <f>SUMIF(C:C,"BOLSA",E:E)</f>
        <v>62161.81</v>
      </c>
      <c r="M5" s="7">
        <f>SUMIF(C:C,"BOLSA",G:G)</f>
        <v>30664.959999999999</v>
      </c>
      <c r="N5" s="7">
        <f>SUMIF(C:C,"BOLSA",H:H)</f>
        <v>-31496.85</v>
      </c>
      <c r="O5" s="9">
        <f>M5/SUM(M5:M8)</f>
        <v>0.30348401889570276</v>
      </c>
    </row>
    <row r="6" spans="2:15">
      <c r="B6" t="s">
        <v>65</v>
      </c>
      <c r="C6" t="s">
        <v>54</v>
      </c>
      <c r="D6" t="s">
        <v>16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K6" t="s">
        <v>1</v>
      </c>
      <c r="L6" s="7">
        <f>SUM(L3:L5)</f>
        <v>134147.41999999998</v>
      </c>
      <c r="M6" s="7">
        <f>SUM(M3:M5)</f>
        <v>70378.12</v>
      </c>
      <c r="N6" s="7">
        <f>SUM(N3:N5)</f>
        <v>-80069.299999999988</v>
      </c>
      <c r="O6" s="9">
        <f>M6/SUM(M6:M9)</f>
        <v>1</v>
      </c>
    </row>
    <row r="7" spans="2:15">
      <c r="B7" t="s">
        <v>65</v>
      </c>
      <c r="C7" t="s">
        <v>54</v>
      </c>
      <c r="D7" t="s">
        <v>64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L7" s="7"/>
      <c r="M7" s="7"/>
      <c r="N7" s="7"/>
      <c r="O7" s="9"/>
    </row>
    <row r="8" spans="2:15">
      <c r="B8" t="s">
        <v>65</v>
      </c>
      <c r="C8" t="s">
        <v>54</v>
      </c>
      <c r="D8" t="s">
        <v>42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</row>
    <row r="9" spans="2:15">
      <c r="B9" t="s">
        <v>65</v>
      </c>
      <c r="C9" t="s">
        <v>104</v>
      </c>
      <c r="D9" t="s">
        <v>14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</row>
    <row r="10" spans="2:15">
      <c r="B10" t="s">
        <v>86</v>
      </c>
      <c r="C10" t="s">
        <v>102</v>
      </c>
      <c r="D10" t="s">
        <v>94</v>
      </c>
      <c r="E10" s="7">
        <v>24997.599999999999</v>
      </c>
      <c r="F10" s="7">
        <v>6000</v>
      </c>
      <c r="G10" s="7"/>
      <c r="H10" s="7">
        <f>(Tabla8[[#This Row],[CAPITAL A FIN DE MES]]-(Tabla8[[#This Row],[CAPITAL A INICIO DE MES]]+Tabla8[[#This Row],[CAPITAL INVERTIDO ESTE MES]]))</f>
        <v>-30997.599999999999</v>
      </c>
    </row>
    <row r="11" spans="2:15">
      <c r="B11" t="s">
        <v>86</v>
      </c>
      <c r="C11" t="s">
        <v>102</v>
      </c>
      <c r="D11" t="s">
        <v>97</v>
      </c>
      <c r="E11" s="7">
        <v>743.13</v>
      </c>
      <c r="F11" s="7">
        <v>6000</v>
      </c>
      <c r="G11" s="7"/>
      <c r="H11" s="7">
        <f t="shared" ref="H11:H16" si="1">G11-E11</f>
        <v>-743.13</v>
      </c>
    </row>
    <row r="12" spans="2:15">
      <c r="B12" t="s">
        <v>86</v>
      </c>
      <c r="C12" t="s">
        <v>54</v>
      </c>
      <c r="D12" t="s">
        <v>15</v>
      </c>
      <c r="E12" s="7">
        <v>6780.1</v>
      </c>
      <c r="F12" s="7">
        <v>1400</v>
      </c>
      <c r="G12" s="7"/>
      <c r="H12" s="7">
        <f t="shared" si="1"/>
        <v>-6780.1</v>
      </c>
    </row>
    <row r="13" spans="2:15">
      <c r="B13" t="s">
        <v>86</v>
      </c>
      <c r="C13" t="s">
        <v>54</v>
      </c>
      <c r="D13" t="s">
        <v>16</v>
      </c>
      <c r="E13" s="7">
        <v>3942.9</v>
      </c>
      <c r="F13" s="7">
        <v>1400</v>
      </c>
      <c r="G13" s="7"/>
      <c r="H13" s="7">
        <f t="shared" si="1"/>
        <v>-3942.9</v>
      </c>
    </row>
    <row r="14" spans="2:15">
      <c r="B14" t="s">
        <v>86</v>
      </c>
      <c r="C14" t="s">
        <v>54</v>
      </c>
      <c r="D14" t="s">
        <v>42</v>
      </c>
      <c r="E14" s="7">
        <v>2535.48</v>
      </c>
      <c r="F14" s="7">
        <v>700</v>
      </c>
      <c r="G14" s="7"/>
      <c r="H14" s="7">
        <f t="shared" si="1"/>
        <v>-2535.48</v>
      </c>
    </row>
    <row r="15" spans="2:15">
      <c r="B15" t="s">
        <v>86</v>
      </c>
      <c r="C15" t="s">
        <v>54</v>
      </c>
      <c r="D15" t="s">
        <v>64</v>
      </c>
      <c r="E15" s="7">
        <v>1529.58</v>
      </c>
      <c r="F15" s="7">
        <v>1400</v>
      </c>
      <c r="G15" s="7"/>
      <c r="H15" s="7">
        <f t="shared" si="1"/>
        <v>-1529.58</v>
      </c>
    </row>
    <row r="16" spans="2:15">
      <c r="B16" t="s">
        <v>86</v>
      </c>
      <c r="C16" t="s">
        <v>104</v>
      </c>
      <c r="D16" t="s">
        <v>14</v>
      </c>
      <c r="E16" s="7">
        <v>30664.959999999999</v>
      </c>
      <c r="F16" s="7"/>
      <c r="G16" s="7"/>
      <c r="H16" s="7">
        <f t="shared" si="1"/>
        <v>-30664.959999999999</v>
      </c>
    </row>
  </sheetData>
  <conditionalFormatting sqref="H1:H1048576">
    <cfRule type="cellIs" dxfId="83" priority="1" operator="lessThan">
      <formula>0</formula>
    </cfRule>
    <cfRule type="cellIs" dxfId="82" priority="2" operator="lessThan">
      <formula>0</formula>
    </cfRule>
  </conditionalFormatting>
  <pageMargins left="0.7" right="0.7" top="0.75" bottom="0.75" header="0.3" footer="0.3"/>
  <ignoredErrors>
    <ignoredError sqref="N3 N5:N6 H9:H10 H3:H8" calculatedColumn="1"/>
  </ignoredErrors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F19" sqref="F19"/>
    </sheetView>
  </sheetViews>
  <sheetFormatPr baseColWidth="10" defaultRowHeight="14.25"/>
  <cols>
    <col min="2" max="2" width="17.125" bestFit="1" customWidth="1"/>
    <col min="3" max="3" width="13.25" bestFit="1" customWidth="1"/>
    <col min="4" max="4" width="19.875" customWidth="1"/>
    <col min="5" max="5" width="21" customWidth="1"/>
    <col min="6" max="6" width="20.875" customWidth="1"/>
    <col min="7" max="7" width="26.125" customWidth="1"/>
    <col min="8" max="8" width="21.875" customWidth="1"/>
    <col min="9" max="9" width="27.25" customWidth="1"/>
    <col min="10" max="10" width="16.375" customWidth="1"/>
    <col min="30" max="30" width="12.125" bestFit="1" customWidth="1"/>
    <col min="31" max="31" width="14.25" bestFit="1" customWidth="1"/>
  </cols>
  <sheetData>
    <row r="2" spans="2:10">
      <c r="B2" s="23" t="s">
        <v>53</v>
      </c>
      <c r="C2" s="23" t="s">
        <v>87</v>
      </c>
      <c r="D2" s="23" t="s">
        <v>55</v>
      </c>
      <c r="E2" s="23" t="s">
        <v>88</v>
      </c>
      <c r="F2" s="23" t="s">
        <v>89</v>
      </c>
      <c r="G2" s="23" t="s">
        <v>90</v>
      </c>
      <c r="H2" s="23" t="s">
        <v>91</v>
      </c>
      <c r="I2" s="23" t="s">
        <v>92</v>
      </c>
      <c r="J2" s="23" t="s">
        <v>48</v>
      </c>
    </row>
    <row r="3" spans="2:10">
      <c r="B3" t="s">
        <v>93</v>
      </c>
      <c r="C3" t="s">
        <v>94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>
      <c r="B4" t="s">
        <v>95</v>
      </c>
      <c r="C4" t="s">
        <v>94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>
      <c r="B5" t="s">
        <v>96</v>
      </c>
      <c r="C5" t="s">
        <v>94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>
      <c r="B6" t="s">
        <v>98</v>
      </c>
      <c r="C6" t="s">
        <v>94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>
      <c r="B7" t="s">
        <v>65</v>
      </c>
      <c r="C7" t="s">
        <v>94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>
      <c r="B8" t="s">
        <v>65</v>
      </c>
      <c r="C8" t="s">
        <v>97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>
      <c r="B9" t="s">
        <v>86</v>
      </c>
      <c r="C9" t="s">
        <v>94</v>
      </c>
      <c r="D9" s="2">
        <v>24997.599999999999</v>
      </c>
      <c r="E9" s="2">
        <v>6000</v>
      </c>
      <c r="F9" s="2"/>
      <c r="G9" s="12">
        <f t="shared" si="0"/>
        <v>0</v>
      </c>
      <c r="H9" s="2"/>
      <c r="I9" s="2">
        <f t="shared" si="1"/>
        <v>30997.599999999999</v>
      </c>
      <c r="J9" s="12">
        <f t="shared" si="2"/>
        <v>0</v>
      </c>
    </row>
    <row r="10" spans="2:10">
      <c r="B10" t="s">
        <v>86</v>
      </c>
      <c r="C10" t="s">
        <v>97</v>
      </c>
      <c r="D10" s="2">
        <v>743.73</v>
      </c>
      <c r="E10" s="2">
        <v>6000</v>
      </c>
      <c r="F10" s="2"/>
      <c r="G10" s="12">
        <f t="shared" si="0"/>
        <v>0</v>
      </c>
      <c r="H10" s="2"/>
      <c r="I10" s="2">
        <f t="shared" si="1"/>
        <v>6743.73</v>
      </c>
      <c r="J10" s="12">
        <f t="shared" si="2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9"/>
  <sheetViews>
    <sheetView tabSelected="1" topLeftCell="A96" zoomScaleNormal="100" workbookViewId="0">
      <selection activeCell="I116" sqref="I116"/>
    </sheetView>
  </sheetViews>
  <sheetFormatPr baseColWidth="10" defaultRowHeight="14.25"/>
  <cols>
    <col min="3" max="3" width="11.625" bestFit="1" customWidth="1"/>
    <col min="4" max="4" width="12" bestFit="1" customWidth="1"/>
    <col min="5" max="5" width="12" customWidth="1"/>
    <col min="6" max="7" width="13.125" customWidth="1"/>
  </cols>
  <sheetData>
    <row r="2" spans="2:7">
      <c r="B2" t="s">
        <v>0</v>
      </c>
      <c r="C2" t="s">
        <v>2</v>
      </c>
      <c r="D2" t="s">
        <v>3</v>
      </c>
      <c r="E2" t="s">
        <v>5</v>
      </c>
      <c r="F2" t="s">
        <v>4</v>
      </c>
      <c r="G2" t="s">
        <v>64</v>
      </c>
    </row>
    <row r="3" spans="2:7">
      <c r="B3" s="1">
        <v>45404</v>
      </c>
      <c r="C3" s="3">
        <v>3912.77</v>
      </c>
      <c r="D3" s="3">
        <v>66429</v>
      </c>
      <c r="E3" s="3"/>
      <c r="F3" s="3"/>
      <c r="G3" s="3"/>
    </row>
    <row r="4" spans="2:7">
      <c r="B4" s="1">
        <v>45405</v>
      </c>
      <c r="C4" s="3">
        <v>3910.09</v>
      </c>
      <c r="D4" s="3">
        <v>66429</v>
      </c>
      <c r="E4" s="3"/>
      <c r="F4" s="3"/>
      <c r="G4" s="3"/>
    </row>
    <row r="5" spans="2:7">
      <c r="B5" s="1">
        <v>45406</v>
      </c>
      <c r="C5" s="3">
        <v>3906.66</v>
      </c>
      <c r="D5" s="3">
        <v>66651</v>
      </c>
      <c r="E5" s="3"/>
      <c r="F5" s="3"/>
      <c r="G5" s="3"/>
    </row>
    <row r="6" spans="2:7">
      <c r="B6" s="1">
        <v>45407</v>
      </c>
      <c r="C6" s="3">
        <v>3954.52</v>
      </c>
      <c r="D6" s="3">
        <v>64247</v>
      </c>
      <c r="E6" s="3"/>
      <c r="F6" s="3"/>
      <c r="G6" s="3"/>
    </row>
    <row r="7" spans="2:7">
      <c r="B7" s="1">
        <v>45408</v>
      </c>
      <c r="C7" s="3">
        <v>3959.14</v>
      </c>
      <c r="D7" s="3">
        <v>64262</v>
      </c>
      <c r="E7" s="3"/>
      <c r="F7" s="3"/>
      <c r="G7" s="3"/>
    </row>
    <row r="8" spans="2:7">
      <c r="B8" s="1">
        <v>45409</v>
      </c>
      <c r="C8" s="3">
        <v>3965.23</v>
      </c>
      <c r="D8" s="3">
        <v>64262</v>
      </c>
      <c r="E8" s="3"/>
      <c r="F8" s="3"/>
      <c r="G8" s="3"/>
    </row>
    <row r="9" spans="2:7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7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</row>
    <row r="50" spans="2:7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7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7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7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</row>
    <row r="54" spans="2:7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7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7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7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7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7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7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</row>
    <row r="61" spans="2:7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7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7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7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7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7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7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</row>
    <row r="68" spans="2:7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7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7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7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</row>
    <row r="72" spans="2:7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7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7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7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7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7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</row>
    <row r="78" spans="2:7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7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7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7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7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7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7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</row>
    <row r="85" spans="2:7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7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7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7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7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7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7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</row>
    <row r="92" spans="2:7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7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7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7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7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7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7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</row>
    <row r="99" spans="2:7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7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7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7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7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7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7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</row>
    <row r="106" spans="2:7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7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7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7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7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7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7">
      <c r="B112" s="1">
        <v>45516</v>
      </c>
      <c r="C112" s="3">
        <v>4073.83</v>
      </c>
      <c r="D112" s="4">
        <v>59274.9</v>
      </c>
      <c r="E112" s="4">
        <v>1.59</v>
      </c>
      <c r="F112" s="4">
        <v>2605.27</v>
      </c>
      <c r="G112" s="4">
        <v>4043.31</v>
      </c>
    </row>
    <row r="113" spans="2:7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7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7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7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  <row r="117" spans="2:7">
      <c r="B117" s="1">
        <v>45521</v>
      </c>
      <c r="C117" s="3">
        <v>3999.63</v>
      </c>
      <c r="D117" s="3">
        <v>59441.99</v>
      </c>
      <c r="E117" s="3">
        <v>1.74</v>
      </c>
      <c r="F117" s="3">
        <v>2614.6999999999998</v>
      </c>
      <c r="G117" s="3">
        <v>3948</v>
      </c>
    </row>
    <row r="118" spans="2:7">
      <c r="B118" s="1">
        <v>45522</v>
      </c>
      <c r="C118" s="3">
        <v>3999.63</v>
      </c>
      <c r="D118" s="3">
        <v>58427.35</v>
      </c>
      <c r="E118" s="3">
        <v>1.72</v>
      </c>
      <c r="F118" s="3">
        <v>2611.4</v>
      </c>
      <c r="G118" s="3">
        <v>3883</v>
      </c>
    </row>
    <row r="119" spans="2:7">
      <c r="B119" s="1">
        <v>45523</v>
      </c>
      <c r="C119" s="3">
        <v>4030.16</v>
      </c>
      <c r="D119" s="4">
        <v>59064.9</v>
      </c>
      <c r="E119" s="4">
        <v>1.69</v>
      </c>
      <c r="F119" s="4">
        <v>2617.6999999999998</v>
      </c>
      <c r="G119" s="4">
        <v>3937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8"/>
  <sheetViews>
    <sheetView topLeftCell="J19" workbookViewId="0">
      <selection activeCell="Q38" sqref="Q38"/>
    </sheetView>
  </sheetViews>
  <sheetFormatPr baseColWidth="10" defaultRowHeight="14.25"/>
  <cols>
    <col min="3" max="3" width="19.75" customWidth="1"/>
    <col min="4" max="4" width="18" customWidth="1"/>
    <col min="5" max="5" width="17.125" customWidth="1"/>
    <col min="6" max="6" width="20.375" customWidth="1"/>
    <col min="9" max="9" width="19.75" customWidth="1"/>
    <col min="10" max="10" width="18.75" customWidth="1"/>
    <col min="12" max="12" width="20.125" bestFit="1" customWidth="1"/>
    <col min="13" max="13" width="18.25" bestFit="1" customWidth="1"/>
    <col min="14" max="14" width="14" customWidth="1"/>
    <col min="17" max="17" width="15.625" bestFit="1" customWidth="1"/>
    <col min="18" max="19" width="18.625" customWidth="1"/>
    <col min="20" max="22" width="19.375" customWidth="1"/>
    <col min="23" max="25" width="21.75" customWidth="1"/>
  </cols>
  <sheetData>
    <row r="2" spans="2:26">
      <c r="B2" t="s">
        <v>41</v>
      </c>
      <c r="C2" t="s">
        <v>21</v>
      </c>
      <c r="D2" t="s">
        <v>22</v>
      </c>
      <c r="E2" t="s">
        <v>23</v>
      </c>
      <c r="F2" t="s">
        <v>24</v>
      </c>
      <c r="G2" t="s">
        <v>17</v>
      </c>
      <c r="H2" t="s">
        <v>40</v>
      </c>
      <c r="I2" t="s">
        <v>34</v>
      </c>
      <c r="J2" t="s">
        <v>18</v>
      </c>
      <c r="K2" t="s">
        <v>19</v>
      </c>
      <c r="L2" t="s">
        <v>33</v>
      </c>
      <c r="M2" t="s">
        <v>35</v>
      </c>
      <c r="N2" t="s">
        <v>20</v>
      </c>
      <c r="O2" t="s">
        <v>25</v>
      </c>
      <c r="P2" t="s">
        <v>26</v>
      </c>
      <c r="Q2" t="s">
        <v>31</v>
      </c>
      <c r="R2" t="s">
        <v>27</v>
      </c>
      <c r="S2" t="s">
        <v>32</v>
      </c>
      <c r="T2" t="s">
        <v>28</v>
      </c>
      <c r="U2" t="s">
        <v>36</v>
      </c>
      <c r="V2" t="s">
        <v>37</v>
      </c>
      <c r="W2" t="s">
        <v>29</v>
      </c>
      <c r="X2" t="s">
        <v>38</v>
      </c>
      <c r="Y2" t="s">
        <v>39</v>
      </c>
      <c r="Z2" t="s">
        <v>30</v>
      </c>
    </row>
    <row r="3" spans="2:26">
      <c r="B3" s="1">
        <f t="shared" ref="B3:B21" ca="1" si="0">TODAY()</f>
        <v>45523</v>
      </c>
      <c r="C3" s="2">
        <f ca="1">VLOOKUP(B3,Tabla4[],2,FALSE)</f>
        <v>4030.16</v>
      </c>
      <c r="D3" s="3">
        <f ca="1">VLOOKUP(B3,Tabla4[],3,FALSE)</f>
        <v>59064.9</v>
      </c>
      <c r="E3" s="2">
        <f ca="1">VLOOKUP(B3,Tabla4[],5,FALSE)</f>
        <v>2617.6999999999998</v>
      </c>
      <c r="F3" s="2">
        <f ca="1">VLOOKUP(B3,Tabla4[],4,FALSE)</f>
        <v>1.69</v>
      </c>
      <c r="G3" t="s">
        <v>15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>
        <f ca="1" xml:space="preserve"> K3 * (IF(G3="BTC", D3, IF(G3="ETH", E3, IF(G3="IO.NET", F3, 0)))) * C3</f>
        <v>599.86331340767993</v>
      </c>
      <c r="N3" s="10">
        <f t="shared" ref="N3:N21" ca="1" si="1">IF(G3 = "BTC", (D3 - J3) / J3,
 IF(G3 = "ETH", (E3 - J3) / J3,
 IF(G3 = "IO.NET", (F3 - J3) / J3,
 "Moneda no soportada")))</f>
        <v>-0.16747854031882953</v>
      </c>
      <c r="O3" s="9">
        <v>0.25</v>
      </c>
      <c r="P3" s="9">
        <v>0.5</v>
      </c>
      <c r="Q3" t="str">
        <f t="shared" ref="Q3:Q7" ca="1" si="2">IF(N3 &lt; O3, "MANTENER", IF(N3 &lt; P3, "VENTA PARCIAL", "VENDER"))</f>
        <v>MANTENER</v>
      </c>
      <c r="T3" s="2"/>
      <c r="U3" s="14">
        <f>Tabla6[[#This Row],[cantidad]]-Tabla6[[#This Row],[CANTIDAD VENDIDA]]</f>
        <v>2.52E-6</v>
      </c>
      <c r="V3" s="2">
        <f ca="1">IF(G3="BTC", D3 * U3 * C3, IF(G3="ETH", E3 * U3 * C3, IF(G3="IO.NET", F3 * U3 * C3, 0)))</f>
        <v>599.86331340767993</v>
      </c>
      <c r="W3" s="2">
        <f t="shared" ref="W3:W21" si="3">IF(G3 = "BTC", ((T3 - L3)), IF(G3 = "ETH", ((T3 - L3)), IF(G3 = "IO.NET", ((T3 - L3)), "Moneda no soportada")))</f>
        <v>-702.89888885999994</v>
      </c>
      <c r="X3" s="9">
        <f t="shared" ref="X3:X22" ca="1" si="4">IF(G3 = "BTC", (((D3 - J3) / J3)),IF(G3 = "ETH", ((E3 - J3) / J3), IF(G3 = "IO.NET", ((F3 - J3) / J3), "Moneda no soportada")))</f>
        <v>-0.16747854031882953</v>
      </c>
      <c r="Y3" s="2" t="str">
        <f>IF(U3=0,"VENDIDA","ACTIVA")</f>
        <v>ACTIVA</v>
      </c>
    </row>
    <row r="4" spans="2:26">
      <c r="B4" s="1">
        <f t="shared" ca="1" si="0"/>
        <v>45523</v>
      </c>
      <c r="C4" s="2">
        <f ca="1">VLOOKUP(B4,Tabla4[],2,FALSE)</f>
        <v>4030.16</v>
      </c>
      <c r="D4" s="3">
        <f ca="1">VLOOKUP(B4,Tabla4[],3,FALSE)</f>
        <v>59064.9</v>
      </c>
      <c r="E4" s="2">
        <f ca="1">VLOOKUP(B4,Tabla4[],5,FALSE)</f>
        <v>2617.6999999999998</v>
      </c>
      <c r="F4" s="2">
        <f ca="1">VLOOKUP(B4,Tabla4[],4,FALSE)</f>
        <v>1.69</v>
      </c>
      <c r="G4" t="s">
        <v>16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t="shared" ref="M4:M21" ca="1" si="5" xml:space="preserve"> K4 * (IF(G4="BTC", D4, IF(G4="ETH", E4, IF(G4="IO.NET", F4, 0)))) * C4</f>
        <v>497.94819207040001</v>
      </c>
      <c r="N4" s="10">
        <f t="shared" ca="1" si="1"/>
        <v>-0.31136897543215369</v>
      </c>
      <c r="O4" s="9">
        <v>0.25</v>
      </c>
      <c r="P4" s="9">
        <v>0.5</v>
      </c>
      <c r="Q4" t="str">
        <f t="shared" ca="1" si="2"/>
        <v>MANTENER</v>
      </c>
      <c r="T4" s="2"/>
      <c r="U4" s="14">
        <f>Tabla6[[#This Row],[cantidad]]-Tabla6[[#This Row],[CANTIDAD VENDIDA]]</f>
        <v>4.7200000000000002E-5</v>
      </c>
      <c r="V4" s="2">
        <f t="shared" ref="V4:V21" ca="1" si="6">IF(G4="BTC", D4 * U4 * C4, IF(G4="ETH", E4 * U4 * C4, IF(G4="IO.NET", F4 * U4 * C4, 0)))</f>
        <v>497.94819207040001</v>
      </c>
      <c r="W4" s="2">
        <f t="shared" si="3"/>
        <v>-705.39693250799996</v>
      </c>
      <c r="X4" s="9">
        <f t="shared" ca="1" si="4"/>
        <v>-0.31136897543215369</v>
      </c>
      <c r="Y4" s="2" t="str">
        <f t="shared" ref="Y4:Y24" si="7">IF(U4=0,"VENDIDA","ACTIVA")</f>
        <v>ACTIVA</v>
      </c>
    </row>
    <row r="5" spans="2:26">
      <c r="B5" s="1">
        <f t="shared" ca="1" si="0"/>
        <v>45523</v>
      </c>
      <c r="C5" s="2">
        <f ca="1">VLOOKUP(B5,Tabla4[],2,FALSE)</f>
        <v>4030.16</v>
      </c>
      <c r="D5" s="3">
        <f ca="1">VLOOKUP(B5,Tabla4[],3,FALSE)</f>
        <v>59064.9</v>
      </c>
      <c r="E5" s="2">
        <f ca="1">VLOOKUP(B5,Tabla4[],5,FALSE)</f>
        <v>2617.6999999999998</v>
      </c>
      <c r="F5" s="2">
        <f ca="1">VLOOKUP(B5,Tabla4[],4,FALSE)</f>
        <v>1.69</v>
      </c>
      <c r="G5" t="s">
        <v>15</v>
      </c>
      <c r="H5" s="1">
        <v>45453</v>
      </c>
      <c r="I5" s="3">
        <f>VLOOKUP(H5,Tabla4[],2,FALSE)</f>
        <v>3995.66</v>
      </c>
      <c r="J5" s="3">
        <v>69276</v>
      </c>
      <c r="K5" s="11">
        <v>2.57E-6</v>
      </c>
      <c r="L5" s="7">
        <f>Tabla6[[#This Row],[precio de compra]]*Tabla6[[#This Row],[cantidad]]*Tabla6[[#This Row],[PRECIO DEL DÓLAR, DIA COMPRA]]</f>
        <v>711.38458935120002</v>
      </c>
      <c r="M5" s="13">
        <f t="shared" ca="1" si="5"/>
        <v>611.76536327688007</v>
      </c>
      <c r="N5" s="10">
        <f t="shared" ca="1" si="1"/>
        <v>-0.14739736705352502</v>
      </c>
      <c r="O5" s="9">
        <v>0.25</v>
      </c>
      <c r="P5" s="9">
        <v>0.5</v>
      </c>
      <c r="Q5" t="str">
        <f t="shared" ca="1" si="2"/>
        <v>MANTENER</v>
      </c>
      <c r="T5" s="2"/>
      <c r="U5" s="14">
        <f>Tabla6[[#This Row],[cantidad]]-Tabla6[[#This Row],[CANTIDAD VENDIDA]]</f>
        <v>2.57E-6</v>
      </c>
      <c r="V5" s="2">
        <f t="shared" ca="1" si="6"/>
        <v>611.76536327688007</v>
      </c>
      <c r="W5" s="2">
        <f t="shared" si="3"/>
        <v>-711.38458935120002</v>
      </c>
      <c r="X5" s="9">
        <f t="shared" ca="1" si="4"/>
        <v>-0.14739736705352502</v>
      </c>
      <c r="Y5" s="2" t="str">
        <f t="shared" si="7"/>
        <v>ACTIVA</v>
      </c>
    </row>
    <row r="6" spans="2:26">
      <c r="B6" s="1">
        <f t="shared" ca="1" si="0"/>
        <v>45523</v>
      </c>
      <c r="C6" s="2">
        <f ca="1">VLOOKUP(B6,Tabla4[],2,FALSE)</f>
        <v>4030.16</v>
      </c>
      <c r="D6" s="3">
        <f ca="1">VLOOKUP(B6,Tabla4[],3,FALSE)</f>
        <v>59064.9</v>
      </c>
      <c r="E6" s="2">
        <f ca="1">VLOOKUP(B6,Tabla4[],5,FALSE)</f>
        <v>2617.6999999999998</v>
      </c>
      <c r="F6" s="2">
        <f ca="1">VLOOKUP(B6,Tabla4[],4,FALSE)</f>
        <v>1.69</v>
      </c>
      <c r="G6" t="s">
        <v>16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>
        <f t="shared" ca="1" si="5"/>
        <v>513.45632432343996</v>
      </c>
      <c r="N6" s="10">
        <f t="shared" ca="1" si="1"/>
        <v>-0.2866680473501777</v>
      </c>
      <c r="O6" s="9">
        <v>0.25</v>
      </c>
      <c r="P6" s="9">
        <v>0.5</v>
      </c>
      <c r="Q6" t="str">
        <f t="shared" ca="1" si="2"/>
        <v>MANTENER</v>
      </c>
      <c r="T6" s="2"/>
      <c r="U6" s="14">
        <f>Tabla6[[#This Row],[cantidad]]-Tabla6[[#This Row],[CANTIDAD VENDIDA]]</f>
        <v>4.867E-5</v>
      </c>
      <c r="V6" s="2">
        <f t="shared" ca="1" si="6"/>
        <v>513.45632432343996</v>
      </c>
      <c r="W6" s="2">
        <f t="shared" si="3"/>
        <v>-713.63816396689595</v>
      </c>
      <c r="X6" s="9">
        <f t="shared" ca="1" si="4"/>
        <v>-0.2866680473501777</v>
      </c>
      <c r="Y6" s="2" t="str">
        <f t="shared" si="7"/>
        <v>ACTIVA</v>
      </c>
    </row>
    <row r="7" spans="2:26">
      <c r="B7" s="1">
        <f t="shared" ca="1" si="0"/>
        <v>45523</v>
      </c>
      <c r="C7" s="2">
        <f ca="1">VLOOKUP(B7,Tabla4[],2,FALSE)</f>
        <v>4030.16</v>
      </c>
      <c r="D7" s="3">
        <f ca="1">VLOOKUP(B7,Tabla4[],3,FALSE)</f>
        <v>59064.9</v>
      </c>
      <c r="E7" s="2">
        <f ca="1">VLOOKUP(B7,Tabla4[],5,FALSE)</f>
        <v>2617.6999999999998</v>
      </c>
      <c r="F7" s="2">
        <f ca="1">VLOOKUP(B7,Tabla4[],4,FALSE)</f>
        <v>1.69</v>
      </c>
      <c r="G7" t="s">
        <v>15</v>
      </c>
      <c r="H7" s="1">
        <v>45460</v>
      </c>
      <c r="I7" s="3">
        <f>VLOOKUP(H7,Tabla4[],2,FALSE)</f>
        <v>4129.43</v>
      </c>
      <c r="J7" s="3">
        <v>66469.899999999994</v>
      </c>
      <c r="K7" s="11">
        <v>2.6299999999999998E-6</v>
      </c>
      <c r="L7" s="7">
        <f>Tabla6[[#This Row],[precio de compra]]*Tabla6[[#This Row],[cantidad]]*Tabla6[[#This Row],[PRECIO DEL DÓLAR, DIA COMPRA]]</f>
        <v>721.88976178291</v>
      </c>
      <c r="M7" s="13">
        <f t="shared" ca="1" si="5"/>
        <v>626.04782311992005</v>
      </c>
      <c r="N7" s="10">
        <f t="shared" ca="1" si="1"/>
        <v>-0.11140380834031634</v>
      </c>
      <c r="O7" s="9">
        <v>0.25</v>
      </c>
      <c r="P7" s="9">
        <v>0.5</v>
      </c>
      <c r="Q7" t="str">
        <f t="shared" ca="1" si="2"/>
        <v>MANTENER</v>
      </c>
      <c r="T7" s="2"/>
      <c r="U7" s="14">
        <f>Tabla6[[#This Row],[cantidad]]-Tabla6[[#This Row],[CANTIDAD VENDIDA]]</f>
        <v>2.6299999999999998E-6</v>
      </c>
      <c r="V7" s="2">
        <f t="shared" ca="1" si="6"/>
        <v>626.04782311992005</v>
      </c>
      <c r="W7" s="2">
        <f t="shared" si="3"/>
        <v>-721.88976178291</v>
      </c>
      <c r="X7" s="9">
        <f t="shared" ca="1" si="4"/>
        <v>-0.11140380834031634</v>
      </c>
      <c r="Y7" s="2" t="str">
        <f t="shared" si="7"/>
        <v>ACTIVA</v>
      </c>
    </row>
    <row r="8" spans="2:26">
      <c r="B8" s="1">
        <f t="shared" ca="1" si="0"/>
        <v>45523</v>
      </c>
      <c r="C8" s="2">
        <f ca="1">VLOOKUP(B8,Tabla4[],2,FALSE)</f>
        <v>4030.16</v>
      </c>
      <c r="D8" s="3">
        <f ca="1">VLOOKUP(B8,Tabla4[],3,FALSE)</f>
        <v>59064.9</v>
      </c>
      <c r="E8" s="2">
        <f ca="1">VLOOKUP(B8,Tabla4[],5,FALSE)</f>
        <v>2617.6999999999998</v>
      </c>
      <c r="F8" s="2">
        <f ca="1">VLOOKUP(B8,Tabla4[],4,FALSE)</f>
        <v>1.69</v>
      </c>
      <c r="G8" t="s">
        <v>42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>
        <f t="shared" ca="1" si="5"/>
        <v>263.65790863120799</v>
      </c>
      <c r="N8" s="10">
        <f t="shared" ca="1" si="1"/>
        <v>-0.60047281323877078</v>
      </c>
      <c r="O8" s="9">
        <v>0.25</v>
      </c>
      <c r="P8" s="9">
        <v>0.5</v>
      </c>
      <c r="Q8" t="str">
        <f t="shared" ref="Q8:Q21" ca="1" si="8">IF(N8 &lt; O8, "MANTENER", IF(N8 &lt; P8, "VENTA PARCIAL", "VENDER"))</f>
        <v>MANTENER</v>
      </c>
      <c r="T8" s="2"/>
      <c r="U8" s="14">
        <f>Tabla6[[#This Row],[cantidad]]-Tabla6[[#This Row],[CANTIDAD VENDIDA]]</f>
        <v>3.8710769999999999E-2</v>
      </c>
      <c r="V8" s="2">
        <f t="shared" ca="1" si="6"/>
        <v>263.65790863120799</v>
      </c>
      <c r="W8" s="2">
        <f t="shared" si="3"/>
        <v>-676.17994528545319</v>
      </c>
      <c r="X8" s="9">
        <f t="shared" ca="1" si="4"/>
        <v>-0.60047281323877078</v>
      </c>
      <c r="Y8" s="2" t="str">
        <f t="shared" si="7"/>
        <v>ACTIVA</v>
      </c>
    </row>
    <row r="9" spans="2:26">
      <c r="B9" s="1">
        <f t="shared" ca="1" si="0"/>
        <v>45523</v>
      </c>
      <c r="C9" s="2">
        <f ca="1">VLOOKUP(B9,Tabla4[],2,FALSE)</f>
        <v>4030.16</v>
      </c>
      <c r="D9" s="3">
        <f ca="1">VLOOKUP(B9,Tabla4[],3,FALSE)</f>
        <v>59064.9</v>
      </c>
      <c r="E9" s="2">
        <f ca="1">VLOOKUP(B9,Tabla4[],5,FALSE)</f>
        <v>2617.6999999999998</v>
      </c>
      <c r="F9" s="2">
        <f ca="1">VLOOKUP(B9,Tabla4[],4,FALSE)</f>
        <v>1.69</v>
      </c>
      <c r="G9" t="s">
        <v>16</v>
      </c>
      <c r="H9" s="1">
        <v>45460</v>
      </c>
      <c r="I9" s="3">
        <f>VLOOKUP(H9,Tabla4[],2,FALSE)</f>
        <v>4129.43</v>
      </c>
      <c r="J9" s="3">
        <v>3505.79</v>
      </c>
      <c r="K9" s="11">
        <v>4.9200000000000003E-5</v>
      </c>
      <c r="L9" s="7">
        <f>Tabla6[[#This Row],[precio de compra]]*Tabla6[[#This Row],[cantidad]]*Tabla6[[#This Row],[PRECIO DEL DÓLAR, DIA COMPRA]]</f>
        <v>712.26418846524007</v>
      </c>
      <c r="M9" s="13">
        <f t="shared" ca="1" si="5"/>
        <v>519.0476917343999</v>
      </c>
      <c r="N9" s="10">
        <f t="shared" ca="1" si="1"/>
        <v>-0.2533209347964368</v>
      </c>
      <c r="O9" s="9">
        <v>0.25</v>
      </c>
      <c r="P9" s="9">
        <v>0.5</v>
      </c>
      <c r="Q9" t="str">
        <f t="shared" ca="1" si="8"/>
        <v>MANTENER</v>
      </c>
      <c r="T9" s="2"/>
      <c r="U9" s="14">
        <f>Tabla6[[#This Row],[cantidad]]-Tabla6[[#This Row],[CANTIDAD VENDIDA]]</f>
        <v>4.9200000000000003E-5</v>
      </c>
      <c r="V9" s="2">
        <f t="shared" ca="1" si="6"/>
        <v>519.0476917343999</v>
      </c>
      <c r="W9" s="2">
        <f t="shared" si="3"/>
        <v>-712.26418846524007</v>
      </c>
      <c r="X9" s="9">
        <f t="shared" ca="1" si="4"/>
        <v>-0.2533209347964368</v>
      </c>
      <c r="Y9" s="2" t="str">
        <f t="shared" si="7"/>
        <v>ACTIVA</v>
      </c>
    </row>
    <row r="10" spans="2:26">
      <c r="B10" s="1">
        <f t="shared" ca="1" si="0"/>
        <v>45523</v>
      </c>
      <c r="C10" s="2">
        <f ca="1">VLOOKUP(B10,Tabla4[],2,FALSE)</f>
        <v>4030.16</v>
      </c>
      <c r="D10" s="3">
        <f ca="1">VLOOKUP(B10,Tabla4[],3,FALSE)</f>
        <v>59064.9</v>
      </c>
      <c r="E10" s="2">
        <f ca="1">VLOOKUP(B10,Tabla4[],5,FALSE)</f>
        <v>2617.6999999999998</v>
      </c>
      <c r="F10" s="2">
        <f ca="1">VLOOKUP(B10,Tabla4[],4,FALSE)</f>
        <v>1.69</v>
      </c>
      <c r="G10" t="s">
        <v>15</v>
      </c>
      <c r="H10" s="1">
        <v>45467</v>
      </c>
      <c r="I10" s="3">
        <f>VLOOKUP(H10,Tabla4[],2,FALSE)</f>
        <v>4144.4799999999996</v>
      </c>
      <c r="J10" s="3">
        <v>61441.2</v>
      </c>
      <c r="K10" s="11">
        <v>2.7199999999999998E-6</v>
      </c>
      <c r="L10" s="7">
        <f>Tabla6[[#This Row],[precio de compra]]*Tabla6[[#This Row],[cantidad]]*Tabla6[[#This Row],[PRECIO DEL DÓLAR, DIA COMPRA]]</f>
        <v>692.62576284671991</v>
      </c>
      <c r="M10" s="13">
        <f t="shared" ca="1" si="5"/>
        <v>647.47151288447992</v>
      </c>
      <c r="N10" s="10">
        <f t="shared" ca="1" si="1"/>
        <v>-3.8676002421827629E-2</v>
      </c>
      <c r="O10" s="9">
        <v>0.25</v>
      </c>
      <c r="P10" s="9">
        <v>0.5</v>
      </c>
      <c r="Q10" t="str">
        <f t="shared" ca="1" si="8"/>
        <v>MANTENER</v>
      </c>
      <c r="T10" s="2"/>
      <c r="U10" s="14">
        <f>Tabla6[[#This Row],[cantidad]]-Tabla6[[#This Row],[CANTIDAD VENDIDA]]</f>
        <v>2.7199999999999998E-6</v>
      </c>
      <c r="V10" s="2">
        <f t="shared" ca="1" si="6"/>
        <v>647.47151288447992</v>
      </c>
      <c r="W10" s="2">
        <f t="shared" si="3"/>
        <v>-692.62576284671991</v>
      </c>
      <c r="X10" s="9">
        <f t="shared" ca="1" si="4"/>
        <v>-3.8676002421827629E-2</v>
      </c>
      <c r="Y10" s="2" t="str">
        <f t="shared" si="7"/>
        <v>ACTIVA</v>
      </c>
    </row>
    <row r="11" spans="2:26">
      <c r="B11" s="1">
        <f t="shared" ca="1" si="0"/>
        <v>45523</v>
      </c>
      <c r="C11" s="2">
        <f ca="1">VLOOKUP(B11,Tabla4[],2,FALSE)</f>
        <v>4030.16</v>
      </c>
      <c r="D11" s="3">
        <f ca="1">VLOOKUP(B11,Tabla4[],3,FALSE)</f>
        <v>59064.9</v>
      </c>
      <c r="E11" s="2">
        <f ca="1">VLOOKUP(B11,Tabla4[],5,FALSE)</f>
        <v>2617.6999999999998</v>
      </c>
      <c r="F11" s="2">
        <f ca="1">VLOOKUP(B11,Tabla4[],4,FALSE)</f>
        <v>1.69</v>
      </c>
      <c r="G11" t="s">
        <v>15</v>
      </c>
      <c r="H11" s="1">
        <v>45475</v>
      </c>
      <c r="I11" s="3">
        <f>VLOOKUP(H11,Tabla4[],2,FALSE)</f>
        <v>4129.08</v>
      </c>
      <c r="J11" s="3">
        <v>60973.4</v>
      </c>
      <c r="K11" s="11">
        <v>2.7099999999999999E-6</v>
      </c>
      <c r="L11" s="7">
        <f>Tabla6[[#This Row],[precio de compra]]*Tabla6[[#This Row],[cantidad]]*Tabla6[[#This Row],[PRECIO DEL DÓLAR, DIA COMPRA]]</f>
        <v>682.28056593911992</v>
      </c>
      <c r="M11" s="13">
        <f t="shared" ca="1" si="5"/>
        <v>645.09110291063996</v>
      </c>
      <c r="N11" s="10">
        <f t="shared" ca="1" si="1"/>
        <v>-3.130053433136417E-2</v>
      </c>
      <c r="O11" s="9">
        <v>0.25</v>
      </c>
      <c r="P11" s="9">
        <v>0.5</v>
      </c>
      <c r="Q11" t="str">
        <f t="shared" ca="1" si="8"/>
        <v>MANTENER</v>
      </c>
      <c r="T11" s="2"/>
      <c r="U11" s="14">
        <f>Tabla6[[#This Row],[cantidad]]-Tabla6[[#This Row],[CANTIDAD VENDIDA]]</f>
        <v>2.7099999999999999E-6</v>
      </c>
      <c r="V11" s="2">
        <f t="shared" ca="1" si="6"/>
        <v>645.09110291063996</v>
      </c>
      <c r="W11" s="2">
        <f t="shared" si="3"/>
        <v>-682.28056593911992</v>
      </c>
      <c r="X11" s="9">
        <f t="shared" ca="1" si="4"/>
        <v>-3.130053433136417E-2</v>
      </c>
      <c r="Y11" s="2" t="str">
        <f t="shared" si="7"/>
        <v>ACTIVA</v>
      </c>
    </row>
    <row r="12" spans="2:26">
      <c r="B12" s="1">
        <f t="shared" ca="1" si="0"/>
        <v>45523</v>
      </c>
      <c r="C12" s="2">
        <f ca="1">VLOOKUP(B12,Tabla4[],2,FALSE)</f>
        <v>4030.16</v>
      </c>
      <c r="D12" s="3">
        <f ca="1">VLOOKUP(B12,Tabla4[],3,FALSE)</f>
        <v>59064.9</v>
      </c>
      <c r="E12" s="2">
        <f ca="1">VLOOKUP(B12,Tabla4[],5,FALSE)</f>
        <v>2617.6999999999998</v>
      </c>
      <c r="F12" s="2">
        <f ca="1">VLOOKUP(B12,Tabla4[],4,FALSE)</f>
        <v>1.69</v>
      </c>
      <c r="G12" t="s">
        <v>15</v>
      </c>
      <c r="H12" s="1">
        <v>45481</v>
      </c>
      <c r="I12" s="3">
        <f>VLOOKUP(H12,Tabla4[],2,FALSE)</f>
        <v>4078.65</v>
      </c>
      <c r="J12" s="3">
        <v>57094.400000000001</v>
      </c>
      <c r="K12" s="11">
        <v>3.0299999999999998E-6</v>
      </c>
      <c r="L12" s="7">
        <f>Tabla6[[#This Row],[precio de compra]]*Tabla6[[#This Row],[cantidad]]*Tabla6[[#This Row],[PRECIO DEL DÓLAR, DIA COMPRA]]</f>
        <v>705.59026591680004</v>
      </c>
      <c r="M12" s="13">
        <f t="shared" ca="1" si="5"/>
        <v>721.26422207351993</v>
      </c>
      <c r="N12" s="10">
        <f t="shared" ca="1" si="1"/>
        <v>3.4513017038448605E-2</v>
      </c>
      <c r="O12" s="9">
        <v>0.25</v>
      </c>
      <c r="P12" s="9">
        <v>0.5</v>
      </c>
      <c r="Q12" t="str">
        <f t="shared" ca="1" si="8"/>
        <v>MANTENER</v>
      </c>
      <c r="T12" s="2"/>
      <c r="U12" s="14">
        <f>Tabla6[[#This Row],[cantidad]]-Tabla6[[#This Row],[CANTIDAD VENDIDA]]</f>
        <v>3.0299999999999998E-6</v>
      </c>
      <c r="V12" s="2">
        <f t="shared" ca="1" si="6"/>
        <v>721.26422207351993</v>
      </c>
      <c r="W12" s="2">
        <f t="shared" si="3"/>
        <v>-705.59026591680004</v>
      </c>
      <c r="X12" s="9">
        <f t="shared" ca="1" si="4"/>
        <v>3.4513017038448605E-2</v>
      </c>
      <c r="Y12" s="2" t="str">
        <f t="shared" si="7"/>
        <v>ACTIVA</v>
      </c>
    </row>
    <row r="13" spans="2:26">
      <c r="B13" s="1">
        <f t="shared" ca="1" si="0"/>
        <v>45523</v>
      </c>
      <c r="C13" s="2">
        <f ca="1">VLOOKUP(B13,Tabla4[],2,FALSE)</f>
        <v>4030.16</v>
      </c>
      <c r="D13" s="3">
        <f ca="1">VLOOKUP(B13,Tabla4[],3,FALSE)</f>
        <v>59064.9</v>
      </c>
      <c r="E13" s="2">
        <f ca="1">VLOOKUP(B13,Tabla4[],5,FALSE)</f>
        <v>2617.6999999999998</v>
      </c>
      <c r="F13" s="2">
        <f ca="1">VLOOKUP(B13,Tabla4[],4,FALSE)</f>
        <v>1.69</v>
      </c>
      <c r="G13" t="s">
        <v>15</v>
      </c>
      <c r="H13" s="1">
        <v>45488</v>
      </c>
      <c r="I13" s="3">
        <f>VLOOKUP(H13,Tabla4[],2,FALSE)</f>
        <v>3993.09</v>
      </c>
      <c r="J13" s="3">
        <v>62959.9</v>
      </c>
      <c r="K13" s="11">
        <v>2.8100000000000002E-6</v>
      </c>
      <c r="L13" s="7">
        <f>Tabla6[[#This Row],[precio de compra]]*Tabla6[[#This Row],[cantidad]]*Tabla6[[#This Row],[PRECIO DEL DÓLAR, DIA COMPRA]]</f>
        <v>706.44677732571006</v>
      </c>
      <c r="M13" s="13">
        <f t="shared" ca="1" si="5"/>
        <v>668.89520264904002</v>
      </c>
      <c r="N13" s="10">
        <f t="shared" ca="1" si="1"/>
        <v>-6.1864774245194161E-2</v>
      </c>
      <c r="O13" s="9">
        <v>0.25</v>
      </c>
      <c r="P13" s="9">
        <v>0.5</v>
      </c>
      <c r="Q13" t="str">
        <f t="shared" ca="1" si="8"/>
        <v>MANTENER</v>
      </c>
      <c r="T13" s="2"/>
      <c r="U13" s="14">
        <f>Tabla6[[#This Row],[cantidad]]-Tabla6[[#This Row],[CANTIDAD VENDIDA]]</f>
        <v>2.8100000000000002E-6</v>
      </c>
      <c r="V13" s="2">
        <f t="shared" ca="1" si="6"/>
        <v>668.89520264904002</v>
      </c>
      <c r="W13" s="2">
        <f t="shared" si="3"/>
        <v>-706.44677732571006</v>
      </c>
      <c r="X13" s="9">
        <f t="shared" ca="1" si="4"/>
        <v>-6.1864774245194161E-2</v>
      </c>
      <c r="Y13" s="2" t="str">
        <f t="shared" si="7"/>
        <v>ACTIVA</v>
      </c>
    </row>
    <row r="14" spans="2:26">
      <c r="B14" s="1">
        <f t="shared" ca="1" si="0"/>
        <v>45523</v>
      </c>
      <c r="C14" s="2">
        <f ca="1">VLOOKUP(B14,Tabla4[],2,FALSE)</f>
        <v>4030.16</v>
      </c>
      <c r="D14" s="3">
        <f ca="1">VLOOKUP(B14,Tabla4[],3,FALSE)</f>
        <v>59064.9</v>
      </c>
      <c r="E14" s="2">
        <f ca="1">VLOOKUP(B14,Tabla4[],5,FALSE)</f>
        <v>2617.6999999999998</v>
      </c>
      <c r="F14" s="2">
        <f ca="1">VLOOKUP(B14,Tabla4[],4,FALSE)</f>
        <v>1.69</v>
      </c>
      <c r="G14" t="s">
        <v>16</v>
      </c>
      <c r="H14" s="1">
        <v>45467</v>
      </c>
      <c r="I14" s="3">
        <f>VLOOKUP(H14,Tabla4[],2,FALSE)</f>
        <v>4144.4799999999996</v>
      </c>
      <c r="J14" s="3">
        <v>3377.81</v>
      </c>
      <c r="K14" s="11">
        <v>5.0609999999999998E-5</v>
      </c>
      <c r="L14" s="15">
        <f>Tabla6[[#This Row],[precio de compra]]*Tabla6[[#This Row],[cantidad]]*Tabla6[[#This Row],[PRECIO DEL DÓLAR, DIA COMPRA]]</f>
        <v>708.50285169316794</v>
      </c>
      <c r="M14" s="13">
        <f t="shared" ca="1" si="5"/>
        <v>533.92283899751988</v>
      </c>
      <c r="N14" s="10">
        <f t="shared" ca="1" si="1"/>
        <v>-0.2250304191177124</v>
      </c>
      <c r="O14" s="9">
        <v>0.25</v>
      </c>
      <c r="P14" s="9">
        <v>0.5</v>
      </c>
      <c r="Q14" t="str">
        <f t="shared" ca="1" si="8"/>
        <v>MANTENER</v>
      </c>
      <c r="T14" s="2"/>
      <c r="U14" s="14">
        <f>Tabla6[[#This Row],[cantidad]]-Tabla6[[#This Row],[CANTIDAD VENDIDA]]</f>
        <v>5.0609999999999998E-5</v>
      </c>
      <c r="V14" s="2">
        <f t="shared" ca="1" si="6"/>
        <v>533.92283899751988</v>
      </c>
      <c r="W14" s="2">
        <f t="shared" si="3"/>
        <v>-708.50285169316794</v>
      </c>
      <c r="X14" s="9">
        <f t="shared" ca="1" si="4"/>
        <v>-0.2250304191177124</v>
      </c>
      <c r="Y14" s="2" t="str">
        <f t="shared" si="7"/>
        <v>ACTIVA</v>
      </c>
    </row>
    <row r="15" spans="2:26">
      <c r="B15" s="1">
        <f t="shared" ca="1" si="0"/>
        <v>45523</v>
      </c>
      <c r="C15" s="2">
        <f ca="1">VLOOKUP(B15,Tabla4[],2,FALSE)</f>
        <v>4030.16</v>
      </c>
      <c r="D15" s="3">
        <f ca="1">VLOOKUP(B15,Tabla4[],3,FALSE)</f>
        <v>59064.9</v>
      </c>
      <c r="E15" s="2">
        <f ca="1">VLOOKUP(B15,Tabla4[],5,FALSE)</f>
        <v>2617.6999999999998</v>
      </c>
      <c r="F15" s="2">
        <f ca="1">VLOOKUP(B15,Tabla4[],4,FALSE)</f>
        <v>1.69</v>
      </c>
      <c r="G15" t="s">
        <v>16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>
        <f t="shared" ca="1" si="5"/>
        <v>520.52465671087998</v>
      </c>
      <c r="N15" s="10">
        <f t="shared" ca="1" si="1"/>
        <v>-0.22069764187875676</v>
      </c>
      <c r="O15" s="9">
        <v>0.25</v>
      </c>
      <c r="P15" s="9">
        <v>0.5</v>
      </c>
      <c r="Q15" t="str">
        <f t="shared" ca="1" si="8"/>
        <v>MANTENER</v>
      </c>
      <c r="T15" s="2"/>
      <c r="U15" s="14">
        <f>Tabla6[[#This Row],[cantidad]]-Tabla6[[#This Row],[CANTIDAD VENDIDA]]</f>
        <v>4.9339999999999999E-5</v>
      </c>
      <c r="V15" s="2">
        <f t="shared" ca="1" si="6"/>
        <v>520.52465671087998</v>
      </c>
      <c r="W15" s="2">
        <f t="shared" si="3"/>
        <v>-684.33117524901604</v>
      </c>
      <c r="X15" s="9">
        <f t="shared" ca="1" si="4"/>
        <v>-0.22069764187875676</v>
      </c>
      <c r="Y15" s="2" t="str">
        <f t="shared" si="7"/>
        <v>ACTIVA</v>
      </c>
    </row>
    <row r="16" spans="2:26">
      <c r="B16" s="1">
        <f t="shared" ca="1" si="0"/>
        <v>45523</v>
      </c>
      <c r="C16" s="2">
        <f ca="1">VLOOKUP(B16,Tabla4[],2,FALSE)</f>
        <v>4030.16</v>
      </c>
      <c r="D16" s="3">
        <f ca="1">VLOOKUP(B16,Tabla4[],3,FALSE)</f>
        <v>59064.9</v>
      </c>
      <c r="E16" s="2">
        <f ca="1">VLOOKUP(B16,Tabla4[],5,FALSE)</f>
        <v>2617.6999999999998</v>
      </c>
      <c r="F16" s="2">
        <f ca="1">VLOOKUP(B16,Tabla4[],4,FALSE)</f>
        <v>1.69</v>
      </c>
      <c r="G16" t="s">
        <v>16</v>
      </c>
      <c r="H16" s="1">
        <v>45481</v>
      </c>
      <c r="I16" s="3">
        <f>VLOOKUP(H16,Tabla4[],2,FALSE)</f>
        <v>4078.65</v>
      </c>
      <c r="J16" s="3">
        <v>3055</v>
      </c>
      <c r="K16" s="11">
        <v>5.6839999999999998E-5</v>
      </c>
      <c r="L16" s="7">
        <f>Tabla6[[#This Row],[precio de compra]]*Tabla6[[#This Row],[cantidad]]*Tabla6[[#This Row],[PRECIO DEL DÓLAR, DIA COMPRA]]</f>
        <v>708.24207363000005</v>
      </c>
      <c r="M16" s="13">
        <f t="shared" ca="1" si="5"/>
        <v>599.64778045087996</v>
      </c>
      <c r="N16" s="10">
        <f t="shared" ca="1" si="1"/>
        <v>-0.14314238952536831</v>
      </c>
      <c r="O16" s="9">
        <v>0.25</v>
      </c>
      <c r="P16" s="9">
        <v>0.5</v>
      </c>
      <c r="Q16" t="str">
        <f t="shared" ca="1" si="8"/>
        <v>MANTENER</v>
      </c>
      <c r="T16" s="2"/>
      <c r="U16" s="14">
        <f>Tabla6[[#This Row],[cantidad]]-Tabla6[[#This Row],[CANTIDAD VENDIDA]]</f>
        <v>5.6839999999999998E-5</v>
      </c>
      <c r="V16" s="2">
        <f t="shared" ca="1" si="6"/>
        <v>599.64778045087996</v>
      </c>
      <c r="W16" s="2">
        <f t="shared" si="3"/>
        <v>-708.24207363000005</v>
      </c>
      <c r="X16" s="9">
        <f t="shared" ca="1" si="4"/>
        <v>-0.14314238952536831</v>
      </c>
      <c r="Y16" s="2" t="str">
        <f t="shared" si="7"/>
        <v>ACTIVA</v>
      </c>
    </row>
    <row r="17" spans="2:25">
      <c r="B17" s="1">
        <f t="shared" ca="1" si="0"/>
        <v>45523</v>
      </c>
      <c r="C17" s="2">
        <f ca="1">VLOOKUP(B17,Tabla4[],2,FALSE)</f>
        <v>4030.16</v>
      </c>
      <c r="D17" s="3">
        <f ca="1">VLOOKUP(B17,Tabla4[],3,FALSE)</f>
        <v>59064.9</v>
      </c>
      <c r="E17" s="2">
        <f ca="1">VLOOKUP(B17,Tabla4[],5,FALSE)</f>
        <v>2617.6999999999998</v>
      </c>
      <c r="F17" s="2">
        <f ca="1">VLOOKUP(B17,Tabla4[],4,FALSE)</f>
        <v>1.69</v>
      </c>
      <c r="G17" t="s">
        <v>16</v>
      </c>
      <c r="H17" s="1">
        <v>45488</v>
      </c>
      <c r="I17" s="3">
        <f>VLOOKUP(H17,Tabla4[],2,FALSE)</f>
        <v>3993.09</v>
      </c>
      <c r="J17" s="3">
        <v>3458.1</v>
      </c>
      <c r="K17" s="11">
        <v>5.2599999999999998E-5</v>
      </c>
      <c r="L17" s="7">
        <f>Tabla6[[#This Row],[precio de compra]]*Tabla6[[#This Row],[cantidad]]*Tabla6[[#This Row],[PRECIO DEL DÓLAR, DIA COMPRA]]</f>
        <v>726.32733822540001</v>
      </c>
      <c r="M17" s="13">
        <f t="shared" ca="1" si="5"/>
        <v>554.91684116319993</v>
      </c>
      <c r="N17" s="10">
        <f t="shared" ca="1" si="1"/>
        <v>-0.24302362569040806</v>
      </c>
      <c r="O17" s="9">
        <v>0.25</v>
      </c>
      <c r="P17" s="9">
        <v>0.5</v>
      </c>
      <c r="Q17" t="str">
        <f t="shared" ca="1" si="8"/>
        <v>MANTENER</v>
      </c>
      <c r="T17" s="2"/>
      <c r="U17" s="14">
        <f>Tabla6[[#This Row],[cantidad]]-Tabla6[[#This Row],[CANTIDAD VENDIDA]]</f>
        <v>5.2599999999999998E-5</v>
      </c>
      <c r="V17" s="2">
        <f t="shared" ca="1" si="6"/>
        <v>554.91684116319993</v>
      </c>
      <c r="W17" s="2">
        <f t="shared" si="3"/>
        <v>-726.32733822540001</v>
      </c>
      <c r="X17" s="9">
        <f t="shared" ca="1" si="4"/>
        <v>-0.24302362569040806</v>
      </c>
      <c r="Y17" s="2" t="str">
        <f t="shared" si="7"/>
        <v>ACTIVA</v>
      </c>
    </row>
    <row r="18" spans="2:25">
      <c r="B18" s="1">
        <f t="shared" ca="1" si="0"/>
        <v>45523</v>
      </c>
      <c r="C18" s="2">
        <f ca="1">VLOOKUP(B18,Tabla4[],2,FALSE)</f>
        <v>4030.16</v>
      </c>
      <c r="D18" s="3">
        <f ca="1">VLOOKUP(B18,Tabla4[],3,FALSE)</f>
        <v>59064.9</v>
      </c>
      <c r="E18" s="2">
        <f ca="1">VLOOKUP(B18,Tabla4[],5,FALSE)</f>
        <v>2617.6999999999998</v>
      </c>
      <c r="F18" s="2">
        <f ca="1">VLOOKUP(B18,Tabla4[],4,FALSE)</f>
        <v>1.69</v>
      </c>
      <c r="G18" t="s">
        <v>42</v>
      </c>
      <c r="H18" s="1">
        <v>45467</v>
      </c>
      <c r="I18" s="3">
        <f>VLOOKUP(H18,Tabla4[],2,FALSE)</f>
        <v>4144.4799999999996</v>
      </c>
      <c r="J18" s="3">
        <v>3.4</v>
      </c>
      <c r="K18" s="11">
        <v>5.2726009999999997E-2</v>
      </c>
      <c r="L18" s="7">
        <f>Tabla6[[#This Row],[precio de compra]]*Tabla6[[#This Row],[cantidad]]*Tabla6[[#This Row],[PRECIO DEL DÓLAR, DIA COMPRA]]</f>
        <v>742.97443934431988</v>
      </c>
      <c r="M18" s="13">
        <f t="shared" ca="1" si="5"/>
        <v>359.11529342010397</v>
      </c>
      <c r="N18" s="12">
        <f t="shared" ca="1" si="1"/>
        <v>-0.50294117647058822</v>
      </c>
      <c r="O18" s="9">
        <v>0.1</v>
      </c>
      <c r="P18" s="9">
        <v>0.3</v>
      </c>
      <c r="Q18" t="str">
        <f t="shared" ca="1" si="8"/>
        <v>MANTENER</v>
      </c>
      <c r="T18" s="2"/>
      <c r="U18" s="14">
        <f>Tabla6[[#This Row],[cantidad]]-Tabla6[[#This Row],[CANTIDAD VENDIDA]]</f>
        <v>5.2726009999999997E-2</v>
      </c>
      <c r="V18" s="2">
        <f t="shared" ca="1" si="6"/>
        <v>359.11529342010397</v>
      </c>
      <c r="W18" s="2">
        <f t="shared" si="3"/>
        <v>-742.97443934431988</v>
      </c>
      <c r="X18" s="9">
        <f t="shared" ca="1" si="4"/>
        <v>-0.50294117647058822</v>
      </c>
      <c r="Y18" s="2" t="str">
        <f t="shared" si="7"/>
        <v>ACTIVA</v>
      </c>
    </row>
    <row r="19" spans="2:25">
      <c r="B19" s="1">
        <f t="shared" ca="1" si="0"/>
        <v>45523</v>
      </c>
      <c r="C19" s="2">
        <f ca="1">VLOOKUP(B19,Tabla4[],2,FALSE)</f>
        <v>4030.16</v>
      </c>
      <c r="D19" s="3">
        <f ca="1">VLOOKUP(B19,Tabla4[],3,FALSE)</f>
        <v>59064.9</v>
      </c>
      <c r="E19" s="2">
        <f ca="1">VLOOKUP(B19,Tabla4[],5,FALSE)</f>
        <v>2617.6999999999998</v>
      </c>
      <c r="F19" s="2">
        <f ca="1">VLOOKUP(B19,Tabla4[],4,FALSE)</f>
        <v>1.69</v>
      </c>
      <c r="G19" t="s">
        <v>42</v>
      </c>
      <c r="H19" s="1">
        <v>45475</v>
      </c>
      <c r="I19" s="3">
        <f>VLOOKUP(H19,Tabla4[],2,FALSE)</f>
        <v>4129.08</v>
      </c>
      <c r="J19" s="3">
        <v>2.83</v>
      </c>
      <c r="K19" s="11">
        <v>2.7487640000000001E-2</v>
      </c>
      <c r="L19" s="7">
        <f>Tabla6[[#This Row],[precio de compra]]*Tabla6[[#This Row],[cantidad]]*Tabla6[[#This Row],[PRECIO DEL DÓLAR, DIA COMPRA]]</f>
        <v>321.201220736496</v>
      </c>
      <c r="M19" s="13">
        <f t="shared" ca="1" si="5"/>
        <v>187.21750240585598</v>
      </c>
      <c r="N19" s="12">
        <f t="shared" ca="1" si="1"/>
        <v>-0.40282685512367494</v>
      </c>
      <c r="O19" s="9">
        <v>0.1</v>
      </c>
      <c r="P19" s="9">
        <v>0.3</v>
      </c>
      <c r="Q19" t="str">
        <f t="shared" ca="1" si="8"/>
        <v>MANTENER</v>
      </c>
      <c r="T19" s="2"/>
      <c r="U19" s="14">
        <f>Tabla6[[#This Row],[cantidad]]-Tabla6[[#This Row],[CANTIDAD VENDIDA]]</f>
        <v>2.7487640000000001E-2</v>
      </c>
      <c r="V19" s="2">
        <f t="shared" ca="1" si="6"/>
        <v>187.21750240585598</v>
      </c>
      <c r="W19" s="2">
        <f t="shared" si="3"/>
        <v>-321.201220736496</v>
      </c>
      <c r="X19" s="9">
        <f t="shared" ca="1" si="4"/>
        <v>-0.40282685512367494</v>
      </c>
      <c r="Y19" s="2" t="str">
        <f t="shared" si="7"/>
        <v>ACTIVA</v>
      </c>
    </row>
    <row r="20" spans="2:25" hidden="1">
      <c r="B20" s="1">
        <f t="shared" ca="1" si="0"/>
        <v>45523</v>
      </c>
      <c r="C20" s="2">
        <f ca="1">VLOOKUP(B20,Tabla4[],2,FALSE)</f>
        <v>4030.16</v>
      </c>
      <c r="D20" s="3">
        <f ca="1">VLOOKUP(B20,Tabla4[],3,FALSE)</f>
        <v>59064.9</v>
      </c>
      <c r="E20" s="2">
        <f ca="1">VLOOKUP(B20,Tabla4[],5,FALSE)</f>
        <v>2617.6999999999998</v>
      </c>
      <c r="F20" s="2">
        <f ca="1">VLOOKUP(B20,Tabla4[],4,FALSE)</f>
        <v>1.69</v>
      </c>
      <c r="G20" t="s">
        <v>42</v>
      </c>
      <c r="H20" s="1">
        <v>45481</v>
      </c>
      <c r="I20" s="3">
        <f>VLOOKUP(H20,Tabla4[],2,FALSE)</f>
        <v>4078.65</v>
      </c>
      <c r="J20" s="3">
        <v>2.29</v>
      </c>
      <c r="K20" s="11">
        <v>3.8638079999999998E-2</v>
      </c>
      <c r="L20" s="7">
        <f>Tabla6[[#This Row],[precio de compra]]*Tabla6[[#This Row],[cantidad]]*Tabla6[[#This Row],[PRECIO DEL DÓLAR, DIA COMPRA]]</f>
        <v>360.88385943167998</v>
      </c>
      <c r="M20" s="13">
        <f ca="1" xml:space="preserve"> K20 * (IF(G20="BTC", D20, IF(G20="ETH", E20, IF(G20="IO.NET", F20, 0)))) * C20</f>
        <v>263.16281919283193</v>
      </c>
      <c r="N20" s="12">
        <f t="shared" ca="1" si="1"/>
        <v>-0.2620087336244542</v>
      </c>
      <c r="O20" s="9">
        <v>0.1</v>
      </c>
      <c r="P20" s="9">
        <v>0.3</v>
      </c>
      <c r="Q20" t="str">
        <f t="shared" ca="1" si="8"/>
        <v>MANTENER</v>
      </c>
      <c r="S20">
        <v>3.8638079999999998E-2</v>
      </c>
      <c r="T20" s="2">
        <v>415</v>
      </c>
      <c r="U20" s="14">
        <f>Tabla6[[#This Row],[cantidad]]-Tabla6[[#This Row],[CANTIDAD VENDIDA]]</f>
        <v>0</v>
      </c>
      <c r="V20" s="2">
        <f ca="1">IF(G20="BTC", D20 * U20 * C20, IF(G20="ETH", E20 * U20 * C20, IF(G20="IO.NET", F20 * U20 * C20, 0)))</f>
        <v>0</v>
      </c>
      <c r="W20" s="2">
        <f t="shared" si="3"/>
        <v>54.11614056832002</v>
      </c>
      <c r="X20" s="9">
        <f t="shared" ca="1" si="4"/>
        <v>-0.2620087336244542</v>
      </c>
      <c r="Y20" s="2" t="str">
        <f t="shared" si="7"/>
        <v>VENDIDA</v>
      </c>
    </row>
    <row r="21" spans="2:25" hidden="1">
      <c r="B21" s="1">
        <f t="shared" ca="1" si="0"/>
        <v>45523</v>
      </c>
      <c r="C21" s="2">
        <f ca="1">VLOOKUP(B21,Tabla4[],2,FALSE)</f>
        <v>4030.16</v>
      </c>
      <c r="D21" s="3">
        <f ca="1">VLOOKUP(B21,Tabla4[],3,FALSE)</f>
        <v>59064.9</v>
      </c>
      <c r="E21" s="2">
        <f ca="1">VLOOKUP(B21,Tabla4[],5,FALSE)</f>
        <v>2617.6999999999998</v>
      </c>
      <c r="F21" s="2">
        <f ca="1">VLOOKUP(B21,Tabla4[],4,FALSE)</f>
        <v>1.69</v>
      </c>
      <c r="G21" t="s">
        <v>42</v>
      </c>
      <c r="H21" s="1">
        <v>45488</v>
      </c>
      <c r="I21" s="3">
        <f>VLOOKUP(H21,Tabla4[],2,FALSE)</f>
        <v>3993.09</v>
      </c>
      <c r="J21" s="3">
        <v>2.62</v>
      </c>
      <c r="K21" s="11">
        <v>3.7119899999999997E-2</v>
      </c>
      <c r="L21" s="7">
        <f>Tabla6[[#This Row],[precio de compra]]*Tabla6[[#This Row],[cantidad]]*Tabla6[[#This Row],[PRECIO DEL DÓLAR, DIA COMPRA]]</f>
        <v>388.34452590642002</v>
      </c>
      <c r="M21" s="13">
        <f t="shared" ca="1" si="5"/>
        <v>252.82254015095998</v>
      </c>
      <c r="N21" s="12">
        <f t="shared" ca="1" si="1"/>
        <v>-0.35496183206106874</v>
      </c>
      <c r="O21" s="9">
        <v>0.1</v>
      </c>
      <c r="P21" s="9">
        <v>0.3</v>
      </c>
      <c r="Q21" t="str">
        <f t="shared" ca="1" si="8"/>
        <v>MANTENER</v>
      </c>
      <c r="S21">
        <v>3.7119899999999997E-2</v>
      </c>
      <c r="T21" s="2">
        <v>425</v>
      </c>
      <c r="U21" s="14">
        <f>Tabla6[[#This Row],[cantidad]]-Tabla6[[#This Row],[CANTIDAD VENDIDA]]</f>
        <v>0</v>
      </c>
      <c r="V21" s="2">
        <f t="shared" ca="1" si="6"/>
        <v>0</v>
      </c>
      <c r="W21" s="2">
        <f t="shared" si="3"/>
        <v>36.655474093579983</v>
      </c>
      <c r="X21" s="9">
        <f t="shared" ca="1" si="4"/>
        <v>-0.35496183206106874</v>
      </c>
      <c r="Y21" s="2" t="str">
        <f t="shared" si="7"/>
        <v>VENDIDA</v>
      </c>
    </row>
    <row r="22" spans="2:25">
      <c r="B22" s="1">
        <f t="shared" ref="B22:B29" ca="1" si="9">TODAY()</f>
        <v>45523</v>
      </c>
      <c r="C22" s="2">
        <f ca="1">VLOOKUP(B22,Tabla4[],2,FALSE)</f>
        <v>4030.16</v>
      </c>
      <c r="D22" s="3">
        <f ca="1">VLOOKUP(B22,Tabla4[],3,FALSE)</f>
        <v>59064.9</v>
      </c>
      <c r="E22" s="2">
        <f ca="1">VLOOKUP(B22,Tabla4[],5,FALSE)</f>
        <v>2617.6999999999998</v>
      </c>
      <c r="F22" s="2">
        <f ca="1">VLOOKUP(B22,Tabla4[],4,FALSE)</f>
        <v>1.69</v>
      </c>
      <c r="G22" t="s">
        <v>42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t="shared" ref="M22:M29" ca="1" si="10" xml:space="preserve"> K22 * (IF(G22="BTC", D22, IF(G22="ETH", E22, IF(G22="IO.NET", F22, 0)))) * C22</f>
        <v>259.26197211563994</v>
      </c>
      <c r="N22" s="12">
        <f t="shared" ref="N22:N29" ca="1" si="11">IF(G22 = "BTC", (D22 - J22) / J22,
 IF(G22 = "ETH", (E22 - J22) / J22,
 IF(G22 = "IO.NET", (F22 - J22) / J22,
 "Moneda no soportada")))</f>
        <v>-0.37174721189591081</v>
      </c>
      <c r="O22" s="9">
        <v>0.1</v>
      </c>
      <c r="P22" s="9">
        <v>0.3</v>
      </c>
      <c r="Q22" t="str">
        <f t="shared" ref="Q22:Q29" ca="1" si="12">IF(N22 &lt; O22, "MANTENER", IF(N22 &lt; P22, "VENTA PARCIAL", "VENDER"))</f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t="shared" ref="V22:V29" ca="1" si="13">IF(G22="BTC", D22 * U22 * C22, IF(G22="ETH", E22 * U22 * C22, IF(G22="IO.NET", F22 * U22 * C22, 0)))</f>
        <v>0.44509691563999143</v>
      </c>
      <c r="W22" s="2">
        <f t="shared" ref="W22:W29" si="14">IF(G22 = "BTC", ((T22 - L22)), IF(G22 = "ETH", ((T22 - L22)), IF(G22 = "IO.NET", ((T22 - L22)), "Moneda no soportada")))</f>
        <v>10.139327903980018</v>
      </c>
      <c r="X22" s="9">
        <f t="shared" ca="1" si="4"/>
        <v>-0.37174721189591081</v>
      </c>
      <c r="Y22" s="2" t="str">
        <f t="shared" si="7"/>
        <v>ACTIVA</v>
      </c>
    </row>
    <row r="23" spans="2:25">
      <c r="B23" s="1">
        <f t="shared" ca="1" si="9"/>
        <v>45523</v>
      </c>
      <c r="C23" s="2">
        <f ca="1">VLOOKUP(B23,Tabla4[],2,FALSE)</f>
        <v>4030.16</v>
      </c>
      <c r="D23" s="3">
        <f ca="1">VLOOKUP(B23,Tabla4[],3,FALSE)</f>
        <v>59064.9</v>
      </c>
      <c r="E23" s="2">
        <f ca="1">VLOOKUP(B23,Tabla4[],5,FALSE)</f>
        <v>2617.6999999999998</v>
      </c>
      <c r="F23" s="2">
        <f ca="1">VLOOKUP(B23,Tabla4[],4,FALSE)</f>
        <v>1.69</v>
      </c>
      <c r="G23" t="s">
        <v>42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>
        <f t="shared" ca="1" si="10"/>
        <v>261.03772831832794</v>
      </c>
      <c r="N23" s="12">
        <f t="shared" ca="1" si="11"/>
        <v>-0.37867647058823534</v>
      </c>
      <c r="O23" s="9">
        <v>0.1</v>
      </c>
      <c r="P23" s="9">
        <v>0.3</v>
      </c>
      <c r="Q23" t="str">
        <f t="shared" ca="1" si="12"/>
        <v>MANTENER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>
        <f t="shared" ca="1" si="13"/>
        <v>2.2208531183279847</v>
      </c>
      <c r="W23" s="2">
        <f t="shared" si="14"/>
        <v>11.840577079152013</v>
      </c>
      <c r="X23" s="9">
        <f t="shared" ref="X23:X29" ca="1" si="15">IF(G23 = "BTC", (((D23 - J23) / J23)),IF(G23 = "ETH", ((E23 - J23) / J23), IF(G23 = "IO.NET", ((F23 - J23) / J23), "Moneda no soportada")))</f>
        <v>-0.37867647058823534</v>
      </c>
      <c r="Y23" s="2" t="str">
        <f t="shared" si="7"/>
        <v>ACTIVA</v>
      </c>
    </row>
    <row r="24" spans="2:25">
      <c r="B24" s="1">
        <f t="shared" ca="1" si="9"/>
        <v>45523</v>
      </c>
      <c r="C24" s="2">
        <f ca="1">VLOOKUP(B24,Tabla4[],2,FALSE)</f>
        <v>4030.16</v>
      </c>
      <c r="D24" s="3">
        <f ca="1">VLOOKUP(B24,Tabla4[],3,FALSE)</f>
        <v>59064.9</v>
      </c>
      <c r="E24" s="2">
        <f ca="1">VLOOKUP(B24,Tabla4[],5,FALSE)</f>
        <v>2617.6999999999998</v>
      </c>
      <c r="F24" s="2">
        <f ca="1">VLOOKUP(B24,Tabla4[],4,FALSE)</f>
        <v>1.69</v>
      </c>
      <c r="G24" t="s">
        <v>42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>
        <f t="shared" ca="1" si="10"/>
        <v>264.70959057067199</v>
      </c>
      <c r="N24" s="12">
        <f t="shared" ca="1" si="11"/>
        <v>-0.3876811594202898</v>
      </c>
      <c r="O24" s="9">
        <v>0.1</v>
      </c>
      <c r="P24" s="9">
        <v>0.3</v>
      </c>
      <c r="Q24" t="str">
        <f t="shared" ca="1" si="12"/>
        <v>MANTENER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>
        <f t="shared" ca="1" si="13"/>
        <v>7.5411064268800176</v>
      </c>
      <c r="W24" s="2">
        <f t="shared" si="14"/>
        <v>8.8385908401840538</v>
      </c>
      <c r="X24" s="9">
        <f t="shared" ca="1" si="15"/>
        <v>-0.3876811594202898</v>
      </c>
      <c r="Y24" s="2" t="str">
        <f t="shared" si="7"/>
        <v>ACTIVA</v>
      </c>
    </row>
    <row r="25" spans="2:25">
      <c r="B25" s="1">
        <f t="shared" ca="1" si="9"/>
        <v>45523</v>
      </c>
      <c r="C25" s="2">
        <f ca="1">VLOOKUP(B25,Tabla4[],2,FALSE)</f>
        <v>4030.16</v>
      </c>
      <c r="D25" s="3">
        <f ca="1">VLOOKUP(B25,Tabla4[],3,FALSE)</f>
        <v>59064.9</v>
      </c>
      <c r="E25" s="2">
        <f ca="1">VLOOKUP(B25,Tabla4[],5,FALSE)</f>
        <v>2617.6999999999998</v>
      </c>
      <c r="F25" s="2">
        <f ca="1">VLOOKUP(B25,Tabla4[],4,FALSE)</f>
        <v>1.69</v>
      </c>
      <c r="G25" t="s">
        <v>42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t="shared" ca="1" si="10"/>
        <v>260.24997148186395</v>
      </c>
      <c r="N25" s="12">
        <f t="shared" ca="1" si="11"/>
        <v>-0.39857651245551606</v>
      </c>
      <c r="O25" s="9">
        <v>0.1</v>
      </c>
      <c r="P25" s="9">
        <v>0.3</v>
      </c>
      <c r="Q25" t="str">
        <f t="shared" ca="1" si="12"/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t="shared" ca="1" si="13"/>
        <v>1.4330962818640078</v>
      </c>
      <c r="W25" s="2">
        <f t="shared" si="14"/>
        <v>40.44492107583801</v>
      </c>
      <c r="X25" s="9">
        <f t="shared" ca="1" si="15"/>
        <v>-0.39857651245551606</v>
      </c>
      <c r="Y25" s="2" t="str">
        <f t="shared" ref="Y25:Y32" si="16">IF(U25=0,"VENDIDA","ACTIVA")</f>
        <v>ACTIVA</v>
      </c>
    </row>
    <row r="26" spans="2:25">
      <c r="B26" s="1">
        <f t="shared" ca="1" si="9"/>
        <v>45523</v>
      </c>
      <c r="C26" s="2">
        <f ca="1">VLOOKUP(B26,Tabla4[],2,FALSE)</f>
        <v>4030.16</v>
      </c>
      <c r="D26" s="3">
        <f ca="1">VLOOKUP(B26,Tabla4[],3,FALSE)</f>
        <v>59064.9</v>
      </c>
      <c r="E26" s="2">
        <f ca="1">VLOOKUP(B26,Tabla4[],5,FALSE)</f>
        <v>2617.6999999999998</v>
      </c>
      <c r="F26" s="2">
        <f ca="1">VLOOKUP(B26,Tabla4[],4,FALSE)</f>
        <v>1.69</v>
      </c>
      <c r="G26" t="s">
        <v>42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t="shared" ca="1" si="10"/>
        <v>262.63394734127195</v>
      </c>
      <c r="N26" s="12">
        <f t="shared" ca="1" si="11"/>
        <v>-0.44487146639337266</v>
      </c>
      <c r="O26" s="9">
        <v>0.1</v>
      </c>
      <c r="P26" s="9">
        <v>0.3</v>
      </c>
      <c r="Q26" t="str">
        <f t="shared" ca="1" si="12"/>
        <v>MANTENER</v>
      </c>
      <c r="T26" s="2"/>
      <c r="U26" s="14">
        <f>Tabla6[[#This Row],[cantidad]]-Tabla6[[#This Row],[CANTIDAD VENDIDA]]</f>
        <v>3.856043E-2</v>
      </c>
      <c r="V26" s="2">
        <f t="shared" ca="1" si="13"/>
        <v>262.63394734127195</v>
      </c>
      <c r="W26" s="2">
        <f t="shared" si="14"/>
        <v>-474.99592218630107</v>
      </c>
      <c r="X26" s="9">
        <f t="shared" ca="1" si="15"/>
        <v>-0.44487146639337266</v>
      </c>
      <c r="Y26" s="2" t="str">
        <f t="shared" si="16"/>
        <v>ACTIVA</v>
      </c>
    </row>
    <row r="27" spans="2:25">
      <c r="B27" s="1">
        <f t="shared" ca="1" si="9"/>
        <v>45523</v>
      </c>
      <c r="C27" s="2">
        <f ca="1">VLOOKUP(B27,Tabla4[],2,FALSE)</f>
        <v>4030.16</v>
      </c>
      <c r="D27" s="3">
        <f ca="1">VLOOKUP(B27,Tabla4[],3,FALSE)</f>
        <v>59064.9</v>
      </c>
      <c r="E27" s="2">
        <f ca="1">VLOOKUP(B27,Tabla4[],5,FALSE)</f>
        <v>2617.6999999999998</v>
      </c>
      <c r="F27" s="2">
        <f ca="1">VLOOKUP(B27,Tabla4[],4,FALSE)</f>
        <v>1.69</v>
      </c>
      <c r="G27" t="s">
        <v>15</v>
      </c>
      <c r="H27" s="1">
        <v>45495</v>
      </c>
      <c r="I27" s="3">
        <f>VLOOKUP(H27,Tabla4[],2,FALSE)</f>
        <v>4041.33</v>
      </c>
      <c r="J27" s="3">
        <v>66795.14</v>
      </c>
      <c r="K27" s="11">
        <v>2.5900000000000002E-6</v>
      </c>
      <c r="L27" s="7">
        <f>Tabla6[[#This Row],[precio de compra]]*Tabla6[[#This Row],[cantidad]]*Tabla6[[#This Row],[PRECIO DEL DÓLAR, DIA COMPRA]]</f>
        <v>699.14771612275808</v>
      </c>
      <c r="M27" s="13">
        <f t="shared" ca="1" si="10"/>
        <v>616.52618322455999</v>
      </c>
      <c r="N27" s="12">
        <f t="shared" ca="1" si="11"/>
        <v>-0.11573057560774629</v>
      </c>
      <c r="O27" s="9">
        <v>0.25</v>
      </c>
      <c r="P27" s="9">
        <v>0.5</v>
      </c>
      <c r="Q27" t="str">
        <f t="shared" ca="1" si="12"/>
        <v>MANTENER</v>
      </c>
      <c r="T27" s="2"/>
      <c r="U27" s="14">
        <f>Tabla6[[#This Row],[cantidad]]-Tabla6[[#This Row],[CANTIDAD VENDIDA]]</f>
        <v>2.5900000000000002E-6</v>
      </c>
      <c r="V27" s="2">
        <f t="shared" ca="1" si="13"/>
        <v>616.52618322455999</v>
      </c>
      <c r="W27" s="2">
        <f t="shared" si="14"/>
        <v>-699.14771612275808</v>
      </c>
      <c r="X27" s="9">
        <f t="shared" ca="1" si="15"/>
        <v>-0.11573057560774629</v>
      </c>
      <c r="Y27" s="2" t="str">
        <f t="shared" si="16"/>
        <v>ACTIVA</v>
      </c>
    </row>
    <row r="28" spans="2:25">
      <c r="B28" s="1">
        <f t="shared" ca="1" si="9"/>
        <v>45523</v>
      </c>
      <c r="C28" s="2">
        <f ca="1">VLOOKUP(B28,Tabla4[],2,FALSE)</f>
        <v>4030.16</v>
      </c>
      <c r="D28" s="3">
        <f ca="1">VLOOKUP(B28,Tabla4[],3,FALSE)</f>
        <v>59064.9</v>
      </c>
      <c r="E28" s="2">
        <f ca="1">VLOOKUP(B28,Tabla4[],5,FALSE)</f>
        <v>2617.6999999999998</v>
      </c>
      <c r="F28" s="2">
        <f ca="1">VLOOKUP(B28,Tabla4[],4,FALSE)</f>
        <v>1.69</v>
      </c>
      <c r="G28" t="s">
        <v>16</v>
      </c>
      <c r="H28" s="1">
        <v>45495</v>
      </c>
      <c r="I28" s="3">
        <f>VLOOKUP(H28,Tabla4[],2,FALSE)</f>
        <v>4041.33</v>
      </c>
      <c r="J28" s="3">
        <v>3457.1</v>
      </c>
      <c r="K28" s="11">
        <v>5.0149999999999999E-5</v>
      </c>
      <c r="L28" s="7">
        <f>Tabla6[[#This Row],[precio de compra]]*Tabla6[[#This Row],[cantidad]]*Tabla6[[#This Row],[PRECIO DEL DÓLAR, DIA COMPRA]]</f>
        <v>700.6597894414499</v>
      </c>
      <c r="M28" s="13">
        <f t="shared" ca="1" si="10"/>
        <v>529.06995407479997</v>
      </c>
      <c r="N28" s="12">
        <f t="shared" ca="1" si="11"/>
        <v>-0.24280466286772154</v>
      </c>
      <c r="O28" s="9">
        <v>0.25</v>
      </c>
      <c r="P28" s="9">
        <v>0.5</v>
      </c>
      <c r="Q28" t="str">
        <f t="shared" ca="1" si="12"/>
        <v>MANTENER</v>
      </c>
      <c r="T28" s="2"/>
      <c r="U28" s="14">
        <f>Tabla6[[#This Row],[cantidad]]-Tabla6[[#This Row],[CANTIDAD VENDIDA]]</f>
        <v>5.0149999999999999E-5</v>
      </c>
      <c r="V28" s="2">
        <f t="shared" ca="1" si="13"/>
        <v>529.06995407479997</v>
      </c>
      <c r="W28" s="2">
        <f t="shared" si="14"/>
        <v>-700.6597894414499</v>
      </c>
      <c r="X28" s="9">
        <f t="shared" ca="1" si="15"/>
        <v>-0.24280466286772154</v>
      </c>
      <c r="Y28" s="2" t="str">
        <f t="shared" si="16"/>
        <v>ACTIVA</v>
      </c>
    </row>
    <row r="29" spans="2:25">
      <c r="B29" s="1">
        <f t="shared" ca="1" si="9"/>
        <v>45523</v>
      </c>
      <c r="C29" s="2">
        <f ca="1">VLOOKUP(B29,Tabla4[],2,FALSE)</f>
        <v>4030.16</v>
      </c>
      <c r="D29" s="3">
        <f ca="1">VLOOKUP(B29,Tabla4[],3,FALSE)</f>
        <v>59064.9</v>
      </c>
      <c r="E29" s="2">
        <f ca="1">VLOOKUP(B29,Tabla4[],5,FALSE)</f>
        <v>2617.6999999999998</v>
      </c>
      <c r="F29" s="2">
        <f ca="1">VLOOKUP(B29,Tabla4[],4,FALSE)</f>
        <v>1.69</v>
      </c>
      <c r="G29" t="s">
        <v>42</v>
      </c>
      <c r="H29" s="1">
        <v>45495</v>
      </c>
      <c r="I29" s="3">
        <f>VLOOKUP(H29,Tabla4[],2,FALSE)</f>
        <v>4041.33</v>
      </c>
      <c r="J29" s="3">
        <v>2.92</v>
      </c>
      <c r="K29" s="11">
        <v>2.970859E-2</v>
      </c>
      <c r="L29" s="7">
        <f>Tabla6[[#This Row],[precio de compra]]*Tabla6[[#This Row],[cantidad]]*Tabla6[[#This Row],[PRECIO DEL DÓLAR, DIA COMPRA]]</f>
        <v>350.58167079212399</v>
      </c>
      <c r="M29" s="13">
        <f t="shared" ca="1" si="10"/>
        <v>202.34432711573601</v>
      </c>
      <c r="N29" s="12">
        <f t="shared" ca="1" si="11"/>
        <v>-0.42123287671232879</v>
      </c>
      <c r="O29" s="9">
        <v>0.1</v>
      </c>
      <c r="P29" s="9">
        <v>0.3</v>
      </c>
      <c r="Q29" t="str">
        <f t="shared" ca="1" si="12"/>
        <v>MANTENER</v>
      </c>
      <c r="T29" s="2"/>
      <c r="U29" s="14">
        <f>Tabla6[[#This Row],[cantidad]]-Tabla6[[#This Row],[CANTIDAD VENDIDA]]</f>
        <v>2.970859E-2</v>
      </c>
      <c r="V29" s="2">
        <f t="shared" ca="1" si="13"/>
        <v>202.34432711573601</v>
      </c>
      <c r="W29" s="2">
        <f t="shared" si="14"/>
        <v>-350.58167079212399</v>
      </c>
      <c r="X29" s="9">
        <f t="shared" ca="1" si="15"/>
        <v>-0.42123287671232879</v>
      </c>
      <c r="Y29" s="2" t="str">
        <f t="shared" si="16"/>
        <v>ACTIVA</v>
      </c>
    </row>
    <row r="30" spans="2:25">
      <c r="B30" s="1">
        <f t="shared" ref="B30:B35" ca="1" si="17">TODAY()</f>
        <v>45523</v>
      </c>
      <c r="C30" s="2">
        <f ca="1">VLOOKUP(B30,Tabla4[],2,FALSE)</f>
        <v>4030.16</v>
      </c>
      <c r="D30" s="3">
        <f ca="1">VLOOKUP(B30,Tabla4[],3,FALSE)</f>
        <v>59064.9</v>
      </c>
      <c r="E30" s="2">
        <f ca="1">VLOOKUP(B30,Tabla4[],5,FALSE)</f>
        <v>2617.6999999999998</v>
      </c>
      <c r="F30" s="2">
        <f ca="1">VLOOKUP(B30,Tabla4[],4,FALSE)</f>
        <v>1.69</v>
      </c>
      <c r="G30" t="s">
        <v>15</v>
      </c>
      <c r="H30" s="1">
        <v>45502</v>
      </c>
      <c r="I30" s="3">
        <f>VLOOKUP(H30,Tabla4[],2,FALSE)</f>
        <v>4030.02</v>
      </c>
      <c r="J30" s="3">
        <v>68680.2</v>
      </c>
      <c r="K30" s="11">
        <v>2.5299999999999999E-6</v>
      </c>
      <c r="L30" s="7">
        <f>Tabla6[[#This Row],[precio de compra]]*Tabla6[[#This Row],[cantidad]]*Tabla6[[#This Row],[PRECIO DEL DÓLAR, DIA COMPRA]]</f>
        <v>700.25992639812</v>
      </c>
      <c r="M30" s="13">
        <f t="shared" ref="M30:M35" ca="1" si="18" xml:space="preserve"> K30 * (IF(G30="BTC", D30, IF(G30="ETH", E30, IF(G30="IO.NET", F30, 0)))) * C30</f>
        <v>602.24372338151989</v>
      </c>
      <c r="N30" s="12">
        <f t="shared" ref="N30:N35" ca="1" si="19">IF(G30 = "BTC", (D30 - J30) / J30,
 IF(G30 = "ETH", (E30 - J30) / J30,
 IF(G30 = "IO.NET", (F30 - J30) / J30,
 "Moneda no soportada")))</f>
        <v>-0.14000104833707525</v>
      </c>
      <c r="O30" s="9">
        <v>0.25</v>
      </c>
      <c r="P30" s="9">
        <v>0.5</v>
      </c>
      <c r="Q30" t="str">
        <f t="shared" ref="Q30:Q35" ca="1" si="20">IF(N30 &lt; O30, "MANTENER", IF(N30 &lt; P30, "VENTA PARCIAL", "VENDER"))</f>
        <v>MANTENER</v>
      </c>
      <c r="T30" s="2"/>
      <c r="U30" s="14">
        <f>Tabla6[[#This Row],[cantidad]]-Tabla6[[#This Row],[CANTIDAD VENDIDA]]</f>
        <v>2.5299999999999999E-6</v>
      </c>
      <c r="V30" s="2">
        <f t="shared" ref="V30:V35" ca="1" si="21">IF(G30="BTC", D30 * U30 * C30, IF(G30="ETH", E30 * U30 * C30, IF(G30="IO.NET", F30 * U30 * C30, 0)))</f>
        <v>602.24372338151989</v>
      </c>
      <c r="W30" s="2">
        <f t="shared" ref="W30:W35" si="22">IF(G30 = "BTC", ((T30 - L30)), IF(G30 = "ETH", ((T30 - L30)), IF(G30 = "IO.NET", ((T30 - L30)), "Moneda no soportada")))</f>
        <v>-700.25992639812</v>
      </c>
      <c r="X30" s="9">
        <f t="shared" ref="X30:X35" ca="1" si="23">IF(G30 = "BTC", (((D30 - J30) / J30)),IF(G30 = "ETH", ((E30 - J30) / J30), IF(G30 = "IO.NET", ((F30 - J30) / J30), "Moneda no soportada")))</f>
        <v>-0.14000104833707525</v>
      </c>
      <c r="Y30" s="2" t="str">
        <f t="shared" si="16"/>
        <v>ACTIVA</v>
      </c>
    </row>
    <row r="31" spans="2:25">
      <c r="B31" s="1">
        <f t="shared" ca="1" si="17"/>
        <v>45523</v>
      </c>
      <c r="C31" s="2">
        <f ca="1">VLOOKUP(B31,Tabla4[],2,FALSE)</f>
        <v>4030.16</v>
      </c>
      <c r="D31" s="3">
        <f ca="1">VLOOKUP(B31,Tabla4[],3,FALSE)</f>
        <v>59064.9</v>
      </c>
      <c r="E31" s="2">
        <f ca="1">VLOOKUP(B31,Tabla4[],5,FALSE)</f>
        <v>2617.6999999999998</v>
      </c>
      <c r="F31" s="2">
        <f ca="1">VLOOKUP(B31,Tabla4[],4,FALSE)</f>
        <v>1.69</v>
      </c>
      <c r="G31" t="s">
        <v>16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>
        <f t="shared" ca="1" si="18"/>
        <v>552.70139369847993</v>
      </c>
      <c r="N31" s="12">
        <f t="shared" ca="1" si="19"/>
        <v>-0.21046599306288649</v>
      </c>
      <c r="O31" s="9">
        <v>0.25</v>
      </c>
      <c r="P31" s="9">
        <v>0.5</v>
      </c>
      <c r="Q31" t="str">
        <f t="shared" ca="1" si="20"/>
        <v>MANTENER</v>
      </c>
      <c r="T31" s="2"/>
      <c r="U31" s="14">
        <f>Tabla6[[#This Row],[cantidad]]-Tabla6[[#This Row],[CANTIDAD VENDIDA]]</f>
        <v>5.2389999999999998E-5</v>
      </c>
      <c r="V31" s="2">
        <f t="shared" ca="1" si="21"/>
        <v>552.70139369847993</v>
      </c>
      <c r="W31" s="2">
        <f t="shared" si="22"/>
        <v>-700.01062533089998</v>
      </c>
      <c r="X31" s="9">
        <f t="shared" ca="1" si="23"/>
        <v>-0.21046599306288649</v>
      </c>
      <c r="Y31" s="2" t="str">
        <f t="shared" si="16"/>
        <v>ACTIVA</v>
      </c>
    </row>
    <row r="32" spans="2:25">
      <c r="B32" s="1">
        <f t="shared" ca="1" si="17"/>
        <v>45523</v>
      </c>
      <c r="C32" s="2">
        <f ca="1">VLOOKUP(B32,Tabla4[],2,FALSE)</f>
        <v>4030.16</v>
      </c>
      <c r="D32" s="3">
        <f ca="1">VLOOKUP(B32,Tabla4[],3,FALSE)</f>
        <v>59064.9</v>
      </c>
      <c r="E32" s="2">
        <f ca="1">VLOOKUP(B32,Tabla4[],5,FALSE)</f>
        <v>2617.6999999999998</v>
      </c>
      <c r="F32" s="2">
        <f ca="1">VLOOKUP(B32,Tabla4[],4,FALSE)</f>
        <v>1.69</v>
      </c>
      <c r="G32" t="s">
        <v>42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>
        <f t="shared" ca="1" si="18"/>
        <v>204.04107606178397</v>
      </c>
      <c r="N32" s="12">
        <f t="shared" ca="1" si="19"/>
        <v>-0.41724137931034483</v>
      </c>
      <c r="O32" s="9">
        <v>0.1</v>
      </c>
      <c r="P32" s="9">
        <v>0.3</v>
      </c>
      <c r="Q32" t="str">
        <f t="shared" ca="1" si="20"/>
        <v>MANTENER</v>
      </c>
      <c r="T32" s="2"/>
      <c r="U32" s="14">
        <f>Tabla6[[#This Row],[cantidad]]-Tabla6[[#This Row],[CANTIDAD VENDIDA]]</f>
        <v>2.9957709999999999E-2</v>
      </c>
      <c r="V32" s="2">
        <f t="shared" ca="1" si="21"/>
        <v>204.04107606178397</v>
      </c>
      <c r="W32" s="2">
        <f t="shared" si="22"/>
        <v>-350.11749431717993</v>
      </c>
      <c r="X32" s="9">
        <f t="shared" ca="1" si="23"/>
        <v>-0.41724137931034483</v>
      </c>
      <c r="Y32" s="2" t="str">
        <f t="shared" si="16"/>
        <v>ACTIVA</v>
      </c>
    </row>
    <row r="33" spans="2:25">
      <c r="B33" s="1">
        <f t="shared" ca="1" si="17"/>
        <v>45523</v>
      </c>
      <c r="C33" s="2">
        <f ca="1">VLOOKUP(B33,Tabla4[],2,FALSE)</f>
        <v>4030.16</v>
      </c>
      <c r="D33" s="3">
        <f ca="1">VLOOKUP(B33,Tabla4[],3,FALSE)</f>
        <v>59064.9</v>
      </c>
      <c r="E33" s="2">
        <f ca="1">VLOOKUP(B33,Tabla4[],5,FALSE)</f>
        <v>2617.6999999999998</v>
      </c>
      <c r="F33" s="2">
        <f ca="1">VLOOKUP(B33,Tabla4[],4,FALSE)</f>
        <v>1.69</v>
      </c>
      <c r="G33" t="s">
        <v>15</v>
      </c>
      <c r="H33" s="1">
        <v>45509</v>
      </c>
      <c r="I33" s="3">
        <f>VLOOKUP(H33,Tabla4[],2,FALSE)</f>
        <v>4116.91</v>
      </c>
      <c r="J33" s="3">
        <v>53468.49</v>
      </c>
      <c r="K33" s="11">
        <v>3.18E-6</v>
      </c>
      <c r="L33" s="7">
        <f>Tabla6[[#This Row],[precio de compra]]*Tabla6[[#This Row],[cantidad]]*Tabla6[[#This Row],[PRECIO DEL DÓLAR, DIA COMPRA]]</f>
        <v>699.99737650756197</v>
      </c>
      <c r="M33" s="13">
        <f t="shared" ca="1" si="18"/>
        <v>756.97037168112001</v>
      </c>
      <c r="N33" s="12">
        <f t="shared" ca="1" si="19"/>
        <v>0.10466744058042417</v>
      </c>
      <c r="O33" s="9">
        <v>0.25</v>
      </c>
      <c r="P33" s="9">
        <v>0.5</v>
      </c>
      <c r="Q33" t="str">
        <f t="shared" ca="1" si="20"/>
        <v>MANTENER</v>
      </c>
      <c r="T33" s="2"/>
      <c r="U33" s="14">
        <f>Tabla6[[#This Row],[cantidad]]-Tabla6[[#This Row],[CANTIDAD VENDIDA]]</f>
        <v>3.18E-6</v>
      </c>
      <c r="V33" s="2">
        <f t="shared" ca="1" si="21"/>
        <v>756.97037168112001</v>
      </c>
      <c r="W33" s="2">
        <f t="shared" si="22"/>
        <v>-699.99737650756197</v>
      </c>
      <c r="X33" s="9">
        <f t="shared" ca="1" si="23"/>
        <v>0.10466744058042417</v>
      </c>
      <c r="Y33" s="2" t="str">
        <f t="shared" ref="Y33:Y38" si="24">IF(U33=0,"VENDIDA","ACTIVA")</f>
        <v>ACTIVA</v>
      </c>
    </row>
    <row r="34" spans="2:25">
      <c r="B34" s="1">
        <f t="shared" ca="1" si="17"/>
        <v>45523</v>
      </c>
      <c r="C34" s="2">
        <f ca="1">VLOOKUP(B34,Tabla4[],2,FALSE)</f>
        <v>4030.16</v>
      </c>
      <c r="D34" s="3">
        <f ca="1">VLOOKUP(B34,Tabla4[],3,FALSE)</f>
        <v>59064.9</v>
      </c>
      <c r="E34" s="2">
        <f ca="1">VLOOKUP(B34,Tabla4[],5,FALSE)</f>
        <v>2617.6999999999998</v>
      </c>
      <c r="F34" s="2">
        <f ca="1">VLOOKUP(B34,Tabla4[],4,FALSE)</f>
        <v>1.69</v>
      </c>
      <c r="G34" t="s">
        <v>16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>
        <f t="shared" ca="1" si="18"/>
        <v>755.46758546951992</v>
      </c>
      <c r="N34" s="12">
        <f t="shared" ca="1" si="19"/>
        <v>0.10247727827896112</v>
      </c>
      <c r="O34" s="9">
        <v>0.25</v>
      </c>
      <c r="P34" s="9">
        <v>0.5</v>
      </c>
      <c r="Q34" t="str">
        <f t="shared" ca="1" si="20"/>
        <v>MANTENER</v>
      </c>
      <c r="T34" s="2"/>
      <c r="U34" s="14">
        <f>Tabla6[[#This Row],[cantidad]]-Tabla6[[#This Row],[CANTIDAD VENDIDA]]</f>
        <v>7.161E-5</v>
      </c>
      <c r="V34" s="2">
        <f t="shared" ca="1" si="21"/>
        <v>755.46758546951992</v>
      </c>
      <c r="W34" s="2">
        <f t="shared" si="22"/>
        <v>-699.99553871893795</v>
      </c>
      <c r="X34" s="9">
        <f t="shared" ca="1" si="23"/>
        <v>0.10247727827896112</v>
      </c>
      <c r="Y34" s="2" t="str">
        <f t="shared" si="24"/>
        <v>ACTIVA</v>
      </c>
    </row>
    <row r="35" spans="2:25">
      <c r="B35" s="1">
        <f t="shared" ca="1" si="17"/>
        <v>45523</v>
      </c>
      <c r="C35" s="2">
        <f ca="1">VLOOKUP(B35,Tabla4[],2,FALSE)</f>
        <v>4030.16</v>
      </c>
      <c r="D35" s="3">
        <f ca="1">VLOOKUP(B35,Tabla4[],3,FALSE)</f>
        <v>59064.9</v>
      </c>
      <c r="E35" s="2">
        <f ca="1">VLOOKUP(B35,Tabla4[],5,FALSE)</f>
        <v>2617.6999999999998</v>
      </c>
      <c r="F35" s="2">
        <f ca="1">VLOOKUP(B35,Tabla4[],4,FALSE)</f>
        <v>1.69</v>
      </c>
      <c r="G35" t="s">
        <v>42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>
        <f t="shared" ca="1" si="18"/>
        <v>393.26972180735197</v>
      </c>
      <c r="N35" s="12">
        <f t="shared" ca="1" si="19"/>
        <v>0.14778592773702801</v>
      </c>
      <c r="O35" s="9">
        <v>0.1</v>
      </c>
      <c r="P35" s="9">
        <v>0.3</v>
      </c>
      <c r="Q35" t="str">
        <f t="shared" ca="1" si="20"/>
        <v>VENTA PARCIAL</v>
      </c>
      <c r="T35" s="2"/>
      <c r="U35" s="14">
        <f>Tabla6[[#This Row],[cantidad]]-Tabla6[[#This Row],[CANTIDAD VENDIDA]]</f>
        <v>5.7740630000000001E-2</v>
      </c>
      <c r="V35" s="2">
        <f t="shared" ca="1" si="21"/>
        <v>393.26972180735197</v>
      </c>
      <c r="W35" s="2">
        <f t="shared" si="22"/>
        <v>-350.00858741327886</v>
      </c>
      <c r="X35" s="9">
        <f t="shared" ca="1" si="23"/>
        <v>0.14778592773702801</v>
      </c>
      <c r="Y35" s="2" t="str">
        <f t="shared" si="24"/>
        <v>ACTIVA</v>
      </c>
    </row>
    <row r="36" spans="2:25">
      <c r="B36" s="1">
        <f ca="1">TODAY()</f>
        <v>45523</v>
      </c>
      <c r="C36" s="2">
        <f ca="1">VLOOKUP(B36,Tabla4[],2,FALSE)</f>
        <v>4030.16</v>
      </c>
      <c r="D36" s="3">
        <f ca="1">VLOOKUP(B36,Tabla4[],3,FALSE)</f>
        <v>59064.9</v>
      </c>
      <c r="E36" s="2">
        <f ca="1">VLOOKUP(B36,Tabla4[],5,FALSE)</f>
        <v>2617.6999999999998</v>
      </c>
      <c r="F36" s="2">
        <f ca="1">VLOOKUP(B36,Tabla4[],4,FALSE)</f>
        <v>1.69</v>
      </c>
      <c r="G36" t="s">
        <v>15</v>
      </c>
      <c r="H36" s="1">
        <v>45516</v>
      </c>
      <c r="I36" s="3">
        <f>VLOOKUP(H36,Tabla4[],2,FALSE)</f>
        <v>4073.83</v>
      </c>
      <c r="J36" s="3">
        <v>59047.29</v>
      </c>
      <c r="K36" s="11">
        <v>2.9100000000000001E-6</v>
      </c>
      <c r="L36" s="29">
        <f>Tabla6[[#This Row],[precio de compra]]*Tabla6[[#This Row],[cantidad]]*Tabla6[[#This Row],[PRECIO DEL DÓLAR, DIA COMPRA]]</f>
        <v>699.99648833423703</v>
      </c>
      <c r="M36" s="26">
        <f ca="1" xml:space="preserve"> K36 * (IF(G36="BTC", D36, IF(G36="ETH", E36, IF(G36="IO.NET", F36, 0)))) * C36</f>
        <v>692.69930238744007</v>
      </c>
      <c r="N36" s="27">
        <f ca="1">IF(G36 = "BTC", (D36 - J36) / J36,
 IF(G36 = "ETH", (E36 - J36) / J36,
 IF(G36 = "IO.NET", (F36 - J36) / J36,
 "Moneda no soportada")))</f>
        <v>2.9823553290931015E-4</v>
      </c>
      <c r="O36" s="28">
        <v>0.25</v>
      </c>
      <c r="P36" s="28">
        <v>0.5</v>
      </c>
      <c r="Q36" t="str">
        <f ca="1">IF(N36 &lt; O36, "MANTENER", IF(N36 &lt; P36, "VENTA PARCIAL", "VENDER"))</f>
        <v>MANTENER</v>
      </c>
      <c r="T36" s="2"/>
      <c r="U36" s="14">
        <f>Tabla6[[#This Row],[cantidad]]-Tabla6[[#This Row],[CANTIDAD VENDIDA]]</f>
        <v>2.9100000000000001E-6</v>
      </c>
      <c r="V36" s="2">
        <f ca="1">IF(G36="BTC", D36 * U36 * C36, IF(G36="ETH", E36 * U36 * C36, IF(G36="IO.NET", F36 * U36 * C36, 0)))</f>
        <v>692.69930238744007</v>
      </c>
      <c r="W36" s="2">
        <f>IF(G36 = "BTC", ((T36 - L36)), IF(G36 = "ETH", ((T36 - L36)), IF(G36 = "IO.NET", ((T36 - L36)), "Moneda no soportada")))</f>
        <v>-699.99648833423703</v>
      </c>
      <c r="X36" s="9">
        <f ca="1">IF(G36 = "BTC", (((D36 - J36) / J36)),IF(G36 = "ETH", ((E36 - J36) / J36), IF(G36 = "IO.NET", ((F36 - J36) / J36), "Moneda no soportada")))</f>
        <v>2.9823553290931015E-4</v>
      </c>
      <c r="Y36" s="2" t="str">
        <f t="shared" si="24"/>
        <v>ACTIVA</v>
      </c>
    </row>
    <row r="37" spans="2:25">
      <c r="B37" s="1">
        <f ca="1">TODAY()</f>
        <v>45523</v>
      </c>
      <c r="C37" s="2">
        <f ca="1">VLOOKUP(B37,Tabla4[],2,FALSE)</f>
        <v>4030.16</v>
      </c>
      <c r="D37" s="3">
        <f ca="1">VLOOKUP(B37,Tabla4[],3,FALSE)</f>
        <v>59064.9</v>
      </c>
      <c r="E37" s="2">
        <f ca="1">VLOOKUP(B37,Tabla4[],5,FALSE)</f>
        <v>2617.6999999999998</v>
      </c>
      <c r="F37" s="2">
        <f ca="1">VLOOKUP(B37,Tabla4[],4,FALSE)</f>
        <v>1.69</v>
      </c>
      <c r="G37" t="s">
        <v>16</v>
      </c>
      <c r="H37" s="1">
        <v>45516</v>
      </c>
      <c r="I37" s="3">
        <f>VLOOKUP(H37,Tabla4[],2,FALSE)</f>
        <v>4073.83</v>
      </c>
      <c r="J37" s="3">
        <v>2645.2</v>
      </c>
      <c r="K37" s="11">
        <v>6.4960000000000001E-5</v>
      </c>
      <c r="L37" s="29">
        <f>Tabla6[[#This Row],[precio de compra]]*Tabla6[[#This Row],[cantidad]]*Tabla6[[#This Row],[PRECIO DEL DÓLAR, DIA COMPRA]]</f>
        <v>700.01513873535998</v>
      </c>
      <c r="M37" s="26">
        <f ca="1" xml:space="preserve"> K37 * (IF(G37="BTC", D37, IF(G37="ETH", E37, IF(G37="IO.NET", F37, 0)))) * C37</f>
        <v>685.31174908671994</v>
      </c>
      <c r="N37" s="27">
        <f ca="1">IF(G37 = "BTC", (D37 - J37) / J37,
 IF(G37 = "ETH", (E37 - J37) / J37,
 IF(G37 = "IO.NET", (F37 - J37) / J37,
 "Moneda no soportada")))</f>
        <v>-1.0396189324058672E-2</v>
      </c>
      <c r="O37" s="28">
        <v>0.25</v>
      </c>
      <c r="P37" s="28">
        <v>0.5</v>
      </c>
      <c r="Q37" t="str">
        <f ca="1">IF(N37 &lt; O37, "MANTENER", IF(N37 &lt; P37, "VENTA PARCIAL", "VENDER"))</f>
        <v>MANTENER</v>
      </c>
      <c r="T37" s="2"/>
      <c r="U37" s="14">
        <f>Tabla6[[#This Row],[cantidad]]-Tabla6[[#This Row],[CANTIDAD VENDIDA]]</f>
        <v>6.4960000000000001E-5</v>
      </c>
      <c r="V37" s="2">
        <f ca="1">IF(G37="BTC", D37 * U37 * C37, IF(G37="ETH", E37 * U37 * C37, IF(G37="IO.NET", F37 * U37 * C37, 0)))</f>
        <v>685.31174908671994</v>
      </c>
      <c r="W37" s="2">
        <f>IF(G37 = "BTC", ((T37 - L37)), IF(G37 = "ETH", ((T37 - L37)), IF(G37 = "IO.NET", ((T37 - L37)), "Moneda no soportada")))</f>
        <v>-700.01513873535998</v>
      </c>
      <c r="X37" s="9">
        <f ca="1">IF(G37 = "BTC", (((D37 - J37) / J37)),IF(G37 = "ETH", ((E37 - J37) / J37), IF(G37 = "IO.NET", ((F37 - J37) / J37), "Moneda no soportada")))</f>
        <v>-1.0396189324058672E-2</v>
      </c>
      <c r="Y37" s="2" t="str">
        <f t="shared" si="24"/>
        <v>ACTIVA</v>
      </c>
    </row>
    <row r="38" spans="2:25">
      <c r="B38" s="1">
        <f ca="1">TODAY()</f>
        <v>45523</v>
      </c>
      <c r="C38" s="2">
        <f ca="1">VLOOKUP(B38,Tabla4[],2,FALSE)</f>
        <v>4030.16</v>
      </c>
      <c r="D38" s="3">
        <f ca="1">VLOOKUP(B38,Tabla4[],3,FALSE)</f>
        <v>59064.9</v>
      </c>
      <c r="E38" s="2">
        <f ca="1">VLOOKUP(B38,Tabla4[],5,FALSE)</f>
        <v>2617.6999999999998</v>
      </c>
      <c r="F38" s="2">
        <f ca="1">VLOOKUP(B38,Tabla4[],4,FALSE)</f>
        <v>1.69</v>
      </c>
      <c r="G38" t="s">
        <v>42</v>
      </c>
      <c r="H38" s="1">
        <v>45516</v>
      </c>
      <c r="I38" s="3">
        <f>VLOOKUP(H38,Tabla4[],2,FALSE)</f>
        <v>4073.83</v>
      </c>
      <c r="J38" s="3">
        <v>1.5723400000000001</v>
      </c>
      <c r="K38" s="25">
        <v>5.4640859999999999E-2</v>
      </c>
      <c r="L38" s="29">
        <f>Tabla6[[#This Row],[precio de compra]]*Tabla6[[#This Row],[cantidad]]*Tabla6[[#This Row],[PRECIO DEL DÓLAR, DIA COMPRA]]</f>
        <v>349.9990705940495</v>
      </c>
      <c r="M38" s="26">
        <f ca="1" xml:space="preserve"> K38 * (IF(G38="BTC", D38, IF(G38="ETH", E38, IF(G38="IO.NET", F38, 0)))) * C38</f>
        <v>372.15728009054396</v>
      </c>
      <c r="N38" s="27">
        <f ca="1">IF(G38 = "BTC", (D38 - J38) / J38,
 IF(G38 = "ETH", (E38 - J38) / J38,
 IF(G38 = "IO.NET", (F38 - J38) / J38,
 "Moneda no soportada")))</f>
        <v>7.4831143391378377E-2</v>
      </c>
      <c r="O38" s="28">
        <v>0.1</v>
      </c>
      <c r="P38" s="28">
        <v>0.3</v>
      </c>
      <c r="Q38" t="str">
        <f ca="1">IF(N38 &lt; O38, "MANTENER", IF(N38 &lt; P38, "VENTA PARCIAL", "VENDER"))</f>
        <v>MANTENER</v>
      </c>
      <c r="T38" s="2"/>
      <c r="U38" s="14">
        <f>Tabla6[[#This Row],[cantidad]]-Tabla6[[#This Row],[CANTIDAD VENDIDA]]</f>
        <v>5.4640859999999999E-2</v>
      </c>
      <c r="V38" s="2">
        <f ca="1">IF(G38="BTC", D38 * U38 * C38, IF(G38="ETH", E38 * U38 * C38, IF(G38="IO.NET", F38 * U38 * C38, 0)))</f>
        <v>372.15728009054396</v>
      </c>
      <c r="W38" s="2">
        <f>IF(G38 = "BTC", ((T38 - L38)), IF(G38 = "ETH", ((T38 - L38)), IF(G38 = "IO.NET", ((T38 - L38)), "Moneda no soportada")))</f>
        <v>-349.9990705940495</v>
      </c>
      <c r="X38" s="9">
        <f ca="1">IF(G38 = "BTC", (((D38 - J38) / J38)),IF(G38 = "ETH", ((E38 - J38) / J38), IF(G38 = "IO.NET", ((F38 - J38) / J38), "Moneda no soportada")))</f>
        <v>7.4831143391378377E-2</v>
      </c>
      <c r="Y38" s="2" t="str">
        <f t="shared" si="24"/>
        <v>ACTIVA</v>
      </c>
    </row>
  </sheetData>
  <conditionalFormatting sqref="B3:Z38">
    <cfRule type="expression" dxfId="64" priority="1">
      <formula>$Y:$Y="VENDIDA"</formula>
    </cfRule>
  </conditionalFormatting>
  <conditionalFormatting sqref="Q1:Q1048576">
    <cfRule type="containsText" dxfId="63" priority="9" operator="containsText" text="VENTA PARCIAL">
      <formula>NOT(ISERROR(SEARCH("VENTA PARCIAL",Q1)))</formula>
    </cfRule>
    <cfRule type="containsText" dxfId="62" priority="10" operator="containsText" text="MANTENER">
      <formula>NOT(ISERROR(SEARCH("MANTENER",Q1)))</formula>
    </cfRule>
  </conditionalFormatting>
  <conditionalFormatting sqref="Q3:Q38">
    <cfRule type="containsText" dxfId="61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"/>
  <sheetViews>
    <sheetView workbookViewId="0">
      <selection activeCell="I7" sqref="I7"/>
    </sheetView>
  </sheetViews>
  <sheetFormatPr baseColWidth="10" defaultRowHeight="14.25"/>
  <cols>
    <col min="4" max="4" width="30.625" customWidth="1"/>
    <col min="5" max="5" width="22.125" customWidth="1"/>
    <col min="6" max="6" width="17.25" customWidth="1"/>
    <col min="7" max="7" width="24" customWidth="1"/>
    <col min="8" max="8" width="22.875" customWidth="1"/>
    <col min="9" max="9" width="24" customWidth="1"/>
    <col min="10" max="10" width="23" customWidth="1"/>
    <col min="11" max="11" width="16.375" customWidth="1"/>
    <col min="12" max="12" width="12" customWidth="1"/>
  </cols>
  <sheetData>
    <row r="2" spans="2:12">
      <c r="B2" t="s">
        <v>80</v>
      </c>
      <c r="C2" t="s">
        <v>40</v>
      </c>
      <c r="D2" t="s">
        <v>46</v>
      </c>
      <c r="E2" t="s">
        <v>44</v>
      </c>
      <c r="F2" t="s">
        <v>45</v>
      </c>
      <c r="G2" t="s">
        <v>49</v>
      </c>
      <c r="H2" t="s">
        <v>50</v>
      </c>
      <c r="I2" t="s">
        <v>47</v>
      </c>
      <c r="J2" t="s">
        <v>52</v>
      </c>
      <c r="K2" t="s">
        <v>48</v>
      </c>
      <c r="L2" t="s">
        <v>51</v>
      </c>
    </row>
    <row r="3" spans="2:12">
      <c r="B3" s="1">
        <f t="shared" ref="B3:B4" ca="1" si="0">TODAY()</f>
        <v>45523</v>
      </c>
      <c r="C3" s="1">
        <v>45495</v>
      </c>
      <c r="D3" s="7">
        <v>3983.25</v>
      </c>
      <c r="E3" s="14">
        <v>0.17572713000000001</v>
      </c>
      <c r="F3" s="7">
        <f>D3*E3</f>
        <v>699.9650905725</v>
      </c>
      <c r="G3" s="14">
        <f>E3</f>
        <v>0.17572713000000001</v>
      </c>
      <c r="H3" s="7">
        <f ca="1">VLOOKUP(B3,Tabla4[],6,FALSE)</f>
        <v>3937</v>
      </c>
      <c r="I3" s="7">
        <f ca="1">G3*H3</f>
        <v>691.83771081000009</v>
      </c>
      <c r="J3" s="7">
        <f>F3</f>
        <v>699.9650905725</v>
      </c>
      <c r="K3" s="10">
        <f ca="1">((I3-J3)/J3)</f>
        <v>-1.1611121571580871E-2</v>
      </c>
      <c r="L3" s="7">
        <f>D3*1.1</f>
        <v>4381.5750000000007</v>
      </c>
    </row>
    <row r="4" spans="2:12">
      <c r="B4" s="1">
        <f t="shared" ca="1" si="0"/>
        <v>45523</v>
      </c>
      <c r="C4" s="1">
        <v>45496</v>
      </c>
      <c r="D4" s="7">
        <v>3969.77</v>
      </c>
      <c r="E4">
        <v>2.5190379999999998E-2</v>
      </c>
      <c r="F4" s="7">
        <f>D4*E4</f>
        <v>100.0000148126</v>
      </c>
      <c r="G4" s="14">
        <f>G3+E4</f>
        <v>0.20091751000000002</v>
      </c>
      <c r="H4" s="7">
        <f ca="1">VLOOKUP(B4,Tabla4[],6,FALSE)</f>
        <v>3937</v>
      </c>
      <c r="I4" s="7">
        <f ca="1">G4*H4</f>
        <v>791.01223687000004</v>
      </c>
      <c r="J4" s="7">
        <f>F4+J3</f>
        <v>799.96510538510006</v>
      </c>
      <c r="K4" s="10">
        <f ca="1">((I4-J4)/J4)</f>
        <v>-1.1191573800947412E-2</v>
      </c>
      <c r="L4" s="7">
        <f t="shared" ref="L4:L6" si="1">D4*1.1</f>
        <v>4366.7470000000003</v>
      </c>
    </row>
    <row r="5" spans="2:12">
      <c r="B5" s="1">
        <f ca="1">TODAY()</f>
        <v>45523</v>
      </c>
      <c r="C5" s="1">
        <v>45502</v>
      </c>
      <c r="D5" s="7">
        <v>4013.7</v>
      </c>
      <c r="E5">
        <v>0.17440263</v>
      </c>
      <c r="F5" s="7">
        <f>D5*E5</f>
        <v>699.99983603099997</v>
      </c>
      <c r="G5" s="14">
        <f>G4+E5</f>
        <v>0.37532014000000002</v>
      </c>
      <c r="H5" s="7">
        <f ca="1">VLOOKUP(B5,Tabla4[],6,FALSE)</f>
        <v>3937</v>
      </c>
      <c r="I5" s="22">
        <f ca="1">G5*H5</f>
        <v>1477.6353911800002</v>
      </c>
      <c r="J5" s="8">
        <f>F5+J4</f>
        <v>1499.9649414160999</v>
      </c>
      <c r="K5" s="10">
        <f ca="1">((I5-J5)/J5)</f>
        <v>-1.4886714762158823E-2</v>
      </c>
      <c r="L5" s="7">
        <f t="shared" si="1"/>
        <v>4415.07</v>
      </c>
    </row>
    <row r="6" spans="2:12">
      <c r="B6" s="1">
        <f ca="1">TODAY()</f>
        <v>45523</v>
      </c>
      <c r="C6" s="1">
        <v>45509</v>
      </c>
      <c r="D6" s="7">
        <v>4203.8900000000003</v>
      </c>
      <c r="E6">
        <v>0.16651260000000001</v>
      </c>
      <c r="F6" s="22">
        <f>D6*E6</f>
        <v>700.00065401400013</v>
      </c>
      <c r="G6" s="14">
        <f>G5+E6</f>
        <v>0.54183274000000003</v>
      </c>
      <c r="H6" s="7">
        <f ca="1">VLOOKUP(B6,Tabla4[],6,FALSE)</f>
        <v>3937</v>
      </c>
      <c r="I6" s="22">
        <f ca="1">G6*H6</f>
        <v>2133.1954973800002</v>
      </c>
      <c r="J6" s="8">
        <f>F6+J5</f>
        <v>2199.9655954301002</v>
      </c>
      <c r="K6" s="10">
        <f ca="1">((I6-J6)/J6)</f>
        <v>-3.0350519203026977E-2</v>
      </c>
      <c r="L6" s="7">
        <f t="shared" si="1"/>
        <v>4624.2790000000005</v>
      </c>
    </row>
    <row r="7" spans="2:12">
      <c r="B7" s="1">
        <f ca="1">TODAY()</f>
        <v>45523</v>
      </c>
      <c r="C7" s="1">
        <v>45516</v>
      </c>
      <c r="D7" s="7">
        <v>4043.31</v>
      </c>
      <c r="E7">
        <v>0.17312537</v>
      </c>
      <c r="F7" s="7">
        <f>D7*E7</f>
        <v>699.9995397747</v>
      </c>
      <c r="G7" s="14">
        <f>G6+E7</f>
        <v>0.71495810999999998</v>
      </c>
      <c r="H7" s="7">
        <f ca="1">VLOOKUP(B7,Tabla4[],6,FALSE)</f>
        <v>3937</v>
      </c>
      <c r="I7" s="22">
        <f ca="1">G7*H7</f>
        <v>2814.79007907</v>
      </c>
      <c r="J7" s="8">
        <f>F7+J6</f>
        <v>2899.9651352048004</v>
      </c>
      <c r="K7" s="30">
        <f ca="1">((I7-J7)/J7)</f>
        <v>-2.9371062120988271E-2</v>
      </c>
      <c r="L7" s="8">
        <f>D7*1.1</f>
        <v>4447.6410000000005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"/>
  <sheetViews>
    <sheetView workbookViewId="0">
      <selection activeCell="F9" sqref="F9"/>
    </sheetView>
  </sheetViews>
  <sheetFormatPr baseColWidth="10" defaultRowHeight="14.25"/>
  <cols>
    <col min="3" max="3" width="18.125" customWidth="1"/>
    <col min="4" max="4" width="19.875" customWidth="1"/>
    <col min="5" max="5" width="24" customWidth="1"/>
    <col min="6" max="6" width="21.625" customWidth="1"/>
    <col min="7" max="7" width="23.75" customWidth="1"/>
    <col min="8" max="8" width="25" customWidth="1"/>
    <col min="9" max="9" width="22.375" customWidth="1"/>
    <col min="10" max="10" width="27.75" customWidth="1"/>
    <col min="11" max="11" width="21.125" customWidth="1"/>
    <col min="12" max="12" width="27.25" customWidth="1"/>
    <col min="13" max="13" width="24.75" customWidth="1"/>
    <col min="14" max="14" width="34.75" customWidth="1"/>
    <col min="15" max="15" width="16.375" customWidth="1"/>
  </cols>
  <sheetData>
    <row r="2" spans="2:15">
      <c r="B2" t="s">
        <v>53</v>
      </c>
      <c r="C2" t="s">
        <v>54</v>
      </c>
      <c r="D2" t="s">
        <v>55</v>
      </c>
      <c r="E2" t="s">
        <v>66</v>
      </c>
      <c r="F2" t="s">
        <v>56</v>
      </c>
      <c r="G2" t="s">
        <v>57</v>
      </c>
      <c r="H2" t="s">
        <v>58</v>
      </c>
      <c r="I2" t="s">
        <v>67</v>
      </c>
      <c r="J2" t="s">
        <v>59</v>
      </c>
      <c r="K2" t="s">
        <v>60</v>
      </c>
      <c r="L2" t="s">
        <v>61</v>
      </c>
      <c r="M2" t="s">
        <v>62</v>
      </c>
      <c r="N2" t="s">
        <v>63</v>
      </c>
      <c r="O2" t="s">
        <v>48</v>
      </c>
    </row>
    <row r="3" spans="2:15">
      <c r="B3" s="17" t="s">
        <v>65</v>
      </c>
      <c r="C3" t="s">
        <v>15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4041.51</v>
      </c>
      <c r="J3" s="7">
        <v>64080</v>
      </c>
      <c r="K3" s="7">
        <f>H3*J3*I3</f>
        <v>6780.0953737440004</v>
      </c>
      <c r="L3">
        <f>H3-D3</f>
        <v>5.1199999999999984E-6</v>
      </c>
      <c r="M3" s="7">
        <f>J3-F3</f>
        <v>-3261.1900000000023</v>
      </c>
      <c r="N3" s="7">
        <f>L3*J3*I3</f>
        <v>1325.9773992959997</v>
      </c>
      <c r="O3" s="9">
        <f>(K3-G3)/G3</f>
        <v>0.18152193973697042</v>
      </c>
    </row>
    <row r="4" spans="2:15">
      <c r="B4" s="17" t="s">
        <v>65</v>
      </c>
      <c r="C4" t="s">
        <v>16</v>
      </c>
      <c r="D4">
        <v>2.0707000000000001E-4</v>
      </c>
      <c r="E4" s="7">
        <v>4046.27</v>
      </c>
      <c r="F4" s="7">
        <v>3513.1</v>
      </c>
      <c r="G4" s="7">
        <f t="shared" ref="G4:G5" si="0">D4*F4*E4</f>
        <v>2943.48993193859</v>
      </c>
      <c r="H4">
        <v>3.0967000000000001E-4</v>
      </c>
      <c r="I4" s="7">
        <v>4041.51</v>
      </c>
      <c r="J4" s="7">
        <v>3150.45</v>
      </c>
      <c r="K4" s="7">
        <f t="shared" ref="K4:K6" si="1">H4*J4*I4</f>
        <v>3942.896555835765</v>
      </c>
      <c r="L4">
        <f t="shared" ref="L4:L6" si="2">H4-D4</f>
        <v>1.026E-4</v>
      </c>
      <c r="M4" s="7">
        <f t="shared" ref="M4:M5" si="3">J4-F4</f>
        <v>-362.65000000000009</v>
      </c>
      <c r="N4" s="7">
        <f t="shared" ref="N4:N6" si="4">L4*J4*I4</f>
        <v>1306.3622134167001</v>
      </c>
      <c r="O4" s="9">
        <f t="shared" ref="O4:O6" si="5">(K4-G4)/G4</f>
        <v>0.33953118475216365</v>
      </c>
    </row>
    <row r="5" spans="2:15">
      <c r="B5" s="17" t="s">
        <v>65</v>
      </c>
      <c r="C5" t="s">
        <v>42</v>
      </c>
      <c r="D5">
        <v>0.22405046000000001</v>
      </c>
      <c r="E5" s="7">
        <v>4046.27</v>
      </c>
      <c r="F5" s="7">
        <v>3.01</v>
      </c>
      <c r="G5" s="7">
        <f t="shared" si="0"/>
        <v>2728.7716509004417</v>
      </c>
      <c r="H5">
        <v>0.28387364999999998</v>
      </c>
      <c r="I5" s="7">
        <v>4041.51</v>
      </c>
      <c r="J5" s="7">
        <v>2.21</v>
      </c>
      <c r="K5" s="7">
        <f t="shared" si="1"/>
        <v>2535.4848114174151</v>
      </c>
      <c r="L5">
        <f t="shared" si="2"/>
        <v>5.9823189999999971E-2</v>
      </c>
      <c r="M5" s="7">
        <f t="shared" si="3"/>
        <v>-0.79999999999999982</v>
      </c>
      <c r="N5" s="7">
        <f t="shared" si="4"/>
        <v>534.32500556334878</v>
      </c>
      <c r="O5" s="9">
        <f t="shared" si="5"/>
        <v>-7.0832910998340839E-2</v>
      </c>
    </row>
    <row r="6" spans="2:15">
      <c r="B6" s="17" t="s">
        <v>65</v>
      </c>
      <c r="C6" t="s">
        <v>64</v>
      </c>
      <c r="D6">
        <v>0.17572713000000001</v>
      </c>
      <c r="E6" s="7">
        <v>3983.45</v>
      </c>
      <c r="F6" s="7">
        <v>1</v>
      </c>
      <c r="G6" s="7">
        <f>D6*F6*E6</f>
        <v>700.00023599849999</v>
      </c>
      <c r="H6">
        <v>0.37613443000000002</v>
      </c>
      <c r="I6" s="7">
        <v>4004</v>
      </c>
      <c r="J6" s="7">
        <v>1</v>
      </c>
      <c r="K6" s="7">
        <f t="shared" si="1"/>
        <v>1506.0422577200002</v>
      </c>
      <c r="L6" s="14">
        <f t="shared" si="2"/>
        <v>0.20040730000000001</v>
      </c>
      <c r="M6" s="7">
        <f>J6-F6</f>
        <v>0</v>
      </c>
      <c r="N6" s="7">
        <f t="shared" si="4"/>
        <v>802.43082920000006</v>
      </c>
      <c r="O6" s="9">
        <f t="shared" si="5"/>
        <v>1.151488214245727</v>
      </c>
    </row>
    <row r="7" spans="2:15">
      <c r="B7" s="17" t="s">
        <v>86</v>
      </c>
      <c r="C7" t="s">
        <v>15</v>
      </c>
      <c r="D7" s="16">
        <v>2.618E-5</v>
      </c>
      <c r="E7" s="7">
        <v>4041.51</v>
      </c>
      <c r="F7" s="7">
        <v>64080</v>
      </c>
      <c r="G7" s="7">
        <f>D7*F7*E7</f>
        <v>6780.0953737440004</v>
      </c>
      <c r="I7" s="7"/>
      <c r="J7" s="7"/>
      <c r="K7" s="7">
        <f>H7*J7*I7</f>
        <v>0</v>
      </c>
      <c r="L7" s="14">
        <f>H7-D7</f>
        <v>-2.618E-5</v>
      </c>
      <c r="M7" s="8">
        <f>J7-F7</f>
        <v>-64080</v>
      </c>
      <c r="N7" s="7">
        <f>L7*J7*I7</f>
        <v>0</v>
      </c>
      <c r="O7" s="9">
        <f>(K7-G7)/G7</f>
        <v>-1</v>
      </c>
    </row>
    <row r="8" spans="2:15">
      <c r="B8" s="17" t="s">
        <v>86</v>
      </c>
      <c r="C8" t="s">
        <v>16</v>
      </c>
      <c r="D8">
        <v>3.0967000000000001E-4</v>
      </c>
      <c r="E8" s="7">
        <v>4041.51</v>
      </c>
      <c r="F8" s="7">
        <v>3150.45</v>
      </c>
      <c r="G8" s="7">
        <f>D8*F8*E8</f>
        <v>3942.896555835765</v>
      </c>
      <c r="I8" s="7"/>
      <c r="J8" s="7"/>
      <c r="K8" s="7">
        <f>H8*J8*I8</f>
        <v>0</v>
      </c>
      <c r="L8" s="14">
        <f>H8-D8</f>
        <v>-3.0967000000000001E-4</v>
      </c>
      <c r="M8" s="8">
        <f>J8-F8</f>
        <v>-3150.45</v>
      </c>
      <c r="N8" s="7">
        <f>L8*J8*I8</f>
        <v>0</v>
      </c>
      <c r="O8" s="9">
        <f>(K8-G8)/G8</f>
        <v>-1</v>
      </c>
    </row>
    <row r="9" spans="2:15">
      <c r="B9" s="17" t="s">
        <v>86</v>
      </c>
      <c r="C9" t="s">
        <v>42</v>
      </c>
      <c r="D9">
        <v>0.28387364999999998</v>
      </c>
      <c r="E9" s="7">
        <v>4041.51</v>
      </c>
      <c r="F9" s="7">
        <v>2.21</v>
      </c>
      <c r="G9" s="7">
        <f>D9*F9*E9</f>
        <v>2535.4848114174151</v>
      </c>
      <c r="I9" s="7"/>
      <c r="J9" s="7"/>
      <c r="K9" s="7">
        <f>H9*J9*I9</f>
        <v>0</v>
      </c>
      <c r="L9" s="14">
        <f>H9-D9</f>
        <v>-0.28387364999999998</v>
      </c>
      <c r="M9" s="8">
        <f>J9-F9</f>
        <v>-2.21</v>
      </c>
      <c r="N9" s="7">
        <f>L9*J9*I9</f>
        <v>0</v>
      </c>
      <c r="O9" s="9">
        <f>(K9-G9)/G9</f>
        <v>-1</v>
      </c>
    </row>
    <row r="10" spans="2:15">
      <c r="B10" s="17" t="s">
        <v>86</v>
      </c>
      <c r="C10" t="s">
        <v>64</v>
      </c>
      <c r="D10">
        <v>0.37613443000000002</v>
      </c>
      <c r="E10" s="7">
        <v>4040</v>
      </c>
      <c r="F10" s="7">
        <v>1</v>
      </c>
      <c r="G10" s="7">
        <f>D10*F10*E10</f>
        <v>1519.5830972000001</v>
      </c>
      <c r="I10" s="7"/>
      <c r="J10" s="7"/>
      <c r="K10" s="7">
        <f>H10*J10*I10</f>
        <v>0</v>
      </c>
      <c r="L10" s="14">
        <f>H10-D10</f>
        <v>-0.37613443000000002</v>
      </c>
      <c r="M10" s="8">
        <f>J10-F10</f>
        <v>-1</v>
      </c>
      <c r="N10" s="7">
        <f>L10*J10*I10</f>
        <v>0</v>
      </c>
      <c r="O10" s="9">
        <f>(K10-G10)/G10</f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topLeftCell="A19" workbookViewId="0">
      <selection activeCell="H16" sqref="H16"/>
    </sheetView>
  </sheetViews>
  <sheetFormatPr baseColWidth="10" defaultRowHeight="14.25"/>
  <cols>
    <col min="5" max="5" width="12" bestFit="1" customWidth="1"/>
    <col min="6" max="6" width="12" customWidth="1"/>
    <col min="7" max="7" width="22.375" bestFit="1" customWidth="1"/>
  </cols>
  <sheetData>
    <row r="2" spans="2:7">
      <c r="B2" t="s">
        <v>0</v>
      </c>
      <c r="C2" t="s">
        <v>111</v>
      </c>
      <c r="D2" t="s">
        <v>14</v>
      </c>
      <c r="E2" t="s">
        <v>112</v>
      </c>
      <c r="F2" t="s">
        <v>43</v>
      </c>
      <c r="G2" t="s">
        <v>113</v>
      </c>
    </row>
    <row r="3" spans="2:7">
      <c r="B3" s="1">
        <v>45478</v>
      </c>
      <c r="C3" s="8">
        <f>VLOOKUP(B3,Tabla4[],2,FALSE)</f>
        <v>4090.5</v>
      </c>
      <c r="D3" s="6">
        <v>507.08</v>
      </c>
      <c r="E3" s="8">
        <f t="shared" ref="E3:E15" si="0">0.01518 * D3</f>
        <v>7.6974743999999999</v>
      </c>
      <c r="F3" s="8">
        <f>Tabla2[[#This Row],[VALOR INVERSION 1]]-7.7</f>
        <v>-2.5256000000002388E-3</v>
      </c>
      <c r="G3" s="8">
        <f>Tabla2[[#This Row],[VALOR INVERSION 1]]*Tabla2[[#This Row],[PRECIO DEL DÓLAR]]</f>
        <v>31486.519033199998</v>
      </c>
    </row>
    <row r="4" spans="2:7">
      <c r="B4" s="1">
        <v>45481</v>
      </c>
      <c r="C4" s="8">
        <f>VLOOKUP(B4,Tabla4[],2,FALSE)</f>
        <v>4078.65</v>
      </c>
      <c r="D4" s="6">
        <v>510.33</v>
      </c>
      <c r="E4" s="8">
        <f t="shared" si="0"/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</row>
    <row r="5" spans="2:7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</row>
    <row r="6" spans="2:7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</row>
    <row r="7" spans="2:7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</row>
    <row r="8" spans="2:7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</row>
    <row r="9" spans="2:7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</row>
    <row r="10" spans="2:7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</row>
    <row r="11" spans="2:7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</row>
    <row r="12" spans="2:7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</row>
    <row r="13" spans="2:7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</row>
    <row r="14" spans="2:7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</row>
    <row r="15" spans="2:7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</row>
    <row r="16" spans="2:7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</row>
    <row r="17" spans="2:7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</row>
    <row r="18" spans="2:7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</row>
    <row r="19" spans="2:7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</row>
    <row r="20" spans="2:7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</row>
    <row r="21" spans="2:7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</row>
    <row r="22" spans="2:7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</row>
    <row r="23" spans="2:7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</row>
    <row r="24" spans="2:7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</row>
    <row r="25" spans="2:7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</row>
    <row r="26" spans="2:7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</row>
    <row r="27" spans="2:7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</row>
    <row r="28" spans="2:7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</row>
    <row r="29" spans="2:7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</row>
    <row r="30" spans="2:7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</row>
    <row r="31" spans="2:7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</row>
    <row r="32" spans="2:7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</row>
    <row r="33" spans="2:7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6"/>
  <sheetViews>
    <sheetView topLeftCell="A40" workbookViewId="0">
      <selection activeCell="L46" sqref="L46"/>
    </sheetView>
  </sheetViews>
  <sheetFormatPr baseColWidth="10" defaultRowHeight="14.25"/>
  <cols>
    <col min="5" max="5" width="14.625" customWidth="1"/>
  </cols>
  <sheetData>
    <row r="2" spans="2:12">
      <c r="B2" s="5" t="s">
        <v>0</v>
      </c>
      <c r="C2" s="5" t="s">
        <v>2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13</v>
      </c>
      <c r="K2" s="5" t="s">
        <v>12</v>
      </c>
      <c r="L2" s="5"/>
    </row>
    <row r="3" spans="2:12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I18" sqref="I18"/>
    </sheetView>
  </sheetViews>
  <sheetFormatPr baseColWidth="10" defaultRowHeight="14.25"/>
  <cols>
    <col min="2" max="2" width="18.125" customWidth="1"/>
    <col min="3" max="3" width="18.625" customWidth="1"/>
    <col min="4" max="4" width="18.875" customWidth="1"/>
    <col min="5" max="5" width="18.625" customWidth="1"/>
    <col min="6" max="6" width="19.375" customWidth="1"/>
    <col min="7" max="7" width="20.75" customWidth="1"/>
    <col min="8" max="9" width="20.375" customWidth="1"/>
    <col min="10" max="10" width="13.125" customWidth="1"/>
    <col min="11" max="11" width="19.125" customWidth="1"/>
    <col min="12" max="12" width="20" customWidth="1"/>
    <col min="13" max="13" width="16.75" customWidth="1"/>
    <col min="14" max="14" width="27.25" customWidth="1"/>
    <col min="15" max="15" width="22.75" customWidth="1"/>
    <col min="16" max="16" width="21.75" customWidth="1"/>
    <col min="17" max="17" width="33.75" customWidth="1"/>
    <col min="18" max="18" width="30.625" customWidth="1"/>
    <col min="19" max="19" width="21.75" customWidth="1"/>
    <col min="20" max="20" width="17.875" customWidth="1"/>
  </cols>
  <sheetData>
    <row r="2" spans="2:20">
      <c r="B2" s="20" t="s">
        <v>68</v>
      </c>
      <c r="C2" s="20" t="s">
        <v>69</v>
      </c>
      <c r="D2" s="20" t="s">
        <v>70</v>
      </c>
      <c r="E2" s="20" t="s">
        <v>71</v>
      </c>
      <c r="F2" s="20" t="s">
        <v>72</v>
      </c>
      <c r="G2" s="20" t="s">
        <v>73</v>
      </c>
      <c r="H2" s="20" t="s">
        <v>74</v>
      </c>
      <c r="I2" s="20" t="s">
        <v>85</v>
      </c>
      <c r="J2" s="20" t="s">
        <v>75</v>
      </c>
      <c r="K2" s="20" t="s">
        <v>40</v>
      </c>
      <c r="L2" s="20" t="s">
        <v>76</v>
      </c>
      <c r="M2" s="20" t="s">
        <v>81</v>
      </c>
      <c r="N2" s="20" t="s">
        <v>82</v>
      </c>
      <c r="O2" s="20" t="s">
        <v>77</v>
      </c>
      <c r="P2" s="20" t="s">
        <v>78</v>
      </c>
      <c r="Q2" s="20" t="s">
        <v>83</v>
      </c>
      <c r="R2" s="20" t="s">
        <v>84</v>
      </c>
      <c r="S2" s="20" t="s">
        <v>79</v>
      </c>
      <c r="T2" s="20" t="s">
        <v>48</v>
      </c>
    </row>
    <row r="3" spans="2:20">
      <c r="B3" s="1">
        <f t="shared" ref="B3:B14" ca="1" si="0">TODAY()</f>
        <v>45523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 t="e">
        <f ca="1">VLOOKUP(B3,Tabla2[],3,FALSE)</f>
        <v>#N/A</v>
      </c>
      <c r="J3" s="18" t="s">
        <v>8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>
      <c r="B4" s="1">
        <f t="shared" ca="1" si="0"/>
        <v>45523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 t="e">
        <f ca="1">VLOOKUP(B4,Tabla2[],3,FALSE)</f>
        <v>#N/A</v>
      </c>
      <c r="J4" s="18" t="s">
        <v>9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>
      <c r="B5" s="1">
        <f t="shared" ca="1" si="0"/>
        <v>45523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 t="e">
        <f ca="1">VLOOKUP(B5,Tabla2[],3,FALSE)</f>
        <v>#N/A</v>
      </c>
      <c r="J5" s="18" t="s">
        <v>10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>
      <c r="B6" s="1">
        <f t="shared" ca="1" si="0"/>
        <v>45523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 t="e">
        <f ca="1">VLOOKUP(B6,Tabla2[],3,FALSE)</f>
        <v>#N/A</v>
      </c>
      <c r="J6" s="18" t="s">
        <v>11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>
      <c r="B7" s="1">
        <f t="shared" ca="1" si="0"/>
        <v>45523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 t="e">
        <f ca="1">VLOOKUP(B7,Tabla2[],3,FALSE)</f>
        <v>#N/A</v>
      </c>
      <c r="J7" s="18" t="s">
        <v>12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>
      <c r="B8" s="1">
        <f t="shared" ca="1" si="0"/>
        <v>45523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 t="e">
        <f ca="1">VLOOKUP(B8,Tabla2[],3,FALSE)</f>
        <v>#N/A</v>
      </c>
      <c r="J8" s="18" t="s">
        <v>14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 t="e">
        <f ca="1">ROUND(IF(J8="KO",N8*C8,IF(J8="JNJ",N8*D8,IF(J8="PG",N8*E8,IF(J8="PEP",N8*F8,IF(J8="MSFT",N8*G8,IF(J8="MCD",N8*H8,IF(J8="VOO",N8*I8,0))))))),2)</f>
        <v>#N/A</v>
      </c>
      <c r="P8" s="18"/>
      <c r="Q8" s="7"/>
      <c r="R8" s="7">
        <f t="shared" si="3"/>
        <v>0</v>
      </c>
      <c r="S8" s="7" t="e">
        <f t="shared" ca="1" si="4"/>
        <v>#N/A</v>
      </c>
      <c r="T8" s="9" t="e">
        <f t="shared" ca="1" si="5"/>
        <v>#N/A</v>
      </c>
    </row>
    <row r="9" spans="2:20">
      <c r="B9" s="1">
        <f t="shared" ca="1" si="0"/>
        <v>45523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 t="e">
        <f ca="1">VLOOKUP(B9,Tabla2[],3,FALSE)</f>
        <v>#N/A</v>
      </c>
      <c r="J9" s="18" t="s">
        <v>8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>
      <c r="B10" s="1">
        <f t="shared" ca="1" si="0"/>
        <v>45523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 t="e">
        <f ca="1">VLOOKUP(B10,Tabla2[],3,FALSE)</f>
        <v>#N/A</v>
      </c>
      <c r="J10" s="18" t="s">
        <v>9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>
      <c r="B11" s="1">
        <f t="shared" ca="1" si="0"/>
        <v>45523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 t="e">
        <f ca="1">VLOOKUP(B11,Tabla2[],3,FALSE)</f>
        <v>#N/A</v>
      </c>
      <c r="J11" s="18" t="s">
        <v>10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>
      <c r="B12" s="1">
        <f t="shared" ca="1" si="0"/>
        <v>45523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 t="e">
        <f ca="1">VLOOKUP(B12,Tabla2[],3,FALSE)</f>
        <v>#N/A</v>
      </c>
      <c r="J12" s="18" t="s">
        <v>11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>
      <c r="B13" s="1">
        <f t="shared" ca="1" si="0"/>
        <v>45523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 t="e">
        <f ca="1">VLOOKUP(B13,Tabla2[],3,FALSE)</f>
        <v>#N/A</v>
      </c>
      <c r="J13" s="18" t="s">
        <v>12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>
      <c r="B14" s="1">
        <f t="shared" ca="1" si="0"/>
        <v>45523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 t="e">
        <f ca="1">VLOOKUP(B14,Tabla2[],3,FALSE)</f>
        <v>#N/A</v>
      </c>
      <c r="J14" s="18" t="s">
        <v>13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DILZA RAMIREZ</cp:lastModifiedBy>
  <dcterms:created xsi:type="dcterms:W3CDTF">2024-04-08T04:15:12Z</dcterms:created>
  <dcterms:modified xsi:type="dcterms:W3CDTF">2024-08-19T21:25:40Z</dcterms:modified>
</cp:coreProperties>
</file>