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 tabRatio="748" firstSheet="2" activeTab="6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9" l="1"/>
  <c r="D87" i="9" s="1"/>
  <c r="L87" i="9"/>
  <c r="W87" i="9" s="1"/>
  <c r="U87" i="9"/>
  <c r="Y87" i="9" s="1"/>
  <c r="B85" i="9"/>
  <c r="E85" i="9" s="1"/>
  <c r="L85" i="9"/>
  <c r="W85" i="9" s="1"/>
  <c r="U85" i="9"/>
  <c r="Y85" i="9" s="1"/>
  <c r="B24" i="10"/>
  <c r="H24" i="10" s="1"/>
  <c r="F24" i="10"/>
  <c r="J24" i="10" s="1"/>
  <c r="G24" i="10"/>
  <c r="M24" i="10"/>
  <c r="B86" i="9"/>
  <c r="D86" i="9" s="1"/>
  <c r="L86" i="9"/>
  <c r="W86" i="9" s="1"/>
  <c r="U86" i="9"/>
  <c r="Y86" i="9" s="1"/>
  <c r="H44" i="13"/>
  <c r="I44" i="13"/>
  <c r="H43" i="13"/>
  <c r="I43" i="13"/>
  <c r="H42" i="13"/>
  <c r="I42" i="13"/>
  <c r="H41" i="13"/>
  <c r="I41" i="13"/>
  <c r="H40" i="13"/>
  <c r="I40" i="13"/>
  <c r="H39" i="13"/>
  <c r="I39" i="13"/>
  <c r="H38" i="13"/>
  <c r="I38" i="13"/>
  <c r="G26" i="11"/>
  <c r="K26" i="11"/>
  <c r="L26" i="11"/>
  <c r="N26" i="11" s="1"/>
  <c r="M26" i="11"/>
  <c r="G25" i="11"/>
  <c r="O25" i="11" s="1"/>
  <c r="K25" i="11"/>
  <c r="L25" i="11"/>
  <c r="N25" i="11" s="1"/>
  <c r="M25" i="11"/>
  <c r="G24" i="11"/>
  <c r="K24" i="11"/>
  <c r="L24" i="11"/>
  <c r="M24" i="11"/>
  <c r="N24" i="11"/>
  <c r="G23" i="11"/>
  <c r="K23" i="11"/>
  <c r="L23" i="11"/>
  <c r="N23" i="11" s="1"/>
  <c r="M23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B83" i="9"/>
  <c r="C83" i="9" s="1"/>
  <c r="L83" i="9"/>
  <c r="W83" i="9" s="1"/>
  <c r="U83" i="9"/>
  <c r="Y83" i="9" s="1"/>
  <c r="B78" i="9"/>
  <c r="C78" i="9" s="1"/>
  <c r="L78" i="9"/>
  <c r="W78" i="9" s="1"/>
  <c r="U78" i="9"/>
  <c r="Y78" i="9" s="1"/>
  <c r="B81" i="9"/>
  <c r="D81" i="9" s="1"/>
  <c r="N81" i="9" s="1"/>
  <c r="Q81" i="9" s="1"/>
  <c r="L81" i="9"/>
  <c r="W81" i="9" s="1"/>
  <c r="U81" i="9"/>
  <c r="Y81" i="9" s="1"/>
  <c r="B23" i="10"/>
  <c r="H23" i="10" s="1"/>
  <c r="F23" i="10"/>
  <c r="J23" i="10" s="1"/>
  <c r="G23" i="10"/>
  <c r="M23" i="10"/>
  <c r="C110" i="7"/>
  <c r="P110" i="7" s="1"/>
  <c r="E110" i="7"/>
  <c r="F110" i="7" s="1"/>
  <c r="H110" i="7"/>
  <c r="I110" i="7" s="1"/>
  <c r="K110" i="7"/>
  <c r="L110" i="7" s="1"/>
  <c r="N110" i="7"/>
  <c r="O110" i="7"/>
  <c r="C87" i="9" l="1"/>
  <c r="E87" i="9"/>
  <c r="F87" i="9"/>
  <c r="C85" i="9"/>
  <c r="M85" i="9" s="1"/>
  <c r="D85" i="9"/>
  <c r="N85" i="9"/>
  <c r="Q85" i="9" s="1"/>
  <c r="X85" i="9"/>
  <c r="F85" i="9"/>
  <c r="I24" i="10"/>
  <c r="L24" i="10" s="1"/>
  <c r="C86" i="9"/>
  <c r="M86" i="9" s="1"/>
  <c r="X86" i="9"/>
  <c r="N86" i="9"/>
  <c r="Q86" i="9" s="1"/>
  <c r="F86" i="9"/>
  <c r="E86" i="9"/>
  <c r="O26" i="11"/>
  <c r="O24" i="11"/>
  <c r="O23" i="11"/>
  <c r="F83" i="9"/>
  <c r="N83" i="9" s="1"/>
  <c r="Q83" i="9" s="1"/>
  <c r="E83" i="9"/>
  <c r="D83" i="9"/>
  <c r="F78" i="9"/>
  <c r="D78" i="9"/>
  <c r="E78" i="9"/>
  <c r="M78" i="9" s="1"/>
  <c r="X81" i="9"/>
  <c r="C81" i="9"/>
  <c r="M81" i="9" s="1"/>
  <c r="E81" i="9"/>
  <c r="F81" i="9"/>
  <c r="I23" i="10"/>
  <c r="M110" i="7"/>
  <c r="J110" i="7"/>
  <c r="G110" i="7"/>
  <c r="C109" i="7"/>
  <c r="E109" i="7"/>
  <c r="F109" i="7" s="1"/>
  <c r="H109" i="7"/>
  <c r="I109" i="7" s="1"/>
  <c r="K109" i="7"/>
  <c r="L109" i="7"/>
  <c r="N109" i="7"/>
  <c r="O109" i="7" s="1"/>
  <c r="N87" i="9" l="1"/>
  <c r="Q87" i="9" s="1"/>
  <c r="V87" i="9"/>
  <c r="X87" i="9"/>
  <c r="M87" i="9"/>
  <c r="V85" i="9"/>
  <c r="K24" i="10"/>
  <c r="V86" i="9"/>
  <c r="M83" i="9"/>
  <c r="V83" i="9"/>
  <c r="X83" i="9"/>
  <c r="V78" i="9"/>
  <c r="X78" i="9"/>
  <c r="N78" i="9"/>
  <c r="Q78" i="9" s="1"/>
  <c r="V81" i="9"/>
  <c r="K23" i="10"/>
  <c r="L23" i="10"/>
  <c r="M109" i="7"/>
  <c r="G109" i="7"/>
  <c r="J109" i="7"/>
  <c r="P109" i="7"/>
  <c r="G18" i="1"/>
  <c r="G17" i="1"/>
  <c r="C108" i="7"/>
  <c r="E108" i="7"/>
  <c r="F108" i="7" s="1"/>
  <c r="H108" i="7"/>
  <c r="I108" i="7" s="1"/>
  <c r="K108" i="7"/>
  <c r="L108" i="7" s="1"/>
  <c r="N108" i="7"/>
  <c r="O108" i="7" s="1"/>
  <c r="I18" i="1" l="1"/>
  <c r="J18" i="1" s="1"/>
  <c r="I17" i="1"/>
  <c r="J17" i="1" s="1"/>
  <c r="M108" i="7"/>
  <c r="J108" i="7"/>
  <c r="P108" i="7"/>
  <c r="G108" i="7"/>
  <c r="C107" i="7"/>
  <c r="E107" i="7"/>
  <c r="F107" i="7"/>
  <c r="H107" i="7"/>
  <c r="I107" i="7" s="1"/>
  <c r="K107" i="7"/>
  <c r="L107" i="7" s="1"/>
  <c r="N107" i="7"/>
  <c r="O107" i="7" s="1"/>
  <c r="J107" i="7" l="1"/>
  <c r="M107" i="7"/>
  <c r="P107" i="7"/>
  <c r="G107" i="7"/>
  <c r="C106" i="7"/>
  <c r="G106" i="7" s="1"/>
  <c r="E106" i="7"/>
  <c r="F106" i="7"/>
  <c r="H106" i="7"/>
  <c r="I106" i="7" s="1"/>
  <c r="K106" i="7"/>
  <c r="N106" i="7"/>
  <c r="O106" i="7" s="1"/>
  <c r="M106" i="7" l="1"/>
  <c r="J106" i="7"/>
  <c r="P106" i="7"/>
  <c r="L106" i="7"/>
  <c r="C105" i="7"/>
  <c r="E105" i="7"/>
  <c r="F105" i="7"/>
  <c r="H105" i="7"/>
  <c r="I105" i="7" s="1"/>
  <c r="K105" i="7"/>
  <c r="L105" i="7"/>
  <c r="N105" i="7"/>
  <c r="O105" i="7" s="1"/>
  <c r="M105" i="7" l="1"/>
  <c r="J105" i="7"/>
  <c r="P105" i="7"/>
  <c r="G105" i="7"/>
  <c r="C104" i="7"/>
  <c r="G104" i="7" s="1"/>
  <c r="E104" i="7"/>
  <c r="F104" i="7"/>
  <c r="H104" i="7"/>
  <c r="I104" i="7" s="1"/>
  <c r="K104" i="7"/>
  <c r="L104" i="7" s="1"/>
  <c r="N104" i="7"/>
  <c r="O104" i="7" s="1"/>
  <c r="J104" i="7" l="1"/>
  <c r="P104" i="7"/>
  <c r="M104" i="7"/>
  <c r="C103" i="7"/>
  <c r="E103" i="7"/>
  <c r="F103" i="7"/>
  <c r="H103" i="7"/>
  <c r="K103" i="7"/>
  <c r="L103" i="7" s="1"/>
  <c r="N103" i="7"/>
  <c r="O103" i="7" s="1"/>
  <c r="M103" i="7" l="1"/>
  <c r="J103" i="7"/>
  <c r="G103" i="7"/>
  <c r="I103" i="7"/>
  <c r="P103" i="7"/>
  <c r="C102" i="7"/>
  <c r="E102" i="7"/>
  <c r="F102" i="7"/>
  <c r="H102" i="7"/>
  <c r="I102" i="7" s="1"/>
  <c r="K102" i="7"/>
  <c r="L102" i="7" s="1"/>
  <c r="N102" i="7"/>
  <c r="O102" i="7" s="1"/>
  <c r="G102" i="7" l="1"/>
  <c r="J102" i="7"/>
  <c r="M102" i="7"/>
  <c r="P102" i="7"/>
  <c r="C101" i="7"/>
  <c r="E101" i="7"/>
  <c r="F101" i="7"/>
  <c r="H101" i="7"/>
  <c r="I101" i="7" s="1"/>
  <c r="K101" i="7"/>
  <c r="L101" i="7" s="1"/>
  <c r="N101" i="7"/>
  <c r="B64" i="9"/>
  <c r="C64" i="9" s="1"/>
  <c r="L64" i="9"/>
  <c r="W64" i="9" s="1"/>
  <c r="U64" i="9"/>
  <c r="Y64" i="9" s="1"/>
  <c r="B74" i="9"/>
  <c r="C74" i="9" s="1"/>
  <c r="L74" i="9"/>
  <c r="W74" i="9" s="1"/>
  <c r="U74" i="9"/>
  <c r="Y74" i="9" s="1"/>
  <c r="B22" i="10"/>
  <c r="H22" i="10" s="1"/>
  <c r="F22" i="10"/>
  <c r="J22" i="10" s="1"/>
  <c r="G22" i="10"/>
  <c r="M22" i="10"/>
  <c r="B82" i="9"/>
  <c r="C82" i="9" s="1"/>
  <c r="L82" i="9"/>
  <c r="W82" i="9" s="1"/>
  <c r="U82" i="9"/>
  <c r="Y82" i="9" s="1"/>
  <c r="J101" i="7" l="1"/>
  <c r="M101" i="7"/>
  <c r="P101" i="7"/>
  <c r="G101" i="7"/>
  <c r="O101" i="7"/>
  <c r="E64" i="9"/>
  <c r="D64" i="9"/>
  <c r="F64" i="9"/>
  <c r="E74" i="9"/>
  <c r="F74" i="9"/>
  <c r="D74" i="9"/>
  <c r="I22" i="10"/>
  <c r="F82" i="9"/>
  <c r="D82" i="9"/>
  <c r="E82" i="9"/>
  <c r="C100" i="7"/>
  <c r="M100" i="7" s="1"/>
  <c r="E100" i="7"/>
  <c r="F100" i="7"/>
  <c r="H100" i="7"/>
  <c r="I100" i="7" s="1"/>
  <c r="K100" i="7"/>
  <c r="L100" i="7"/>
  <c r="N100" i="7"/>
  <c r="O100" i="7" s="1"/>
  <c r="N64" i="9" l="1"/>
  <c r="Q64" i="9" s="1"/>
  <c r="V64" i="9"/>
  <c r="X64" i="9"/>
  <c r="M64" i="9"/>
  <c r="X74" i="9"/>
  <c r="V74" i="9"/>
  <c r="N74" i="9"/>
  <c r="Q74" i="9" s="1"/>
  <c r="M74" i="9"/>
  <c r="L22" i="10"/>
  <c r="K22" i="10"/>
  <c r="V82" i="9"/>
  <c r="X82" i="9"/>
  <c r="N82" i="9"/>
  <c r="Q82" i="9" s="1"/>
  <c r="M82" i="9"/>
  <c r="J100" i="7"/>
  <c r="G100" i="7"/>
  <c r="P100" i="7"/>
  <c r="C99" i="7"/>
  <c r="E99" i="7"/>
  <c r="F99" i="7"/>
  <c r="H99" i="7"/>
  <c r="I99" i="7" s="1"/>
  <c r="K99" i="7"/>
  <c r="L99" i="7" s="1"/>
  <c r="N99" i="7"/>
  <c r="O99" i="7" s="1"/>
  <c r="J99" i="7" l="1"/>
  <c r="G99" i="7"/>
  <c r="M99" i="7"/>
  <c r="P99" i="7"/>
  <c r="C98" i="7"/>
  <c r="E98" i="7"/>
  <c r="F98" i="7" s="1"/>
  <c r="H98" i="7"/>
  <c r="K98" i="7"/>
  <c r="L98" i="7" s="1"/>
  <c r="N98" i="7"/>
  <c r="O98" i="7" s="1"/>
  <c r="P98" i="7" l="1"/>
  <c r="J98" i="7"/>
  <c r="I98" i="7"/>
  <c r="M98" i="7"/>
  <c r="G98" i="7"/>
  <c r="B50" i="9"/>
  <c r="C50" i="9" s="1"/>
  <c r="L50" i="9"/>
  <c r="W50" i="9" s="1"/>
  <c r="U50" i="9"/>
  <c r="Y50" i="9" s="1"/>
  <c r="B58" i="9"/>
  <c r="D58" i="9" s="1"/>
  <c r="L58" i="9"/>
  <c r="W58" i="9" s="1"/>
  <c r="U58" i="9"/>
  <c r="Y58" i="9" s="1"/>
  <c r="B77" i="9"/>
  <c r="D77" i="9" s="1"/>
  <c r="L77" i="9"/>
  <c r="W77" i="9" s="1"/>
  <c r="U77" i="9"/>
  <c r="Y77" i="9" s="1"/>
  <c r="B21" i="10"/>
  <c r="H21" i="10" s="1"/>
  <c r="I21" i="10" s="1"/>
  <c r="F21" i="10"/>
  <c r="J21" i="10" s="1"/>
  <c r="G21" i="10"/>
  <c r="M21" i="10"/>
  <c r="F50" i="9" l="1"/>
  <c r="E50" i="9"/>
  <c r="D50" i="9"/>
  <c r="C58" i="9"/>
  <c r="F58" i="9"/>
  <c r="E58" i="9"/>
  <c r="N77" i="9"/>
  <c r="Q77" i="9" s="1"/>
  <c r="X77" i="9"/>
  <c r="C77" i="9"/>
  <c r="M77" i="9" s="1"/>
  <c r="E77" i="9"/>
  <c r="F77" i="9"/>
  <c r="L21" i="10"/>
  <c r="K21" i="10"/>
  <c r="C97" i="7"/>
  <c r="G97" i="7" s="1"/>
  <c r="E97" i="7"/>
  <c r="F97" i="7"/>
  <c r="H97" i="7"/>
  <c r="I97" i="7" s="1"/>
  <c r="K97" i="7"/>
  <c r="L97" i="7" s="1"/>
  <c r="N97" i="7"/>
  <c r="O97" i="7" s="1"/>
  <c r="N50" i="9" l="1"/>
  <c r="Q50" i="9" s="1"/>
  <c r="V50" i="9"/>
  <c r="X50" i="9"/>
  <c r="M50" i="9"/>
  <c r="M58" i="9"/>
  <c r="N58" i="9"/>
  <c r="Q58" i="9" s="1"/>
  <c r="V58" i="9"/>
  <c r="X58" i="9"/>
  <c r="V77" i="9"/>
  <c r="M97" i="7"/>
  <c r="J97" i="7"/>
  <c r="P97" i="7"/>
  <c r="C96" i="7"/>
  <c r="G96" i="7" s="1"/>
  <c r="E96" i="7"/>
  <c r="F96" i="7"/>
  <c r="H96" i="7"/>
  <c r="K96" i="7"/>
  <c r="L96" i="7" s="1"/>
  <c r="N96" i="7"/>
  <c r="O96" i="7" s="1"/>
  <c r="J96" i="7" l="1"/>
  <c r="P96" i="7"/>
  <c r="M96" i="7"/>
  <c r="I96" i="7"/>
  <c r="N3" i="7"/>
  <c r="O3" i="7" s="1"/>
  <c r="N4" i="7"/>
  <c r="O4" i="7" s="1"/>
  <c r="N5" i="7"/>
  <c r="O5" i="7" s="1"/>
  <c r="N6" i="7"/>
  <c r="O6" i="7" s="1"/>
  <c r="N7" i="7"/>
  <c r="O7" i="7" s="1"/>
  <c r="N8" i="7"/>
  <c r="O8" i="7" s="1"/>
  <c r="N9" i="7"/>
  <c r="O9" i="7" s="1"/>
  <c r="N10" i="7"/>
  <c r="O10" i="7" s="1"/>
  <c r="N11" i="7"/>
  <c r="O11" i="7" s="1"/>
  <c r="N12" i="7"/>
  <c r="O12" i="7" s="1"/>
  <c r="N13" i="7"/>
  <c r="O13" i="7" s="1"/>
  <c r="N14" i="7"/>
  <c r="O14" i="7" s="1"/>
  <c r="N15" i="7"/>
  <c r="O15" i="7" s="1"/>
  <c r="N16" i="7"/>
  <c r="O16" i="7" s="1"/>
  <c r="N17" i="7"/>
  <c r="O17" i="7" s="1"/>
  <c r="N18" i="7"/>
  <c r="O18" i="7" s="1"/>
  <c r="N19" i="7"/>
  <c r="O19" i="7" s="1"/>
  <c r="N20" i="7"/>
  <c r="O20" i="7" s="1"/>
  <c r="N21" i="7"/>
  <c r="O21" i="7" s="1"/>
  <c r="N22" i="7"/>
  <c r="O22" i="7" s="1"/>
  <c r="N23" i="7"/>
  <c r="O23" i="7" s="1"/>
  <c r="N24" i="7"/>
  <c r="O24" i="7" s="1"/>
  <c r="N25" i="7"/>
  <c r="O25" i="7" s="1"/>
  <c r="N26" i="7"/>
  <c r="O26" i="7" s="1"/>
  <c r="N27" i="7"/>
  <c r="O27" i="7" s="1"/>
  <c r="N28" i="7"/>
  <c r="O28" i="7" s="1"/>
  <c r="N29" i="7"/>
  <c r="O29" i="7" s="1"/>
  <c r="N30" i="7"/>
  <c r="O30" i="7" s="1"/>
  <c r="N31" i="7"/>
  <c r="O31" i="7" s="1"/>
  <c r="N32" i="7"/>
  <c r="O32" i="7" s="1"/>
  <c r="N33" i="7"/>
  <c r="O33" i="7" s="1"/>
  <c r="N34" i="7"/>
  <c r="O34" i="7" s="1"/>
  <c r="N35" i="7"/>
  <c r="O35" i="7" s="1"/>
  <c r="N36" i="7"/>
  <c r="O36" i="7" s="1"/>
  <c r="N37" i="7"/>
  <c r="O37" i="7" s="1"/>
  <c r="N38" i="7"/>
  <c r="O38" i="7" s="1"/>
  <c r="N39" i="7"/>
  <c r="O39" i="7" s="1"/>
  <c r="N40" i="7"/>
  <c r="O40" i="7" s="1"/>
  <c r="N41" i="7"/>
  <c r="O41" i="7" s="1"/>
  <c r="N42" i="7"/>
  <c r="O42" i="7" s="1"/>
  <c r="N43" i="7"/>
  <c r="O43" i="7" s="1"/>
  <c r="N44" i="7"/>
  <c r="O44" i="7" s="1"/>
  <c r="N45" i="7"/>
  <c r="O45" i="7" s="1"/>
  <c r="N46" i="7"/>
  <c r="O46" i="7" s="1"/>
  <c r="N47" i="7"/>
  <c r="O47" i="7" s="1"/>
  <c r="N48" i="7"/>
  <c r="O48" i="7" s="1"/>
  <c r="N49" i="7"/>
  <c r="O49" i="7" s="1"/>
  <c r="N50" i="7"/>
  <c r="O50" i="7" s="1"/>
  <c r="N51" i="7"/>
  <c r="O51" i="7" s="1"/>
  <c r="N52" i="7"/>
  <c r="O52" i="7" s="1"/>
  <c r="N53" i="7"/>
  <c r="O53" i="7" s="1"/>
  <c r="N54" i="7"/>
  <c r="O54" i="7" s="1"/>
  <c r="N55" i="7"/>
  <c r="O55" i="7" s="1"/>
  <c r="N56" i="7"/>
  <c r="O56" i="7" s="1"/>
  <c r="N57" i="7"/>
  <c r="O57" i="7" s="1"/>
  <c r="N58" i="7"/>
  <c r="O58" i="7" s="1"/>
  <c r="N59" i="7"/>
  <c r="O59" i="7" s="1"/>
  <c r="N60" i="7"/>
  <c r="O60" i="7" s="1"/>
  <c r="N61" i="7"/>
  <c r="O61" i="7" s="1"/>
  <c r="N62" i="7"/>
  <c r="O62" i="7" s="1"/>
  <c r="N63" i="7"/>
  <c r="O63" i="7" s="1"/>
  <c r="N64" i="7"/>
  <c r="O64" i="7" s="1"/>
  <c r="N65" i="7"/>
  <c r="O65" i="7" s="1"/>
  <c r="N66" i="7"/>
  <c r="O66" i="7" s="1"/>
  <c r="N67" i="7"/>
  <c r="O67" i="7" s="1"/>
  <c r="N68" i="7"/>
  <c r="O68" i="7" s="1"/>
  <c r="N69" i="7"/>
  <c r="O69" i="7" s="1"/>
  <c r="N70" i="7"/>
  <c r="O70" i="7" s="1"/>
  <c r="N71" i="7"/>
  <c r="O71" i="7" s="1"/>
  <c r="N72" i="7"/>
  <c r="O72" i="7" s="1"/>
  <c r="N73" i="7"/>
  <c r="O73" i="7" s="1"/>
  <c r="N74" i="7"/>
  <c r="O74" i="7" s="1"/>
  <c r="N75" i="7"/>
  <c r="O75" i="7" s="1"/>
  <c r="N76" i="7"/>
  <c r="O76" i="7" s="1"/>
  <c r="N77" i="7"/>
  <c r="O77" i="7" s="1"/>
  <c r="N78" i="7"/>
  <c r="O78" i="7" s="1"/>
  <c r="N79" i="7"/>
  <c r="O79" i="7" s="1"/>
  <c r="N80" i="7"/>
  <c r="O80" i="7" s="1"/>
  <c r="N81" i="7"/>
  <c r="O81" i="7" s="1"/>
  <c r="N82" i="7"/>
  <c r="O82" i="7" s="1"/>
  <c r="N83" i="7"/>
  <c r="O83" i="7" s="1"/>
  <c r="N84" i="7"/>
  <c r="O84" i="7" s="1"/>
  <c r="N85" i="7"/>
  <c r="O85" i="7" s="1"/>
  <c r="N86" i="7"/>
  <c r="O86" i="7" s="1"/>
  <c r="N87" i="7"/>
  <c r="O87" i="7" s="1"/>
  <c r="N88" i="7"/>
  <c r="O88" i="7" s="1"/>
  <c r="N89" i="7"/>
  <c r="O89" i="7" s="1"/>
  <c r="N90" i="7"/>
  <c r="O90" i="7" s="1"/>
  <c r="N91" i="7"/>
  <c r="O91" i="7" s="1"/>
  <c r="N92" i="7"/>
  <c r="O92" i="7" s="1"/>
  <c r="N93" i="7"/>
  <c r="O93" i="7" s="1"/>
  <c r="N94" i="7"/>
  <c r="O94" i="7" s="1"/>
  <c r="N95" i="7"/>
  <c r="O95" i="7" s="1"/>
  <c r="E95" i="7" l="1"/>
  <c r="C95" i="7"/>
  <c r="P95" i="7" s="1"/>
  <c r="H95" i="7"/>
  <c r="I95" i="7" s="1"/>
  <c r="K95" i="7"/>
  <c r="L95" i="7" s="1"/>
  <c r="J95" i="7" l="1"/>
  <c r="G95" i="7"/>
  <c r="F95" i="7"/>
  <c r="M95" i="7"/>
  <c r="C94" i="7"/>
  <c r="P94" i="7" s="1"/>
  <c r="E94" i="7"/>
  <c r="F94" i="7" s="1"/>
  <c r="H94" i="7"/>
  <c r="I94" i="7" s="1"/>
  <c r="K94" i="7"/>
  <c r="M94" i="7" l="1"/>
  <c r="G94" i="7"/>
  <c r="L94" i="7"/>
  <c r="J94" i="7"/>
  <c r="C93" i="7"/>
  <c r="E93" i="7"/>
  <c r="F93" i="7" s="1"/>
  <c r="H93" i="7"/>
  <c r="I93" i="7" s="1"/>
  <c r="K93" i="7"/>
  <c r="L93" i="7" s="1"/>
  <c r="G93" i="7" l="1"/>
  <c r="P93" i="7"/>
  <c r="M93" i="7"/>
  <c r="J93" i="7"/>
  <c r="B56" i="9"/>
  <c r="D56" i="9" s="1"/>
  <c r="L56" i="9"/>
  <c r="W56" i="9" s="1"/>
  <c r="U56" i="9"/>
  <c r="Y56" i="9" s="1"/>
  <c r="B60" i="9"/>
  <c r="C60" i="9" s="1"/>
  <c r="L60" i="9"/>
  <c r="W60" i="9" s="1"/>
  <c r="U60" i="9"/>
  <c r="Y60" i="9" s="1"/>
  <c r="B62" i="9"/>
  <c r="C62" i="9" s="1"/>
  <c r="L62" i="9"/>
  <c r="W62" i="9" s="1"/>
  <c r="U62" i="9"/>
  <c r="Y62" i="9" s="1"/>
  <c r="B20" i="10"/>
  <c r="H20" i="10" s="1"/>
  <c r="F20" i="10"/>
  <c r="M20" i="10"/>
  <c r="C92" i="7"/>
  <c r="P92" i="7" s="1"/>
  <c r="E92" i="7"/>
  <c r="F92" i="7" s="1"/>
  <c r="H92" i="7"/>
  <c r="I92" i="7" s="1"/>
  <c r="K92" i="7"/>
  <c r="C91" i="7"/>
  <c r="P91" i="7" s="1"/>
  <c r="E91" i="7"/>
  <c r="F91" i="7" s="1"/>
  <c r="H91" i="7"/>
  <c r="I91" i="7" s="1"/>
  <c r="K91" i="7"/>
  <c r="L91" i="7" s="1"/>
  <c r="M92" i="7" l="1"/>
  <c r="G91" i="7"/>
  <c r="L92" i="7"/>
  <c r="F56" i="9"/>
  <c r="E56" i="9"/>
  <c r="C56" i="9"/>
  <c r="F60" i="9"/>
  <c r="E60" i="9"/>
  <c r="M60" i="9" s="1"/>
  <c r="D60" i="9"/>
  <c r="F62" i="9"/>
  <c r="E62" i="9"/>
  <c r="D62" i="9"/>
  <c r="M62" i="9" s="1"/>
  <c r="G92" i="7"/>
  <c r="J92" i="7"/>
  <c r="M91" i="7"/>
  <c r="J91" i="7"/>
  <c r="C90" i="7"/>
  <c r="P90" i="7" s="1"/>
  <c r="E90" i="7"/>
  <c r="F90" i="7" s="1"/>
  <c r="H90" i="7"/>
  <c r="I90" i="7" s="1"/>
  <c r="K90" i="7"/>
  <c r="L90" i="7" s="1"/>
  <c r="M56" i="9" l="1"/>
  <c r="V56" i="9"/>
  <c r="N56" i="9"/>
  <c r="Q56" i="9" s="1"/>
  <c r="X56" i="9"/>
  <c r="V60" i="9"/>
  <c r="N60" i="9"/>
  <c r="Q60" i="9" s="1"/>
  <c r="X60" i="9"/>
  <c r="N62" i="9"/>
  <c r="Q62" i="9" s="1"/>
  <c r="X62" i="9"/>
  <c r="V62" i="9"/>
  <c r="J90" i="7"/>
  <c r="M90" i="7"/>
  <c r="G90" i="7"/>
  <c r="C89" i="7"/>
  <c r="P89" i="7" s="1"/>
  <c r="E89" i="7"/>
  <c r="F89" i="7" s="1"/>
  <c r="H89" i="7"/>
  <c r="K89" i="7"/>
  <c r="L89" i="7" s="1"/>
  <c r="C88" i="7"/>
  <c r="P88" i="7" s="1"/>
  <c r="E88" i="7"/>
  <c r="F88" i="7" s="1"/>
  <c r="H88" i="7"/>
  <c r="I88" i="7" s="1"/>
  <c r="K88" i="7"/>
  <c r="L88" i="7" s="1"/>
  <c r="J88" i="7" l="1"/>
  <c r="J89" i="7"/>
  <c r="G89" i="7"/>
  <c r="I89" i="7"/>
  <c r="M89" i="7"/>
  <c r="G88" i="7"/>
  <c r="M88" i="7"/>
  <c r="C87" i="7"/>
  <c r="P87" i="7" s="1"/>
  <c r="E87" i="7"/>
  <c r="F87" i="7" s="1"/>
  <c r="H87" i="7"/>
  <c r="I87" i="7" s="1"/>
  <c r="K87" i="7"/>
  <c r="L87" i="7" s="1"/>
  <c r="M87" i="7" l="1"/>
  <c r="J87" i="7"/>
  <c r="G87" i="7"/>
  <c r="B5" i="9"/>
  <c r="C5" i="9" s="1"/>
  <c r="L5" i="9"/>
  <c r="W5" i="9" s="1"/>
  <c r="U5" i="9"/>
  <c r="Y5" i="9" s="1"/>
  <c r="B27" i="9"/>
  <c r="C27" i="9" s="1"/>
  <c r="L27" i="9"/>
  <c r="W27" i="9" s="1"/>
  <c r="U27" i="9"/>
  <c r="Y27" i="9" s="1"/>
  <c r="B51" i="9"/>
  <c r="E51" i="9" s="1"/>
  <c r="L51" i="9"/>
  <c r="W51" i="9" s="1"/>
  <c r="U51" i="9"/>
  <c r="Y51" i="9" s="1"/>
  <c r="B19" i="10"/>
  <c r="H19" i="10" s="1"/>
  <c r="F19" i="10"/>
  <c r="M19" i="10"/>
  <c r="F5" i="9" l="1"/>
  <c r="M5" i="9" s="1"/>
  <c r="E5" i="9"/>
  <c r="D5" i="9"/>
  <c r="F27" i="9"/>
  <c r="E27" i="9"/>
  <c r="M27" i="9" s="1"/>
  <c r="D27" i="9"/>
  <c r="D51" i="9"/>
  <c r="C51" i="9"/>
  <c r="F51" i="9"/>
  <c r="H37" i="13"/>
  <c r="I37" i="13"/>
  <c r="H36" i="13"/>
  <c r="I36" i="13"/>
  <c r="H35" i="13"/>
  <c r="I35" i="13"/>
  <c r="H34" i="13"/>
  <c r="I34" i="13"/>
  <c r="H33" i="13"/>
  <c r="I33" i="13"/>
  <c r="H32" i="13"/>
  <c r="I32" i="13"/>
  <c r="H31" i="13"/>
  <c r="I31" i="13"/>
  <c r="G22" i="11"/>
  <c r="K22" i="11"/>
  <c r="L22" i="11"/>
  <c r="N22" i="11" s="1"/>
  <c r="G21" i="11"/>
  <c r="K21" i="11"/>
  <c r="L21" i="11"/>
  <c r="N21" i="11" s="1"/>
  <c r="G20" i="11"/>
  <c r="K20" i="11"/>
  <c r="L20" i="11"/>
  <c r="N20" i="11" s="1"/>
  <c r="G19" i="11"/>
  <c r="K19" i="11"/>
  <c r="L19" i="11"/>
  <c r="N19" i="11" s="1"/>
  <c r="G16" i="1"/>
  <c r="I16" i="1"/>
  <c r="J16" i="1" s="1"/>
  <c r="G15" i="1"/>
  <c r="I15" i="1"/>
  <c r="J15" i="1" s="1"/>
  <c r="C86" i="7"/>
  <c r="P86" i="7" s="1"/>
  <c r="E86" i="7"/>
  <c r="F86" i="7" s="1"/>
  <c r="H86" i="7"/>
  <c r="I86" i="7" s="1"/>
  <c r="K86" i="7"/>
  <c r="L86" i="7" s="1"/>
  <c r="W3" i="13" l="1"/>
  <c r="O22" i="11"/>
  <c r="M51" i="9"/>
  <c r="V5" i="9"/>
  <c r="X5" i="9"/>
  <c r="N5" i="9"/>
  <c r="Q5" i="9" s="1"/>
  <c r="N27" i="9"/>
  <c r="Q27" i="9" s="1"/>
  <c r="V27" i="9"/>
  <c r="X27" i="9"/>
  <c r="N51" i="9"/>
  <c r="Q51" i="9" s="1"/>
  <c r="V51" i="9"/>
  <c r="X51" i="9"/>
  <c r="O21" i="11"/>
  <c r="O20" i="11"/>
  <c r="O19" i="11"/>
  <c r="M86" i="7"/>
  <c r="J86" i="7"/>
  <c r="G86" i="7"/>
  <c r="C85" i="7"/>
  <c r="P85" i="7" s="1"/>
  <c r="E85" i="7"/>
  <c r="H85" i="7"/>
  <c r="I85" i="7" s="1"/>
  <c r="K85" i="7"/>
  <c r="L85" i="7" s="1"/>
  <c r="M85" i="7" l="1"/>
  <c r="G85" i="7"/>
  <c r="F85" i="7"/>
  <c r="J85" i="7"/>
  <c r="C84" i="7"/>
  <c r="P84" i="7" s="1"/>
  <c r="E84" i="7"/>
  <c r="F84" i="7" s="1"/>
  <c r="H84" i="7"/>
  <c r="I84" i="7" s="1"/>
  <c r="K84" i="7"/>
  <c r="M84" i="7" l="1"/>
  <c r="L84" i="7"/>
  <c r="J84" i="7"/>
  <c r="G84" i="7"/>
  <c r="C83" i="7"/>
  <c r="P83" i="7" s="1"/>
  <c r="E83" i="7"/>
  <c r="F83" i="7" s="1"/>
  <c r="H83" i="7"/>
  <c r="I83" i="7" s="1"/>
  <c r="K83" i="7"/>
  <c r="L83" i="7" s="1"/>
  <c r="M83" i="7" l="1"/>
  <c r="J83" i="7"/>
  <c r="G83" i="7"/>
  <c r="B10" i="9"/>
  <c r="C10" i="9" s="1"/>
  <c r="L10" i="9"/>
  <c r="W10" i="9" s="1"/>
  <c r="U10" i="9"/>
  <c r="Y10" i="9" s="1"/>
  <c r="B39" i="9"/>
  <c r="C39" i="9" s="1"/>
  <c r="L39" i="9"/>
  <c r="W39" i="9" s="1"/>
  <c r="U39" i="9"/>
  <c r="Y39" i="9" s="1"/>
  <c r="L52" i="9"/>
  <c r="W52" i="9" s="1"/>
  <c r="B52" i="9"/>
  <c r="D52" i="9" s="1"/>
  <c r="U52" i="9"/>
  <c r="Y52" i="9" s="1"/>
  <c r="B18" i="10"/>
  <c r="H18" i="10" s="1"/>
  <c r="F18" i="10"/>
  <c r="M18" i="10"/>
  <c r="C82" i="7"/>
  <c r="P82" i="7" s="1"/>
  <c r="E82" i="7"/>
  <c r="F82" i="7" s="1"/>
  <c r="H82" i="7"/>
  <c r="I82" i="7" s="1"/>
  <c r="K82" i="7"/>
  <c r="M82" i="7" l="1"/>
  <c r="F10" i="9"/>
  <c r="M10" i="9" s="1"/>
  <c r="E10" i="9"/>
  <c r="D10" i="9"/>
  <c r="F39" i="9"/>
  <c r="E39" i="9"/>
  <c r="M39" i="9" s="1"/>
  <c r="D39" i="9"/>
  <c r="N52" i="9"/>
  <c r="Q52" i="9" s="1"/>
  <c r="X52" i="9"/>
  <c r="C52" i="9"/>
  <c r="M52" i="9" s="1"/>
  <c r="E52" i="9"/>
  <c r="F52" i="9"/>
  <c r="J82" i="7"/>
  <c r="G82" i="7"/>
  <c r="L82" i="7"/>
  <c r="C81" i="7"/>
  <c r="P81" i="7" s="1"/>
  <c r="E81" i="7"/>
  <c r="F81" i="7" s="1"/>
  <c r="H81" i="7"/>
  <c r="I81" i="7" s="1"/>
  <c r="K81" i="7"/>
  <c r="L81" i="7" s="1"/>
  <c r="N10" i="9" l="1"/>
  <c r="Q10" i="9" s="1"/>
  <c r="V10" i="9"/>
  <c r="X10" i="9"/>
  <c r="V39" i="9"/>
  <c r="X39" i="9"/>
  <c r="N39" i="9"/>
  <c r="Q39" i="9" s="1"/>
  <c r="V52" i="9"/>
  <c r="J81" i="7"/>
  <c r="M81" i="7"/>
  <c r="G81" i="7"/>
  <c r="C80" i="7"/>
  <c r="P80" i="7" s="1"/>
  <c r="E80" i="7"/>
  <c r="F80" i="7" s="1"/>
  <c r="H80" i="7"/>
  <c r="I80" i="7" s="1"/>
  <c r="K80" i="7"/>
  <c r="L80" i="7" s="1"/>
  <c r="M80" i="7" l="1"/>
  <c r="J80" i="7"/>
  <c r="G80" i="7"/>
  <c r="C79" i="7"/>
  <c r="P79" i="7" s="1"/>
  <c r="E79" i="7"/>
  <c r="F79" i="7" s="1"/>
  <c r="H79" i="7"/>
  <c r="I79" i="7" s="1"/>
  <c r="K79" i="7"/>
  <c r="L79" i="7" s="1"/>
  <c r="M79" i="7" l="1"/>
  <c r="G79" i="7"/>
  <c r="J79" i="7"/>
  <c r="C78" i="7"/>
  <c r="P78" i="7" s="1"/>
  <c r="E78" i="7"/>
  <c r="F78" i="7" s="1"/>
  <c r="H78" i="7"/>
  <c r="I78" i="7" s="1"/>
  <c r="K78" i="7"/>
  <c r="L78" i="7" s="1"/>
  <c r="G78" i="7" l="1"/>
  <c r="M78" i="7"/>
  <c r="J78" i="7"/>
  <c r="B17" i="10"/>
  <c r="H17" i="10" s="1"/>
  <c r="F17" i="10"/>
  <c r="M17" i="10"/>
  <c r="B15" i="9"/>
  <c r="C15" i="9" s="1"/>
  <c r="I15" i="9"/>
  <c r="L15" i="9" s="1"/>
  <c r="W15" i="9" s="1"/>
  <c r="U15" i="9"/>
  <c r="Y15" i="9" s="1"/>
  <c r="B47" i="9"/>
  <c r="C47" i="9" s="1"/>
  <c r="I47" i="9"/>
  <c r="L47" i="9" s="1"/>
  <c r="W47" i="9" s="1"/>
  <c r="U47" i="9"/>
  <c r="Y47" i="9" s="1"/>
  <c r="B45" i="9"/>
  <c r="D45" i="9" s="1"/>
  <c r="I45" i="9"/>
  <c r="L45" i="9" s="1"/>
  <c r="W45" i="9" s="1"/>
  <c r="U45" i="9"/>
  <c r="Y45" i="9" s="1"/>
  <c r="B21" i="9"/>
  <c r="D21" i="9" s="1"/>
  <c r="I21" i="9"/>
  <c r="L21" i="9" s="1"/>
  <c r="W21" i="9" s="1"/>
  <c r="U21" i="9"/>
  <c r="Y21" i="9" s="1"/>
  <c r="N45" i="9" l="1"/>
  <c r="Q45" i="9" s="1"/>
  <c r="F15" i="9"/>
  <c r="M15" i="9" s="1"/>
  <c r="E15" i="9"/>
  <c r="D15" i="9"/>
  <c r="F47" i="9"/>
  <c r="E47" i="9"/>
  <c r="M47" i="9" s="1"/>
  <c r="D47" i="9"/>
  <c r="X45" i="9"/>
  <c r="C45" i="9"/>
  <c r="M45" i="9" s="1"/>
  <c r="F45" i="9"/>
  <c r="E45" i="9"/>
  <c r="C21" i="9"/>
  <c r="E21" i="9"/>
  <c r="F21" i="9"/>
  <c r="B36" i="9"/>
  <c r="E36" i="9" s="1"/>
  <c r="I36" i="9"/>
  <c r="L36" i="9" s="1"/>
  <c r="W36" i="9" s="1"/>
  <c r="U36" i="9"/>
  <c r="Y36" i="9" s="1"/>
  <c r="B35" i="9"/>
  <c r="C35" i="9" s="1"/>
  <c r="I35" i="9"/>
  <c r="L35" i="9" s="1"/>
  <c r="W35" i="9" s="1"/>
  <c r="U35" i="9"/>
  <c r="Y35" i="9" s="1"/>
  <c r="C77" i="7"/>
  <c r="P77" i="7" s="1"/>
  <c r="E77" i="7"/>
  <c r="H77" i="7"/>
  <c r="I77" i="7" s="1"/>
  <c r="K77" i="7"/>
  <c r="L77" i="7" s="1"/>
  <c r="M21" i="9" l="1"/>
  <c r="N15" i="9"/>
  <c r="Q15" i="9" s="1"/>
  <c r="V15" i="9"/>
  <c r="X15" i="9"/>
  <c r="V47" i="9"/>
  <c r="X47" i="9"/>
  <c r="N47" i="9"/>
  <c r="Q47" i="9" s="1"/>
  <c r="V45" i="9"/>
  <c r="V21" i="9"/>
  <c r="X21" i="9"/>
  <c r="N21" i="9"/>
  <c r="Q21" i="9" s="1"/>
  <c r="C36" i="9"/>
  <c r="M36" i="9" s="1"/>
  <c r="D36" i="9"/>
  <c r="X36" i="9"/>
  <c r="N36" i="9"/>
  <c r="Q36" i="9" s="1"/>
  <c r="F36" i="9"/>
  <c r="F35" i="9"/>
  <c r="E35" i="9"/>
  <c r="D35" i="9"/>
  <c r="M35" i="9" s="1"/>
  <c r="G77" i="7"/>
  <c r="F77" i="7"/>
  <c r="M77" i="7"/>
  <c r="J77" i="7"/>
  <c r="K3" i="7"/>
  <c r="L3" i="7" s="1"/>
  <c r="K4" i="7"/>
  <c r="L4" i="7" s="1"/>
  <c r="K5" i="7"/>
  <c r="L5" i="7" s="1"/>
  <c r="K6" i="7"/>
  <c r="L6" i="7" s="1"/>
  <c r="K7" i="7"/>
  <c r="L7" i="7" s="1"/>
  <c r="K8" i="7"/>
  <c r="L8" i="7" s="1"/>
  <c r="K9" i="7"/>
  <c r="L9" i="7" s="1"/>
  <c r="K10" i="7"/>
  <c r="L10" i="7" s="1"/>
  <c r="K11" i="7"/>
  <c r="L11" i="7" s="1"/>
  <c r="K12" i="7"/>
  <c r="L12" i="7" s="1"/>
  <c r="K13" i="7"/>
  <c r="L13" i="7" s="1"/>
  <c r="K14" i="7"/>
  <c r="L14" i="7" s="1"/>
  <c r="K15" i="7"/>
  <c r="L15" i="7" s="1"/>
  <c r="K16" i="7"/>
  <c r="L16" i="7" s="1"/>
  <c r="K17" i="7"/>
  <c r="L17" i="7" s="1"/>
  <c r="K18" i="7"/>
  <c r="L18" i="7" s="1"/>
  <c r="K19" i="7"/>
  <c r="L19" i="7" s="1"/>
  <c r="K20" i="7"/>
  <c r="L20" i="7" s="1"/>
  <c r="K21" i="7"/>
  <c r="L21" i="7" s="1"/>
  <c r="K22" i="7"/>
  <c r="L22" i="7" s="1"/>
  <c r="K23" i="7"/>
  <c r="L23" i="7" s="1"/>
  <c r="K24" i="7"/>
  <c r="L24" i="7" s="1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L42" i="7" s="1"/>
  <c r="K43" i="7"/>
  <c r="L43" i="7" s="1"/>
  <c r="K44" i="7"/>
  <c r="L44" i="7" s="1"/>
  <c r="K45" i="7"/>
  <c r="L45" i="7" s="1"/>
  <c r="K46" i="7"/>
  <c r="L46" i="7" s="1"/>
  <c r="K47" i="7"/>
  <c r="L47" i="7" s="1"/>
  <c r="K48" i="7"/>
  <c r="L48" i="7" s="1"/>
  <c r="K49" i="7"/>
  <c r="L49" i="7" s="1"/>
  <c r="K50" i="7"/>
  <c r="L50" i="7" s="1"/>
  <c r="K51" i="7"/>
  <c r="L51" i="7" s="1"/>
  <c r="K52" i="7"/>
  <c r="L52" i="7" s="1"/>
  <c r="K53" i="7"/>
  <c r="L53" i="7" s="1"/>
  <c r="K54" i="7"/>
  <c r="L54" i="7" s="1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L62" i="7" s="1"/>
  <c r="K63" i="7"/>
  <c r="L63" i="7" s="1"/>
  <c r="K64" i="7"/>
  <c r="L64" i="7" s="1"/>
  <c r="K65" i="7"/>
  <c r="L65" i="7" s="1"/>
  <c r="K66" i="7"/>
  <c r="L66" i="7" s="1"/>
  <c r="K67" i="7"/>
  <c r="L67" i="7" s="1"/>
  <c r="K68" i="7"/>
  <c r="L68" i="7" s="1"/>
  <c r="K69" i="7"/>
  <c r="L69" i="7" s="1"/>
  <c r="K70" i="7"/>
  <c r="L70" i="7" s="1"/>
  <c r="K71" i="7"/>
  <c r="L71" i="7" s="1"/>
  <c r="K72" i="7"/>
  <c r="L72" i="7" s="1"/>
  <c r="K73" i="7"/>
  <c r="L73" i="7" s="1"/>
  <c r="K74" i="7"/>
  <c r="L74" i="7" s="1"/>
  <c r="K75" i="7"/>
  <c r="L75" i="7" s="1"/>
  <c r="K76" i="7"/>
  <c r="L76" i="7" s="1"/>
  <c r="H74" i="7"/>
  <c r="C76" i="7"/>
  <c r="P76" i="7" s="1"/>
  <c r="E76" i="7"/>
  <c r="F76" i="7" s="1"/>
  <c r="H76" i="7"/>
  <c r="I76" i="7" s="1"/>
  <c r="C75" i="7"/>
  <c r="P75" i="7" s="1"/>
  <c r="E75" i="7"/>
  <c r="F75" i="7" s="1"/>
  <c r="H75" i="7"/>
  <c r="M75" i="7" l="1"/>
  <c r="V36" i="9"/>
  <c r="N35" i="9"/>
  <c r="Q35" i="9" s="1"/>
  <c r="V35" i="9"/>
  <c r="X35" i="9"/>
  <c r="M76" i="7"/>
  <c r="J75" i="7"/>
  <c r="J76" i="7"/>
  <c r="G75" i="7"/>
  <c r="G76" i="7"/>
  <c r="I75" i="7"/>
  <c r="C74" i="7"/>
  <c r="E74" i="7"/>
  <c r="F74" i="7" s="1"/>
  <c r="I74" i="7"/>
  <c r="C73" i="7"/>
  <c r="E73" i="7"/>
  <c r="F73" i="7" s="1"/>
  <c r="H73" i="7"/>
  <c r="M73" i="7" l="1"/>
  <c r="P73" i="7"/>
  <c r="M74" i="7"/>
  <c r="P74" i="7"/>
  <c r="J73" i="7"/>
  <c r="J74" i="7"/>
  <c r="G74" i="7"/>
  <c r="G73" i="7"/>
  <c r="I73" i="7"/>
  <c r="B16" i="10"/>
  <c r="H16" i="10" s="1"/>
  <c r="F16" i="10"/>
  <c r="M16" i="10"/>
  <c r="C72" i="7"/>
  <c r="P72" i="7" s="1"/>
  <c r="E72" i="7"/>
  <c r="F72" i="7" s="1"/>
  <c r="H72" i="7"/>
  <c r="I72" i="7" s="1"/>
  <c r="G72" i="7" l="1"/>
  <c r="M72" i="7"/>
  <c r="J72" i="7"/>
  <c r="C71" i="7"/>
  <c r="E71" i="7"/>
  <c r="H71" i="7"/>
  <c r="I71" i="7" s="1"/>
  <c r="M71" i="7" l="1"/>
  <c r="P71" i="7"/>
  <c r="G71" i="7"/>
  <c r="F71" i="7"/>
  <c r="J71" i="7"/>
  <c r="C70" i="7"/>
  <c r="E70" i="7"/>
  <c r="F70" i="7" s="1"/>
  <c r="H70" i="7"/>
  <c r="I70" i="7" s="1"/>
  <c r="M70" i="7" l="1"/>
  <c r="P70" i="7"/>
  <c r="J70" i="7"/>
  <c r="G70" i="7"/>
  <c r="C69" i="7"/>
  <c r="E69" i="7"/>
  <c r="H69" i="7"/>
  <c r="I69" i="7" s="1"/>
  <c r="M69" i="7" l="1"/>
  <c r="P69" i="7"/>
  <c r="J69" i="7"/>
  <c r="G69" i="7"/>
  <c r="F69" i="7"/>
  <c r="C68" i="7"/>
  <c r="E68" i="7"/>
  <c r="F68" i="7" s="1"/>
  <c r="H68" i="7"/>
  <c r="I68" i="7" s="1"/>
  <c r="M68" i="7" l="1"/>
  <c r="P68" i="7"/>
  <c r="J68" i="7"/>
  <c r="G68" i="7"/>
  <c r="C67" i="7"/>
  <c r="P67" i="7" s="1"/>
  <c r="E67" i="7"/>
  <c r="F67" i="7" s="1"/>
  <c r="H67" i="7"/>
  <c r="I67" i="7" s="1"/>
  <c r="B15" i="10"/>
  <c r="H15" i="10" s="1"/>
  <c r="F15" i="10"/>
  <c r="M15" i="10"/>
  <c r="B13" i="9"/>
  <c r="E13" i="9" s="1"/>
  <c r="L13" i="9"/>
  <c r="W13" i="9" s="1"/>
  <c r="U13" i="9"/>
  <c r="Y13" i="9" s="1"/>
  <c r="B28" i="9"/>
  <c r="D28" i="9" s="1"/>
  <c r="L28" i="9"/>
  <c r="W28" i="9" s="1"/>
  <c r="U28" i="9"/>
  <c r="Y28" i="9" s="1"/>
  <c r="B32" i="9"/>
  <c r="E32" i="9" s="1"/>
  <c r="L32" i="9"/>
  <c r="W32" i="9" s="1"/>
  <c r="U32" i="9"/>
  <c r="Y32" i="9" s="1"/>
  <c r="G67" i="7" l="1"/>
  <c r="M67" i="7"/>
  <c r="J67" i="7"/>
  <c r="D13" i="9"/>
  <c r="C13" i="9"/>
  <c r="F13" i="9"/>
  <c r="C28" i="9"/>
  <c r="F28" i="9"/>
  <c r="E28" i="9"/>
  <c r="C32" i="9"/>
  <c r="D32" i="9"/>
  <c r="F32" i="9"/>
  <c r="C66" i="7"/>
  <c r="E66" i="7"/>
  <c r="F66" i="7" s="1"/>
  <c r="H66" i="7"/>
  <c r="I66" i="7" s="1"/>
  <c r="M66" i="7" l="1"/>
  <c r="P66" i="7"/>
  <c r="M13" i="9"/>
  <c r="M28" i="9"/>
  <c r="M32" i="9"/>
  <c r="V13" i="9"/>
  <c r="N13" i="9"/>
  <c r="Q13" i="9" s="1"/>
  <c r="X13" i="9"/>
  <c r="V28" i="9"/>
  <c r="X28" i="9"/>
  <c r="N28" i="9"/>
  <c r="Q28" i="9" s="1"/>
  <c r="V32" i="9"/>
  <c r="X32" i="9"/>
  <c r="N32" i="9"/>
  <c r="Q32" i="9" s="1"/>
  <c r="J66" i="7"/>
  <c r="G66" i="7"/>
  <c r="C65" i="7"/>
  <c r="E65" i="7"/>
  <c r="F65" i="7" s="1"/>
  <c r="H65" i="7"/>
  <c r="I65" i="7" s="1"/>
  <c r="M65" i="7" l="1"/>
  <c r="P65" i="7"/>
  <c r="G65" i="7"/>
  <c r="J65" i="7"/>
  <c r="C64" i="7"/>
  <c r="P64" i="7" s="1"/>
  <c r="E64" i="7"/>
  <c r="F64" i="7" s="1"/>
  <c r="H64" i="7"/>
  <c r="I64" i="7" s="1"/>
  <c r="G64" i="7" l="1"/>
  <c r="M64" i="7"/>
  <c r="J64" i="7"/>
  <c r="G18" i="11"/>
  <c r="K18" i="11"/>
  <c r="L18" i="11"/>
  <c r="N18" i="11" s="1"/>
  <c r="G17" i="11"/>
  <c r="K17" i="11"/>
  <c r="L17" i="11"/>
  <c r="N17" i="11"/>
  <c r="G16" i="11"/>
  <c r="K16" i="11"/>
  <c r="L16" i="11"/>
  <c r="N16" i="11" s="1"/>
  <c r="G15" i="11"/>
  <c r="K15" i="11"/>
  <c r="L15" i="11"/>
  <c r="N15" i="11" s="1"/>
  <c r="L14" i="11"/>
  <c r="H30" i="13"/>
  <c r="I30" i="13"/>
  <c r="H29" i="13"/>
  <c r="I29" i="13"/>
  <c r="H28" i="13"/>
  <c r="I28" i="13"/>
  <c r="H27" i="13"/>
  <c r="I27" i="13"/>
  <c r="H26" i="13"/>
  <c r="I26" i="13"/>
  <c r="H25" i="13"/>
  <c r="I25" i="13"/>
  <c r="H24" i="13"/>
  <c r="I24" i="13"/>
  <c r="K11" i="11"/>
  <c r="G14" i="1"/>
  <c r="G13" i="1"/>
  <c r="C63" i="7"/>
  <c r="E63" i="7"/>
  <c r="F63" i="7" s="1"/>
  <c r="H63" i="7"/>
  <c r="V3" i="13" l="1"/>
  <c r="M63" i="7"/>
  <c r="P63" i="7"/>
  <c r="O17" i="11"/>
  <c r="O18" i="11"/>
  <c r="J63" i="7"/>
  <c r="O16" i="11"/>
  <c r="O15" i="11"/>
  <c r="I14" i="1"/>
  <c r="J14" i="1" s="1"/>
  <c r="I13" i="1"/>
  <c r="J13" i="1" s="1"/>
  <c r="I63" i="7"/>
  <c r="G63" i="7"/>
  <c r="C62" i="7"/>
  <c r="E62" i="7"/>
  <c r="H62" i="7"/>
  <c r="I62" i="7" s="1"/>
  <c r="B14" i="10"/>
  <c r="H14" i="10" s="1"/>
  <c r="F14" i="10"/>
  <c r="M14" i="10"/>
  <c r="B33" i="9"/>
  <c r="C33" i="9" s="1"/>
  <c r="L33" i="9"/>
  <c r="W33" i="9" s="1"/>
  <c r="U33" i="9"/>
  <c r="Y33" i="9" s="1"/>
  <c r="B44" i="9"/>
  <c r="E44" i="9" s="1"/>
  <c r="L44" i="9"/>
  <c r="W44" i="9" s="1"/>
  <c r="U44" i="9"/>
  <c r="Y44" i="9" s="1"/>
  <c r="B37" i="9"/>
  <c r="D37" i="9" s="1"/>
  <c r="L37" i="9"/>
  <c r="W37" i="9" s="1"/>
  <c r="U37" i="9"/>
  <c r="Y37" i="9" s="1"/>
  <c r="M62" i="7" l="1"/>
  <c r="P62" i="7"/>
  <c r="J62" i="7"/>
  <c r="G62" i="7"/>
  <c r="F62" i="7"/>
  <c r="F33" i="9"/>
  <c r="M33" i="9" s="1"/>
  <c r="D33" i="9"/>
  <c r="E33" i="9"/>
  <c r="C44" i="9"/>
  <c r="M44" i="9" s="1"/>
  <c r="D44" i="9"/>
  <c r="X44" i="9"/>
  <c r="N44" i="9"/>
  <c r="Q44" i="9" s="1"/>
  <c r="F44" i="9"/>
  <c r="C37" i="9"/>
  <c r="M37" i="9" s="1"/>
  <c r="N37" i="9"/>
  <c r="Q37" i="9" s="1"/>
  <c r="X37" i="9"/>
  <c r="F37" i="9"/>
  <c r="E37" i="9"/>
  <c r="C61" i="7"/>
  <c r="E61" i="7"/>
  <c r="F61" i="7" s="1"/>
  <c r="H61" i="7"/>
  <c r="I61" i="7" s="1"/>
  <c r="M61" i="7" l="1"/>
  <c r="P61" i="7"/>
  <c r="V37" i="9"/>
  <c r="V33" i="9"/>
  <c r="N33" i="9"/>
  <c r="Q33" i="9" s="1"/>
  <c r="X33" i="9"/>
  <c r="V44" i="9"/>
  <c r="J61" i="7"/>
  <c r="G61" i="7"/>
  <c r="C60" i="7"/>
  <c r="E60" i="7"/>
  <c r="F60" i="7" s="1"/>
  <c r="H60" i="7"/>
  <c r="I60" i="7" s="1"/>
  <c r="C59" i="7"/>
  <c r="E59" i="7"/>
  <c r="F59" i="7" s="1"/>
  <c r="H59" i="7"/>
  <c r="I59" i="7" s="1"/>
  <c r="M59" i="7" l="1"/>
  <c r="P59" i="7"/>
  <c r="M60" i="7"/>
  <c r="P60" i="7"/>
  <c r="G60" i="7"/>
  <c r="J60" i="7"/>
  <c r="G59" i="7"/>
  <c r="J59" i="7"/>
  <c r="C58" i="7"/>
  <c r="P58" i="7" s="1"/>
  <c r="E58" i="7"/>
  <c r="F58" i="7" s="1"/>
  <c r="H58" i="7"/>
  <c r="I58" i="7" s="1"/>
  <c r="G58" i="7" l="1"/>
  <c r="M58" i="7"/>
  <c r="J58" i="7"/>
  <c r="B13" i="10"/>
  <c r="H13" i="10" s="1"/>
  <c r="F13" i="10"/>
  <c r="M13" i="10"/>
  <c r="B34" i="9"/>
  <c r="D34" i="9" s="1"/>
  <c r="I34" i="9"/>
  <c r="L34" i="9" s="1"/>
  <c r="W34" i="9" s="1"/>
  <c r="U34" i="9"/>
  <c r="Y34" i="9" s="1"/>
  <c r="B41" i="9"/>
  <c r="E41" i="9" s="1"/>
  <c r="I41" i="9"/>
  <c r="L41" i="9" s="1"/>
  <c r="W41" i="9" s="1"/>
  <c r="U41" i="9"/>
  <c r="Y41" i="9" s="1"/>
  <c r="B30" i="9"/>
  <c r="C30" i="9" s="1"/>
  <c r="I30" i="9"/>
  <c r="L30" i="9" s="1"/>
  <c r="W30" i="9" s="1"/>
  <c r="U30" i="9"/>
  <c r="Y30" i="9" s="1"/>
  <c r="C34" i="9" l="1"/>
  <c r="F34" i="9"/>
  <c r="E34" i="9"/>
  <c r="D41" i="9"/>
  <c r="C41" i="9"/>
  <c r="M41" i="9" s="1"/>
  <c r="F41" i="9"/>
  <c r="N41" i="9"/>
  <c r="Q41" i="9" s="1"/>
  <c r="X41" i="9"/>
  <c r="F30" i="9"/>
  <c r="E30" i="9"/>
  <c r="D30" i="9"/>
  <c r="M30" i="9" s="1"/>
  <c r="H18" i="13"/>
  <c r="H19" i="13"/>
  <c r="H20" i="13"/>
  <c r="H21" i="13"/>
  <c r="H22" i="13"/>
  <c r="H23" i="13"/>
  <c r="M34" i="9" l="1"/>
  <c r="N34" i="9"/>
  <c r="Q34" i="9" s="1"/>
  <c r="V34" i="9"/>
  <c r="X34" i="9"/>
  <c r="V41" i="9"/>
  <c r="N30" i="9"/>
  <c r="Q30" i="9" s="1"/>
  <c r="X30" i="9"/>
  <c r="V30" i="9"/>
  <c r="C57" i="7"/>
  <c r="E57" i="7"/>
  <c r="F57" i="7" s="1"/>
  <c r="H57" i="7"/>
  <c r="I57" i="7" s="1"/>
  <c r="M57" i="7" l="1"/>
  <c r="P57" i="7"/>
  <c r="G57" i="7"/>
  <c r="J57" i="7"/>
  <c r="C56" i="7"/>
  <c r="E56" i="7"/>
  <c r="F56" i="7" s="1"/>
  <c r="H56" i="7"/>
  <c r="I56" i="7" s="1"/>
  <c r="M56" i="7" l="1"/>
  <c r="P56" i="7"/>
  <c r="J56" i="7"/>
  <c r="G56" i="7"/>
  <c r="C55" i="7"/>
  <c r="P55" i="7" s="1"/>
  <c r="E55" i="7"/>
  <c r="F55" i="7" s="1"/>
  <c r="H55" i="7"/>
  <c r="I55" i="7" s="1"/>
  <c r="G55" i="7" l="1"/>
  <c r="M55" i="7"/>
  <c r="J55" i="7"/>
  <c r="B12" i="10"/>
  <c r="H12" i="10" s="1"/>
  <c r="F12" i="10"/>
  <c r="M12" i="10"/>
  <c r="B9" i="9"/>
  <c r="C9" i="9" s="1"/>
  <c r="I9" i="9"/>
  <c r="L9" i="9" s="1"/>
  <c r="W9" i="9" s="1"/>
  <c r="U9" i="9"/>
  <c r="Y9" i="9" s="1"/>
  <c r="B18" i="9"/>
  <c r="D18" i="9" s="1"/>
  <c r="I18" i="9"/>
  <c r="L18" i="9" s="1"/>
  <c r="W18" i="9" s="1"/>
  <c r="U18" i="9"/>
  <c r="Y18" i="9" s="1"/>
  <c r="B19" i="9"/>
  <c r="D19" i="9" s="1"/>
  <c r="I19" i="9"/>
  <c r="L19" i="9" s="1"/>
  <c r="W19" i="9" s="1"/>
  <c r="U19" i="9"/>
  <c r="Y19" i="9" s="1"/>
  <c r="F9" i="9" l="1"/>
  <c r="M9" i="9" s="1"/>
  <c r="E9" i="9"/>
  <c r="D9" i="9"/>
  <c r="C18" i="9"/>
  <c r="F18" i="9"/>
  <c r="E18" i="9"/>
  <c r="C19" i="9"/>
  <c r="M19" i="9" s="1"/>
  <c r="N19" i="9"/>
  <c r="Q19" i="9" s="1"/>
  <c r="X19" i="9"/>
  <c r="F19" i="9"/>
  <c r="E19" i="9"/>
  <c r="E3" i="7"/>
  <c r="F3" i="7" s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E53" i="7"/>
  <c r="F53" i="7" s="1"/>
  <c r="C54" i="7"/>
  <c r="E54" i="7"/>
  <c r="F54" i="7" s="1"/>
  <c r="C53" i="7"/>
  <c r="M53" i="7" l="1"/>
  <c r="P53" i="7"/>
  <c r="M54" i="7"/>
  <c r="P54" i="7"/>
  <c r="M18" i="9"/>
  <c r="J53" i="7"/>
  <c r="N9" i="9"/>
  <c r="Q9" i="9" s="1"/>
  <c r="V9" i="9"/>
  <c r="X9" i="9"/>
  <c r="V18" i="9"/>
  <c r="X18" i="9"/>
  <c r="N18" i="9"/>
  <c r="Q18" i="9" s="1"/>
  <c r="V19" i="9"/>
  <c r="J54" i="7"/>
  <c r="G54" i="7"/>
  <c r="G53" i="7"/>
  <c r="C52" i="7"/>
  <c r="P52" i="7" s="1"/>
  <c r="E52" i="7"/>
  <c r="F52" i="7" s="1"/>
  <c r="J52" i="7" l="1"/>
  <c r="M52" i="7"/>
  <c r="G52" i="7"/>
  <c r="C51" i="7"/>
  <c r="E51" i="7"/>
  <c r="F51" i="7" s="1"/>
  <c r="M51" i="7" l="1"/>
  <c r="P51" i="7"/>
  <c r="G51" i="7"/>
  <c r="J51" i="7"/>
  <c r="C50" i="7"/>
  <c r="P50" i="7" s="1"/>
  <c r="E50" i="7"/>
  <c r="F50" i="7" s="1"/>
  <c r="B11" i="10"/>
  <c r="H11" i="10" s="1"/>
  <c r="F11" i="10"/>
  <c r="M11" i="10"/>
  <c r="B6" i="9"/>
  <c r="C6" i="9" s="1"/>
  <c r="I6" i="9"/>
  <c r="L6" i="9" s="1"/>
  <c r="W6" i="9" s="1"/>
  <c r="U6" i="9"/>
  <c r="Y6" i="9" s="1"/>
  <c r="J50" i="7" l="1"/>
  <c r="M50" i="7"/>
  <c r="G50" i="7"/>
  <c r="E6" i="9"/>
  <c r="F6" i="9"/>
  <c r="M6" i="9" s="1"/>
  <c r="D6" i="9"/>
  <c r="B20" i="9"/>
  <c r="C20" i="9" s="1"/>
  <c r="I20" i="9"/>
  <c r="L20" i="9" s="1"/>
  <c r="W20" i="9" s="1"/>
  <c r="U20" i="9"/>
  <c r="Y20" i="9" s="1"/>
  <c r="B12" i="9"/>
  <c r="D12" i="9" s="1"/>
  <c r="I12" i="9"/>
  <c r="L12" i="9" s="1"/>
  <c r="W12" i="9" s="1"/>
  <c r="U12" i="9"/>
  <c r="Y12" i="9" s="1"/>
  <c r="C49" i="7"/>
  <c r="P49" i="7" s="1"/>
  <c r="E49" i="7"/>
  <c r="F49" i="7" s="1"/>
  <c r="J49" i="7" l="1"/>
  <c r="M49" i="7"/>
  <c r="G49" i="7"/>
  <c r="V6" i="9"/>
  <c r="X6" i="9"/>
  <c r="N6" i="9"/>
  <c r="Q6" i="9" s="1"/>
  <c r="F20" i="9"/>
  <c r="E20" i="9"/>
  <c r="M20" i="9" s="1"/>
  <c r="D20" i="9"/>
  <c r="X12" i="9"/>
  <c r="N12" i="9"/>
  <c r="Q12" i="9" s="1"/>
  <c r="C12" i="9"/>
  <c r="M12" i="9" s="1"/>
  <c r="F12" i="9"/>
  <c r="E12" i="9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N20" i="9" l="1"/>
  <c r="Q20" i="9" s="1"/>
  <c r="V20" i="9"/>
  <c r="X20" i="9"/>
  <c r="V12" i="9"/>
  <c r="H17" i="13"/>
  <c r="U3" i="13" s="1"/>
  <c r="G14" i="11"/>
  <c r="K14" i="11"/>
  <c r="N14" i="11"/>
  <c r="G13" i="11"/>
  <c r="K13" i="11"/>
  <c r="L13" i="11"/>
  <c r="N13" i="11" s="1"/>
  <c r="G12" i="11"/>
  <c r="K12" i="11"/>
  <c r="L12" i="11"/>
  <c r="N12" i="11" s="1"/>
  <c r="G11" i="11"/>
  <c r="O11" i="11"/>
  <c r="L11" i="11"/>
  <c r="N11" i="11" s="1"/>
  <c r="B3" i="9"/>
  <c r="E3" i="9" s="1"/>
  <c r="I3" i="9"/>
  <c r="L3" i="9" s="1"/>
  <c r="W3" i="9" s="1"/>
  <c r="U3" i="9"/>
  <c r="Y3" i="9" s="1"/>
  <c r="B10" i="10"/>
  <c r="H10" i="10" s="1"/>
  <c r="F10" i="10"/>
  <c r="M10" i="10"/>
  <c r="B26" i="9"/>
  <c r="E26" i="9" s="1"/>
  <c r="I26" i="9"/>
  <c r="L26" i="9" s="1"/>
  <c r="W26" i="9" s="1"/>
  <c r="U26" i="9"/>
  <c r="Y26" i="9" s="1"/>
  <c r="B14" i="9"/>
  <c r="E14" i="9" s="1"/>
  <c r="I14" i="9"/>
  <c r="L14" i="9" s="1"/>
  <c r="W14" i="9" s="1"/>
  <c r="U14" i="9"/>
  <c r="Y14" i="9" s="1"/>
  <c r="C48" i="7"/>
  <c r="P48" i="7" s="1"/>
  <c r="E48" i="7"/>
  <c r="F48" i="7" s="1"/>
  <c r="C47" i="7"/>
  <c r="P47" i="7" s="1"/>
  <c r="E47" i="7"/>
  <c r="F47" i="7" s="1"/>
  <c r="C46" i="7"/>
  <c r="P46" i="7" s="1"/>
  <c r="E46" i="7"/>
  <c r="F46" i="7" s="1"/>
  <c r="C45" i="7"/>
  <c r="P45" i="7" s="1"/>
  <c r="E45" i="7"/>
  <c r="F45" i="7" s="1"/>
  <c r="C44" i="7"/>
  <c r="P44" i="7" s="1"/>
  <c r="E44" i="7"/>
  <c r="F44" i="7" s="1"/>
  <c r="C43" i="7"/>
  <c r="P43" i="7" s="1"/>
  <c r="E43" i="7"/>
  <c r="F43" i="7" s="1"/>
  <c r="C42" i="7"/>
  <c r="P42" i="7" s="1"/>
  <c r="E42" i="7"/>
  <c r="F42" i="7" s="1"/>
  <c r="C41" i="7"/>
  <c r="P41" i="7" s="1"/>
  <c r="E41" i="7"/>
  <c r="F41" i="7" s="1"/>
  <c r="J47" i="7" l="1"/>
  <c r="M47" i="7"/>
  <c r="J44" i="7"/>
  <c r="M44" i="7"/>
  <c r="J43" i="7"/>
  <c r="M43" i="7"/>
  <c r="J48" i="7"/>
  <c r="M48" i="7"/>
  <c r="J42" i="7"/>
  <c r="M42" i="7"/>
  <c r="J46" i="7"/>
  <c r="M46" i="7"/>
  <c r="J41" i="7"/>
  <c r="M41" i="7"/>
  <c r="J45" i="7"/>
  <c r="M45" i="7"/>
  <c r="G44" i="7"/>
  <c r="G47" i="7"/>
  <c r="G45" i="7"/>
  <c r="G46" i="7"/>
  <c r="G41" i="7"/>
  <c r="G48" i="7"/>
  <c r="O14" i="11"/>
  <c r="O13" i="11"/>
  <c r="O12" i="11"/>
  <c r="D3" i="9"/>
  <c r="C3" i="9"/>
  <c r="F3" i="9"/>
  <c r="D26" i="9"/>
  <c r="C26" i="9"/>
  <c r="M26" i="9" s="1"/>
  <c r="X26" i="9"/>
  <c r="N26" i="9"/>
  <c r="Q26" i="9" s="1"/>
  <c r="F26" i="9"/>
  <c r="D14" i="9"/>
  <c r="C14" i="9"/>
  <c r="F14" i="9"/>
  <c r="G43" i="7"/>
  <c r="G42" i="7"/>
  <c r="C40" i="7"/>
  <c r="P40" i="7" s="1"/>
  <c r="E40" i="7"/>
  <c r="F40" i="7" s="1"/>
  <c r="B9" i="10"/>
  <c r="H9" i="10" s="1"/>
  <c r="F9" i="10"/>
  <c r="M9" i="10"/>
  <c r="B40" i="9"/>
  <c r="C40" i="9" s="1"/>
  <c r="I40" i="9"/>
  <c r="L40" i="9" s="1"/>
  <c r="W40" i="9" s="1"/>
  <c r="U40" i="9"/>
  <c r="Y40" i="9" s="1"/>
  <c r="I48" i="9"/>
  <c r="L48" i="9" s="1"/>
  <c r="W48" i="9" s="1"/>
  <c r="B48" i="9"/>
  <c r="C48" i="9" s="1"/>
  <c r="U48" i="9"/>
  <c r="Y48" i="9" s="1"/>
  <c r="B29" i="9"/>
  <c r="C29" i="9" s="1"/>
  <c r="I29" i="9"/>
  <c r="L29" i="9" s="1"/>
  <c r="W29" i="9" s="1"/>
  <c r="U29" i="9"/>
  <c r="Y29" i="9" s="1"/>
  <c r="C52" i="6"/>
  <c r="C39" i="7"/>
  <c r="P39" i="7" s="1"/>
  <c r="E39" i="7"/>
  <c r="F39" i="7" s="1"/>
  <c r="C51" i="6"/>
  <c r="C50" i="6"/>
  <c r="C38" i="7"/>
  <c r="P38" i="7" s="1"/>
  <c r="E38" i="7"/>
  <c r="F38" i="7" s="1"/>
  <c r="C37" i="7"/>
  <c r="P37" i="7" s="1"/>
  <c r="E37" i="7"/>
  <c r="F37" i="7" s="1"/>
  <c r="C49" i="6"/>
  <c r="C48" i="6"/>
  <c r="B8" i="10"/>
  <c r="H8" i="10" s="1"/>
  <c r="F8" i="10"/>
  <c r="M8" i="10"/>
  <c r="B8" i="9"/>
  <c r="C8" i="9" s="1"/>
  <c r="I8" i="9"/>
  <c r="L8" i="9" s="1"/>
  <c r="W8" i="9" s="1"/>
  <c r="U8" i="9"/>
  <c r="Y8" i="9" s="1"/>
  <c r="B38" i="9"/>
  <c r="C38" i="9" s="1"/>
  <c r="I38" i="9"/>
  <c r="L38" i="9" s="1"/>
  <c r="W38" i="9" s="1"/>
  <c r="U38" i="9"/>
  <c r="Y38" i="9" s="1"/>
  <c r="B17" i="9"/>
  <c r="C17" i="9" s="1"/>
  <c r="I17" i="9"/>
  <c r="L17" i="9" s="1"/>
  <c r="W17" i="9" s="1"/>
  <c r="U17" i="9"/>
  <c r="Y17" i="9" s="1"/>
  <c r="C36" i="7"/>
  <c r="P36" i="7" s="1"/>
  <c r="E36" i="7"/>
  <c r="F36" i="7" s="1"/>
  <c r="C35" i="7"/>
  <c r="P35" i="7" s="1"/>
  <c r="E35" i="7"/>
  <c r="F35" i="7" s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P34" i="7" s="1"/>
  <c r="E34" i="7"/>
  <c r="F34" i="7" s="1"/>
  <c r="C47" i="6"/>
  <c r="C46" i="6"/>
  <c r="C33" i="7"/>
  <c r="P33" i="7" s="1"/>
  <c r="E33" i="7"/>
  <c r="F33" i="7" s="1"/>
  <c r="C45" i="6"/>
  <c r="C32" i="7"/>
  <c r="P32" i="7" s="1"/>
  <c r="E32" i="7"/>
  <c r="F32" i="7" s="1"/>
  <c r="C44" i="6"/>
  <c r="C31" i="7"/>
  <c r="P31" i="7" s="1"/>
  <c r="E31" i="7"/>
  <c r="F31" i="7" s="1"/>
  <c r="C43" i="6"/>
  <c r="C30" i="7"/>
  <c r="P30" i="7" s="1"/>
  <c r="E30" i="7"/>
  <c r="F30" i="7" s="1"/>
  <c r="G3" i="11"/>
  <c r="K3" i="11"/>
  <c r="B7" i="10"/>
  <c r="H7" i="10" s="1"/>
  <c r="F7" i="10"/>
  <c r="M7" i="10"/>
  <c r="B7" i="9"/>
  <c r="C7" i="9" s="1"/>
  <c r="I7" i="9"/>
  <c r="L7" i="9" s="1"/>
  <c r="W7" i="9" s="1"/>
  <c r="U7" i="9"/>
  <c r="Y7" i="9" s="1"/>
  <c r="B46" i="9"/>
  <c r="C46" i="9" s="1"/>
  <c r="I46" i="9"/>
  <c r="L46" i="9" s="1"/>
  <c r="W46" i="9" s="1"/>
  <c r="U46" i="9"/>
  <c r="Y46" i="9" s="1"/>
  <c r="B22" i="9"/>
  <c r="C22" i="9" s="1"/>
  <c r="I22" i="9"/>
  <c r="L22" i="9" s="1"/>
  <c r="W22" i="9" s="1"/>
  <c r="U22" i="9"/>
  <c r="Y22" i="9" s="1"/>
  <c r="C29" i="7"/>
  <c r="P29" i="7" s="1"/>
  <c r="E29" i="7"/>
  <c r="F29" i="7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P28" i="7" s="1"/>
  <c r="E28" i="7"/>
  <c r="F28" i="7" s="1"/>
  <c r="C27" i="7"/>
  <c r="P27" i="7" s="1"/>
  <c r="E27" i="7"/>
  <c r="F27" i="7" s="1"/>
  <c r="C26" i="7"/>
  <c r="P26" i="7" s="1"/>
  <c r="E26" i="7"/>
  <c r="F26" i="7" s="1"/>
  <c r="M3" i="9" l="1"/>
  <c r="M14" i="9"/>
  <c r="J28" i="7"/>
  <c r="M28" i="7"/>
  <c r="J29" i="7"/>
  <c r="M29" i="7"/>
  <c r="J36" i="7"/>
  <c r="M36" i="7"/>
  <c r="J39" i="7"/>
  <c r="M39" i="7"/>
  <c r="J32" i="7"/>
  <c r="M32" i="7"/>
  <c r="J40" i="7"/>
  <c r="M40" i="7"/>
  <c r="J26" i="7"/>
  <c r="M26" i="7"/>
  <c r="J37" i="7"/>
  <c r="M37" i="7"/>
  <c r="J34" i="7"/>
  <c r="M34" i="7"/>
  <c r="J35" i="7"/>
  <c r="M35" i="7"/>
  <c r="J30" i="7"/>
  <c r="M30" i="7"/>
  <c r="J33" i="7"/>
  <c r="M33" i="7"/>
  <c r="J27" i="7"/>
  <c r="M27" i="7"/>
  <c r="J31" i="7"/>
  <c r="M31" i="7"/>
  <c r="J38" i="7"/>
  <c r="M38" i="7"/>
  <c r="S3" i="13"/>
  <c r="T3" i="13"/>
  <c r="G30" i="7"/>
  <c r="G35" i="7"/>
  <c r="G33" i="7"/>
  <c r="G36" i="7"/>
  <c r="G31" i="7"/>
  <c r="G27" i="7"/>
  <c r="G39" i="7"/>
  <c r="G37" i="7"/>
  <c r="G29" i="7"/>
  <c r="G32" i="7"/>
  <c r="V26" i="9"/>
  <c r="V3" i="9"/>
  <c r="X3" i="9"/>
  <c r="N3" i="9"/>
  <c r="Q3" i="9" s="1"/>
  <c r="V14" i="9"/>
  <c r="X14" i="9"/>
  <c r="N14" i="9"/>
  <c r="Q14" i="9" s="1"/>
  <c r="G40" i="7"/>
  <c r="F40" i="9"/>
  <c r="M40" i="9" s="1"/>
  <c r="E40" i="9"/>
  <c r="D40" i="9"/>
  <c r="F48" i="9"/>
  <c r="E48" i="9"/>
  <c r="M48" i="9" s="1"/>
  <c r="D48" i="9"/>
  <c r="F29" i="9"/>
  <c r="E29" i="9"/>
  <c r="D29" i="9"/>
  <c r="M29" i="9" s="1"/>
  <c r="G38" i="7"/>
  <c r="F8" i="9"/>
  <c r="M8" i="9" s="1"/>
  <c r="E8" i="9"/>
  <c r="D8" i="9"/>
  <c r="F38" i="9"/>
  <c r="E38" i="9"/>
  <c r="M38" i="9" s="1"/>
  <c r="D38" i="9"/>
  <c r="F17" i="9"/>
  <c r="E17" i="9"/>
  <c r="D17" i="9"/>
  <c r="M17" i="9" s="1"/>
  <c r="G34" i="7"/>
  <c r="F7" i="9"/>
  <c r="M7" i="9" s="1"/>
  <c r="E7" i="9"/>
  <c r="D7" i="9"/>
  <c r="F46" i="9"/>
  <c r="E46" i="9"/>
  <c r="M46" i="9" s="1"/>
  <c r="D46" i="9"/>
  <c r="F22" i="9"/>
  <c r="E22" i="9"/>
  <c r="D22" i="9"/>
  <c r="M22" i="9" s="1"/>
  <c r="G28" i="7"/>
  <c r="G26" i="7"/>
  <c r="C25" i="7"/>
  <c r="P25" i="7" s="1"/>
  <c r="E25" i="7"/>
  <c r="F25" i="7" s="1"/>
  <c r="M4" i="10"/>
  <c r="M5" i="10"/>
  <c r="M6" i="10"/>
  <c r="C24" i="7"/>
  <c r="P24" i="7" s="1"/>
  <c r="E24" i="7"/>
  <c r="F24" i="7" s="1"/>
  <c r="B6" i="10"/>
  <c r="H6" i="10" s="1"/>
  <c r="F6" i="10"/>
  <c r="B4" i="9"/>
  <c r="C4" i="9" s="1"/>
  <c r="I4" i="9"/>
  <c r="L4" i="9" s="1"/>
  <c r="W4" i="9" s="1"/>
  <c r="U4" i="9"/>
  <c r="Y4" i="9" s="1"/>
  <c r="B23" i="9"/>
  <c r="C23" i="9" s="1"/>
  <c r="I23" i="9"/>
  <c r="L23" i="9" s="1"/>
  <c r="W23" i="9" s="1"/>
  <c r="U23" i="9"/>
  <c r="Y23" i="9" s="1"/>
  <c r="I71" i="9"/>
  <c r="L71" i="9" s="1"/>
  <c r="W71" i="9" s="1"/>
  <c r="B11" i="9"/>
  <c r="C11" i="9" s="1"/>
  <c r="I11" i="9"/>
  <c r="L11" i="9" s="1"/>
  <c r="W11" i="9" s="1"/>
  <c r="U11" i="9"/>
  <c r="Y11" i="9" s="1"/>
  <c r="C3" i="7"/>
  <c r="C4" i="7"/>
  <c r="P4" i="7" s="1"/>
  <c r="C5" i="7"/>
  <c r="P5" i="7" s="1"/>
  <c r="C6" i="7"/>
  <c r="P6" i="7" s="1"/>
  <c r="C7" i="7"/>
  <c r="P7" i="7" s="1"/>
  <c r="C8" i="7"/>
  <c r="P8" i="7" s="1"/>
  <c r="C9" i="7"/>
  <c r="P9" i="7" s="1"/>
  <c r="C10" i="7"/>
  <c r="P10" i="7" s="1"/>
  <c r="C11" i="7"/>
  <c r="P11" i="7" s="1"/>
  <c r="C12" i="7"/>
  <c r="P12" i="7" s="1"/>
  <c r="C13" i="7"/>
  <c r="P13" i="7" s="1"/>
  <c r="C14" i="7"/>
  <c r="P14" i="7" s="1"/>
  <c r="C15" i="7"/>
  <c r="P15" i="7" s="1"/>
  <c r="C16" i="7"/>
  <c r="P16" i="7" s="1"/>
  <c r="C17" i="7"/>
  <c r="P17" i="7" s="1"/>
  <c r="C18" i="7"/>
  <c r="P18" i="7" s="1"/>
  <c r="C19" i="7"/>
  <c r="P19" i="7" s="1"/>
  <c r="C20" i="7"/>
  <c r="P20" i="7" s="1"/>
  <c r="C21" i="7"/>
  <c r="P21" i="7" s="1"/>
  <c r="C22" i="7"/>
  <c r="P22" i="7" s="1"/>
  <c r="C23" i="7"/>
  <c r="P23" i="7" s="1"/>
  <c r="E23" i="7"/>
  <c r="F23" i="7" s="1"/>
  <c r="E22" i="7"/>
  <c r="F22" i="7" s="1"/>
  <c r="G7" i="11"/>
  <c r="G10" i="1"/>
  <c r="I10" i="1"/>
  <c r="G9" i="1"/>
  <c r="I9" i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K10" i="11"/>
  <c r="L10" i="11"/>
  <c r="N10" i="11" s="1"/>
  <c r="G9" i="11"/>
  <c r="K9" i="11"/>
  <c r="L9" i="11"/>
  <c r="N9" i="11" s="1"/>
  <c r="G8" i="11"/>
  <c r="K8" i="11"/>
  <c r="L8" i="11"/>
  <c r="N8" i="11" s="1"/>
  <c r="K7" i="11"/>
  <c r="O7" i="11" s="1"/>
  <c r="L7" i="11"/>
  <c r="N7" i="11" s="1"/>
  <c r="E21" i="7"/>
  <c r="F21" i="7" s="1"/>
  <c r="E20" i="7"/>
  <c r="F20" i="7" s="1"/>
  <c r="E19" i="7"/>
  <c r="F19" i="7" s="1"/>
  <c r="B5" i="10"/>
  <c r="H5" i="10" s="1"/>
  <c r="F5" i="10"/>
  <c r="B71" i="9"/>
  <c r="C71" i="9" s="1"/>
  <c r="U71" i="9"/>
  <c r="Y71" i="9" s="1"/>
  <c r="I57" i="9"/>
  <c r="L57" i="9" s="1"/>
  <c r="W57" i="9" s="1"/>
  <c r="B66" i="9"/>
  <c r="C66" i="9" s="1"/>
  <c r="I66" i="9"/>
  <c r="L66" i="9" s="1"/>
  <c r="W66" i="9" s="1"/>
  <c r="U66" i="9"/>
  <c r="Y66" i="9" s="1"/>
  <c r="B49" i="9"/>
  <c r="C49" i="9" s="1"/>
  <c r="I49" i="9"/>
  <c r="L49" i="9" s="1"/>
  <c r="W49" i="9" s="1"/>
  <c r="U49" i="9"/>
  <c r="Y49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N3" i="12"/>
  <c r="R3" i="12" s="1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R11" i="12" s="1"/>
  <c r="N12" i="12"/>
  <c r="R12" i="12" s="1"/>
  <c r="N13" i="12"/>
  <c r="R13" i="12" s="1"/>
  <c r="N14" i="12"/>
  <c r="R14" i="12" s="1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G6" i="11"/>
  <c r="B75" i="9"/>
  <c r="C75" i="9" s="1"/>
  <c r="I75" i="9"/>
  <c r="L75" i="9" s="1"/>
  <c r="W75" i="9" s="1"/>
  <c r="U75" i="9"/>
  <c r="Y75" i="9" s="1"/>
  <c r="B72" i="9"/>
  <c r="C72" i="9" s="1"/>
  <c r="I72" i="9"/>
  <c r="L72" i="9" s="1"/>
  <c r="W72" i="9" s="1"/>
  <c r="U72" i="9"/>
  <c r="Y72" i="9" s="1"/>
  <c r="B43" i="9"/>
  <c r="C43" i="9" s="1"/>
  <c r="I43" i="9"/>
  <c r="L43" i="9" s="1"/>
  <c r="W43" i="9" s="1"/>
  <c r="U43" i="9"/>
  <c r="Y43" i="9" s="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G7" i="10" s="1"/>
  <c r="G8" i="10" s="1"/>
  <c r="G9" i="10" s="1"/>
  <c r="G10" i="10" s="1"/>
  <c r="F3" i="10"/>
  <c r="J3" i="10" s="1"/>
  <c r="M3" i="10"/>
  <c r="B79" i="9"/>
  <c r="C79" i="9" s="1"/>
  <c r="L79" i="9"/>
  <c r="W79" i="9" s="1"/>
  <c r="U79" i="9"/>
  <c r="Y79" i="9" s="1"/>
  <c r="B67" i="9"/>
  <c r="C67" i="9" s="1"/>
  <c r="I67" i="9"/>
  <c r="L67" i="9" s="1"/>
  <c r="W67" i="9" s="1"/>
  <c r="U67" i="9"/>
  <c r="Y67" i="9" s="1"/>
  <c r="B65" i="9"/>
  <c r="C65" i="9" s="1"/>
  <c r="I65" i="9"/>
  <c r="L65" i="9" s="1"/>
  <c r="W65" i="9" s="1"/>
  <c r="U65" i="9"/>
  <c r="Y65" i="9" s="1"/>
  <c r="B63" i="9"/>
  <c r="C63" i="9" s="1"/>
  <c r="I63" i="9"/>
  <c r="L63" i="9" s="1"/>
  <c r="W63" i="9" s="1"/>
  <c r="U63" i="9"/>
  <c r="Y63" i="9" s="1"/>
  <c r="B61" i="9"/>
  <c r="C61" i="9" s="1"/>
  <c r="I61" i="9"/>
  <c r="L61" i="9" s="1"/>
  <c r="W61" i="9" s="1"/>
  <c r="U61" i="9"/>
  <c r="Y61" i="9" s="1"/>
  <c r="B59" i="9"/>
  <c r="C59" i="9" s="1"/>
  <c r="I59" i="9"/>
  <c r="L59" i="9" s="1"/>
  <c r="W59" i="9" s="1"/>
  <c r="U59" i="9"/>
  <c r="Y59" i="9" s="1"/>
  <c r="B54" i="9"/>
  <c r="C54" i="9" s="1"/>
  <c r="I54" i="9"/>
  <c r="L54" i="9" s="1"/>
  <c r="W54" i="9" s="1"/>
  <c r="U54" i="9"/>
  <c r="Y54" i="9" s="1"/>
  <c r="B69" i="9"/>
  <c r="C69" i="9" s="1"/>
  <c r="I69" i="9"/>
  <c r="L69" i="9" s="1"/>
  <c r="W69" i="9" s="1"/>
  <c r="U69" i="9"/>
  <c r="Y69" i="9" s="1"/>
  <c r="B88" i="9"/>
  <c r="C88" i="9" s="1"/>
  <c r="I88" i="9"/>
  <c r="L88" i="9" s="1"/>
  <c r="W88" i="9" s="1"/>
  <c r="U88" i="9"/>
  <c r="Y88" i="9" s="1"/>
  <c r="B73" i="9"/>
  <c r="C73" i="9" s="1"/>
  <c r="I73" i="9"/>
  <c r="L73" i="9" s="1"/>
  <c r="W73" i="9" s="1"/>
  <c r="U73" i="9"/>
  <c r="Y73" i="9" s="1"/>
  <c r="B57" i="9"/>
  <c r="C57" i="9" s="1"/>
  <c r="U57" i="9"/>
  <c r="Y57" i="9" s="1"/>
  <c r="B68" i="9"/>
  <c r="C68" i="9" s="1"/>
  <c r="I68" i="9"/>
  <c r="L68" i="9" s="1"/>
  <c r="W68" i="9" s="1"/>
  <c r="U68" i="9"/>
  <c r="Y68" i="9" s="1"/>
  <c r="B70" i="9"/>
  <c r="D70" i="9" s="1"/>
  <c r="I70" i="9"/>
  <c r="L70" i="9" s="1"/>
  <c r="W70" i="9" s="1"/>
  <c r="U70" i="9"/>
  <c r="Y70" i="9" s="1"/>
  <c r="B31" i="9"/>
  <c r="C31" i="9" s="1"/>
  <c r="I31" i="9"/>
  <c r="L31" i="9" s="1"/>
  <c r="W31" i="9" s="1"/>
  <c r="U31" i="9"/>
  <c r="Y31" i="9" s="1"/>
  <c r="B16" i="9"/>
  <c r="C16" i="9" s="1"/>
  <c r="I16" i="9"/>
  <c r="L16" i="9" s="1"/>
  <c r="W16" i="9" s="1"/>
  <c r="U16" i="9"/>
  <c r="Y16" i="9" s="1"/>
  <c r="I55" i="9"/>
  <c r="L55" i="9" s="1"/>
  <c r="W55" i="9" s="1"/>
  <c r="I84" i="9"/>
  <c r="L84" i="9" s="1"/>
  <c r="W84" i="9" s="1"/>
  <c r="I53" i="9"/>
  <c r="L53" i="9" s="1"/>
  <c r="W53" i="9" s="1"/>
  <c r="I80" i="9"/>
  <c r="L80" i="9" s="1"/>
  <c r="W80" i="9" s="1"/>
  <c r="I42" i="9"/>
  <c r="L42" i="9" s="1"/>
  <c r="W42" i="9" s="1"/>
  <c r="I89" i="9"/>
  <c r="L89" i="9" s="1"/>
  <c r="W89" i="9" s="1"/>
  <c r="I76" i="9"/>
  <c r="L76" i="9" s="1"/>
  <c r="W76" i="9" s="1"/>
  <c r="I25" i="9"/>
  <c r="L25" i="9" s="1"/>
  <c r="W25" i="9" s="1"/>
  <c r="I24" i="9"/>
  <c r="B24" i="9"/>
  <c r="C24" i="9" s="1"/>
  <c r="U24" i="9"/>
  <c r="Y24" i="9" s="1"/>
  <c r="B25" i="9"/>
  <c r="C25" i="9" s="1"/>
  <c r="U25" i="9"/>
  <c r="Y25" i="9" s="1"/>
  <c r="B76" i="9"/>
  <c r="C76" i="9" s="1"/>
  <c r="U76" i="9"/>
  <c r="Y76" i="9" s="1"/>
  <c r="B89" i="9"/>
  <c r="C89" i="9" s="1"/>
  <c r="U89" i="9"/>
  <c r="Y89" i="9" s="1"/>
  <c r="B42" i="9"/>
  <c r="C42" i="9" s="1"/>
  <c r="U42" i="9"/>
  <c r="Y42" i="9" s="1"/>
  <c r="B80" i="9"/>
  <c r="C80" i="9" s="1"/>
  <c r="U80" i="9"/>
  <c r="Y80" i="9" s="1"/>
  <c r="U53" i="9"/>
  <c r="Y53" i="9" s="1"/>
  <c r="B53" i="9"/>
  <c r="C53" i="9" s="1"/>
  <c r="B84" i="9"/>
  <c r="C84" i="9" s="1"/>
  <c r="B55" i="9"/>
  <c r="E55" i="9" s="1"/>
  <c r="U84" i="9"/>
  <c r="Y84" i="9" s="1"/>
  <c r="U55" i="9"/>
  <c r="Y55" i="9" s="1"/>
  <c r="P3" i="7" l="1"/>
  <c r="M3" i="7"/>
  <c r="Y3" i="13"/>
  <c r="J4" i="10"/>
  <c r="J10" i="1"/>
  <c r="D12" i="1"/>
  <c r="I9" i="10"/>
  <c r="G11" i="10"/>
  <c r="I10" i="10"/>
  <c r="I8" i="10"/>
  <c r="I7" i="10"/>
  <c r="N48" i="9"/>
  <c r="Q48" i="9" s="1"/>
  <c r="N46" i="9"/>
  <c r="Q46" i="9" s="1"/>
  <c r="X40" i="9"/>
  <c r="N38" i="9"/>
  <c r="Q38" i="9" s="1"/>
  <c r="J5" i="10"/>
  <c r="J6" i="10" s="1"/>
  <c r="J7" i="10" s="1"/>
  <c r="J15" i="7"/>
  <c r="M15" i="7"/>
  <c r="J23" i="7"/>
  <c r="M23" i="7"/>
  <c r="J7" i="7"/>
  <c r="M7" i="7"/>
  <c r="J14" i="7"/>
  <c r="M14" i="7"/>
  <c r="J19" i="7"/>
  <c r="M19" i="7"/>
  <c r="J11" i="7"/>
  <c r="M11" i="7"/>
  <c r="J3" i="7"/>
  <c r="J22" i="7"/>
  <c r="M22" i="7"/>
  <c r="J6" i="7"/>
  <c r="M6" i="7"/>
  <c r="J5" i="7"/>
  <c r="M5" i="7"/>
  <c r="J4" i="7"/>
  <c r="M4" i="7"/>
  <c r="J18" i="7"/>
  <c r="M18" i="7"/>
  <c r="J17" i="7"/>
  <c r="M17" i="7"/>
  <c r="J9" i="7"/>
  <c r="M9" i="7"/>
  <c r="J21" i="7"/>
  <c r="M21" i="7"/>
  <c r="J13" i="7"/>
  <c r="M13" i="7"/>
  <c r="J24" i="7"/>
  <c r="M24" i="7"/>
  <c r="J20" i="7"/>
  <c r="M20" i="7"/>
  <c r="J12" i="7"/>
  <c r="M12" i="7"/>
  <c r="J10" i="7"/>
  <c r="M10" i="7"/>
  <c r="J16" i="7"/>
  <c r="M16" i="7"/>
  <c r="J8" i="7"/>
  <c r="M8" i="7"/>
  <c r="J25" i="7"/>
  <c r="M25" i="7"/>
  <c r="G24" i="7"/>
  <c r="O10" i="11"/>
  <c r="J9" i="1"/>
  <c r="D11" i="1"/>
  <c r="V40" i="9"/>
  <c r="N40" i="9"/>
  <c r="Q40" i="9" s="1"/>
  <c r="V48" i="9"/>
  <c r="X48" i="9"/>
  <c r="N29" i="9"/>
  <c r="Q29" i="9" s="1"/>
  <c r="V29" i="9"/>
  <c r="X29" i="9"/>
  <c r="V8" i="9"/>
  <c r="N8" i="9"/>
  <c r="Q8" i="9" s="1"/>
  <c r="X8" i="9"/>
  <c r="V38" i="9"/>
  <c r="X38" i="9"/>
  <c r="N17" i="9"/>
  <c r="Q17" i="9" s="1"/>
  <c r="V17" i="9"/>
  <c r="X17" i="9"/>
  <c r="V7" i="9"/>
  <c r="N7" i="9"/>
  <c r="Q7" i="9" s="1"/>
  <c r="X7" i="9"/>
  <c r="X46" i="9"/>
  <c r="V46" i="9"/>
  <c r="N22" i="9"/>
  <c r="Q22" i="9" s="1"/>
  <c r="X22" i="9"/>
  <c r="V22" i="9"/>
  <c r="G25" i="7"/>
  <c r="G21" i="7"/>
  <c r="G17" i="7"/>
  <c r="G13" i="7"/>
  <c r="G9" i="7"/>
  <c r="G5" i="7"/>
  <c r="I6" i="10"/>
  <c r="I4" i="10"/>
  <c r="I5" i="10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F4" i="9"/>
  <c r="M4" i="9" s="1"/>
  <c r="E4" i="9"/>
  <c r="D4" i="9"/>
  <c r="F23" i="9"/>
  <c r="E23" i="9"/>
  <c r="M23" i="9" s="1"/>
  <c r="D23" i="9"/>
  <c r="F11" i="9"/>
  <c r="E11" i="9"/>
  <c r="D11" i="9"/>
  <c r="M11" i="9" s="1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55" i="9"/>
  <c r="F71" i="9"/>
  <c r="M71" i="9" s="1"/>
  <c r="E71" i="9"/>
  <c r="D71" i="9"/>
  <c r="F66" i="9"/>
  <c r="E66" i="9"/>
  <c r="M66" i="9" s="1"/>
  <c r="D66" i="9"/>
  <c r="F49" i="9"/>
  <c r="E49" i="9"/>
  <c r="D49" i="9"/>
  <c r="M49" i="9" s="1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75" i="9"/>
  <c r="M75" i="9" s="1"/>
  <c r="E75" i="9"/>
  <c r="D75" i="9"/>
  <c r="F72" i="9"/>
  <c r="E72" i="9"/>
  <c r="M72" i="9" s="1"/>
  <c r="D72" i="9"/>
  <c r="F43" i="9"/>
  <c r="E43" i="9"/>
  <c r="D43" i="9"/>
  <c r="M43" i="9" s="1"/>
  <c r="I3" i="10"/>
  <c r="F79" i="9"/>
  <c r="M79" i="9" s="1"/>
  <c r="E79" i="9"/>
  <c r="D79" i="9"/>
  <c r="F67" i="9"/>
  <c r="M67" i="9" s="1"/>
  <c r="E67" i="9"/>
  <c r="D67" i="9"/>
  <c r="F65" i="9"/>
  <c r="M65" i="9" s="1"/>
  <c r="E65" i="9"/>
  <c r="D65" i="9"/>
  <c r="F63" i="9"/>
  <c r="M63" i="9" s="1"/>
  <c r="E63" i="9"/>
  <c r="D63" i="9"/>
  <c r="F61" i="9"/>
  <c r="M61" i="9" s="1"/>
  <c r="E61" i="9"/>
  <c r="D61" i="9"/>
  <c r="F59" i="9"/>
  <c r="M59" i="9" s="1"/>
  <c r="E59" i="9"/>
  <c r="D59" i="9"/>
  <c r="F54" i="9"/>
  <c r="M54" i="9" s="1"/>
  <c r="E54" i="9"/>
  <c r="D54" i="9"/>
  <c r="F69" i="9"/>
  <c r="M69" i="9" s="1"/>
  <c r="E69" i="9"/>
  <c r="D69" i="9"/>
  <c r="F88" i="9"/>
  <c r="M88" i="9" s="1"/>
  <c r="E88" i="9"/>
  <c r="D88" i="9"/>
  <c r="F73" i="9"/>
  <c r="E73" i="9"/>
  <c r="M73" i="9" s="1"/>
  <c r="D73" i="9"/>
  <c r="F57" i="9"/>
  <c r="E57" i="9"/>
  <c r="M57" i="9" s="1"/>
  <c r="D57" i="9"/>
  <c r="F68" i="9"/>
  <c r="E68" i="9"/>
  <c r="M68" i="9" s="1"/>
  <c r="D68" i="9"/>
  <c r="F70" i="9"/>
  <c r="E70" i="9"/>
  <c r="C70" i="9"/>
  <c r="F31" i="9"/>
  <c r="E31" i="9"/>
  <c r="D31" i="9"/>
  <c r="M31" i="9" s="1"/>
  <c r="F16" i="9"/>
  <c r="E16" i="9"/>
  <c r="D16" i="9"/>
  <c r="M16" i="9" s="1"/>
  <c r="L24" i="9"/>
  <c r="W24" i="9" s="1"/>
  <c r="F24" i="9"/>
  <c r="E24" i="9"/>
  <c r="D24" i="9"/>
  <c r="M24" i="9" s="1"/>
  <c r="F25" i="9"/>
  <c r="E25" i="9"/>
  <c r="D25" i="9"/>
  <c r="M25" i="9" s="1"/>
  <c r="F76" i="9"/>
  <c r="D76" i="9"/>
  <c r="E76" i="9"/>
  <c r="M76" i="9" s="1"/>
  <c r="F89" i="9"/>
  <c r="M89" i="9" s="1"/>
  <c r="E89" i="9"/>
  <c r="D89" i="9"/>
  <c r="F42" i="9"/>
  <c r="E42" i="9"/>
  <c r="D42" i="9"/>
  <c r="M42" i="9" s="1"/>
  <c r="F80" i="9"/>
  <c r="E80" i="9"/>
  <c r="M80" i="9" s="1"/>
  <c r="D80" i="9"/>
  <c r="F53" i="9"/>
  <c r="E53" i="9"/>
  <c r="D53" i="9"/>
  <c r="M53" i="9" s="1"/>
  <c r="F55" i="9"/>
  <c r="F84" i="9"/>
  <c r="E84" i="9"/>
  <c r="M84" i="9" s="1"/>
  <c r="D84" i="9"/>
  <c r="D55" i="9"/>
  <c r="M55" i="9" l="1"/>
  <c r="G12" i="10"/>
  <c r="I11" i="10"/>
  <c r="G12" i="1"/>
  <c r="I12" i="1"/>
  <c r="J12" i="1" s="1"/>
  <c r="M70" i="9"/>
  <c r="X80" i="9"/>
  <c r="X75" i="9"/>
  <c r="X59" i="9"/>
  <c r="X76" i="9"/>
  <c r="X84" i="9"/>
  <c r="X70" i="9"/>
  <c r="X69" i="9"/>
  <c r="N23" i="9"/>
  <c r="Q23" i="9" s="1"/>
  <c r="X89" i="9"/>
  <c r="X16" i="9"/>
  <c r="X73" i="9"/>
  <c r="X42" i="9"/>
  <c r="X25" i="9"/>
  <c r="V67" i="9"/>
  <c r="N66" i="9"/>
  <c r="Q66" i="9" s="1"/>
  <c r="X55" i="9"/>
  <c r="X57" i="9"/>
  <c r="N72" i="9"/>
  <c r="Q72" i="9" s="1"/>
  <c r="X31" i="9"/>
  <c r="X4" i="9"/>
  <c r="X53" i="9"/>
  <c r="X68" i="9"/>
  <c r="X24" i="9"/>
  <c r="X88" i="9"/>
  <c r="X79" i="9"/>
  <c r="J8" i="10"/>
  <c r="K7" i="10"/>
  <c r="L7" i="10"/>
  <c r="L3" i="10"/>
  <c r="K3" i="10"/>
  <c r="L5" i="10"/>
  <c r="K5" i="10"/>
  <c r="L4" i="10"/>
  <c r="K4" i="10"/>
  <c r="L6" i="10"/>
  <c r="K6" i="10"/>
  <c r="I11" i="1"/>
  <c r="J11" i="1" s="1"/>
  <c r="G11" i="1"/>
  <c r="V4" i="9"/>
  <c r="N4" i="9"/>
  <c r="Q4" i="9" s="1"/>
  <c r="X23" i="9"/>
  <c r="V23" i="9"/>
  <c r="N11" i="9"/>
  <c r="Q11" i="9" s="1"/>
  <c r="X11" i="9"/>
  <c r="V11" i="9"/>
  <c r="V66" i="9"/>
  <c r="V71" i="9"/>
  <c r="N71" i="9"/>
  <c r="Q71" i="9" s="1"/>
  <c r="X71" i="9"/>
  <c r="X66" i="9"/>
  <c r="N49" i="9"/>
  <c r="Q49" i="9" s="1"/>
  <c r="X49" i="9"/>
  <c r="V49" i="9"/>
  <c r="S7" i="12"/>
  <c r="T7" i="12" s="1"/>
  <c r="V75" i="9"/>
  <c r="N75" i="9"/>
  <c r="Q75" i="9" s="1"/>
  <c r="X72" i="9"/>
  <c r="V72" i="9"/>
  <c r="N43" i="9"/>
  <c r="Q43" i="9" s="1"/>
  <c r="X43" i="9"/>
  <c r="V43" i="9"/>
  <c r="V79" i="9"/>
  <c r="N79" i="9"/>
  <c r="Q79" i="9" s="1"/>
  <c r="N67" i="9"/>
  <c r="Q67" i="9" s="1"/>
  <c r="X67" i="9"/>
  <c r="X54" i="9"/>
  <c r="V54" i="9"/>
  <c r="V65" i="9"/>
  <c r="N65" i="9"/>
  <c r="Q65" i="9" s="1"/>
  <c r="X65" i="9"/>
  <c r="V63" i="9"/>
  <c r="N63" i="9"/>
  <c r="Q63" i="9" s="1"/>
  <c r="X63" i="9"/>
  <c r="X61" i="9"/>
  <c r="V61" i="9"/>
  <c r="N61" i="9"/>
  <c r="Q61" i="9" s="1"/>
  <c r="N55" i="9"/>
  <c r="Q55" i="9" s="1"/>
  <c r="V88" i="9"/>
  <c r="V84" i="9"/>
  <c r="V80" i="9"/>
  <c r="V76" i="9"/>
  <c r="V70" i="9"/>
  <c r="V69" i="9"/>
  <c r="V42" i="9"/>
  <c r="V24" i="9"/>
  <c r="V16" i="9"/>
  <c r="V73" i="9"/>
  <c r="V53" i="9"/>
  <c r="V68" i="9"/>
  <c r="V31" i="9"/>
  <c r="N89" i="9"/>
  <c r="Q89" i="9" s="1"/>
  <c r="V89" i="9"/>
  <c r="V25" i="9"/>
  <c r="V57" i="9"/>
  <c r="V59" i="9"/>
  <c r="V55" i="9"/>
  <c r="N88" i="9"/>
  <c r="Q88" i="9" s="1"/>
  <c r="N59" i="9"/>
  <c r="Q59" i="9" s="1"/>
  <c r="N54" i="9"/>
  <c r="Q54" i="9" s="1"/>
  <c r="N69" i="9"/>
  <c r="Q69" i="9" s="1"/>
  <c r="N73" i="9"/>
  <c r="Q73" i="9" s="1"/>
  <c r="N57" i="9"/>
  <c r="Q57" i="9" s="1"/>
  <c r="N68" i="9"/>
  <c r="Q68" i="9" s="1"/>
  <c r="N70" i="9"/>
  <c r="Q70" i="9" s="1"/>
  <c r="N31" i="9"/>
  <c r="Q31" i="9" s="1"/>
  <c r="N16" i="9"/>
  <c r="Q16" i="9" s="1"/>
  <c r="N24" i="9"/>
  <c r="Q24" i="9" s="1"/>
  <c r="N25" i="9"/>
  <c r="Q25" i="9" s="1"/>
  <c r="N76" i="9"/>
  <c r="Q76" i="9" s="1"/>
  <c r="N42" i="9"/>
  <c r="Q42" i="9" s="1"/>
  <c r="N80" i="9"/>
  <c r="Q80" i="9" s="1"/>
  <c r="N53" i="9"/>
  <c r="Q53" i="9" s="1"/>
  <c r="N84" i="9"/>
  <c r="Q84" i="9" s="1"/>
  <c r="G13" i="10" l="1"/>
  <c r="I12" i="10"/>
  <c r="J9" i="10"/>
  <c r="K8" i="10"/>
  <c r="L8" i="10"/>
  <c r="S8" i="12"/>
  <c r="T8" i="12" s="1"/>
  <c r="G14" i="10" l="1"/>
  <c r="I13" i="10"/>
  <c r="J10" i="10"/>
  <c r="L9" i="10"/>
  <c r="K9" i="10"/>
  <c r="G15" i="10" l="1"/>
  <c r="I14" i="10"/>
  <c r="J11" i="10"/>
  <c r="L10" i="10"/>
  <c r="K10" i="10"/>
  <c r="G16" i="10" l="1"/>
  <c r="I15" i="10"/>
  <c r="J12" i="10"/>
  <c r="L11" i="10"/>
  <c r="K11" i="10"/>
  <c r="G17" i="10" l="1"/>
  <c r="I16" i="10"/>
  <c r="J13" i="10"/>
  <c r="L12" i="10"/>
  <c r="K12" i="10"/>
  <c r="G18" i="10" l="1"/>
  <c r="I17" i="10"/>
  <c r="J14" i="10"/>
  <c r="L13" i="10"/>
  <c r="K13" i="10"/>
  <c r="G19" i="10" l="1"/>
  <c r="I18" i="10"/>
  <c r="J15" i="10"/>
  <c r="K14" i="10"/>
  <c r="L14" i="10"/>
  <c r="G20" i="10" l="1"/>
  <c r="I20" i="10" s="1"/>
  <c r="I19" i="10"/>
  <c r="J16" i="10"/>
  <c r="L15" i="10"/>
  <c r="K15" i="10"/>
  <c r="J17" i="10" l="1"/>
  <c r="J18" i="10" s="1"/>
  <c r="L16" i="10"/>
  <c r="K16" i="10"/>
  <c r="J19" i="10" l="1"/>
  <c r="L18" i="10"/>
  <c r="K18" i="10"/>
  <c r="L17" i="10"/>
  <c r="K17" i="10"/>
  <c r="J20" i="10" l="1"/>
  <c r="K19" i="10"/>
  <c r="L19" i="10"/>
  <c r="L20" i="10" l="1"/>
  <c r="K20" i="10"/>
</calcChain>
</file>

<file path=xl/sharedStrings.xml><?xml version="1.0" encoding="utf-8"?>
<sst xmlns="http://schemas.openxmlformats.org/spreadsheetml/2006/main" count="437" uniqueCount="127">
  <si>
    <t>FECHA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</si>
  <si>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</si>
  <si>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</si>
  <si>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</si>
  <si>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</si>
  <si>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</si>
  <si>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</si>
  <si>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</si>
  <si>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</si>
  <si>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</si>
  <si>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</si>
  <si>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</si>
  <si>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</si>
  <si>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</si>
  <si>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</si>
  <si>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</si>
  <si>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</si>
  <si>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</si>
  <si>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</si>
  <si>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</si>
  <si>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</si>
  <si>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</si>
  <si>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</si>
  <si>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</si>
  <si>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</si>
  <si>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</si>
  <si>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</si>
  <si>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</si>
  <si>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</si>
  <si>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</si>
  <si>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</si>
  <si>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</si>
  <si>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</si>
  <si>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</si>
  <si>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</si>
  <si>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</si>
  <si>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</si>
  <si>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</si>
  <si>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</si>
  <si>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</si>
  <si>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</si>
  <si>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</si>
  <si>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</si>
  <si>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</si>
  <si>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</si>
  <si>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</si>
  <si>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</si>
  <si>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</si>
  <si>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</si>
  <si>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</si>
  <si>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</si>
  <si>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</si>
  <si>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</si>
  <si>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</si>
  <si>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</si>
  <si>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</si>
  <si>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</si>
  <si>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</si>
  <si>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</si>
  <si>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</si>
  <si>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</si>
  <si>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</si>
  <si>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</si>
  <si>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</si>
  <si>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</si>
  <si>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</si>
  <si>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</si>
  <si>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</si>
  <si>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</si>
  <si>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</si>
  <si>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</si>
  <si>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</si>
  <si>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</si>
  <si>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</si>
  <si>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</si>
  <si>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</si>
  <si>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</si>
  <si>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</si>
  <si>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</si>
  <si>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</si>
  <si>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</si>
  <si>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</si>
  <si>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</si>
  <si>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</si>
  <si>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</si>
  <si>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</si>
  <si>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</si>
  <si>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</si>
  <si>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</si>
  <si>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</si>
  <si>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</si>
  <si>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</si>
  <si>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</si>
  <si>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</si>
  <si>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</si>
  <si>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</si>
  <si>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</si>
  <si>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</si>
  <si>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</si>
  <si>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</si>
  <si>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</si>
  <si>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</si>
  <si>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</si>
  <si>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</si>
  <si>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INVERTIDO ESTE MES</t>
  </si>
  <si>
    <t>PRECIO DEL DÓLAR</t>
  </si>
  <si>
    <t>VALOR INVERSION 1</t>
  </si>
  <si>
    <t>VALOR EN COP</t>
  </si>
  <si>
    <t>SEPTIEMBRE</t>
  </si>
  <si>
    <t>ENERO</t>
  </si>
  <si>
    <t>FEBRERO</t>
  </si>
  <si>
    <t>OCTUBRE</t>
  </si>
  <si>
    <t>NOVIEMBRE</t>
  </si>
  <si>
    <t>DICIEMBRE</t>
  </si>
  <si>
    <t>CANTIDAD 2024</t>
  </si>
  <si>
    <t>TOTAL ANUAL</t>
  </si>
  <si>
    <t>VALOR INVERSION 2</t>
  </si>
  <si>
    <t>GAN/PER2</t>
  </si>
  <si>
    <t>VALOR EN COP2</t>
  </si>
  <si>
    <t>DIFERENCIA</t>
  </si>
  <si>
    <t>OCTURE</t>
  </si>
  <si>
    <t>VALOR INVERSION 3</t>
  </si>
  <si>
    <t>VALOR EN COP3</t>
  </si>
  <si>
    <t>GAN/PER3</t>
  </si>
  <si>
    <t>VALOR INVERSION 4</t>
  </si>
  <si>
    <t>GAN/PER4</t>
  </si>
  <si>
    <t>VALOR EN COP4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</si>
</sst>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  <numFmt numFmtId="170" formatCode="_-&quot;$&quot;\ * #,##0.00_-;\-&quot;$&quot;\ * #,##0.00_-;_-&quot;$&quot;\ * &quot;-&quot;_-;_-@_-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  <xf numFmtId="0" fontId="0" fillId="0" borderId="0" xfId="0" applyNumberFormat="1"/>
    <xf numFmtId="9" fontId="0" fillId="0" borderId="0" xfId="1" applyNumberFormat="1" applyFo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44" fontId="0" fillId="0" borderId="5" xfId="2" applyFont="1" applyBorder="1"/>
    <xf numFmtId="44" fontId="0" fillId="0" borderId="6" xfId="2" applyFont="1" applyBorder="1"/>
    <xf numFmtId="44" fontId="0" fillId="4" borderId="0" xfId="0" applyNumberFormat="1" applyFill="1"/>
    <xf numFmtId="44" fontId="0" fillId="5" borderId="0" xfId="0" applyNumberFormat="1" applyFill="1"/>
    <xf numFmtId="9" fontId="4" fillId="0" borderId="0" xfId="1" applyNumberFormat="1" applyFont="1"/>
    <xf numFmtId="170" fontId="0" fillId="0" borderId="0" xfId="3" applyNumberFormat="1" applyFont="1"/>
    <xf numFmtId="2" fontId="4" fillId="0" borderId="0" xfId="1" applyNumberFormat="1" applyFont="1"/>
    <xf numFmtId="170" fontId="4" fillId="0" borderId="0" xfId="3" applyNumberFormat="1" applyFont="1"/>
    <xf numFmtId="44" fontId="0" fillId="0" borderId="0" xfId="0" applyNumberFormat="1" applyFill="1"/>
    <xf numFmtId="165" fontId="0" fillId="0" borderId="0" xfId="0" applyNumberFormat="1" applyFill="1"/>
    <xf numFmtId="165" fontId="0" fillId="0" borderId="0" xfId="0" applyNumberFormat="1" applyFont="1"/>
  </cellXfs>
  <cellStyles count="4">
    <cellStyle name="Moneda" xfId="2" builtinId="4"/>
    <cellStyle name="Moneda [0]" xfId="3" builtinId="7"/>
    <cellStyle name="Normal" xfId="0" builtinId="0"/>
    <cellStyle name="Porcentaje" xfId="1" builtinId="5"/>
  </cellStyles>
  <dxfs count="145"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fill>
        <patternFill>
          <bgColor theme="9" tint="0.39994506668294322"/>
        </patternFill>
      </fill>
    </dxf>
    <dxf>
      <fill>
        <patternFill>
          <bgColor rgb="FFFF4F4F"/>
        </patternFill>
      </fill>
    </dxf>
    <dxf>
      <fill>
        <patternFill>
          <bgColor rgb="FFFF898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2D2D"/>
        </patternFill>
      </fill>
    </dxf>
    <dxf>
      <fill>
        <patternFill>
          <bgColor rgb="FFFF4343"/>
        </patternFill>
      </fill>
    </dxf>
    <dxf>
      <fill>
        <patternFill>
          <bgColor theme="9" tint="0.59996337778862885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34" formatCode="_-&quot;$&quot;\ * #,##0.00_-;\-&quot;$&quot;\ * #,##0.00_-;_-&quot;$&quot;\ * &quot;-&quot;??_-;_-@_-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scheme val="minor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3F3F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>
      <tableStyleElement type="wholeTable" dxfId="144"/>
      <tableStyleElement type="headerRow" dxfId="143"/>
      <tableStyleElement type="secondRowStripe" dxfId="142"/>
    </tableStyle>
    <tableStyle name="Estilo de tabla 2" pivot="0" count="5">
      <tableStyleElement type="wholeTable" dxfId="141"/>
      <tableStyleElement type="headerRow" dxfId="140"/>
      <tableStyleElement type="firstRowStripe" dxfId="139"/>
      <tableStyleElement type="secondRowStripe" dxfId="138"/>
      <tableStyleElement type="firstColumnStripe" dxfId="137"/>
    </tableStyle>
    <tableStyle name="Estilo de tabla 3" pivot="0" count="3">
      <tableStyleElement type="headerRow" dxfId="136"/>
      <tableStyleElement type="firstRowStripe" dxfId="135"/>
      <tableStyleElement type="secondRowStripe" dxfId="134"/>
    </tableStyle>
    <tableStyle name="Estilo de tabla 4" pivot="0" count="4">
      <tableStyleElement type="wholeTable" dxfId="133"/>
      <tableStyleElement type="headerRow" dxfId="132"/>
      <tableStyleElement type="firstRowStripe" dxfId="131"/>
      <tableStyleElement type="secondRowStripe" dxfId="130"/>
    </tableStyle>
    <tableStyle name="Estilo de tabla 5" pivot="0" count="4">
      <tableStyleElement type="wholeTable" dxfId="129"/>
      <tableStyleElement type="headerRow" dxfId="128"/>
      <tableStyleElement type="firstRowStripe" dxfId="127"/>
      <tableStyleElement type="secondRowStripe" dxfId="126"/>
    </tableStyle>
  </tableStyles>
  <colors>
    <mruColors>
      <color rgb="FFFF4F4F"/>
      <color rgb="FFFF2D2D"/>
      <color rgb="FFFF8989"/>
      <color rgb="FFFF5B5B"/>
      <color rgb="FFFF4343"/>
      <color rgb="FFFFFFFF"/>
      <color rgb="FFFF3F3F"/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PORTAFOLIO!$L$3:$R$3</c:f>
              <c:strCache>
                <c:ptCount val="7"/>
                <c:pt idx="0">
                  <c:v>CANTIDAD 2024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PORTAFOLIO!$S$2:$X$2</c:f>
              <c:strCache>
                <c:ptCount val="6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  <c:pt idx="3">
                  <c:v>OCTUBRE</c:v>
                </c:pt>
                <c:pt idx="4">
                  <c:v>NOVIEMBRE</c:v>
                </c:pt>
                <c:pt idx="5">
                  <c:v>DICIEMBRE</c:v>
                </c:pt>
              </c:strCache>
            </c:strRef>
          </c:cat>
          <c:val>
            <c:numRef>
              <c:f>PORTAFOLIO!$S$3:$X$3</c:f>
              <c:numCache>
                <c:formatCode>_("$"* #,##0.00_);_("$"* \(#,##0.00\);_("$"* "-"??_);_(@_)</c:formatCode>
                <c:ptCount val="6"/>
                <c:pt idx="0">
                  <c:v>-3075.5499999999988</c:v>
                </c:pt>
                <c:pt idx="1">
                  <c:v>1769.3199999999993</c:v>
                </c:pt>
                <c:pt idx="2">
                  <c:v>5206.7821492273697</c:v>
                </c:pt>
                <c:pt idx="3">
                  <c:v>-3958.345066650003</c:v>
                </c:pt>
                <c:pt idx="4">
                  <c:v>18070.395726733324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F-4074-A436-F225C813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70992"/>
        <c:axId val="459778608"/>
      </c:lineChart>
      <c:catAx>
        <c:axId val="459770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8608"/>
        <c:crosses val="autoZero"/>
        <c:auto val="1"/>
        <c:lblAlgn val="ctr"/>
        <c:lblOffset val="100"/>
        <c:noMultiLvlLbl val="0"/>
      </c:catAx>
      <c:valAx>
        <c:axId val="459778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historico</a:t>
            </a:r>
            <a:r>
              <a:rPr lang="es-CO" baseline="0"/>
              <a:t> Criptos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2477825977239087E-2"/>
          <c:y val="7.4372164030168011E-2"/>
          <c:w val="0.93766289661167013"/>
          <c:h val="0.77153678172519125"/>
        </c:manualLayout>
      </c:layout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CRIPTOS!$B$3:$B$232</c:f>
              <c:numCache>
                <c:formatCode>m/d/yyyy</c:formatCode>
                <c:ptCount val="23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  <c:pt idx="201">
                  <c:v>45608</c:v>
                </c:pt>
                <c:pt idx="202">
                  <c:v>45609</c:v>
                </c:pt>
                <c:pt idx="203">
                  <c:v>45610</c:v>
                </c:pt>
                <c:pt idx="204">
                  <c:v>45611</c:v>
                </c:pt>
                <c:pt idx="205">
                  <c:v>45612</c:v>
                </c:pt>
                <c:pt idx="206">
                  <c:v>45613</c:v>
                </c:pt>
                <c:pt idx="207">
                  <c:v>45614</c:v>
                </c:pt>
                <c:pt idx="208">
                  <c:v>45615</c:v>
                </c:pt>
                <c:pt idx="209">
                  <c:v>45616</c:v>
                </c:pt>
                <c:pt idx="210">
                  <c:v>45617</c:v>
                </c:pt>
                <c:pt idx="211">
                  <c:v>45618</c:v>
                </c:pt>
                <c:pt idx="212">
                  <c:v>45619</c:v>
                </c:pt>
                <c:pt idx="213">
                  <c:v>45620</c:v>
                </c:pt>
                <c:pt idx="214">
                  <c:v>45621</c:v>
                </c:pt>
                <c:pt idx="215">
                  <c:v>45622</c:v>
                </c:pt>
                <c:pt idx="216">
                  <c:v>45623</c:v>
                </c:pt>
                <c:pt idx="217">
                  <c:v>45624</c:v>
                </c:pt>
                <c:pt idx="218">
                  <c:v>45625</c:v>
                </c:pt>
                <c:pt idx="219">
                  <c:v>45626</c:v>
                </c:pt>
                <c:pt idx="220">
                  <c:v>45627</c:v>
                </c:pt>
                <c:pt idx="221">
                  <c:v>45628</c:v>
                </c:pt>
                <c:pt idx="222">
                  <c:v>45629</c:v>
                </c:pt>
                <c:pt idx="223">
                  <c:v>45630</c:v>
                </c:pt>
                <c:pt idx="224">
                  <c:v>45631</c:v>
                </c:pt>
                <c:pt idx="225">
                  <c:v>45632</c:v>
                </c:pt>
                <c:pt idx="226">
                  <c:v>45633</c:v>
                </c:pt>
                <c:pt idx="227">
                  <c:v>45634</c:v>
                </c:pt>
                <c:pt idx="228">
                  <c:v>45635</c:v>
                </c:pt>
              </c:numCache>
            </c:numRef>
          </c:cat>
          <c:val>
            <c:numRef>
              <c:f>CRIPTOS!$C$3:$C$232</c:f>
              <c:numCache>
                <c:formatCode>_-[$$-240A]\ * #,##0.00_-;\-[$$-240A]\ * #,##0.00_-;_-[$$-240A]\ * "-"??_-;_-@_-</c:formatCode>
                <c:ptCount val="230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  <c:pt idx="115">
                  <c:v>3999.63</c:v>
                </c:pt>
                <c:pt idx="116">
                  <c:v>4030.16</c:v>
                </c:pt>
                <c:pt idx="117">
                  <c:v>4023.02</c:v>
                </c:pt>
                <c:pt idx="118">
                  <c:v>4010.2</c:v>
                </c:pt>
                <c:pt idx="119">
                  <c:v>4036.25</c:v>
                </c:pt>
                <c:pt idx="120">
                  <c:v>4069.62</c:v>
                </c:pt>
                <c:pt idx="121">
                  <c:v>4035.33</c:v>
                </c:pt>
                <c:pt idx="122">
                  <c:v>4035.33</c:v>
                </c:pt>
                <c:pt idx="123">
                  <c:v>4029.75</c:v>
                </c:pt>
                <c:pt idx="124">
                  <c:v>4023.92</c:v>
                </c:pt>
                <c:pt idx="125">
                  <c:v>4045.64</c:v>
                </c:pt>
                <c:pt idx="126">
                  <c:v>4065.34</c:v>
                </c:pt>
                <c:pt idx="127">
                  <c:v>4132.1099999999997</c:v>
                </c:pt>
                <c:pt idx="128">
                  <c:v>4160.3100000000004</c:v>
                </c:pt>
                <c:pt idx="129">
                  <c:v>4160.3100000000004</c:v>
                </c:pt>
                <c:pt idx="130">
                  <c:v>4160.3100000000004</c:v>
                </c:pt>
                <c:pt idx="131">
                  <c:v>4160.3100000000004</c:v>
                </c:pt>
                <c:pt idx="132">
                  <c:v>4185.8</c:v>
                </c:pt>
                <c:pt idx="133">
                  <c:v>4185.82</c:v>
                </c:pt>
                <c:pt idx="134">
                  <c:v>4172.5</c:v>
                </c:pt>
                <c:pt idx="135">
                  <c:v>4167.16</c:v>
                </c:pt>
                <c:pt idx="136">
                  <c:v>4149.79</c:v>
                </c:pt>
                <c:pt idx="137">
                  <c:v>4149.79</c:v>
                </c:pt>
                <c:pt idx="138">
                  <c:v>4243.8</c:v>
                </c:pt>
                <c:pt idx="139">
                  <c:v>4279.09</c:v>
                </c:pt>
                <c:pt idx="140">
                  <c:v>4270.62</c:v>
                </c:pt>
                <c:pt idx="141">
                  <c:v>4197.38</c:v>
                </c:pt>
                <c:pt idx="142">
                  <c:v>4172.13</c:v>
                </c:pt>
                <c:pt idx="143">
                  <c:v>4172.13</c:v>
                </c:pt>
                <c:pt idx="144">
                  <c:v>4172.13</c:v>
                </c:pt>
                <c:pt idx="145">
                  <c:v>4220.58</c:v>
                </c:pt>
                <c:pt idx="146">
                  <c:v>4225.01</c:v>
                </c:pt>
                <c:pt idx="147">
                  <c:v>4176.8500000000004</c:v>
                </c:pt>
                <c:pt idx="148">
                  <c:v>4162.8100000000004</c:v>
                </c:pt>
                <c:pt idx="149">
                  <c:v>4162.8100000000004</c:v>
                </c:pt>
                <c:pt idx="150">
                  <c:v>4162.8100000000004</c:v>
                </c:pt>
                <c:pt idx="151">
                  <c:v>4153.9799999999996</c:v>
                </c:pt>
                <c:pt idx="152">
                  <c:v>4161.75</c:v>
                </c:pt>
                <c:pt idx="153">
                  <c:v>4148.75</c:v>
                </c:pt>
                <c:pt idx="154">
                  <c:v>4200.75</c:v>
                </c:pt>
                <c:pt idx="155">
                  <c:v>4157.54</c:v>
                </c:pt>
                <c:pt idx="156">
                  <c:v>4157.54</c:v>
                </c:pt>
                <c:pt idx="157">
                  <c:v>4157.54</c:v>
                </c:pt>
                <c:pt idx="158">
                  <c:v>4157.66</c:v>
                </c:pt>
                <c:pt idx="159">
                  <c:v>4199.12</c:v>
                </c:pt>
                <c:pt idx="160">
                  <c:v>4221.2700000000004</c:v>
                </c:pt>
                <c:pt idx="161">
                  <c:v>4194.26</c:v>
                </c:pt>
                <c:pt idx="162">
                  <c:v>4189.17</c:v>
                </c:pt>
                <c:pt idx="163">
                  <c:v>4189.17</c:v>
                </c:pt>
                <c:pt idx="164">
                  <c:v>4189.17</c:v>
                </c:pt>
                <c:pt idx="165">
                  <c:v>4167.41</c:v>
                </c:pt>
                <c:pt idx="166">
                  <c:v>4213.55</c:v>
                </c:pt>
                <c:pt idx="167">
                  <c:v>4231.08</c:v>
                </c:pt>
                <c:pt idx="168">
                  <c:v>4233.05</c:v>
                </c:pt>
                <c:pt idx="169">
                  <c:v>4210.95</c:v>
                </c:pt>
                <c:pt idx="170">
                  <c:v>4210.95</c:v>
                </c:pt>
                <c:pt idx="171">
                  <c:v>4210.95</c:v>
                </c:pt>
                <c:pt idx="172">
                  <c:v>4210.95</c:v>
                </c:pt>
                <c:pt idx="173">
                  <c:v>4207.21</c:v>
                </c:pt>
                <c:pt idx="174">
                  <c:v>4257.21</c:v>
                </c:pt>
                <c:pt idx="175">
                  <c:v>4278.74</c:v>
                </c:pt>
                <c:pt idx="176">
                  <c:v>4247.29</c:v>
                </c:pt>
                <c:pt idx="177">
                  <c:v>4237.25</c:v>
                </c:pt>
                <c:pt idx="178">
                  <c:v>4237.25</c:v>
                </c:pt>
                <c:pt idx="179">
                  <c:v>4270</c:v>
                </c:pt>
                <c:pt idx="180">
                  <c:v>4280.04</c:v>
                </c:pt>
                <c:pt idx="181">
                  <c:v>4270.37</c:v>
                </c:pt>
                <c:pt idx="182">
                  <c:v>4323.92</c:v>
                </c:pt>
                <c:pt idx="183">
                  <c:v>4323.1099999999997</c:v>
                </c:pt>
                <c:pt idx="184">
                  <c:v>4321.6400000000003</c:v>
                </c:pt>
                <c:pt idx="185">
                  <c:v>4321.6400000000003</c:v>
                </c:pt>
                <c:pt idx="186">
                  <c:v>4321.6400000000003</c:v>
                </c:pt>
                <c:pt idx="187">
                  <c:v>4345.13</c:v>
                </c:pt>
                <c:pt idx="188">
                  <c:v>4323.01</c:v>
                </c:pt>
                <c:pt idx="189">
                  <c:v>4374.1000000000004</c:v>
                </c:pt>
                <c:pt idx="190">
                  <c:v>4418.63</c:v>
                </c:pt>
                <c:pt idx="191">
                  <c:v>4414</c:v>
                </c:pt>
                <c:pt idx="192">
                  <c:v>4418.12</c:v>
                </c:pt>
                <c:pt idx="193">
                  <c:v>4445.3500000000004</c:v>
                </c:pt>
                <c:pt idx="194">
                  <c:v>4438.62</c:v>
                </c:pt>
                <c:pt idx="195">
                  <c:v>4439.75</c:v>
                </c:pt>
                <c:pt idx="196">
                  <c:v>4389.7299999999996</c:v>
                </c:pt>
                <c:pt idx="197">
                  <c:v>4399.58</c:v>
                </c:pt>
                <c:pt idx="198">
                  <c:v>4346.7</c:v>
                </c:pt>
                <c:pt idx="199">
                  <c:v>4346.7</c:v>
                </c:pt>
                <c:pt idx="200">
                  <c:v>4346.7</c:v>
                </c:pt>
                <c:pt idx="201">
                  <c:v>4376.95</c:v>
                </c:pt>
                <c:pt idx="202">
                  <c:v>4352.8</c:v>
                </c:pt>
                <c:pt idx="203">
                  <c:v>4500.38</c:v>
                </c:pt>
                <c:pt idx="204">
                  <c:v>4487.51</c:v>
                </c:pt>
                <c:pt idx="205">
                  <c:v>4498.58</c:v>
                </c:pt>
                <c:pt idx="206">
                  <c:v>4498.58</c:v>
                </c:pt>
                <c:pt idx="207">
                  <c:v>4407.41</c:v>
                </c:pt>
                <c:pt idx="208">
                  <c:v>4421.08</c:v>
                </c:pt>
                <c:pt idx="209">
                  <c:v>4405.5600000000004</c:v>
                </c:pt>
                <c:pt idx="210">
                  <c:v>4414.34</c:v>
                </c:pt>
                <c:pt idx="211">
                  <c:v>4438.78</c:v>
                </c:pt>
                <c:pt idx="212">
                  <c:v>4389.2299999999996</c:v>
                </c:pt>
                <c:pt idx="213">
                  <c:v>4389.2299999999996</c:v>
                </c:pt>
                <c:pt idx="214">
                  <c:v>4362.95</c:v>
                </c:pt>
                <c:pt idx="215">
                  <c:v>4399.41</c:v>
                </c:pt>
                <c:pt idx="216">
                  <c:v>4379.28</c:v>
                </c:pt>
                <c:pt idx="217">
                  <c:v>4390.7299999999996</c:v>
                </c:pt>
                <c:pt idx="218">
                  <c:v>4378.58</c:v>
                </c:pt>
                <c:pt idx="219">
                  <c:v>4419.5600000000004</c:v>
                </c:pt>
                <c:pt idx="220">
                  <c:v>4419.59</c:v>
                </c:pt>
                <c:pt idx="221">
                  <c:v>4398.53</c:v>
                </c:pt>
                <c:pt idx="222">
                  <c:v>4438.1000000000004</c:v>
                </c:pt>
                <c:pt idx="223">
                  <c:v>4443.45</c:v>
                </c:pt>
                <c:pt idx="224">
                  <c:v>4427.9399999999996</c:v>
                </c:pt>
                <c:pt idx="225">
                  <c:v>4424.18</c:v>
                </c:pt>
                <c:pt idx="226">
                  <c:v>4424.18</c:v>
                </c:pt>
                <c:pt idx="227">
                  <c:v>4424.18</c:v>
                </c:pt>
                <c:pt idx="228">
                  <c:v>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CRIPTOS!$B$3:$B$232</c:f>
              <c:numCache>
                <c:formatCode>m/d/yyyy</c:formatCode>
                <c:ptCount val="23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  <c:pt idx="201">
                  <c:v>45608</c:v>
                </c:pt>
                <c:pt idx="202">
                  <c:v>45609</c:v>
                </c:pt>
                <c:pt idx="203">
                  <c:v>45610</c:v>
                </c:pt>
                <c:pt idx="204">
                  <c:v>45611</c:v>
                </c:pt>
                <c:pt idx="205">
                  <c:v>45612</c:v>
                </c:pt>
                <c:pt idx="206">
                  <c:v>45613</c:v>
                </c:pt>
                <c:pt idx="207">
                  <c:v>45614</c:v>
                </c:pt>
                <c:pt idx="208">
                  <c:v>45615</c:v>
                </c:pt>
                <c:pt idx="209">
                  <c:v>45616</c:v>
                </c:pt>
                <c:pt idx="210">
                  <c:v>45617</c:v>
                </c:pt>
                <c:pt idx="211">
                  <c:v>45618</c:v>
                </c:pt>
                <c:pt idx="212">
                  <c:v>45619</c:v>
                </c:pt>
                <c:pt idx="213">
                  <c:v>45620</c:v>
                </c:pt>
                <c:pt idx="214">
                  <c:v>45621</c:v>
                </c:pt>
                <c:pt idx="215">
                  <c:v>45622</c:v>
                </c:pt>
                <c:pt idx="216">
                  <c:v>45623</c:v>
                </c:pt>
                <c:pt idx="217">
                  <c:v>45624</c:v>
                </c:pt>
                <c:pt idx="218">
                  <c:v>45625</c:v>
                </c:pt>
                <c:pt idx="219">
                  <c:v>45626</c:v>
                </c:pt>
                <c:pt idx="220">
                  <c:v>45627</c:v>
                </c:pt>
                <c:pt idx="221">
                  <c:v>45628</c:v>
                </c:pt>
                <c:pt idx="222">
                  <c:v>45629</c:v>
                </c:pt>
                <c:pt idx="223">
                  <c:v>45630</c:v>
                </c:pt>
                <c:pt idx="224">
                  <c:v>45631</c:v>
                </c:pt>
                <c:pt idx="225">
                  <c:v>45632</c:v>
                </c:pt>
                <c:pt idx="226">
                  <c:v>45633</c:v>
                </c:pt>
                <c:pt idx="227">
                  <c:v>45634</c:v>
                </c:pt>
                <c:pt idx="228">
                  <c:v>45635</c:v>
                </c:pt>
              </c:numCache>
            </c:numRef>
          </c:cat>
          <c:val>
            <c:numRef>
              <c:f>CRIPTOS!$D$3:$D$232</c:f>
              <c:numCache>
                <c:formatCode>_-[$$-240A]\ * #,##0.00_-;\-[$$-240A]\ * #,##0.00_-;_-[$$-240A]\ * "-"??_-;_-@_-</c:formatCode>
                <c:ptCount val="230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  <c:pt idx="115">
                  <c:v>58427.35</c:v>
                </c:pt>
                <c:pt idx="116">
                  <c:v>59438.5</c:v>
                </c:pt>
                <c:pt idx="117">
                  <c:v>59050</c:v>
                </c:pt>
                <c:pt idx="118">
                  <c:v>61156.03</c:v>
                </c:pt>
                <c:pt idx="119">
                  <c:v>60375.839999999997</c:v>
                </c:pt>
                <c:pt idx="120">
                  <c:v>61146.6</c:v>
                </c:pt>
                <c:pt idx="121">
                  <c:v>64157.01</c:v>
                </c:pt>
                <c:pt idx="122">
                  <c:v>63920.7</c:v>
                </c:pt>
                <c:pt idx="123">
                  <c:v>62954.5</c:v>
                </c:pt>
                <c:pt idx="124">
                  <c:v>59398</c:v>
                </c:pt>
                <c:pt idx="125">
                  <c:v>59013.7</c:v>
                </c:pt>
                <c:pt idx="126">
                  <c:v>59356.1</c:v>
                </c:pt>
                <c:pt idx="127">
                  <c:v>59125.599999999999</c:v>
                </c:pt>
                <c:pt idx="128">
                  <c:v>58978</c:v>
                </c:pt>
                <c:pt idx="129">
                  <c:v>57304</c:v>
                </c:pt>
                <c:pt idx="130">
                  <c:v>59134.3</c:v>
                </c:pt>
                <c:pt idx="131">
                  <c:v>57499.9</c:v>
                </c:pt>
                <c:pt idx="132">
                  <c:v>57970</c:v>
                </c:pt>
                <c:pt idx="133">
                  <c:v>56183.9</c:v>
                </c:pt>
                <c:pt idx="134">
                  <c:v>53961.4</c:v>
                </c:pt>
                <c:pt idx="135">
                  <c:v>54160.86</c:v>
                </c:pt>
                <c:pt idx="136">
                  <c:v>53629.01</c:v>
                </c:pt>
                <c:pt idx="137">
                  <c:v>57042</c:v>
                </c:pt>
                <c:pt idx="138">
                  <c:v>57245.279999999999</c:v>
                </c:pt>
                <c:pt idx="139">
                  <c:v>56780.57</c:v>
                </c:pt>
                <c:pt idx="140">
                  <c:v>57978.97</c:v>
                </c:pt>
                <c:pt idx="141">
                  <c:v>57821.2</c:v>
                </c:pt>
                <c:pt idx="142">
                  <c:v>59993.03</c:v>
                </c:pt>
                <c:pt idx="143">
                  <c:v>59132</c:v>
                </c:pt>
                <c:pt idx="144">
                  <c:v>58671.09</c:v>
                </c:pt>
                <c:pt idx="145">
                  <c:v>59090.6</c:v>
                </c:pt>
                <c:pt idx="146">
                  <c:v>59937.3</c:v>
                </c:pt>
                <c:pt idx="147">
                  <c:v>62938.7</c:v>
                </c:pt>
                <c:pt idx="148">
                  <c:v>63468.6</c:v>
                </c:pt>
                <c:pt idx="149">
                  <c:v>63244.4</c:v>
                </c:pt>
                <c:pt idx="150">
                  <c:v>63578.76</c:v>
                </c:pt>
                <c:pt idx="151">
                  <c:v>63506.5</c:v>
                </c:pt>
                <c:pt idx="152">
                  <c:v>63505.2</c:v>
                </c:pt>
                <c:pt idx="153">
                  <c:v>63675</c:v>
                </c:pt>
                <c:pt idx="154">
                  <c:v>64418.9</c:v>
                </c:pt>
                <c:pt idx="155">
                  <c:v>65837.3</c:v>
                </c:pt>
                <c:pt idx="156">
                  <c:v>65858</c:v>
                </c:pt>
                <c:pt idx="157">
                  <c:v>65602.009999999995</c:v>
                </c:pt>
                <c:pt idx="158">
                  <c:v>63629.9</c:v>
                </c:pt>
                <c:pt idx="159">
                  <c:v>63785.8</c:v>
                </c:pt>
                <c:pt idx="160">
                  <c:v>61293.1</c:v>
                </c:pt>
                <c:pt idx="161">
                  <c:v>60134.8</c:v>
                </c:pt>
                <c:pt idx="162">
                  <c:v>61440.4</c:v>
                </c:pt>
                <c:pt idx="163">
                  <c:v>62058</c:v>
                </c:pt>
                <c:pt idx="164">
                  <c:v>62819.91</c:v>
                </c:pt>
                <c:pt idx="165">
                  <c:v>62721.1</c:v>
                </c:pt>
                <c:pt idx="166">
                  <c:v>62554</c:v>
                </c:pt>
                <c:pt idx="167">
                  <c:v>62146</c:v>
                </c:pt>
                <c:pt idx="168">
                  <c:v>61260.02</c:v>
                </c:pt>
                <c:pt idx="169">
                  <c:v>61255.99</c:v>
                </c:pt>
                <c:pt idx="170">
                  <c:v>63206.22</c:v>
                </c:pt>
                <c:pt idx="171">
                  <c:v>62870.02</c:v>
                </c:pt>
                <c:pt idx="172">
                  <c:v>66083.990000000005</c:v>
                </c:pt>
                <c:pt idx="173">
                  <c:v>65440</c:v>
                </c:pt>
                <c:pt idx="174">
                  <c:v>67630</c:v>
                </c:pt>
                <c:pt idx="175">
                  <c:v>66892</c:v>
                </c:pt>
                <c:pt idx="176">
                  <c:v>67725.279999999999</c:v>
                </c:pt>
                <c:pt idx="177">
                  <c:v>68340</c:v>
                </c:pt>
                <c:pt idx="178">
                  <c:v>69000</c:v>
                </c:pt>
                <c:pt idx="179">
                  <c:v>68297.87</c:v>
                </c:pt>
                <c:pt idx="180">
                  <c:v>67353.34</c:v>
                </c:pt>
                <c:pt idx="181">
                  <c:v>66410.070000000007</c:v>
                </c:pt>
                <c:pt idx="182">
                  <c:v>67293.87</c:v>
                </c:pt>
                <c:pt idx="183">
                  <c:v>68253.88</c:v>
                </c:pt>
                <c:pt idx="184">
                  <c:v>67092.759999999995</c:v>
                </c:pt>
                <c:pt idx="185">
                  <c:v>68021.7</c:v>
                </c:pt>
                <c:pt idx="186">
                  <c:v>69615</c:v>
                </c:pt>
                <c:pt idx="187">
                  <c:v>71200.91</c:v>
                </c:pt>
                <c:pt idx="188">
                  <c:v>72187.039999999994</c:v>
                </c:pt>
                <c:pt idx="189">
                  <c:v>72074</c:v>
                </c:pt>
                <c:pt idx="190">
                  <c:v>69923.17</c:v>
                </c:pt>
                <c:pt idx="191">
                  <c:v>69374.740000000005</c:v>
                </c:pt>
                <c:pt idx="192">
                  <c:v>68306.28</c:v>
                </c:pt>
                <c:pt idx="193">
                  <c:v>67722.23</c:v>
                </c:pt>
                <c:pt idx="194">
                  <c:v>68825.05</c:v>
                </c:pt>
                <c:pt idx="195">
                  <c:v>75165</c:v>
                </c:pt>
                <c:pt idx="196">
                  <c:v>76495</c:v>
                </c:pt>
                <c:pt idx="197">
                  <c:v>76116.72</c:v>
                </c:pt>
                <c:pt idx="198">
                  <c:v>76677.460000000006</c:v>
                </c:pt>
                <c:pt idx="199">
                  <c:v>80370.009999999995</c:v>
                </c:pt>
                <c:pt idx="200">
                  <c:v>87272.61</c:v>
                </c:pt>
                <c:pt idx="201">
                  <c:v>87348.83</c:v>
                </c:pt>
                <c:pt idx="202">
                  <c:v>87644</c:v>
                </c:pt>
                <c:pt idx="203">
                  <c:v>91328</c:v>
                </c:pt>
                <c:pt idx="204">
                  <c:v>90301.8</c:v>
                </c:pt>
                <c:pt idx="205">
                  <c:v>90748.73</c:v>
                </c:pt>
                <c:pt idx="206">
                  <c:v>89855.99</c:v>
                </c:pt>
                <c:pt idx="207">
                  <c:v>90464.08</c:v>
                </c:pt>
                <c:pt idx="208">
                  <c:v>92087.16</c:v>
                </c:pt>
                <c:pt idx="209">
                  <c:v>93571.07</c:v>
                </c:pt>
                <c:pt idx="210">
                  <c:v>98020</c:v>
                </c:pt>
                <c:pt idx="211">
                  <c:v>98838.75</c:v>
                </c:pt>
                <c:pt idx="212">
                  <c:v>97712</c:v>
                </c:pt>
                <c:pt idx="213">
                  <c:v>97384</c:v>
                </c:pt>
                <c:pt idx="214">
                  <c:v>98202.98</c:v>
                </c:pt>
                <c:pt idx="215">
                  <c:v>91967.67</c:v>
                </c:pt>
                <c:pt idx="216">
                  <c:v>93360.16</c:v>
                </c:pt>
                <c:pt idx="217">
                  <c:v>95743.55</c:v>
                </c:pt>
                <c:pt idx="218">
                  <c:v>97308.01</c:v>
                </c:pt>
                <c:pt idx="219">
                  <c:v>96407.99</c:v>
                </c:pt>
                <c:pt idx="220">
                  <c:v>97185.17</c:v>
                </c:pt>
                <c:pt idx="221">
                  <c:v>95031.74</c:v>
                </c:pt>
                <c:pt idx="222">
                  <c:v>94966.55</c:v>
                </c:pt>
                <c:pt idx="223">
                  <c:v>95716.12</c:v>
                </c:pt>
                <c:pt idx="224">
                  <c:v>102611.8</c:v>
                </c:pt>
                <c:pt idx="225">
                  <c:v>98080.1</c:v>
                </c:pt>
                <c:pt idx="226">
                  <c:v>99831.99</c:v>
                </c:pt>
                <c:pt idx="227">
                  <c:v>101109.59</c:v>
                </c:pt>
                <c:pt idx="228">
                  <c:v>98015.98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CRIPTOS!$B$3:$B$232</c:f>
              <c:numCache>
                <c:formatCode>m/d/yyyy</c:formatCode>
                <c:ptCount val="23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  <c:pt idx="201">
                  <c:v>45608</c:v>
                </c:pt>
                <c:pt idx="202">
                  <c:v>45609</c:v>
                </c:pt>
                <c:pt idx="203">
                  <c:v>45610</c:v>
                </c:pt>
                <c:pt idx="204">
                  <c:v>45611</c:v>
                </c:pt>
                <c:pt idx="205">
                  <c:v>45612</c:v>
                </c:pt>
                <c:pt idx="206">
                  <c:v>45613</c:v>
                </c:pt>
                <c:pt idx="207">
                  <c:v>45614</c:v>
                </c:pt>
                <c:pt idx="208">
                  <c:v>45615</c:v>
                </c:pt>
                <c:pt idx="209">
                  <c:v>45616</c:v>
                </c:pt>
                <c:pt idx="210">
                  <c:v>45617</c:v>
                </c:pt>
                <c:pt idx="211">
                  <c:v>45618</c:v>
                </c:pt>
                <c:pt idx="212">
                  <c:v>45619</c:v>
                </c:pt>
                <c:pt idx="213">
                  <c:v>45620</c:v>
                </c:pt>
                <c:pt idx="214">
                  <c:v>45621</c:v>
                </c:pt>
                <c:pt idx="215">
                  <c:v>45622</c:v>
                </c:pt>
                <c:pt idx="216">
                  <c:v>45623</c:v>
                </c:pt>
                <c:pt idx="217">
                  <c:v>45624</c:v>
                </c:pt>
                <c:pt idx="218">
                  <c:v>45625</c:v>
                </c:pt>
                <c:pt idx="219">
                  <c:v>45626</c:v>
                </c:pt>
                <c:pt idx="220">
                  <c:v>45627</c:v>
                </c:pt>
                <c:pt idx="221">
                  <c:v>45628</c:v>
                </c:pt>
                <c:pt idx="222">
                  <c:v>45629</c:v>
                </c:pt>
                <c:pt idx="223">
                  <c:v>45630</c:v>
                </c:pt>
                <c:pt idx="224">
                  <c:v>45631</c:v>
                </c:pt>
                <c:pt idx="225">
                  <c:v>45632</c:v>
                </c:pt>
                <c:pt idx="226">
                  <c:v>45633</c:v>
                </c:pt>
                <c:pt idx="227">
                  <c:v>45634</c:v>
                </c:pt>
                <c:pt idx="228">
                  <c:v>45635</c:v>
                </c:pt>
              </c:numCache>
            </c:numRef>
          </c:cat>
          <c:val>
            <c:numRef>
              <c:f>CRIPTOS!$E$3:$E$232</c:f>
              <c:numCache>
                <c:formatCode>_-[$$-240A]\ * #,##0.00_-;\-[$$-240A]\ * #,##0.00_-;_-[$$-240A]\ * "-"??_-;_-@_-</c:formatCode>
                <c:ptCount val="230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  <c:pt idx="115">
                  <c:v>1.72</c:v>
                </c:pt>
                <c:pt idx="116">
                  <c:v>1.72</c:v>
                </c:pt>
                <c:pt idx="117">
                  <c:v>1.65</c:v>
                </c:pt>
                <c:pt idx="118">
                  <c:v>1.68</c:v>
                </c:pt>
                <c:pt idx="119">
                  <c:v>2</c:v>
                </c:pt>
                <c:pt idx="120">
                  <c:v>2.02</c:v>
                </c:pt>
                <c:pt idx="121">
                  <c:v>2.31</c:v>
                </c:pt>
                <c:pt idx="122">
                  <c:v>2.31</c:v>
                </c:pt>
                <c:pt idx="123">
                  <c:v>2.17</c:v>
                </c:pt>
                <c:pt idx="124">
                  <c:v>1.97</c:v>
                </c:pt>
                <c:pt idx="125">
                  <c:v>1.74</c:v>
                </c:pt>
                <c:pt idx="126">
                  <c:v>1.63</c:v>
                </c:pt>
                <c:pt idx="127">
                  <c:v>1.57</c:v>
                </c:pt>
                <c:pt idx="128">
                  <c:v>1.47</c:v>
                </c:pt>
                <c:pt idx="129">
                  <c:v>1.39</c:v>
                </c:pt>
                <c:pt idx="130">
                  <c:v>1.46</c:v>
                </c:pt>
                <c:pt idx="131">
                  <c:v>1.43</c:v>
                </c:pt>
                <c:pt idx="132">
                  <c:v>1.5</c:v>
                </c:pt>
                <c:pt idx="133">
                  <c:v>1.47</c:v>
                </c:pt>
                <c:pt idx="134">
                  <c:v>1.5</c:v>
                </c:pt>
                <c:pt idx="135">
                  <c:v>1.56</c:v>
                </c:pt>
                <c:pt idx="136">
                  <c:v>1.61</c:v>
                </c:pt>
                <c:pt idx="137">
                  <c:v>1.64</c:v>
                </c:pt>
                <c:pt idx="138">
                  <c:v>1.66</c:v>
                </c:pt>
                <c:pt idx="139">
                  <c:v>1.58</c:v>
                </c:pt>
                <c:pt idx="140">
                  <c:v>1.66</c:v>
                </c:pt>
                <c:pt idx="141">
                  <c:v>1.72</c:v>
                </c:pt>
                <c:pt idx="142">
                  <c:v>1.77</c:v>
                </c:pt>
                <c:pt idx="143">
                  <c:v>1.7</c:v>
                </c:pt>
                <c:pt idx="144">
                  <c:v>1.77</c:v>
                </c:pt>
                <c:pt idx="145">
                  <c:v>1.89</c:v>
                </c:pt>
                <c:pt idx="146">
                  <c:v>1.89</c:v>
                </c:pt>
                <c:pt idx="147">
                  <c:v>2.16</c:v>
                </c:pt>
                <c:pt idx="148">
                  <c:v>2.02</c:v>
                </c:pt>
                <c:pt idx="149">
                  <c:v>2.0699999999999998</c:v>
                </c:pt>
                <c:pt idx="150">
                  <c:v>1.97</c:v>
                </c:pt>
                <c:pt idx="151">
                  <c:v>2.13</c:v>
                </c:pt>
                <c:pt idx="152">
                  <c:v>2.13</c:v>
                </c:pt>
                <c:pt idx="153">
                  <c:v>2.15</c:v>
                </c:pt>
                <c:pt idx="154">
                  <c:v>2.16</c:v>
                </c:pt>
                <c:pt idx="155">
                  <c:v>2.2599999999999998</c:v>
                </c:pt>
                <c:pt idx="156">
                  <c:v>2.1</c:v>
                </c:pt>
                <c:pt idx="157">
                  <c:v>2.21</c:v>
                </c:pt>
                <c:pt idx="158">
                  <c:v>2.1</c:v>
                </c:pt>
                <c:pt idx="159">
                  <c:v>2.06</c:v>
                </c:pt>
                <c:pt idx="160">
                  <c:v>1.77</c:v>
                </c:pt>
                <c:pt idx="161">
                  <c:v>1.67</c:v>
                </c:pt>
                <c:pt idx="162">
                  <c:v>1.69</c:v>
                </c:pt>
                <c:pt idx="163">
                  <c:v>1.77</c:v>
                </c:pt>
                <c:pt idx="164">
                  <c:v>1.83</c:v>
                </c:pt>
                <c:pt idx="165">
                  <c:v>1.85</c:v>
                </c:pt>
                <c:pt idx="166">
                  <c:v>1.85</c:v>
                </c:pt>
                <c:pt idx="167">
                  <c:v>1.85</c:v>
                </c:pt>
                <c:pt idx="168">
                  <c:v>1.75</c:v>
                </c:pt>
                <c:pt idx="169">
                  <c:v>1.73</c:v>
                </c:pt>
                <c:pt idx="170">
                  <c:v>1.89</c:v>
                </c:pt>
                <c:pt idx="171">
                  <c:v>1.9</c:v>
                </c:pt>
                <c:pt idx="172">
                  <c:v>2.0699999999999998</c:v>
                </c:pt>
                <c:pt idx="173">
                  <c:v>2.06</c:v>
                </c:pt>
                <c:pt idx="174">
                  <c:v>1.89</c:v>
                </c:pt>
                <c:pt idx="175">
                  <c:v>1.8</c:v>
                </c:pt>
                <c:pt idx="176">
                  <c:v>1.88</c:v>
                </c:pt>
                <c:pt idx="177">
                  <c:v>1.85</c:v>
                </c:pt>
                <c:pt idx="178">
                  <c:v>1.87</c:v>
                </c:pt>
                <c:pt idx="179">
                  <c:v>1.9</c:v>
                </c:pt>
                <c:pt idx="180">
                  <c:v>1.84</c:v>
                </c:pt>
                <c:pt idx="181">
                  <c:v>1.79</c:v>
                </c:pt>
                <c:pt idx="182">
                  <c:v>1.89</c:v>
                </c:pt>
                <c:pt idx="183">
                  <c:v>1.97</c:v>
                </c:pt>
                <c:pt idx="184">
                  <c:v>1.71</c:v>
                </c:pt>
                <c:pt idx="185">
                  <c:v>1.75</c:v>
                </c:pt>
                <c:pt idx="186">
                  <c:v>1.73</c:v>
                </c:pt>
                <c:pt idx="187">
                  <c:v>1.75</c:v>
                </c:pt>
                <c:pt idx="188">
                  <c:v>1.74</c:v>
                </c:pt>
                <c:pt idx="189">
                  <c:v>1.68</c:v>
                </c:pt>
                <c:pt idx="190">
                  <c:v>1.61</c:v>
                </c:pt>
                <c:pt idx="191">
                  <c:v>1.54</c:v>
                </c:pt>
                <c:pt idx="192">
                  <c:v>1.47</c:v>
                </c:pt>
                <c:pt idx="193">
                  <c:v>1.47</c:v>
                </c:pt>
                <c:pt idx="194">
                  <c:v>1.5</c:v>
                </c:pt>
                <c:pt idx="195">
                  <c:v>1.73</c:v>
                </c:pt>
                <c:pt idx="196">
                  <c:v>1.83</c:v>
                </c:pt>
                <c:pt idx="197">
                  <c:v>1.99</c:v>
                </c:pt>
                <c:pt idx="198">
                  <c:v>2.02</c:v>
                </c:pt>
                <c:pt idx="199">
                  <c:v>2.02</c:v>
                </c:pt>
                <c:pt idx="200">
                  <c:v>2.69</c:v>
                </c:pt>
                <c:pt idx="201">
                  <c:v>2.4900000000000002</c:v>
                </c:pt>
                <c:pt idx="202">
                  <c:v>2.23</c:v>
                </c:pt>
                <c:pt idx="203">
                  <c:v>2.2400000000000002</c:v>
                </c:pt>
                <c:pt idx="204">
                  <c:v>2.27</c:v>
                </c:pt>
                <c:pt idx="205">
                  <c:v>2.44</c:v>
                </c:pt>
                <c:pt idx="206">
                  <c:v>2.27</c:v>
                </c:pt>
                <c:pt idx="207">
                  <c:v>2.38</c:v>
                </c:pt>
                <c:pt idx="208">
                  <c:v>2.2999999999999998</c:v>
                </c:pt>
                <c:pt idx="209">
                  <c:v>2.39</c:v>
                </c:pt>
                <c:pt idx="210">
                  <c:v>2.2000000000000002</c:v>
                </c:pt>
                <c:pt idx="211">
                  <c:v>2.5</c:v>
                </c:pt>
                <c:pt idx="212">
                  <c:v>2.62</c:v>
                </c:pt>
                <c:pt idx="213">
                  <c:v>2.52</c:v>
                </c:pt>
                <c:pt idx="214">
                  <c:v>2.75</c:v>
                </c:pt>
                <c:pt idx="215">
                  <c:v>2.4700000000000002</c:v>
                </c:pt>
                <c:pt idx="216">
                  <c:v>2.6</c:v>
                </c:pt>
                <c:pt idx="217">
                  <c:v>2.91</c:v>
                </c:pt>
                <c:pt idx="218">
                  <c:v>3.01</c:v>
                </c:pt>
                <c:pt idx="219">
                  <c:v>3.46</c:v>
                </c:pt>
                <c:pt idx="220">
                  <c:v>3.3266</c:v>
                </c:pt>
                <c:pt idx="221">
                  <c:v>3.18</c:v>
                </c:pt>
                <c:pt idx="222">
                  <c:v>3.35</c:v>
                </c:pt>
                <c:pt idx="223">
                  <c:v>3.41</c:v>
                </c:pt>
                <c:pt idx="224">
                  <c:v>3.24</c:v>
                </c:pt>
                <c:pt idx="225">
                  <c:v>3.86</c:v>
                </c:pt>
                <c:pt idx="226">
                  <c:v>3.63</c:v>
                </c:pt>
                <c:pt idx="227">
                  <c:v>3.6</c:v>
                </c:pt>
                <c:pt idx="228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CRIPTOS!$B$3:$B$232</c:f>
              <c:numCache>
                <c:formatCode>m/d/yyyy</c:formatCode>
                <c:ptCount val="23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  <c:pt idx="201">
                  <c:v>45608</c:v>
                </c:pt>
                <c:pt idx="202">
                  <c:v>45609</c:v>
                </c:pt>
                <c:pt idx="203">
                  <c:v>45610</c:v>
                </c:pt>
                <c:pt idx="204">
                  <c:v>45611</c:v>
                </c:pt>
                <c:pt idx="205">
                  <c:v>45612</c:v>
                </c:pt>
                <c:pt idx="206">
                  <c:v>45613</c:v>
                </c:pt>
                <c:pt idx="207">
                  <c:v>45614</c:v>
                </c:pt>
                <c:pt idx="208">
                  <c:v>45615</c:v>
                </c:pt>
                <c:pt idx="209">
                  <c:v>45616</c:v>
                </c:pt>
                <c:pt idx="210">
                  <c:v>45617</c:v>
                </c:pt>
                <c:pt idx="211">
                  <c:v>45618</c:v>
                </c:pt>
                <c:pt idx="212">
                  <c:v>45619</c:v>
                </c:pt>
                <c:pt idx="213">
                  <c:v>45620</c:v>
                </c:pt>
                <c:pt idx="214">
                  <c:v>45621</c:v>
                </c:pt>
                <c:pt idx="215">
                  <c:v>45622</c:v>
                </c:pt>
                <c:pt idx="216">
                  <c:v>45623</c:v>
                </c:pt>
                <c:pt idx="217">
                  <c:v>45624</c:v>
                </c:pt>
                <c:pt idx="218">
                  <c:v>45625</c:v>
                </c:pt>
                <c:pt idx="219">
                  <c:v>45626</c:v>
                </c:pt>
                <c:pt idx="220">
                  <c:v>45627</c:v>
                </c:pt>
                <c:pt idx="221">
                  <c:v>45628</c:v>
                </c:pt>
                <c:pt idx="222">
                  <c:v>45629</c:v>
                </c:pt>
                <c:pt idx="223">
                  <c:v>45630</c:v>
                </c:pt>
                <c:pt idx="224">
                  <c:v>45631</c:v>
                </c:pt>
                <c:pt idx="225">
                  <c:v>45632</c:v>
                </c:pt>
                <c:pt idx="226">
                  <c:v>45633</c:v>
                </c:pt>
                <c:pt idx="227">
                  <c:v>45634</c:v>
                </c:pt>
                <c:pt idx="228">
                  <c:v>45635</c:v>
                </c:pt>
              </c:numCache>
            </c:numRef>
          </c:cat>
          <c:val>
            <c:numRef>
              <c:f>CRIPTOS!$F$3:$F$232</c:f>
              <c:numCache>
                <c:formatCode>_-[$$-240A]\ * #,##0.00_-;\-[$$-240A]\ * #,##0.00_-;_-[$$-240A]\ * "-"??_-;_-@_-</c:formatCode>
                <c:ptCount val="230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  <c:pt idx="115">
                  <c:v>2611.4</c:v>
                </c:pt>
                <c:pt idx="116">
                  <c:v>2638.2</c:v>
                </c:pt>
                <c:pt idx="117">
                  <c:v>2577.5</c:v>
                </c:pt>
                <c:pt idx="118">
                  <c:v>2631.2</c:v>
                </c:pt>
                <c:pt idx="119">
                  <c:v>2623.1</c:v>
                </c:pt>
                <c:pt idx="120">
                  <c:v>2665</c:v>
                </c:pt>
                <c:pt idx="121">
                  <c:v>2769</c:v>
                </c:pt>
                <c:pt idx="122">
                  <c:v>2758.6</c:v>
                </c:pt>
                <c:pt idx="123">
                  <c:v>2688.4</c:v>
                </c:pt>
                <c:pt idx="124">
                  <c:v>2458.1</c:v>
                </c:pt>
                <c:pt idx="125">
                  <c:v>2528.3000000000002</c:v>
                </c:pt>
                <c:pt idx="126">
                  <c:v>2528.1999999999998</c:v>
                </c:pt>
                <c:pt idx="127">
                  <c:v>2525.3000000000002</c:v>
                </c:pt>
                <c:pt idx="128">
                  <c:v>2512.8000000000002</c:v>
                </c:pt>
                <c:pt idx="129">
                  <c:v>2425.9</c:v>
                </c:pt>
                <c:pt idx="130">
                  <c:v>2538.3000000000002</c:v>
                </c:pt>
                <c:pt idx="131">
                  <c:v>2422.3000000000002</c:v>
                </c:pt>
                <c:pt idx="132">
                  <c:v>2450</c:v>
                </c:pt>
                <c:pt idx="133">
                  <c:v>2367.3000000000002</c:v>
                </c:pt>
                <c:pt idx="134">
                  <c:v>2223.5</c:v>
                </c:pt>
                <c:pt idx="135">
                  <c:v>2273</c:v>
                </c:pt>
                <c:pt idx="136">
                  <c:v>2295.9</c:v>
                </c:pt>
                <c:pt idx="137">
                  <c:v>2360.1</c:v>
                </c:pt>
                <c:pt idx="138">
                  <c:v>2352.5</c:v>
                </c:pt>
                <c:pt idx="139">
                  <c:v>2326.6</c:v>
                </c:pt>
                <c:pt idx="140">
                  <c:v>2349.5</c:v>
                </c:pt>
                <c:pt idx="141">
                  <c:v>2349.4</c:v>
                </c:pt>
                <c:pt idx="142">
                  <c:v>2418.1999999999998</c:v>
                </c:pt>
                <c:pt idx="143">
                  <c:v>2317.3000000000002</c:v>
                </c:pt>
                <c:pt idx="144">
                  <c:v>2307.5</c:v>
                </c:pt>
                <c:pt idx="145">
                  <c:v>2311.4</c:v>
                </c:pt>
                <c:pt idx="146">
                  <c:v>2307.8000000000002</c:v>
                </c:pt>
                <c:pt idx="147">
                  <c:v>2427.3000000000002</c:v>
                </c:pt>
                <c:pt idx="148">
                  <c:v>2554.8000000000002</c:v>
                </c:pt>
                <c:pt idx="149">
                  <c:v>2616.9</c:v>
                </c:pt>
                <c:pt idx="150">
                  <c:v>2581.1999999999998</c:v>
                </c:pt>
                <c:pt idx="151">
                  <c:v>2649.3</c:v>
                </c:pt>
                <c:pt idx="152">
                  <c:v>2639.4</c:v>
                </c:pt>
                <c:pt idx="153">
                  <c:v>2620.0300000000002</c:v>
                </c:pt>
                <c:pt idx="154">
                  <c:v>2629.7</c:v>
                </c:pt>
                <c:pt idx="155">
                  <c:v>2659.7</c:v>
                </c:pt>
                <c:pt idx="156">
                  <c:v>2675.6</c:v>
                </c:pt>
                <c:pt idx="157">
                  <c:v>2635</c:v>
                </c:pt>
                <c:pt idx="158">
                  <c:v>2592.6999999999998</c:v>
                </c:pt>
                <c:pt idx="159">
                  <c:v>2630.6</c:v>
                </c:pt>
                <c:pt idx="160">
                  <c:v>2458.1999999999998</c:v>
                </c:pt>
                <c:pt idx="161">
                  <c:v>2343.5</c:v>
                </c:pt>
                <c:pt idx="162">
                  <c:v>2381.3000000000002</c:v>
                </c:pt>
                <c:pt idx="163">
                  <c:v>2414.6999999999998</c:v>
                </c:pt>
                <c:pt idx="164">
                  <c:v>2439.9</c:v>
                </c:pt>
                <c:pt idx="165">
                  <c:v>2461.3000000000002</c:v>
                </c:pt>
                <c:pt idx="166">
                  <c:v>2435.6999999999998</c:v>
                </c:pt>
                <c:pt idx="167">
                  <c:v>2434.1999999999998</c:v>
                </c:pt>
                <c:pt idx="168">
                  <c:v>2403.6999999999998</c:v>
                </c:pt>
                <c:pt idx="169">
                  <c:v>2419.4</c:v>
                </c:pt>
                <c:pt idx="170">
                  <c:v>2437.6</c:v>
                </c:pt>
                <c:pt idx="171">
                  <c:v>2575.9</c:v>
                </c:pt>
                <c:pt idx="172">
                  <c:v>2468</c:v>
                </c:pt>
                <c:pt idx="173">
                  <c:v>2629.3</c:v>
                </c:pt>
                <c:pt idx="174">
                  <c:v>2610.6</c:v>
                </c:pt>
                <c:pt idx="175">
                  <c:v>2599.4</c:v>
                </c:pt>
                <c:pt idx="176">
                  <c:v>2623.4</c:v>
                </c:pt>
                <c:pt idx="177">
                  <c:v>2649.3</c:v>
                </c:pt>
                <c:pt idx="178">
                  <c:v>2750</c:v>
                </c:pt>
                <c:pt idx="179">
                  <c:v>2709.4</c:v>
                </c:pt>
                <c:pt idx="180">
                  <c:v>2632.9</c:v>
                </c:pt>
                <c:pt idx="181">
                  <c:v>2579.1</c:v>
                </c:pt>
                <c:pt idx="182">
                  <c:v>2527.3000000000002</c:v>
                </c:pt>
                <c:pt idx="183">
                  <c:v>2548.9</c:v>
                </c:pt>
                <c:pt idx="184">
                  <c:v>2479.6</c:v>
                </c:pt>
                <c:pt idx="185">
                  <c:v>2505.4</c:v>
                </c:pt>
                <c:pt idx="186">
                  <c:v>2524.6</c:v>
                </c:pt>
                <c:pt idx="187">
                  <c:v>2619.9</c:v>
                </c:pt>
                <c:pt idx="188">
                  <c:v>2664</c:v>
                </c:pt>
                <c:pt idx="189">
                  <c:v>2630</c:v>
                </c:pt>
                <c:pt idx="190">
                  <c:v>2517.8000000000002</c:v>
                </c:pt>
                <c:pt idx="191">
                  <c:v>2493.4</c:v>
                </c:pt>
                <c:pt idx="192">
                  <c:v>2445.3000000000002</c:v>
                </c:pt>
                <c:pt idx="193">
                  <c:v>2412</c:v>
                </c:pt>
                <c:pt idx="194">
                  <c:v>2438.6</c:v>
                </c:pt>
                <c:pt idx="195">
                  <c:v>2622.5</c:v>
                </c:pt>
                <c:pt idx="196">
                  <c:v>2819.3</c:v>
                </c:pt>
                <c:pt idx="197">
                  <c:v>2924.8</c:v>
                </c:pt>
                <c:pt idx="198">
                  <c:v>3128.4</c:v>
                </c:pt>
                <c:pt idx="199">
                  <c:v>3186.8</c:v>
                </c:pt>
                <c:pt idx="200">
                  <c:v>3355.6</c:v>
                </c:pt>
                <c:pt idx="201">
                  <c:v>3295.5</c:v>
                </c:pt>
                <c:pt idx="202">
                  <c:v>3172.4</c:v>
                </c:pt>
                <c:pt idx="203">
                  <c:v>3186.4</c:v>
                </c:pt>
                <c:pt idx="204">
                  <c:v>3106.4</c:v>
                </c:pt>
                <c:pt idx="205">
                  <c:v>3160.3</c:v>
                </c:pt>
                <c:pt idx="206">
                  <c:v>3076</c:v>
                </c:pt>
                <c:pt idx="207">
                  <c:v>3209.4</c:v>
                </c:pt>
                <c:pt idx="208">
                  <c:v>3141.5</c:v>
                </c:pt>
                <c:pt idx="209">
                  <c:v>3106.5</c:v>
                </c:pt>
                <c:pt idx="210">
                  <c:v>3144.7</c:v>
                </c:pt>
                <c:pt idx="211">
                  <c:v>3344.4</c:v>
                </c:pt>
                <c:pt idx="212">
                  <c:v>3420.7</c:v>
                </c:pt>
                <c:pt idx="213">
                  <c:v>3331.8</c:v>
                </c:pt>
                <c:pt idx="214">
                  <c:v>3488.4</c:v>
                </c:pt>
                <c:pt idx="215">
                  <c:v>3314.6</c:v>
                </c:pt>
                <c:pt idx="216">
                  <c:v>3462.1</c:v>
                </c:pt>
                <c:pt idx="217">
                  <c:v>3632.8</c:v>
                </c:pt>
                <c:pt idx="218">
                  <c:v>3598.1</c:v>
                </c:pt>
                <c:pt idx="219">
                  <c:v>3706.3</c:v>
                </c:pt>
                <c:pt idx="220">
                  <c:v>3710.1</c:v>
                </c:pt>
                <c:pt idx="221">
                  <c:v>3582.4</c:v>
                </c:pt>
                <c:pt idx="222">
                  <c:v>3604.5</c:v>
                </c:pt>
                <c:pt idx="223">
                  <c:v>3706.7</c:v>
                </c:pt>
                <c:pt idx="224">
                  <c:v>3940.1</c:v>
                </c:pt>
                <c:pt idx="225">
                  <c:v>3868.8</c:v>
                </c:pt>
                <c:pt idx="226">
                  <c:v>4000</c:v>
                </c:pt>
                <c:pt idx="227">
                  <c:v>4007.4</c:v>
                </c:pt>
                <c:pt idx="228">
                  <c:v>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CRIPTOS!$B$3:$B$232</c:f>
              <c:numCache>
                <c:formatCode>m/d/yyyy</c:formatCode>
                <c:ptCount val="230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  <c:pt idx="115">
                  <c:v>45522</c:v>
                </c:pt>
                <c:pt idx="116">
                  <c:v>45523</c:v>
                </c:pt>
                <c:pt idx="117">
                  <c:v>45524</c:v>
                </c:pt>
                <c:pt idx="118">
                  <c:v>45525</c:v>
                </c:pt>
                <c:pt idx="119">
                  <c:v>45526</c:v>
                </c:pt>
                <c:pt idx="120">
                  <c:v>45527</c:v>
                </c:pt>
                <c:pt idx="121">
                  <c:v>45528</c:v>
                </c:pt>
                <c:pt idx="122">
                  <c:v>45529</c:v>
                </c:pt>
                <c:pt idx="123">
                  <c:v>45530</c:v>
                </c:pt>
                <c:pt idx="124">
                  <c:v>45531</c:v>
                </c:pt>
                <c:pt idx="125">
                  <c:v>45532</c:v>
                </c:pt>
                <c:pt idx="126">
                  <c:v>45533</c:v>
                </c:pt>
                <c:pt idx="127">
                  <c:v>45534</c:v>
                </c:pt>
                <c:pt idx="128">
                  <c:v>45535</c:v>
                </c:pt>
                <c:pt idx="129">
                  <c:v>45536</c:v>
                </c:pt>
                <c:pt idx="130">
                  <c:v>45537</c:v>
                </c:pt>
                <c:pt idx="131">
                  <c:v>45538</c:v>
                </c:pt>
                <c:pt idx="132">
                  <c:v>45539</c:v>
                </c:pt>
                <c:pt idx="133">
                  <c:v>45540</c:v>
                </c:pt>
                <c:pt idx="134">
                  <c:v>45541</c:v>
                </c:pt>
                <c:pt idx="135">
                  <c:v>45542</c:v>
                </c:pt>
                <c:pt idx="136">
                  <c:v>45543</c:v>
                </c:pt>
                <c:pt idx="137">
                  <c:v>45544</c:v>
                </c:pt>
                <c:pt idx="138">
                  <c:v>45545</c:v>
                </c:pt>
                <c:pt idx="139">
                  <c:v>45546</c:v>
                </c:pt>
                <c:pt idx="140">
                  <c:v>45547</c:v>
                </c:pt>
                <c:pt idx="141">
                  <c:v>45548</c:v>
                </c:pt>
                <c:pt idx="142">
                  <c:v>45549</c:v>
                </c:pt>
                <c:pt idx="143">
                  <c:v>45550</c:v>
                </c:pt>
                <c:pt idx="144">
                  <c:v>45551</c:v>
                </c:pt>
                <c:pt idx="145">
                  <c:v>45552</c:v>
                </c:pt>
                <c:pt idx="146">
                  <c:v>45553</c:v>
                </c:pt>
                <c:pt idx="147">
                  <c:v>45554</c:v>
                </c:pt>
                <c:pt idx="148">
                  <c:v>45555</c:v>
                </c:pt>
                <c:pt idx="149">
                  <c:v>45556</c:v>
                </c:pt>
                <c:pt idx="150">
                  <c:v>45557</c:v>
                </c:pt>
                <c:pt idx="151">
                  <c:v>45558</c:v>
                </c:pt>
                <c:pt idx="152">
                  <c:v>45559</c:v>
                </c:pt>
                <c:pt idx="153">
                  <c:v>45560</c:v>
                </c:pt>
                <c:pt idx="154">
                  <c:v>45561</c:v>
                </c:pt>
                <c:pt idx="155">
                  <c:v>45562</c:v>
                </c:pt>
                <c:pt idx="156">
                  <c:v>45563</c:v>
                </c:pt>
                <c:pt idx="157">
                  <c:v>45564</c:v>
                </c:pt>
                <c:pt idx="158">
                  <c:v>45565</c:v>
                </c:pt>
                <c:pt idx="159">
                  <c:v>45566</c:v>
                </c:pt>
                <c:pt idx="160">
                  <c:v>45567</c:v>
                </c:pt>
                <c:pt idx="161">
                  <c:v>45568</c:v>
                </c:pt>
                <c:pt idx="162">
                  <c:v>45569</c:v>
                </c:pt>
                <c:pt idx="163">
                  <c:v>45570</c:v>
                </c:pt>
                <c:pt idx="164">
                  <c:v>45571</c:v>
                </c:pt>
                <c:pt idx="165">
                  <c:v>45572</c:v>
                </c:pt>
                <c:pt idx="166">
                  <c:v>45573</c:v>
                </c:pt>
                <c:pt idx="167">
                  <c:v>45574</c:v>
                </c:pt>
                <c:pt idx="168">
                  <c:v>45575</c:v>
                </c:pt>
                <c:pt idx="169">
                  <c:v>45576</c:v>
                </c:pt>
                <c:pt idx="170">
                  <c:v>45577</c:v>
                </c:pt>
                <c:pt idx="171">
                  <c:v>45578</c:v>
                </c:pt>
                <c:pt idx="172">
                  <c:v>45579</c:v>
                </c:pt>
                <c:pt idx="173">
                  <c:v>45580</c:v>
                </c:pt>
                <c:pt idx="174">
                  <c:v>45581</c:v>
                </c:pt>
                <c:pt idx="175">
                  <c:v>45582</c:v>
                </c:pt>
                <c:pt idx="176">
                  <c:v>45583</c:v>
                </c:pt>
                <c:pt idx="177">
                  <c:v>45584</c:v>
                </c:pt>
                <c:pt idx="178">
                  <c:v>45585</c:v>
                </c:pt>
                <c:pt idx="179">
                  <c:v>45586</c:v>
                </c:pt>
                <c:pt idx="180">
                  <c:v>45587</c:v>
                </c:pt>
                <c:pt idx="181">
                  <c:v>45588</c:v>
                </c:pt>
                <c:pt idx="182">
                  <c:v>45589</c:v>
                </c:pt>
                <c:pt idx="183">
                  <c:v>45590</c:v>
                </c:pt>
                <c:pt idx="184">
                  <c:v>45591</c:v>
                </c:pt>
                <c:pt idx="185">
                  <c:v>45592</c:v>
                </c:pt>
                <c:pt idx="186">
                  <c:v>45593</c:v>
                </c:pt>
                <c:pt idx="187">
                  <c:v>45594</c:v>
                </c:pt>
                <c:pt idx="188">
                  <c:v>45595</c:v>
                </c:pt>
                <c:pt idx="189">
                  <c:v>45596</c:v>
                </c:pt>
                <c:pt idx="190">
                  <c:v>45597</c:v>
                </c:pt>
                <c:pt idx="191">
                  <c:v>45598</c:v>
                </c:pt>
                <c:pt idx="192">
                  <c:v>45599</c:v>
                </c:pt>
                <c:pt idx="193">
                  <c:v>45600</c:v>
                </c:pt>
                <c:pt idx="194">
                  <c:v>45601</c:v>
                </c:pt>
                <c:pt idx="195">
                  <c:v>45602</c:v>
                </c:pt>
                <c:pt idx="196">
                  <c:v>45603</c:v>
                </c:pt>
                <c:pt idx="197">
                  <c:v>45604</c:v>
                </c:pt>
                <c:pt idx="198">
                  <c:v>45605</c:v>
                </c:pt>
                <c:pt idx="199">
                  <c:v>45606</c:v>
                </c:pt>
                <c:pt idx="200">
                  <c:v>45607</c:v>
                </c:pt>
                <c:pt idx="201">
                  <c:v>45608</c:v>
                </c:pt>
                <c:pt idx="202">
                  <c:v>45609</c:v>
                </c:pt>
                <c:pt idx="203">
                  <c:v>45610</c:v>
                </c:pt>
                <c:pt idx="204">
                  <c:v>45611</c:v>
                </c:pt>
                <c:pt idx="205">
                  <c:v>45612</c:v>
                </c:pt>
                <c:pt idx="206">
                  <c:v>45613</c:v>
                </c:pt>
                <c:pt idx="207">
                  <c:v>45614</c:v>
                </c:pt>
                <c:pt idx="208">
                  <c:v>45615</c:v>
                </c:pt>
                <c:pt idx="209">
                  <c:v>45616</c:v>
                </c:pt>
                <c:pt idx="210">
                  <c:v>45617</c:v>
                </c:pt>
                <c:pt idx="211">
                  <c:v>45618</c:v>
                </c:pt>
                <c:pt idx="212">
                  <c:v>45619</c:v>
                </c:pt>
                <c:pt idx="213">
                  <c:v>45620</c:v>
                </c:pt>
                <c:pt idx="214">
                  <c:v>45621</c:v>
                </c:pt>
                <c:pt idx="215">
                  <c:v>45622</c:v>
                </c:pt>
                <c:pt idx="216">
                  <c:v>45623</c:v>
                </c:pt>
                <c:pt idx="217">
                  <c:v>45624</c:v>
                </c:pt>
                <c:pt idx="218">
                  <c:v>45625</c:v>
                </c:pt>
                <c:pt idx="219">
                  <c:v>45626</c:v>
                </c:pt>
                <c:pt idx="220">
                  <c:v>45627</c:v>
                </c:pt>
                <c:pt idx="221">
                  <c:v>45628</c:v>
                </c:pt>
                <c:pt idx="222">
                  <c:v>45629</c:v>
                </c:pt>
                <c:pt idx="223">
                  <c:v>45630</c:v>
                </c:pt>
                <c:pt idx="224">
                  <c:v>45631</c:v>
                </c:pt>
                <c:pt idx="225">
                  <c:v>45632</c:v>
                </c:pt>
                <c:pt idx="226">
                  <c:v>45633</c:v>
                </c:pt>
                <c:pt idx="227">
                  <c:v>45634</c:v>
                </c:pt>
                <c:pt idx="228">
                  <c:v>45635</c:v>
                </c:pt>
              </c:numCache>
            </c:numRef>
          </c:cat>
          <c:val>
            <c:numRef>
              <c:f>CRIPTOS!$G$3:$G$232</c:f>
              <c:numCache>
                <c:formatCode>_-[$$-240A]\ * #,##0.00_-;\-[$$-240A]\ * #,##0.00_-;_-[$$-240A]\ * "-"??_-;_-@_-</c:formatCode>
                <c:ptCount val="230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  <c:pt idx="115">
                  <c:v>3883</c:v>
                </c:pt>
                <c:pt idx="116">
                  <c:v>3917</c:v>
                </c:pt>
                <c:pt idx="117">
                  <c:v>3955</c:v>
                </c:pt>
                <c:pt idx="118">
                  <c:v>3962</c:v>
                </c:pt>
                <c:pt idx="119">
                  <c:v>4004</c:v>
                </c:pt>
                <c:pt idx="120">
                  <c:v>4000</c:v>
                </c:pt>
                <c:pt idx="121">
                  <c:v>3933</c:v>
                </c:pt>
                <c:pt idx="122">
                  <c:v>3929</c:v>
                </c:pt>
                <c:pt idx="123">
                  <c:v>3932</c:v>
                </c:pt>
                <c:pt idx="124">
                  <c:v>3966</c:v>
                </c:pt>
                <c:pt idx="125">
                  <c:v>4009</c:v>
                </c:pt>
                <c:pt idx="126">
                  <c:v>4026</c:v>
                </c:pt>
                <c:pt idx="127">
                  <c:v>4066</c:v>
                </c:pt>
                <c:pt idx="128">
                  <c:v>4018</c:v>
                </c:pt>
                <c:pt idx="129">
                  <c:v>4005</c:v>
                </c:pt>
                <c:pt idx="130">
                  <c:v>4029</c:v>
                </c:pt>
                <c:pt idx="131">
                  <c:v>4024</c:v>
                </c:pt>
                <c:pt idx="132">
                  <c:v>4036</c:v>
                </c:pt>
                <c:pt idx="133">
                  <c:v>4035</c:v>
                </c:pt>
                <c:pt idx="134">
                  <c:v>4068</c:v>
                </c:pt>
                <c:pt idx="135">
                  <c:v>4045</c:v>
                </c:pt>
                <c:pt idx="136">
                  <c:v>4060</c:v>
                </c:pt>
                <c:pt idx="137">
                  <c:v>4059</c:v>
                </c:pt>
                <c:pt idx="138">
                  <c:v>4084</c:v>
                </c:pt>
                <c:pt idx="139">
                  <c:v>4146</c:v>
                </c:pt>
                <c:pt idx="140">
                  <c:v>4136</c:v>
                </c:pt>
                <c:pt idx="141">
                  <c:v>4090</c:v>
                </c:pt>
                <c:pt idx="142">
                  <c:v>4066</c:v>
                </c:pt>
                <c:pt idx="143">
                  <c:v>4090</c:v>
                </c:pt>
                <c:pt idx="144">
                  <c:v>4098</c:v>
                </c:pt>
                <c:pt idx="145">
                  <c:v>4135</c:v>
                </c:pt>
                <c:pt idx="146">
                  <c:v>4098</c:v>
                </c:pt>
                <c:pt idx="147">
                  <c:v>4097</c:v>
                </c:pt>
                <c:pt idx="148">
                  <c:v>4094</c:v>
                </c:pt>
                <c:pt idx="149">
                  <c:v>4033</c:v>
                </c:pt>
                <c:pt idx="150">
                  <c:v>4041</c:v>
                </c:pt>
                <c:pt idx="151">
                  <c:v>4051</c:v>
                </c:pt>
                <c:pt idx="152">
                  <c:v>4073</c:v>
                </c:pt>
                <c:pt idx="153">
                  <c:v>4071</c:v>
                </c:pt>
                <c:pt idx="154">
                  <c:v>4032</c:v>
                </c:pt>
                <c:pt idx="155">
                  <c:v>4001</c:v>
                </c:pt>
                <c:pt idx="156">
                  <c:v>3975</c:v>
                </c:pt>
                <c:pt idx="157">
                  <c:v>3977</c:v>
                </c:pt>
                <c:pt idx="158">
                  <c:v>4000</c:v>
                </c:pt>
                <c:pt idx="159">
                  <c:v>4047</c:v>
                </c:pt>
                <c:pt idx="160">
                  <c:v>4083</c:v>
                </c:pt>
                <c:pt idx="161">
                  <c:v>4070</c:v>
                </c:pt>
                <c:pt idx="162">
                  <c:v>4057</c:v>
                </c:pt>
                <c:pt idx="163">
                  <c:v>4004</c:v>
                </c:pt>
                <c:pt idx="164">
                  <c:v>4002</c:v>
                </c:pt>
                <c:pt idx="165">
                  <c:v>4002</c:v>
                </c:pt>
                <c:pt idx="166">
                  <c:v>4035</c:v>
                </c:pt>
                <c:pt idx="167">
                  <c:v>4052</c:v>
                </c:pt>
                <c:pt idx="168">
                  <c:v>4052</c:v>
                </c:pt>
                <c:pt idx="169">
                  <c:v>4024</c:v>
                </c:pt>
                <c:pt idx="170">
                  <c:v>4023</c:v>
                </c:pt>
                <c:pt idx="171">
                  <c:v>4023</c:v>
                </c:pt>
                <c:pt idx="172">
                  <c:v>4023</c:v>
                </c:pt>
                <c:pt idx="173">
                  <c:v>4023</c:v>
                </c:pt>
                <c:pt idx="174">
                  <c:v>4141</c:v>
                </c:pt>
                <c:pt idx="175">
                  <c:v>4150</c:v>
                </c:pt>
                <c:pt idx="176">
                  <c:v>4149</c:v>
                </c:pt>
                <c:pt idx="177">
                  <c:v>4159</c:v>
                </c:pt>
                <c:pt idx="178">
                  <c:v>4159</c:v>
                </c:pt>
                <c:pt idx="179">
                  <c:v>4173</c:v>
                </c:pt>
                <c:pt idx="180">
                  <c:v>4189</c:v>
                </c:pt>
                <c:pt idx="181">
                  <c:v>4176</c:v>
                </c:pt>
                <c:pt idx="182">
                  <c:v>4214</c:v>
                </c:pt>
                <c:pt idx="183">
                  <c:v>4202</c:v>
                </c:pt>
                <c:pt idx="184">
                  <c:v>4200</c:v>
                </c:pt>
                <c:pt idx="185">
                  <c:v>4215</c:v>
                </c:pt>
                <c:pt idx="186">
                  <c:v>4207</c:v>
                </c:pt>
                <c:pt idx="187">
                  <c:v>4254</c:v>
                </c:pt>
                <c:pt idx="188">
                  <c:v>4288</c:v>
                </c:pt>
                <c:pt idx="189">
                  <c:v>4314</c:v>
                </c:pt>
                <c:pt idx="190">
                  <c:v>4293</c:v>
                </c:pt>
                <c:pt idx="191">
                  <c:v>4327</c:v>
                </c:pt>
                <c:pt idx="192">
                  <c:v>4328</c:v>
                </c:pt>
                <c:pt idx="193">
                  <c:v>4338</c:v>
                </c:pt>
                <c:pt idx="194">
                  <c:v>4287</c:v>
                </c:pt>
                <c:pt idx="195">
                  <c:v>4338</c:v>
                </c:pt>
                <c:pt idx="196">
                  <c:v>4331</c:v>
                </c:pt>
                <c:pt idx="197">
                  <c:v>4234</c:v>
                </c:pt>
                <c:pt idx="198">
                  <c:v>4258</c:v>
                </c:pt>
                <c:pt idx="199">
                  <c:v>4246</c:v>
                </c:pt>
                <c:pt idx="200">
                  <c:v>4267</c:v>
                </c:pt>
                <c:pt idx="201">
                  <c:v>4274</c:v>
                </c:pt>
                <c:pt idx="202">
                  <c:v>4274</c:v>
                </c:pt>
                <c:pt idx="203">
                  <c:v>4275</c:v>
                </c:pt>
                <c:pt idx="204">
                  <c:v>4324</c:v>
                </c:pt>
                <c:pt idx="205">
                  <c:v>4318</c:v>
                </c:pt>
                <c:pt idx="206">
                  <c:v>4339</c:v>
                </c:pt>
                <c:pt idx="207">
                  <c:v>4308</c:v>
                </c:pt>
                <c:pt idx="208">
                  <c:v>4314</c:v>
                </c:pt>
                <c:pt idx="209">
                  <c:v>4314</c:v>
                </c:pt>
                <c:pt idx="210">
                  <c:v>4347</c:v>
                </c:pt>
                <c:pt idx="211">
                  <c:v>4317</c:v>
                </c:pt>
                <c:pt idx="212">
                  <c:v>4345</c:v>
                </c:pt>
                <c:pt idx="213">
                  <c:v>4337</c:v>
                </c:pt>
                <c:pt idx="214">
                  <c:v>4315</c:v>
                </c:pt>
                <c:pt idx="215">
                  <c:v>4319</c:v>
                </c:pt>
                <c:pt idx="216">
                  <c:v>4332</c:v>
                </c:pt>
                <c:pt idx="217">
                  <c:v>4312</c:v>
                </c:pt>
                <c:pt idx="218">
                  <c:v>4325</c:v>
                </c:pt>
                <c:pt idx="219">
                  <c:v>4300</c:v>
                </c:pt>
                <c:pt idx="220">
                  <c:v>4338</c:v>
                </c:pt>
                <c:pt idx="221">
                  <c:v>4369</c:v>
                </c:pt>
                <c:pt idx="222">
                  <c:v>4387</c:v>
                </c:pt>
                <c:pt idx="223">
                  <c:v>4362</c:v>
                </c:pt>
                <c:pt idx="224">
                  <c:v>4350</c:v>
                </c:pt>
                <c:pt idx="225">
                  <c:v>4347</c:v>
                </c:pt>
                <c:pt idx="226">
                  <c:v>4308</c:v>
                </c:pt>
                <c:pt idx="227">
                  <c:v>4325</c:v>
                </c:pt>
                <c:pt idx="228">
                  <c:v>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68272"/>
        <c:axId val="459775888"/>
      </c:lineChart>
      <c:dateAx>
        <c:axId val="45976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5888"/>
        <c:crosses val="autoZero"/>
        <c:auto val="1"/>
        <c:lblOffset val="100"/>
        <c:baseTimeUnit val="days"/>
      </c:dateAx>
      <c:valAx>
        <c:axId val="4597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Bolsa'!$C$3:$C$110</c:f>
              <c:numCache>
                <c:formatCode>_("$"* #,##0.00_);_("$"* \(#,##0.00\);_("$"* "-"??_);_(@_)</c:formatCode>
                <c:ptCount val="108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  <c:pt idx="32">
                  <c:v>4030.16</c:v>
                </c:pt>
                <c:pt idx="33">
                  <c:v>4023.02</c:v>
                </c:pt>
                <c:pt idx="34">
                  <c:v>4010.2</c:v>
                </c:pt>
                <c:pt idx="35">
                  <c:v>4036.25</c:v>
                </c:pt>
                <c:pt idx="36">
                  <c:v>4069.62</c:v>
                </c:pt>
                <c:pt idx="37">
                  <c:v>4029.75</c:v>
                </c:pt>
                <c:pt idx="38">
                  <c:v>4023.92</c:v>
                </c:pt>
                <c:pt idx="39">
                  <c:v>4045.64</c:v>
                </c:pt>
                <c:pt idx="40">
                  <c:v>4065.34</c:v>
                </c:pt>
                <c:pt idx="41">
                  <c:v>4132.1099999999997</c:v>
                </c:pt>
                <c:pt idx="42">
                  <c:v>4160.3100000000004</c:v>
                </c:pt>
                <c:pt idx="43">
                  <c:v>4185.8</c:v>
                </c:pt>
                <c:pt idx="44">
                  <c:v>4185.82</c:v>
                </c:pt>
                <c:pt idx="45">
                  <c:v>4172.5</c:v>
                </c:pt>
                <c:pt idx="46">
                  <c:v>4149.79</c:v>
                </c:pt>
                <c:pt idx="47">
                  <c:v>4243.8</c:v>
                </c:pt>
                <c:pt idx="48">
                  <c:v>4279.09</c:v>
                </c:pt>
                <c:pt idx="49">
                  <c:v>4270.62</c:v>
                </c:pt>
                <c:pt idx="50">
                  <c:v>4197.38</c:v>
                </c:pt>
                <c:pt idx="51">
                  <c:v>4172.13</c:v>
                </c:pt>
                <c:pt idx="52">
                  <c:v>4220.58</c:v>
                </c:pt>
                <c:pt idx="53">
                  <c:v>4225.01</c:v>
                </c:pt>
                <c:pt idx="54">
                  <c:v>4176.8500000000004</c:v>
                </c:pt>
                <c:pt idx="55">
                  <c:v>4153.9799999999996</c:v>
                </c:pt>
                <c:pt idx="56">
                  <c:v>4161.75</c:v>
                </c:pt>
                <c:pt idx="57">
                  <c:v>4148.75</c:v>
                </c:pt>
                <c:pt idx="58">
                  <c:v>4200.75</c:v>
                </c:pt>
                <c:pt idx="59">
                  <c:v>4157.54</c:v>
                </c:pt>
                <c:pt idx="60">
                  <c:v>4157.66</c:v>
                </c:pt>
                <c:pt idx="61">
                  <c:v>4199.12</c:v>
                </c:pt>
                <c:pt idx="62">
                  <c:v>4221.2700000000004</c:v>
                </c:pt>
                <c:pt idx="63">
                  <c:v>4194.26</c:v>
                </c:pt>
                <c:pt idx="64">
                  <c:v>4189.17</c:v>
                </c:pt>
                <c:pt idx="65">
                  <c:v>4167.41</c:v>
                </c:pt>
                <c:pt idx="66">
                  <c:v>4213.55</c:v>
                </c:pt>
                <c:pt idx="67">
                  <c:v>4231.08</c:v>
                </c:pt>
                <c:pt idx="68">
                  <c:v>4233.05</c:v>
                </c:pt>
                <c:pt idx="69">
                  <c:v>4210.95</c:v>
                </c:pt>
                <c:pt idx="70">
                  <c:v>4207.21</c:v>
                </c:pt>
                <c:pt idx="71">
                  <c:v>4257.21</c:v>
                </c:pt>
                <c:pt idx="72">
                  <c:v>4278.74</c:v>
                </c:pt>
                <c:pt idx="73">
                  <c:v>4247.29</c:v>
                </c:pt>
                <c:pt idx="74">
                  <c:v>4247.29</c:v>
                </c:pt>
                <c:pt idx="75">
                  <c:v>4270</c:v>
                </c:pt>
                <c:pt idx="76">
                  <c:v>4280.04</c:v>
                </c:pt>
                <c:pt idx="77">
                  <c:v>4270.37</c:v>
                </c:pt>
                <c:pt idx="78">
                  <c:v>4323.92</c:v>
                </c:pt>
                <c:pt idx="79">
                  <c:v>4323.1099999999997</c:v>
                </c:pt>
                <c:pt idx="80">
                  <c:v>4321.6400000000003</c:v>
                </c:pt>
                <c:pt idx="81">
                  <c:v>4345.13</c:v>
                </c:pt>
                <c:pt idx="82">
                  <c:v>4323.01</c:v>
                </c:pt>
                <c:pt idx="83">
                  <c:v>4418.63</c:v>
                </c:pt>
                <c:pt idx="84">
                  <c:v>4445.3500000000004</c:v>
                </c:pt>
                <c:pt idx="85">
                  <c:v>4438.62</c:v>
                </c:pt>
                <c:pt idx="86">
                  <c:v>4439.75</c:v>
                </c:pt>
                <c:pt idx="87">
                  <c:v>4389.7299999999996</c:v>
                </c:pt>
                <c:pt idx="88">
                  <c:v>4399.58</c:v>
                </c:pt>
                <c:pt idx="89">
                  <c:v>4346.7</c:v>
                </c:pt>
                <c:pt idx="90">
                  <c:v>4376.95</c:v>
                </c:pt>
                <c:pt idx="91">
                  <c:v>4352.8</c:v>
                </c:pt>
                <c:pt idx="92">
                  <c:v>4487.51</c:v>
                </c:pt>
                <c:pt idx="93">
                  <c:v>4407.41</c:v>
                </c:pt>
                <c:pt idx="94">
                  <c:v>4421.08</c:v>
                </c:pt>
                <c:pt idx="95">
                  <c:v>4405.5600000000004</c:v>
                </c:pt>
                <c:pt idx="96">
                  <c:v>4414.34</c:v>
                </c:pt>
                <c:pt idx="97">
                  <c:v>4438.78</c:v>
                </c:pt>
                <c:pt idx="98">
                  <c:v>4362.95</c:v>
                </c:pt>
                <c:pt idx="99">
                  <c:v>4399.41</c:v>
                </c:pt>
                <c:pt idx="100">
                  <c:v>4379.28</c:v>
                </c:pt>
                <c:pt idx="101">
                  <c:v>4390.7299999999996</c:v>
                </c:pt>
                <c:pt idx="102">
                  <c:v>4378.58</c:v>
                </c:pt>
                <c:pt idx="103">
                  <c:v>4398.53</c:v>
                </c:pt>
                <c:pt idx="104">
                  <c:v>4438.1000000000004</c:v>
                </c:pt>
                <c:pt idx="105">
                  <c:v>4443.45</c:v>
                </c:pt>
                <c:pt idx="106">
                  <c:v>4427.9399999999996</c:v>
                </c:pt>
                <c:pt idx="107">
                  <c:v>4424.18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Bolsa'!$D$3:$D$110</c:f>
              <c:numCache>
                <c:formatCode>_("$"* #,##0.00_);_("$"* \(#,##0.00\);_("$"* "-"??_);_(@_)</c:formatCode>
                <c:ptCount val="108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  <c:pt idx="32">
                  <c:v>514.35</c:v>
                </c:pt>
                <c:pt idx="33">
                  <c:v>513.5</c:v>
                </c:pt>
                <c:pt idx="34">
                  <c:v>515.29999999999995</c:v>
                </c:pt>
                <c:pt idx="35">
                  <c:v>511.13</c:v>
                </c:pt>
                <c:pt idx="36">
                  <c:v>516.66</c:v>
                </c:pt>
                <c:pt idx="37">
                  <c:v>515.39</c:v>
                </c:pt>
                <c:pt idx="38">
                  <c:v>516.08000000000004</c:v>
                </c:pt>
                <c:pt idx="39">
                  <c:v>513.13</c:v>
                </c:pt>
                <c:pt idx="40">
                  <c:v>513.21</c:v>
                </c:pt>
                <c:pt idx="41">
                  <c:v>518.04</c:v>
                </c:pt>
                <c:pt idx="42">
                  <c:v>507.56</c:v>
                </c:pt>
                <c:pt idx="43">
                  <c:v>506.3</c:v>
                </c:pt>
                <c:pt idx="44">
                  <c:v>505.05</c:v>
                </c:pt>
                <c:pt idx="45">
                  <c:v>496.64</c:v>
                </c:pt>
                <c:pt idx="46">
                  <c:v>502.23</c:v>
                </c:pt>
                <c:pt idx="47">
                  <c:v>504.3</c:v>
                </c:pt>
                <c:pt idx="48">
                  <c:v>509.46</c:v>
                </c:pt>
                <c:pt idx="49">
                  <c:v>513.84</c:v>
                </c:pt>
                <c:pt idx="50">
                  <c:v>517.34</c:v>
                </c:pt>
                <c:pt idx="51">
                  <c:v>517.35</c:v>
                </c:pt>
                <c:pt idx="52">
                  <c:v>517.59</c:v>
                </c:pt>
                <c:pt idx="53">
                  <c:v>515.91</c:v>
                </c:pt>
                <c:pt idx="54">
                  <c:v>524.91</c:v>
                </c:pt>
                <c:pt idx="55">
                  <c:v>525.16999999999996</c:v>
                </c:pt>
                <c:pt idx="56">
                  <c:v>526.67999999999995</c:v>
                </c:pt>
                <c:pt idx="57">
                  <c:v>525.61</c:v>
                </c:pt>
                <c:pt idx="58">
                  <c:v>527.70000000000005</c:v>
                </c:pt>
                <c:pt idx="59">
                  <c:v>525.38</c:v>
                </c:pt>
                <c:pt idx="60">
                  <c:v>527.66999999999996</c:v>
                </c:pt>
                <c:pt idx="61">
                  <c:v>522.74</c:v>
                </c:pt>
                <c:pt idx="62">
                  <c:v>521.97</c:v>
                </c:pt>
                <c:pt idx="63">
                  <c:v>521.84</c:v>
                </c:pt>
                <c:pt idx="64">
                  <c:v>526.65</c:v>
                </c:pt>
                <c:pt idx="65">
                  <c:v>521.91</c:v>
                </c:pt>
                <c:pt idx="66">
                  <c:v>526.85</c:v>
                </c:pt>
                <c:pt idx="67">
                  <c:v>530.45000000000005</c:v>
                </c:pt>
                <c:pt idx="68">
                  <c:v>529.55999999999995</c:v>
                </c:pt>
                <c:pt idx="69">
                  <c:v>537.07000000000005</c:v>
                </c:pt>
                <c:pt idx="70">
                  <c:v>532.98</c:v>
                </c:pt>
                <c:pt idx="71">
                  <c:v>535.22</c:v>
                </c:pt>
                <c:pt idx="72">
                  <c:v>537.36</c:v>
                </c:pt>
                <c:pt idx="73">
                  <c:v>535.29999999999995</c:v>
                </c:pt>
                <c:pt idx="74">
                  <c:v>537.36</c:v>
                </c:pt>
                <c:pt idx="75">
                  <c:v>536.53</c:v>
                </c:pt>
                <c:pt idx="76">
                  <c:v>536.16</c:v>
                </c:pt>
                <c:pt idx="77">
                  <c:v>531.27</c:v>
                </c:pt>
                <c:pt idx="78">
                  <c:v>532.47</c:v>
                </c:pt>
                <c:pt idx="79">
                  <c:v>532.26</c:v>
                </c:pt>
                <c:pt idx="80">
                  <c:v>533.91999999999996</c:v>
                </c:pt>
                <c:pt idx="81">
                  <c:v>534.77</c:v>
                </c:pt>
                <c:pt idx="82">
                  <c:v>533.16</c:v>
                </c:pt>
                <c:pt idx="83">
                  <c:v>522.66999999999996</c:v>
                </c:pt>
                <c:pt idx="84">
                  <c:v>523.79999999999995</c:v>
                </c:pt>
                <c:pt idx="85">
                  <c:v>530.1</c:v>
                </c:pt>
                <c:pt idx="86">
                  <c:v>543.29999999999995</c:v>
                </c:pt>
                <c:pt idx="87">
                  <c:v>547.53</c:v>
                </c:pt>
                <c:pt idx="88">
                  <c:v>549.95000000000005</c:v>
                </c:pt>
                <c:pt idx="89">
                  <c:v>550.41999999999996</c:v>
                </c:pt>
                <c:pt idx="90">
                  <c:v>548.75</c:v>
                </c:pt>
                <c:pt idx="91">
                  <c:v>549.03</c:v>
                </c:pt>
                <c:pt idx="92">
                  <c:v>538.5</c:v>
                </c:pt>
                <c:pt idx="93">
                  <c:v>540.73</c:v>
                </c:pt>
                <c:pt idx="94">
                  <c:v>542.70000000000005</c:v>
                </c:pt>
                <c:pt idx="95">
                  <c:v>542.9</c:v>
                </c:pt>
                <c:pt idx="96">
                  <c:v>545.64</c:v>
                </c:pt>
                <c:pt idx="97">
                  <c:v>547.47</c:v>
                </c:pt>
                <c:pt idx="98">
                  <c:v>549.23</c:v>
                </c:pt>
                <c:pt idx="99">
                  <c:v>552.30999999999995</c:v>
                </c:pt>
                <c:pt idx="100">
                  <c:v>550.54999999999995</c:v>
                </c:pt>
                <c:pt idx="101">
                  <c:v>550.54999999999995</c:v>
                </c:pt>
                <c:pt idx="102">
                  <c:v>553.45000000000005</c:v>
                </c:pt>
                <c:pt idx="103">
                  <c:v>555.01</c:v>
                </c:pt>
                <c:pt idx="104">
                  <c:v>555.14</c:v>
                </c:pt>
                <c:pt idx="105">
                  <c:v>558.64</c:v>
                </c:pt>
                <c:pt idx="106">
                  <c:v>557.71</c:v>
                </c:pt>
                <c:pt idx="107">
                  <c:v>558.82000000000005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Bolsa'!$E$3:$E$110</c:f>
              <c:numCache>
                <c:formatCode>_("$"* #,##0.00_);_("$"* \(#,##0.00\);_("$"* "-"??_);_(@_)</c:formatCode>
                <c:ptCount val="108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  <c:pt idx="32">
                  <c:v>7.8078330000000005</c:v>
                </c:pt>
                <c:pt idx="33">
                  <c:v>7.7949300000000008</c:v>
                </c:pt>
                <c:pt idx="34">
                  <c:v>7.822254</c:v>
                </c:pt>
                <c:pt idx="35">
                  <c:v>7.7589534000000002</c:v>
                </c:pt>
                <c:pt idx="36">
                  <c:v>7.8428987999999995</c:v>
                </c:pt>
                <c:pt idx="37">
                  <c:v>7.8236202000000006</c:v>
                </c:pt>
                <c:pt idx="38">
                  <c:v>7.8340944000000015</c:v>
                </c:pt>
                <c:pt idx="39">
                  <c:v>7.7893134000000002</c:v>
                </c:pt>
                <c:pt idx="40">
                  <c:v>7.7905278000000013</c:v>
                </c:pt>
                <c:pt idx="41">
                  <c:v>7.8638471999999995</c:v>
                </c:pt>
                <c:pt idx="42">
                  <c:v>7.7047608000000007</c:v>
                </c:pt>
                <c:pt idx="43">
                  <c:v>7.6856340000000003</c:v>
                </c:pt>
                <c:pt idx="44">
                  <c:v>7.666659000000001</c:v>
                </c:pt>
                <c:pt idx="45">
                  <c:v>7.5389952000000005</c:v>
                </c:pt>
                <c:pt idx="46">
                  <c:v>7.6238514000000004</c:v>
                </c:pt>
                <c:pt idx="47">
                  <c:v>7.6552740000000004</c:v>
                </c:pt>
                <c:pt idx="48">
                  <c:v>7.7336027999999999</c:v>
                </c:pt>
                <c:pt idx="49">
                  <c:v>7.8000912000000007</c:v>
                </c:pt>
                <c:pt idx="50">
                  <c:v>7.853221200000001</c:v>
                </c:pt>
                <c:pt idx="51">
                  <c:v>7.8533730000000004</c:v>
                </c:pt>
                <c:pt idx="52">
                  <c:v>7.8570162000000012</c:v>
                </c:pt>
                <c:pt idx="53">
                  <c:v>7.8315137999999997</c:v>
                </c:pt>
                <c:pt idx="54">
                  <c:v>7.9681337999999995</c:v>
                </c:pt>
                <c:pt idx="55">
                  <c:v>7.9720806</c:v>
                </c:pt>
                <c:pt idx="56">
                  <c:v>7.9950023999999997</c:v>
                </c:pt>
                <c:pt idx="57">
                  <c:v>7.9787598000000006</c:v>
                </c:pt>
                <c:pt idx="58">
                  <c:v>8.0104860000000002</c:v>
                </c:pt>
                <c:pt idx="59">
                  <c:v>7.9752684</c:v>
                </c:pt>
                <c:pt idx="60">
                  <c:v>8.0100306000000003</c:v>
                </c:pt>
                <c:pt idx="61">
                  <c:v>7.9351932000000005</c:v>
                </c:pt>
                <c:pt idx="62">
                  <c:v>7.9235046000000011</c:v>
                </c:pt>
                <c:pt idx="63">
                  <c:v>7.9215312000000013</c:v>
                </c:pt>
                <c:pt idx="64">
                  <c:v>7.9945469999999998</c:v>
                </c:pt>
                <c:pt idx="65">
                  <c:v>7.9225937999999996</c:v>
                </c:pt>
                <c:pt idx="66">
                  <c:v>7.9975830000000006</c:v>
                </c:pt>
                <c:pt idx="67">
                  <c:v>8.0522310000000008</c:v>
                </c:pt>
                <c:pt idx="68">
                  <c:v>8.0387208000000001</c:v>
                </c:pt>
                <c:pt idx="69">
                  <c:v>8.1527226000000006</c:v>
                </c:pt>
                <c:pt idx="70">
                  <c:v>8.0906364000000011</c:v>
                </c:pt>
                <c:pt idx="71">
                  <c:v>8.1246396000000001</c:v>
                </c:pt>
                <c:pt idx="72">
                  <c:v>8.1571248000000001</c:v>
                </c:pt>
                <c:pt idx="73">
                  <c:v>8.1258540000000004</c:v>
                </c:pt>
                <c:pt idx="74">
                  <c:v>8.1571248000000001</c:v>
                </c:pt>
                <c:pt idx="75">
                  <c:v>8.1445253999999991</c:v>
                </c:pt>
                <c:pt idx="76">
                  <c:v>8.1389087999999994</c:v>
                </c:pt>
                <c:pt idx="77">
                  <c:v>8.0646786000000006</c:v>
                </c:pt>
                <c:pt idx="78">
                  <c:v>8.0828946000000013</c:v>
                </c:pt>
                <c:pt idx="79">
                  <c:v>8.0797068000000003</c:v>
                </c:pt>
                <c:pt idx="80">
                  <c:v>8.1049056000000004</c:v>
                </c:pt>
                <c:pt idx="81">
                  <c:v>8.1178086</c:v>
                </c:pt>
                <c:pt idx="82">
                  <c:v>8.0933688000000004</c:v>
                </c:pt>
                <c:pt idx="83">
                  <c:v>7.9341305999999996</c:v>
                </c:pt>
                <c:pt idx="84">
                  <c:v>7.9512839999999994</c:v>
                </c:pt>
                <c:pt idx="85">
                  <c:v>8.0469180000000016</c:v>
                </c:pt>
                <c:pt idx="86">
                  <c:v>8.2472940000000001</c:v>
                </c:pt>
                <c:pt idx="87">
                  <c:v>8.3115053999999997</c:v>
                </c:pt>
                <c:pt idx="88">
                  <c:v>8.3482410000000016</c:v>
                </c:pt>
                <c:pt idx="89">
                  <c:v>8.3553756000000003</c:v>
                </c:pt>
                <c:pt idx="90">
                  <c:v>8.3300250000000009</c:v>
                </c:pt>
                <c:pt idx="91">
                  <c:v>8.3342753999999992</c:v>
                </c:pt>
                <c:pt idx="92">
                  <c:v>8.174430000000001</c:v>
                </c:pt>
                <c:pt idx="93">
                  <c:v>8.2082814000000006</c:v>
                </c:pt>
                <c:pt idx="94">
                  <c:v>8.2381860000000007</c:v>
                </c:pt>
                <c:pt idx="95">
                  <c:v>8.2412220000000005</c:v>
                </c:pt>
                <c:pt idx="96">
                  <c:v>8.2828151999999999</c:v>
                </c:pt>
                <c:pt idx="97">
                  <c:v>8.3105946000000017</c:v>
                </c:pt>
                <c:pt idx="98">
                  <c:v>8.3373114000000008</c:v>
                </c:pt>
                <c:pt idx="99">
                  <c:v>8.3840658000000001</c:v>
                </c:pt>
                <c:pt idx="100">
                  <c:v>8.3573489999999993</c:v>
                </c:pt>
                <c:pt idx="101">
                  <c:v>8.3573489999999993</c:v>
                </c:pt>
                <c:pt idx="102">
                  <c:v>8.401371000000001</c:v>
                </c:pt>
                <c:pt idx="103">
                  <c:v>8.4250518000000003</c:v>
                </c:pt>
                <c:pt idx="104">
                  <c:v>8.427025200000001</c:v>
                </c:pt>
                <c:pt idx="105">
                  <c:v>8.4801552000000004</c:v>
                </c:pt>
                <c:pt idx="106">
                  <c:v>8.4660378000000005</c:v>
                </c:pt>
                <c:pt idx="107">
                  <c:v>8.4828876000000015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Bolsa'!$F$3:$F$110</c:f>
              <c:numCache>
                <c:formatCode>_("$"* #,##0.00_);_("$"* \(#,##0.00\);_("$"* "-"??_);_(@_)</c:formatCode>
                <c:ptCount val="108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  <c:pt idx="32">
                  <c:v>0.10783300000000029</c:v>
                </c:pt>
                <c:pt idx="33">
                  <c:v>9.4930000000000625E-2</c:v>
                </c:pt>
                <c:pt idx="34">
                  <c:v>0.12225399999999986</c:v>
                </c:pt>
                <c:pt idx="35">
                  <c:v>5.8953400000000045E-2</c:v>
                </c:pt>
                <c:pt idx="36">
                  <c:v>0.14289879999999933</c:v>
                </c:pt>
                <c:pt idx="37">
                  <c:v>0.1236202000000004</c:v>
                </c:pt>
                <c:pt idx="38">
                  <c:v>0.13409440000000128</c:v>
                </c:pt>
                <c:pt idx="39">
                  <c:v>8.9313399999999987E-2</c:v>
                </c:pt>
                <c:pt idx="40">
                  <c:v>9.0527800000001157E-2</c:v>
                </c:pt>
                <c:pt idx="41">
                  <c:v>0.1638471999999993</c:v>
                </c:pt>
                <c:pt idx="42">
                  <c:v>4.7608000000005646E-3</c:v>
                </c:pt>
                <c:pt idx="43">
                  <c:v>-1.4365999999999879E-2</c:v>
                </c:pt>
                <c:pt idx="44">
                  <c:v>-3.3340999999999177E-2</c:v>
                </c:pt>
                <c:pt idx="45">
                  <c:v>-0.16100479999999973</c:v>
                </c:pt>
                <c:pt idx="46">
                  <c:v>-7.6148599999999789E-2</c:v>
                </c:pt>
                <c:pt idx="47">
                  <c:v>-4.4725999999999821E-2</c:v>
                </c:pt>
                <c:pt idx="48">
                  <c:v>3.3602799999999711E-2</c:v>
                </c:pt>
                <c:pt idx="49">
                  <c:v>0.10009120000000049</c:v>
                </c:pt>
                <c:pt idx="50">
                  <c:v>0.15322120000000083</c:v>
                </c:pt>
                <c:pt idx="51">
                  <c:v>0.1533730000000002</c:v>
                </c:pt>
                <c:pt idx="52">
                  <c:v>0.15701620000000105</c:v>
                </c:pt>
                <c:pt idx="53">
                  <c:v>0.13151379999999957</c:v>
                </c:pt>
                <c:pt idx="54">
                  <c:v>0.26813379999999931</c:v>
                </c:pt>
                <c:pt idx="55">
                  <c:v>0.27208059999999978</c:v>
                </c:pt>
                <c:pt idx="56">
                  <c:v>0.29500239999999955</c:v>
                </c:pt>
                <c:pt idx="57">
                  <c:v>0.27875980000000045</c:v>
                </c:pt>
                <c:pt idx="58">
                  <c:v>0.31048600000000004</c:v>
                </c:pt>
                <c:pt idx="59">
                  <c:v>0.27526839999999986</c:v>
                </c:pt>
                <c:pt idx="60">
                  <c:v>0.31003060000000016</c:v>
                </c:pt>
                <c:pt idx="61">
                  <c:v>0.23519320000000032</c:v>
                </c:pt>
                <c:pt idx="62">
                  <c:v>0.22350460000000094</c:v>
                </c:pt>
                <c:pt idx="63">
                  <c:v>0.22153120000000115</c:v>
                </c:pt>
                <c:pt idx="64">
                  <c:v>0.29454699999999967</c:v>
                </c:pt>
                <c:pt idx="65">
                  <c:v>0.2225937999999994</c:v>
                </c:pt>
                <c:pt idx="66">
                  <c:v>0.29758300000000037</c:v>
                </c:pt>
                <c:pt idx="67">
                  <c:v>0.35223100000000063</c:v>
                </c:pt>
                <c:pt idx="68">
                  <c:v>0.33872079999999993</c:v>
                </c:pt>
                <c:pt idx="69">
                  <c:v>0.45272260000000042</c:v>
                </c:pt>
                <c:pt idx="70">
                  <c:v>0.39063640000000088</c:v>
                </c:pt>
                <c:pt idx="71">
                  <c:v>0.42463959999999989</c:v>
                </c:pt>
                <c:pt idx="72">
                  <c:v>0.45712479999999989</c:v>
                </c:pt>
                <c:pt idx="73">
                  <c:v>0.42585400000000018</c:v>
                </c:pt>
                <c:pt idx="74">
                  <c:v>0.45712479999999989</c:v>
                </c:pt>
                <c:pt idx="75">
                  <c:v>0.44452539999999896</c:v>
                </c:pt>
                <c:pt idx="76">
                  <c:v>0.43890879999999921</c:v>
                </c:pt>
                <c:pt idx="77">
                  <c:v>0.36467860000000041</c:v>
                </c:pt>
                <c:pt idx="78">
                  <c:v>0.38289460000000108</c:v>
                </c:pt>
                <c:pt idx="79">
                  <c:v>0.37970680000000012</c:v>
                </c:pt>
                <c:pt idx="80">
                  <c:v>0.4049056000000002</c:v>
                </c:pt>
                <c:pt idx="81">
                  <c:v>0.41780859999999986</c:v>
                </c:pt>
                <c:pt idx="82">
                  <c:v>0.39336880000000018</c:v>
                </c:pt>
                <c:pt idx="83">
                  <c:v>0.23413059999999941</c:v>
                </c:pt>
                <c:pt idx="84">
                  <c:v>0.25128399999999917</c:v>
                </c:pt>
                <c:pt idx="85">
                  <c:v>0.34691800000000139</c:v>
                </c:pt>
                <c:pt idx="86">
                  <c:v>0.54729399999999995</c:v>
                </c:pt>
                <c:pt idx="87">
                  <c:v>0.61150539999999953</c:v>
                </c:pt>
                <c:pt idx="88">
                  <c:v>0.6482410000000014</c:v>
                </c:pt>
                <c:pt idx="89">
                  <c:v>0.65537560000000017</c:v>
                </c:pt>
                <c:pt idx="90">
                  <c:v>0.63002500000000072</c:v>
                </c:pt>
                <c:pt idx="91">
                  <c:v>0.63427539999999905</c:v>
                </c:pt>
                <c:pt idx="92">
                  <c:v>0.4744300000000008</c:v>
                </c:pt>
                <c:pt idx="93">
                  <c:v>0.50828140000000044</c:v>
                </c:pt>
                <c:pt idx="94">
                  <c:v>0.5381860000000005</c:v>
                </c:pt>
                <c:pt idx="95">
                  <c:v>0.54122200000000031</c:v>
                </c:pt>
                <c:pt idx="96">
                  <c:v>0.58281519999999976</c:v>
                </c:pt>
                <c:pt idx="97">
                  <c:v>0.61059460000000154</c:v>
                </c:pt>
                <c:pt idx="98">
                  <c:v>0.63731140000000064</c:v>
                </c:pt>
                <c:pt idx="99">
                  <c:v>0.68406579999999995</c:v>
                </c:pt>
                <c:pt idx="100">
                  <c:v>0.65734899999999907</c:v>
                </c:pt>
                <c:pt idx="101">
                  <c:v>0.65734899999999907</c:v>
                </c:pt>
                <c:pt idx="102">
                  <c:v>0.70137100000000085</c:v>
                </c:pt>
                <c:pt idx="103">
                  <c:v>0.72505180000000014</c:v>
                </c:pt>
                <c:pt idx="104">
                  <c:v>0.72702520000000082</c:v>
                </c:pt>
                <c:pt idx="105">
                  <c:v>0.78015520000000027</c:v>
                </c:pt>
                <c:pt idx="106">
                  <c:v>0.76603780000000032</c:v>
                </c:pt>
                <c:pt idx="107">
                  <c:v>0.78288760000000135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Bolsa'!$G$3:$G$110</c:f>
              <c:numCache>
                <c:formatCode>_("$"* #,##0.00_);_("$"* \(#,##0.00\);_("$"* "-"??_);_(@_)</c:formatCode>
                <c:ptCount val="108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  <c:pt idx="32">
                  <c:v>31466.816243280002</c:v>
                </c:pt>
                <c:pt idx="33">
                  <c:v>31359.159288600003</c:v>
                </c:pt>
                <c:pt idx="34">
                  <c:v>31368.802990799999</c:v>
                </c:pt>
                <c:pt idx="35">
                  <c:v>31317.075660750001</c:v>
                </c:pt>
                <c:pt idx="36">
                  <c:v>31917.617814455996</c:v>
                </c:pt>
                <c:pt idx="37">
                  <c:v>31527.233500950002</c:v>
                </c:pt>
                <c:pt idx="38">
                  <c:v>31523.769138048006</c:v>
                </c:pt>
                <c:pt idx="39">
                  <c:v>31512.757863576</c:v>
                </c:pt>
                <c:pt idx="40">
                  <c:v>31671.144286452007</c:v>
                </c:pt>
                <c:pt idx="41">
                  <c:v>32494.281653591996</c:v>
                </c:pt>
                <c:pt idx="42">
                  <c:v>32054.193403848007</c:v>
                </c:pt>
                <c:pt idx="43">
                  <c:v>32170.526797200004</c:v>
                </c:pt>
                <c:pt idx="44">
                  <c:v>32091.25457538</c:v>
                </c:pt>
                <c:pt idx="45">
                  <c:v>31456.457472000002</c:v>
                </c:pt>
                <c:pt idx="46">
                  <c:v>31637.382301206002</c:v>
                </c:pt>
                <c:pt idx="47">
                  <c:v>32487.451801200004</c:v>
                </c:pt>
                <c:pt idx="48">
                  <c:v>33092.782405452002</c:v>
                </c:pt>
                <c:pt idx="49">
                  <c:v>33311.225480544002</c:v>
                </c:pt>
                <c:pt idx="50">
                  <c:v>32962.953600456007</c:v>
                </c:pt>
                <c:pt idx="51">
                  <c:v>32765.293094490004</c:v>
                </c:pt>
                <c:pt idx="52">
                  <c:v>33161.165433396003</c:v>
                </c:pt>
                <c:pt idx="53">
                  <c:v>33088.224120138002</c:v>
                </c:pt>
                <c:pt idx="54">
                  <c:v>33281.699662530002</c:v>
                </c:pt>
                <c:pt idx="55">
                  <c:v>33115.863370788</c:v>
                </c:pt>
                <c:pt idx="56">
                  <c:v>33273.201238199996</c:v>
                </c:pt>
                <c:pt idx="57">
                  <c:v>33101.879720249999</c:v>
                </c:pt>
                <c:pt idx="58">
                  <c:v>33650.049064500003</c:v>
                </c:pt>
                <c:pt idx="59">
                  <c:v>33157.497383736001</c:v>
                </c:pt>
                <c:pt idx="60">
                  <c:v>33302.983824395997</c:v>
                </c:pt>
                <c:pt idx="61">
                  <c:v>33320.828469984001</c:v>
                </c:pt>
                <c:pt idx="62">
                  <c:v>33447.252262842005</c:v>
                </c:pt>
                <c:pt idx="63">
                  <c:v>33224.961450912007</c:v>
                </c:pt>
                <c:pt idx="64">
                  <c:v>33490.51645599</c:v>
                </c:pt>
                <c:pt idx="65">
                  <c:v>33016.696628057995</c:v>
                </c:pt>
                <c:pt idx="66">
                  <c:v>33698.215849650005</c:v>
                </c:pt>
                <c:pt idx="67">
                  <c:v>34069.633539480004</c:v>
                </c:pt>
                <c:pt idx="68">
                  <c:v>34028.307082439998</c:v>
                </c:pt>
                <c:pt idx="69">
                  <c:v>34330.707232469998</c:v>
                </c:pt>
                <c:pt idx="70">
                  <c:v>34039.006368444003</c:v>
                </c:pt>
                <c:pt idx="71">
                  <c:v>34588.296951516</c:v>
                </c:pt>
                <c:pt idx="72">
                  <c:v>34902.216166751998</c:v>
                </c:pt>
                <c:pt idx="73">
                  <c:v>34512.858435660004</c:v>
                </c:pt>
                <c:pt idx="74">
                  <c:v>34645.674591791998</c:v>
                </c:pt>
                <c:pt idx="75">
                  <c:v>34777.123457999995</c:v>
                </c:pt>
                <c:pt idx="76">
                  <c:v>34834.855220351994</c:v>
                </c:pt>
                <c:pt idx="77">
                  <c:v>34439.161553081998</c:v>
                </c:pt>
                <c:pt idx="78">
                  <c:v>34949.789618832008</c:v>
                </c:pt>
                <c:pt idx="79">
                  <c:v>34929.461264147998</c:v>
                </c:pt>
                <c:pt idx="80">
                  <c:v>35026.484237184006</c:v>
                </c:pt>
                <c:pt idx="81">
                  <c:v>35272.933682118004</c:v>
                </c:pt>
                <c:pt idx="82">
                  <c:v>34987.714256088002</c:v>
                </c:pt>
                <c:pt idx="83">
                  <c:v>35057.987493077999</c:v>
                </c:pt>
                <c:pt idx="84">
                  <c:v>35346.240329400003</c:v>
                </c:pt>
                <c:pt idx="85">
                  <c:v>35717.211173160009</c:v>
                </c:pt>
                <c:pt idx="86">
                  <c:v>36615.923536499999</c:v>
                </c:pt>
                <c:pt idx="87">
                  <c:v>36485.264599541995</c:v>
                </c:pt>
                <c:pt idx="88">
                  <c:v>36728.754138780008</c:v>
                </c:pt>
                <c:pt idx="89">
                  <c:v>36318.311120519997</c:v>
                </c:pt>
                <c:pt idx="90">
                  <c:v>36460.102923750004</c:v>
                </c:pt>
                <c:pt idx="91">
                  <c:v>36277.433961119998</c:v>
                </c:pt>
                <c:pt idx="92">
                  <c:v>36682.836369300006</c:v>
                </c:pt>
                <c:pt idx="93">
                  <c:v>36177.261525173999</c:v>
                </c:pt>
                <c:pt idx="94">
                  <c:v>36421.67936088</c:v>
                </c:pt>
                <c:pt idx="95">
                  <c:v>36307.197994320006</c:v>
                </c:pt>
                <c:pt idx="96">
                  <c:v>36563.162449968004</c:v>
                </c:pt>
                <c:pt idx="97">
                  <c:v>36888.901098588009</c:v>
                </c:pt>
                <c:pt idx="98">
                  <c:v>36375.27277263</c:v>
                </c:pt>
                <c:pt idx="99">
                  <c:v>36884.942921178001</c:v>
                </c:pt>
                <c:pt idx="100">
                  <c:v>36599.171328719996</c:v>
                </c:pt>
                <c:pt idx="101">
                  <c:v>36694.862974769996</c:v>
                </c:pt>
                <c:pt idx="102">
                  <c:v>36786.075033180001</c:v>
                </c:pt>
                <c:pt idx="103">
                  <c:v>37057.843093853997</c:v>
                </c:pt>
                <c:pt idx="104">
                  <c:v>37399.980540120006</c:v>
                </c:pt>
                <c:pt idx="105">
                  <c:v>37681.145623440003</c:v>
                </c:pt>
                <c:pt idx="106">
                  <c:v>37487.107416131999</c:v>
                </c:pt>
                <c:pt idx="107">
                  <c:v>37529.821662168011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ser>
          <c:idx val="5"/>
          <c:order val="5"/>
          <c:tx>
            <c:strRef>
              <c:f>'Inv Bolsa'!$H$2</c:f>
              <c:strCache>
                <c:ptCount val="1"/>
                <c:pt idx="0">
                  <c:v>VALOR INVERSION 2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Bolsa'!$H$3:$H$110</c:f>
              <c:numCache>
                <c:formatCode>_("$"* #,##0.00_);_("$"* \(#,##0.00\);_("$"* "-"??_);_(@_)</c:formatCode>
                <c:ptCount val="108"/>
                <c:pt idx="0">
                  <c:v>7.7431115999999998</c:v>
                </c:pt>
                <c:pt idx="1">
                  <c:v>7.7927391000000004</c:v>
                </c:pt>
                <c:pt idx="2">
                  <c:v>7.8012902999999998</c:v>
                </c:pt>
                <c:pt idx="3">
                  <c:v>7.8548879999999999</c:v>
                </c:pt>
                <c:pt idx="4">
                  <c:v>7.8089253000000003</c:v>
                </c:pt>
                <c:pt idx="5">
                  <c:v>7.8571784999999998</c:v>
                </c:pt>
                <c:pt idx="6">
                  <c:v>7.8809997000000003</c:v>
                </c:pt>
                <c:pt idx="7">
                  <c:v>7.9257407999999998</c:v>
                </c:pt>
                <c:pt idx="8">
                  <c:v>7.8150333000000005</c:v>
                </c:pt>
                <c:pt idx="9">
                  <c:v>7.7562438</c:v>
                </c:pt>
                <c:pt idx="10">
                  <c:v>7.7044785000000005</c:v>
                </c:pt>
                <c:pt idx="11">
                  <c:v>7.7844933000000003</c:v>
                </c:pt>
                <c:pt idx="12">
                  <c:v>7.7715138000000001</c:v>
                </c:pt>
                <c:pt idx="13">
                  <c:v>7.593618300000001</c:v>
                </c:pt>
                <c:pt idx="14">
                  <c:v>7.5552906000000002</c:v>
                </c:pt>
                <c:pt idx="15">
                  <c:v>7.6400391000000001</c:v>
                </c:pt>
                <c:pt idx="16">
                  <c:v>7.645689</c:v>
                </c:pt>
                <c:pt idx="17">
                  <c:v>7.6056816000000005</c:v>
                </c:pt>
                <c:pt idx="18">
                  <c:v>7.7255511000000006</c:v>
                </c:pt>
                <c:pt idx="19">
                  <c:v>7.6201881</c:v>
                </c:pt>
                <c:pt idx="20">
                  <c:v>7.4809257000000002</c:v>
                </c:pt>
                <c:pt idx="21">
                  <c:v>7.2563040000000001</c:v>
                </c:pt>
                <c:pt idx="22">
                  <c:v>7.3286838000000003</c:v>
                </c:pt>
                <c:pt idx="23">
                  <c:v>7.2778347000000005</c:v>
                </c:pt>
                <c:pt idx="24">
                  <c:v>7.4476371000000006</c:v>
                </c:pt>
                <c:pt idx="25">
                  <c:v>7.4795514000000001</c:v>
                </c:pt>
                <c:pt idx="26">
                  <c:v>7.4795514000000001</c:v>
                </c:pt>
                <c:pt idx="27">
                  <c:v>7.4833689000000003</c:v>
                </c:pt>
                <c:pt idx="28">
                  <c:v>7.6076667000000002</c:v>
                </c:pt>
                <c:pt idx="29">
                  <c:v>7.6319460000000001</c:v>
                </c:pt>
                <c:pt idx="30">
                  <c:v>7.7629625999999998</c:v>
                </c:pt>
                <c:pt idx="31">
                  <c:v>7.7793014999999999</c:v>
                </c:pt>
                <c:pt idx="32">
                  <c:v>7.8541245000000011</c:v>
                </c:pt>
                <c:pt idx="33">
                  <c:v>7.841145</c:v>
                </c:pt>
                <c:pt idx="34">
                  <c:v>7.8686309999999997</c:v>
                </c:pt>
                <c:pt idx="35">
                  <c:v>7.8049550999999999</c:v>
                </c:pt>
                <c:pt idx="36">
                  <c:v>7.8893981999999996</c:v>
                </c:pt>
                <c:pt idx="37">
                  <c:v>7.8700052999999999</c:v>
                </c:pt>
                <c:pt idx="38">
                  <c:v>7.8805416000000008</c:v>
                </c:pt>
                <c:pt idx="39">
                  <c:v>7.8354951000000002</c:v>
                </c:pt>
                <c:pt idx="40">
                  <c:v>7.8367167000000011</c:v>
                </c:pt>
                <c:pt idx="41">
                  <c:v>7.9104707999999997</c:v>
                </c:pt>
                <c:pt idx="42">
                  <c:v>7.7504412</c:v>
                </c:pt>
                <c:pt idx="43">
                  <c:v>7.7312010000000004</c:v>
                </c:pt>
                <c:pt idx="44">
                  <c:v>7.7121135000000001</c:v>
                </c:pt>
                <c:pt idx="45">
                  <c:v>7.5836927999999997</c:v>
                </c:pt>
                <c:pt idx="46">
                  <c:v>7.6690521000000009</c:v>
                </c:pt>
                <c:pt idx="47">
                  <c:v>7.7006610000000002</c:v>
                </c:pt>
                <c:pt idx="48">
                  <c:v>7.7794542</c:v>
                </c:pt>
                <c:pt idx="49">
                  <c:v>7.8463368000000004</c:v>
                </c:pt>
                <c:pt idx="50">
                  <c:v>7.8997818000000004</c:v>
                </c:pt>
                <c:pt idx="51">
                  <c:v>7.8999345000000005</c:v>
                </c:pt>
                <c:pt idx="52">
                  <c:v>7.9035993000000007</c:v>
                </c:pt>
                <c:pt idx="53">
                  <c:v>7.8779456999999997</c:v>
                </c:pt>
                <c:pt idx="54">
                  <c:v>8.0153756999999999</c:v>
                </c:pt>
                <c:pt idx="55">
                  <c:v>8.0193458999999994</c:v>
                </c:pt>
                <c:pt idx="56">
                  <c:v>8.0424036000000001</c:v>
                </c:pt>
                <c:pt idx="57">
                  <c:v>8.0260647000000009</c:v>
                </c:pt>
                <c:pt idx="58">
                  <c:v>8.0579790000000013</c:v>
                </c:pt>
                <c:pt idx="59">
                  <c:v>8.0225526000000009</c:v>
                </c:pt>
                <c:pt idx="60">
                  <c:v>8.0575209000000001</c:v>
                </c:pt>
                <c:pt idx="61">
                  <c:v>7.9822398000000003</c:v>
                </c:pt>
                <c:pt idx="62">
                  <c:v>7.9704819000000011</c:v>
                </c:pt>
                <c:pt idx="63">
                  <c:v>7.9684968000000005</c:v>
                </c:pt>
                <c:pt idx="64">
                  <c:v>8.0419455000000006</c:v>
                </c:pt>
                <c:pt idx="65">
                  <c:v>7.9695656999999995</c:v>
                </c:pt>
                <c:pt idx="66">
                  <c:v>8.0449995000000012</c:v>
                </c:pt>
                <c:pt idx="67">
                  <c:v>8.0999715000000005</c:v>
                </c:pt>
                <c:pt idx="68">
                  <c:v>8.0863811999999999</c:v>
                </c:pt>
                <c:pt idx="69">
                  <c:v>8.2010589000000014</c:v>
                </c:pt>
                <c:pt idx="70">
                  <c:v>8.1386046000000007</c:v>
                </c:pt>
                <c:pt idx="71">
                  <c:v>8.1728094000000002</c:v>
                </c:pt>
                <c:pt idx="72">
                  <c:v>8.2054872000000003</c:v>
                </c:pt>
                <c:pt idx="73">
                  <c:v>8.1740309999999994</c:v>
                </c:pt>
                <c:pt idx="74">
                  <c:v>8.2054872000000003</c:v>
                </c:pt>
                <c:pt idx="75">
                  <c:v>8.1928131000000004</c:v>
                </c:pt>
                <c:pt idx="76">
                  <c:v>8.1871632000000005</c:v>
                </c:pt>
                <c:pt idx="77">
                  <c:v>8.1124928999999995</c:v>
                </c:pt>
                <c:pt idx="78">
                  <c:v>8.130816900000001</c:v>
                </c:pt>
                <c:pt idx="79">
                  <c:v>8.1276101999999995</c:v>
                </c:pt>
                <c:pt idx="80">
                  <c:v>8.1529583999999993</c:v>
                </c:pt>
                <c:pt idx="81">
                  <c:v>8.1659378999999994</c:v>
                </c:pt>
                <c:pt idx="82">
                  <c:v>8.1413531999999993</c:v>
                </c:pt>
                <c:pt idx="83">
                  <c:v>7.9811708999999995</c:v>
                </c:pt>
                <c:pt idx="84">
                  <c:v>7.9984259999999994</c:v>
                </c:pt>
                <c:pt idx="85">
                  <c:v>8.0946270000000009</c:v>
                </c:pt>
                <c:pt idx="86">
                  <c:v>8.2961910000000003</c:v>
                </c:pt>
                <c:pt idx="87">
                  <c:v>8.360783099999999</c:v>
                </c:pt>
                <c:pt idx="88">
                  <c:v>8.3977365000000006</c:v>
                </c:pt>
                <c:pt idx="89">
                  <c:v>8.4049133999999999</c:v>
                </c:pt>
                <c:pt idx="90">
                  <c:v>8.3794125000000008</c:v>
                </c:pt>
                <c:pt idx="91">
                  <c:v>8.3836881000000005</c:v>
                </c:pt>
                <c:pt idx="92">
                  <c:v>8.2228950000000012</c:v>
                </c:pt>
                <c:pt idx="93">
                  <c:v>8.2569471000000014</c:v>
                </c:pt>
                <c:pt idx="94">
                  <c:v>8.2870290000000004</c:v>
                </c:pt>
                <c:pt idx="95">
                  <c:v>8.2900829999999992</c:v>
                </c:pt>
                <c:pt idx="96">
                  <c:v>8.331922800000001</c:v>
                </c:pt>
                <c:pt idx="97">
                  <c:v>8.3598669000000001</c:v>
                </c:pt>
                <c:pt idx="98">
                  <c:v>8.3867421000000011</c:v>
                </c:pt>
                <c:pt idx="99">
                  <c:v>8.4337736999999997</c:v>
                </c:pt>
                <c:pt idx="100">
                  <c:v>8.4068985000000005</c:v>
                </c:pt>
                <c:pt idx="101">
                  <c:v>8.4068985000000005</c:v>
                </c:pt>
                <c:pt idx="102">
                  <c:v>8.4511815000000006</c:v>
                </c:pt>
                <c:pt idx="103">
                  <c:v>8.475002700000001</c:v>
                </c:pt>
                <c:pt idx="104">
                  <c:v>8.4769877999999999</c:v>
                </c:pt>
                <c:pt idx="105">
                  <c:v>8.5304327999999998</c:v>
                </c:pt>
                <c:pt idx="106">
                  <c:v>8.5162317000000005</c:v>
                </c:pt>
                <c:pt idx="107">
                  <c:v>8.5331814000000019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079-80C8-968F6E97D864}"/>
            </c:ext>
          </c:extLst>
        </c:ser>
        <c:ser>
          <c:idx val="6"/>
          <c:order val="6"/>
          <c:tx>
            <c:strRef>
              <c:f>'Inv Bolsa'!$I$2</c:f>
              <c:strCache>
                <c:ptCount val="1"/>
                <c:pt idx="0">
                  <c:v>GAN/PER2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Bolsa'!$I$3:$I$110</c:f>
              <c:numCache>
                <c:formatCode>_("$"* #,##0.00_);_("$"* \(#,##0.00\);_("$"* "-"??_);_(@_)</c:formatCode>
                <c:ptCount val="108"/>
                <c:pt idx="0">
                  <c:v>-0.15688840000000059</c:v>
                </c:pt>
                <c:pt idx="1">
                  <c:v>-0.10726089999999999</c:v>
                </c:pt>
                <c:pt idx="2">
                  <c:v>-9.8709700000000566E-2</c:v>
                </c:pt>
                <c:pt idx="3">
                  <c:v>-4.5112000000000485E-2</c:v>
                </c:pt>
                <c:pt idx="4">
                  <c:v>-9.1074700000000064E-2</c:v>
                </c:pt>
                <c:pt idx="5">
                  <c:v>-4.2821500000000512E-2</c:v>
                </c:pt>
                <c:pt idx="6">
                  <c:v>-1.9000300000000081E-2</c:v>
                </c:pt>
                <c:pt idx="7">
                  <c:v>2.5740799999999453E-2</c:v>
                </c:pt>
                <c:pt idx="8">
                  <c:v>-8.496669999999984E-2</c:v>
                </c:pt>
                <c:pt idx="9">
                  <c:v>-0.14375620000000033</c:v>
                </c:pt>
                <c:pt idx="10">
                  <c:v>-0.1955214999999999</c:v>
                </c:pt>
                <c:pt idx="11">
                  <c:v>-0.11550670000000007</c:v>
                </c:pt>
                <c:pt idx="12">
                  <c:v>-0.12848620000000022</c:v>
                </c:pt>
                <c:pt idx="13">
                  <c:v>-0.30638169999999931</c:v>
                </c:pt>
                <c:pt idx="14">
                  <c:v>-0.34470940000000017</c:v>
                </c:pt>
                <c:pt idx="15">
                  <c:v>-0.25996090000000027</c:v>
                </c:pt>
                <c:pt idx="16">
                  <c:v>-0.2543110000000004</c:v>
                </c:pt>
                <c:pt idx="17">
                  <c:v>-0.29431839999999987</c:v>
                </c:pt>
                <c:pt idx="18">
                  <c:v>-0.1744488999999998</c:v>
                </c:pt>
                <c:pt idx="19">
                  <c:v>-0.27981190000000034</c:v>
                </c:pt>
                <c:pt idx="20">
                  <c:v>-0.41907430000000012</c:v>
                </c:pt>
                <c:pt idx="21">
                  <c:v>-0.64369600000000027</c:v>
                </c:pt>
                <c:pt idx="22">
                  <c:v>-0.57131620000000005</c:v>
                </c:pt>
                <c:pt idx="23">
                  <c:v>-0.62216529999999981</c:v>
                </c:pt>
                <c:pt idx="24">
                  <c:v>-0.45236289999999979</c:v>
                </c:pt>
                <c:pt idx="25">
                  <c:v>-0.42044860000000028</c:v>
                </c:pt>
                <c:pt idx="26">
                  <c:v>-0.42044860000000028</c:v>
                </c:pt>
                <c:pt idx="27">
                  <c:v>-0.41663110000000003</c:v>
                </c:pt>
                <c:pt idx="28">
                  <c:v>-0.29233330000000013</c:v>
                </c:pt>
                <c:pt idx="29">
                  <c:v>-0.26805400000000024</c:v>
                </c:pt>
                <c:pt idx="30">
                  <c:v>-0.13703740000000053</c:v>
                </c:pt>
                <c:pt idx="31">
                  <c:v>-0.12069850000000049</c:v>
                </c:pt>
                <c:pt idx="32">
                  <c:v>-4.5875499999999292E-2</c:v>
                </c:pt>
                <c:pt idx="33">
                  <c:v>-5.8855000000000324E-2</c:v>
                </c:pt>
                <c:pt idx="34">
                  <c:v>-3.1369000000000646E-2</c:v>
                </c:pt>
                <c:pt idx="35">
                  <c:v>-9.5044900000000432E-2</c:v>
                </c:pt>
                <c:pt idx="36">
                  <c:v>-1.0601800000000772E-2</c:v>
                </c:pt>
                <c:pt idx="37">
                  <c:v>-2.9994700000000485E-2</c:v>
                </c:pt>
                <c:pt idx="38">
                  <c:v>-1.9458399999999543E-2</c:v>
                </c:pt>
                <c:pt idx="39">
                  <c:v>-6.4504900000000198E-2</c:v>
                </c:pt>
                <c:pt idx="40">
                  <c:v>-6.3283299999999265E-2</c:v>
                </c:pt>
                <c:pt idx="41">
                  <c:v>1.0470799999999336E-2</c:v>
                </c:pt>
                <c:pt idx="42">
                  <c:v>-0.14955880000000032</c:v>
                </c:pt>
                <c:pt idx="43">
                  <c:v>-0.16879899999999992</c:v>
                </c:pt>
                <c:pt idx="44">
                  <c:v>-0.18788650000000029</c:v>
                </c:pt>
                <c:pt idx="45">
                  <c:v>-0.31630720000000068</c:v>
                </c:pt>
                <c:pt idx="46">
                  <c:v>-0.23094789999999943</c:v>
                </c:pt>
                <c:pt idx="47">
                  <c:v>-0.19933900000000015</c:v>
                </c:pt>
                <c:pt idx="48">
                  <c:v>-0.12054580000000037</c:v>
                </c:pt>
                <c:pt idx="49">
                  <c:v>-5.3663199999999911E-2</c:v>
                </c:pt>
                <c:pt idx="50">
                  <c:v>-2.1819999999994621E-4</c:v>
                </c:pt>
                <c:pt idx="51">
                  <c:v>-6.5499999999829583E-5</c:v>
                </c:pt>
                <c:pt idx="52">
                  <c:v>3.599300000000305E-3</c:v>
                </c:pt>
                <c:pt idx="53">
                  <c:v>-2.2054300000000637E-2</c:v>
                </c:pt>
                <c:pt idx="54">
                  <c:v>0.11537569999999953</c:v>
                </c:pt>
                <c:pt idx="55">
                  <c:v>0.11934589999999901</c:v>
                </c:pt>
                <c:pt idx="56">
                  <c:v>0.14240359999999974</c:v>
                </c:pt>
                <c:pt idx="57">
                  <c:v>0.12606470000000058</c:v>
                </c:pt>
                <c:pt idx="58">
                  <c:v>0.15797900000000098</c:v>
                </c:pt>
                <c:pt idx="59">
                  <c:v>0.12255260000000057</c:v>
                </c:pt>
                <c:pt idx="60">
                  <c:v>0.15752089999999974</c:v>
                </c:pt>
                <c:pt idx="61">
                  <c:v>8.2239799999999974E-2</c:v>
                </c:pt>
                <c:pt idx="62">
                  <c:v>7.0481900000000763E-2</c:v>
                </c:pt>
                <c:pt idx="63">
                  <c:v>6.8496800000000135E-2</c:v>
                </c:pt>
                <c:pt idx="64">
                  <c:v>0.14194550000000028</c:v>
                </c:pt>
                <c:pt idx="65">
                  <c:v>6.9565699999999175E-2</c:v>
                </c:pt>
                <c:pt idx="66">
                  <c:v>0.14499950000000084</c:v>
                </c:pt>
                <c:pt idx="67">
                  <c:v>0.19997150000000019</c:v>
                </c:pt>
                <c:pt idx="68">
                  <c:v>0.18638119999999958</c:v>
                </c:pt>
                <c:pt idx="69">
                  <c:v>0.30105890000000102</c:v>
                </c:pt>
                <c:pt idx="70">
                  <c:v>0.23860460000000039</c:v>
                </c:pt>
                <c:pt idx="71">
                  <c:v>0.27280939999999987</c:v>
                </c:pt>
                <c:pt idx="72">
                  <c:v>0.30548719999999996</c:v>
                </c:pt>
                <c:pt idx="73">
                  <c:v>0.27403099999999903</c:v>
                </c:pt>
                <c:pt idx="74">
                  <c:v>0.30548719999999996</c:v>
                </c:pt>
                <c:pt idx="75">
                  <c:v>0.29281310000000005</c:v>
                </c:pt>
                <c:pt idx="76">
                  <c:v>0.28716320000000017</c:v>
                </c:pt>
                <c:pt idx="77">
                  <c:v>0.2124928999999991</c:v>
                </c:pt>
                <c:pt idx="78">
                  <c:v>0.23081690000000066</c:v>
                </c:pt>
                <c:pt idx="79">
                  <c:v>0.2276101999999991</c:v>
                </c:pt>
                <c:pt idx="80">
                  <c:v>0.25295839999999892</c:v>
                </c:pt>
                <c:pt idx="81">
                  <c:v>0.26593789999999906</c:v>
                </c:pt>
                <c:pt idx="82">
                  <c:v>0.24135319999999894</c:v>
                </c:pt>
                <c:pt idx="83">
                  <c:v>8.1170899999999158E-2</c:v>
                </c:pt>
                <c:pt idx="84">
                  <c:v>9.8425999999999014E-2</c:v>
                </c:pt>
                <c:pt idx="85">
                  <c:v>0.19462700000000055</c:v>
                </c:pt>
                <c:pt idx="86">
                  <c:v>0.39619099999999996</c:v>
                </c:pt>
                <c:pt idx="87">
                  <c:v>0.46078309999999867</c:v>
                </c:pt>
                <c:pt idx="88">
                  <c:v>0.49773650000000025</c:v>
                </c:pt>
                <c:pt idx="89">
                  <c:v>0.50491339999999951</c:v>
                </c:pt>
                <c:pt idx="90">
                  <c:v>0.47941250000000046</c:v>
                </c:pt>
                <c:pt idx="91">
                  <c:v>0.48368810000000018</c:v>
                </c:pt>
                <c:pt idx="92">
                  <c:v>0.32289500000000082</c:v>
                </c:pt>
                <c:pt idx="93">
                  <c:v>0.35694710000000107</c:v>
                </c:pt>
                <c:pt idx="94">
                  <c:v>0.38702900000000007</c:v>
                </c:pt>
                <c:pt idx="95">
                  <c:v>0.39008299999999885</c:v>
                </c:pt>
                <c:pt idx="96">
                  <c:v>0.43192280000000061</c:v>
                </c:pt>
                <c:pt idx="97">
                  <c:v>0.45986689999999975</c:v>
                </c:pt>
                <c:pt idx="98">
                  <c:v>0.48674210000000073</c:v>
                </c:pt>
                <c:pt idx="99">
                  <c:v>0.53377369999999935</c:v>
                </c:pt>
                <c:pt idx="100">
                  <c:v>0.50689850000000014</c:v>
                </c:pt>
                <c:pt idx="101">
                  <c:v>0.50689850000000014</c:v>
                </c:pt>
                <c:pt idx="102">
                  <c:v>0.55118150000000021</c:v>
                </c:pt>
                <c:pt idx="103">
                  <c:v>0.57500270000000064</c:v>
                </c:pt>
                <c:pt idx="104">
                  <c:v>0.5769877999999995</c:v>
                </c:pt>
                <c:pt idx="105">
                  <c:v>0.63043279999999946</c:v>
                </c:pt>
                <c:pt idx="106">
                  <c:v>0.61623170000000016</c:v>
                </c:pt>
                <c:pt idx="107">
                  <c:v>0.63318140000000156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C-4079-80C8-968F6E97D864}"/>
            </c:ext>
          </c:extLst>
        </c:ser>
        <c:ser>
          <c:idx val="7"/>
          <c:order val="7"/>
          <c:tx>
            <c:strRef>
              <c:f>'Inv Bolsa'!$J$2</c:f>
              <c:strCache>
                <c:ptCount val="1"/>
                <c:pt idx="0">
                  <c:v>VALOR EN COP2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Bolsa'!$J$3:$J$110</c:f>
              <c:numCache>
                <c:formatCode>_("$"* #,##0.00_);_("$"* \(#,##0.00\);_("$"* "-"??_);_(@_)</c:formatCode>
                <c:ptCount val="108"/>
                <c:pt idx="0">
                  <c:v>31673.197999799999</c:v>
                </c:pt>
                <c:pt idx="1">
                  <c:v>31783.855330215003</c:v>
                </c:pt>
                <c:pt idx="2">
                  <c:v>31589.530773080998</c:v>
                </c:pt>
                <c:pt idx="3">
                  <c:v>31497.393940079997</c:v>
                </c:pt>
                <c:pt idx="4">
                  <c:v>30885.939435813001</c:v>
                </c:pt>
                <c:pt idx="5">
                  <c:v>31234.248832124998</c:v>
                </c:pt>
                <c:pt idx="6">
                  <c:v>31469.541092073003</c:v>
                </c:pt>
                <c:pt idx="7">
                  <c:v>31337.428034304001</c:v>
                </c:pt>
                <c:pt idx="8">
                  <c:v>31048.111346571</c:v>
                </c:pt>
                <c:pt idx="9">
                  <c:v>31019.158017149999</c:v>
                </c:pt>
                <c:pt idx="10">
                  <c:v>31181.719474770001</c:v>
                </c:pt>
                <c:pt idx="11">
                  <c:v>31459.706308089</c:v>
                </c:pt>
                <c:pt idx="12">
                  <c:v>31047.275346138002</c:v>
                </c:pt>
                <c:pt idx="13">
                  <c:v>30481.391345664004</c:v>
                </c:pt>
                <c:pt idx="14">
                  <c:v>30555.030691614</c:v>
                </c:pt>
                <c:pt idx="15">
                  <c:v>30883.406454321001</c:v>
                </c:pt>
                <c:pt idx="16">
                  <c:v>30812.27958378</c:v>
                </c:pt>
                <c:pt idx="17">
                  <c:v>31008.972337728002</c:v>
                </c:pt>
                <c:pt idx="18">
                  <c:v>31497.612623277004</c:v>
                </c:pt>
                <c:pt idx="19">
                  <c:v>30827.547160431001</c:v>
                </c:pt>
                <c:pt idx="20">
                  <c:v>30403.005709599001</c:v>
                </c:pt>
                <c:pt idx="21">
                  <c:v>28485.637234559999</c:v>
                </c:pt>
                <c:pt idx="22">
                  <c:v>30452.953080978004</c:v>
                </c:pt>
                <c:pt idx="23">
                  <c:v>30130.890663123002</c:v>
                </c:pt>
                <c:pt idx="24">
                  <c:v>30894.586123704001</c:v>
                </c:pt>
                <c:pt idx="25">
                  <c:v>30391.810794648001</c:v>
                </c:pt>
                <c:pt idx="26">
                  <c:v>30348.65378307</c:v>
                </c:pt>
                <c:pt idx="27">
                  <c:v>30485.972725887001</c:v>
                </c:pt>
                <c:pt idx="28">
                  <c:v>30787.922828232</c:v>
                </c:pt>
                <c:pt idx="29">
                  <c:v>30821.308643160002</c:v>
                </c:pt>
                <c:pt idx="30">
                  <c:v>31340.322090215999</c:v>
                </c:pt>
                <c:pt idx="31">
                  <c:v>31232.3396622</c:v>
                </c:pt>
                <c:pt idx="32">
                  <c:v>31653.378394920004</c:v>
                </c:pt>
                <c:pt idx="33">
                  <c:v>31545.083157900001</c:v>
                </c:pt>
                <c:pt idx="34">
                  <c:v>31554.784036199999</c:v>
                </c:pt>
                <c:pt idx="35">
                  <c:v>31502.750022374999</c:v>
                </c:pt>
                <c:pt idx="36">
                  <c:v>32106.852702683998</c:v>
                </c:pt>
                <c:pt idx="37">
                  <c:v>31714.153857674999</c:v>
                </c:pt>
                <c:pt idx="38">
                  <c:v>31710.668955072004</c:v>
                </c:pt>
                <c:pt idx="39">
                  <c:v>31699.592396363998</c:v>
                </c:pt>
                <c:pt idx="40">
                  <c:v>31858.917869178007</c:v>
                </c:pt>
                <c:pt idx="41">
                  <c:v>32686.935497387996</c:v>
                </c:pt>
                <c:pt idx="42">
                  <c:v>32244.238028772004</c:v>
                </c:pt>
                <c:pt idx="43">
                  <c:v>32361.261145800003</c:v>
                </c:pt>
                <c:pt idx="44">
                  <c:v>32281.518930569997</c:v>
                </c:pt>
                <c:pt idx="45">
                  <c:v>31642.958208</c:v>
                </c:pt>
                <c:pt idx="46">
                  <c:v>31824.955714059004</c:v>
                </c:pt>
                <c:pt idx="47">
                  <c:v>32680.065151800001</c:v>
                </c:pt>
                <c:pt idx="48">
                  <c:v>33288.984672678002</c:v>
                </c:pt>
                <c:pt idx="49">
                  <c:v>33508.722864816002</c:v>
                </c:pt>
                <c:pt idx="50">
                  <c:v>33158.386131684005</c:v>
                </c:pt>
                <c:pt idx="51">
                  <c:v>32959.553725485006</c:v>
                </c:pt>
                <c:pt idx="52">
                  <c:v>33357.773133594004</c:v>
                </c:pt>
                <c:pt idx="53">
                  <c:v>33284.399361957003</c:v>
                </c:pt>
                <c:pt idx="54">
                  <c:v>33479.021992545</c:v>
                </c:pt>
                <c:pt idx="55">
                  <c:v>33312.20248168199</c:v>
                </c:pt>
                <c:pt idx="56">
                  <c:v>33470.473182300004</c:v>
                </c:pt>
                <c:pt idx="57">
                  <c:v>33298.135924125003</c:v>
                </c:pt>
                <c:pt idx="58">
                  <c:v>33849.555284250004</c:v>
                </c:pt>
                <c:pt idx="59">
                  <c:v>33354.083336604002</c:v>
                </c:pt>
                <c:pt idx="60">
                  <c:v>33500.432345093999</c:v>
                </c:pt>
                <c:pt idx="61">
                  <c:v>33518.382788976</c:v>
                </c:pt>
                <c:pt idx="62">
                  <c:v>33645.556130013007</c:v>
                </c:pt>
                <c:pt idx="63">
                  <c:v>33421.947388368004</c:v>
                </c:pt>
                <c:pt idx="64">
                  <c:v>33689.076830235004</c:v>
                </c:pt>
                <c:pt idx="65">
                  <c:v>33212.447793836996</c:v>
                </c:pt>
                <c:pt idx="66">
                  <c:v>33898.007643225006</c:v>
                </c:pt>
                <c:pt idx="67">
                  <c:v>34271.627414219998</c:v>
                </c:pt>
                <c:pt idx="68">
                  <c:v>34230.05593866</c:v>
                </c:pt>
                <c:pt idx="69">
                  <c:v>34534.248974955008</c:v>
                </c:pt>
                <c:pt idx="70">
                  <c:v>34240.818659166005</c:v>
                </c:pt>
                <c:pt idx="71">
                  <c:v>34793.365905774001</c:v>
                </c:pt>
                <c:pt idx="72">
                  <c:v>35109.146302128</c:v>
                </c:pt>
                <c:pt idx="73">
                  <c:v>34717.480125989998</c:v>
                </c:pt>
                <c:pt idx="74">
                  <c:v>34851.083729687998</c:v>
                </c:pt>
                <c:pt idx="75">
                  <c:v>34983.311936999999</c:v>
                </c:pt>
                <c:pt idx="76">
                  <c:v>35041.385982528001</c:v>
                </c:pt>
                <c:pt idx="77">
                  <c:v>34643.346305372994</c:v>
                </c:pt>
                <c:pt idx="78">
                  <c:v>35157.001810248003</c:v>
                </c:pt>
                <c:pt idx="79">
                  <c:v>35136.552931721992</c:v>
                </c:pt>
                <c:pt idx="80">
                  <c:v>35234.151139775997</c:v>
                </c:pt>
                <c:pt idx="81">
                  <c:v>35482.061747426997</c:v>
                </c:pt>
                <c:pt idx="82">
                  <c:v>35195.151297131997</c:v>
                </c:pt>
                <c:pt idx="83">
                  <c:v>35265.841173866997</c:v>
                </c:pt>
                <c:pt idx="84">
                  <c:v>35555.8030191</c:v>
                </c:pt>
                <c:pt idx="85">
                  <c:v>35928.973294740004</c:v>
                </c:pt>
                <c:pt idx="86">
                  <c:v>36833.013992250002</c:v>
                </c:pt>
                <c:pt idx="87">
                  <c:v>36701.58039756299</c:v>
                </c:pt>
                <c:pt idx="88">
                  <c:v>36946.513550670003</c:v>
                </c:pt>
                <c:pt idx="89">
                  <c:v>36533.637075779996</c:v>
                </c:pt>
                <c:pt idx="90">
                  <c:v>36676.269541875001</c:v>
                </c:pt>
                <c:pt idx="91">
                  <c:v>36492.517561680004</c:v>
                </c:pt>
                <c:pt idx="92">
                  <c:v>36900.323541450009</c:v>
                </c:pt>
                <c:pt idx="93">
                  <c:v>36391.751218011006</c:v>
                </c:pt>
                <c:pt idx="94">
                  <c:v>36637.618171319999</c:v>
                </c:pt>
                <c:pt idx="95">
                  <c:v>36522.45806148</c:v>
                </c:pt>
                <c:pt idx="96">
                  <c:v>36779.940092952005</c:v>
                </c:pt>
                <c:pt idx="97">
                  <c:v>37107.609998381995</c:v>
                </c:pt>
                <c:pt idx="98">
                  <c:v>36590.936445195002</c:v>
                </c:pt>
                <c:pt idx="99">
                  <c:v>37103.628353517001</c:v>
                </c:pt>
                <c:pt idx="100">
                  <c:v>36816.16246308</c:v>
                </c:pt>
                <c:pt idx="101">
                  <c:v>36912.421450905</c:v>
                </c:pt>
                <c:pt idx="102">
                  <c:v>37004.17429227</c:v>
                </c:pt>
                <c:pt idx="103">
                  <c:v>37277.553626031004</c:v>
                </c:pt>
                <c:pt idx="104">
                  <c:v>37621.719555180003</c:v>
                </c:pt>
                <c:pt idx="105">
                  <c:v>37904.551625159998</c:v>
                </c:pt>
                <c:pt idx="106">
                  <c:v>37709.362993698</c:v>
                </c:pt>
                <c:pt idx="107">
                  <c:v>37752.330486252009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C-4079-80C8-968F6E97D864}"/>
            </c:ext>
          </c:extLst>
        </c:ser>
        <c:ser>
          <c:idx val="8"/>
          <c:order val="8"/>
          <c:tx>
            <c:strRef>
              <c:f>'Inv Bolsa'!$K$2</c:f>
              <c:strCache>
                <c:ptCount val="1"/>
                <c:pt idx="0">
                  <c:v>VALOR INVERSION 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Bolsa'!$K$3:$K$110</c:f>
              <c:numCache>
                <c:formatCode>_("$"* #,##0.00_);_("$"* \(#,##0.00\);_("$"* "-"??_);_(@_)</c:formatCode>
                <c:ptCount val="108"/>
                <c:pt idx="0">
                  <c:v>6.5109072000000001</c:v>
                </c:pt>
                <c:pt idx="1">
                  <c:v>6.5526372000000004</c:v>
                </c:pt>
                <c:pt idx="2">
                  <c:v>6.5598276000000002</c:v>
                </c:pt>
                <c:pt idx="3">
                  <c:v>6.6048960000000001</c:v>
                </c:pt>
                <c:pt idx="4">
                  <c:v>6.5662476000000005</c:v>
                </c:pt>
                <c:pt idx="5">
                  <c:v>6.6068220000000002</c:v>
                </c:pt>
                <c:pt idx="6">
                  <c:v>6.6268524000000006</c:v>
                </c:pt>
                <c:pt idx="7">
                  <c:v>6.6644736</c:v>
                </c:pt>
                <c:pt idx="8">
                  <c:v>6.5713836000000008</c:v>
                </c:pt>
                <c:pt idx="9">
                  <c:v>6.5219496000000001</c:v>
                </c:pt>
                <c:pt idx="10">
                  <c:v>6.4784220000000001</c:v>
                </c:pt>
                <c:pt idx="11">
                  <c:v>6.5457036000000004</c:v>
                </c:pt>
                <c:pt idx="12">
                  <c:v>6.5347896000000008</c:v>
                </c:pt>
                <c:pt idx="13">
                  <c:v>6.3852036000000005</c:v>
                </c:pt>
                <c:pt idx="14">
                  <c:v>6.3529752000000004</c:v>
                </c:pt>
                <c:pt idx="15">
                  <c:v>6.4242372000000003</c:v>
                </c:pt>
                <c:pt idx="16">
                  <c:v>6.4289880000000004</c:v>
                </c:pt>
                <c:pt idx="17">
                  <c:v>6.3953471999999998</c:v>
                </c:pt>
                <c:pt idx="18">
                  <c:v>6.4961412000000003</c:v>
                </c:pt>
                <c:pt idx="19">
                  <c:v>6.4075452000000004</c:v>
                </c:pt>
                <c:pt idx="20">
                  <c:v>6.290444400000001</c:v>
                </c:pt>
                <c:pt idx="21">
                  <c:v>6.1015680000000003</c:v>
                </c:pt>
                <c:pt idx="22">
                  <c:v>6.1624296000000003</c:v>
                </c:pt>
                <c:pt idx="23">
                  <c:v>6.1196724000000007</c:v>
                </c:pt>
                <c:pt idx="24">
                  <c:v>6.2624532000000004</c:v>
                </c:pt>
                <c:pt idx="25">
                  <c:v>6.2892888000000005</c:v>
                </c:pt>
                <c:pt idx="26">
                  <c:v>6.2892888000000005</c:v>
                </c:pt>
                <c:pt idx="27">
                  <c:v>6.2924988000000006</c:v>
                </c:pt>
                <c:pt idx="28">
                  <c:v>6.3970164</c:v>
                </c:pt>
                <c:pt idx="29">
                  <c:v>6.4174320000000007</c:v>
                </c:pt>
                <c:pt idx="30">
                  <c:v>6.5275992</c:v>
                </c:pt>
                <c:pt idx="31">
                  <c:v>6.5413380000000005</c:v>
                </c:pt>
                <c:pt idx="32">
                  <c:v>6.604254000000001</c:v>
                </c:pt>
                <c:pt idx="33">
                  <c:v>6.5933400000000004</c:v>
                </c:pt>
                <c:pt idx="34">
                  <c:v>6.6164519999999998</c:v>
                </c:pt>
                <c:pt idx="35">
                  <c:v>6.5629092</c:v>
                </c:pt>
                <c:pt idx="36">
                  <c:v>6.6339144000000001</c:v>
                </c:pt>
                <c:pt idx="37">
                  <c:v>6.6176076000000004</c:v>
                </c:pt>
                <c:pt idx="38">
                  <c:v>6.6264672000000013</c:v>
                </c:pt>
                <c:pt idx="39">
                  <c:v>6.5885892000000004</c:v>
                </c:pt>
                <c:pt idx="40">
                  <c:v>6.5896164000000006</c:v>
                </c:pt>
                <c:pt idx="41">
                  <c:v>6.6516336000000003</c:v>
                </c:pt>
                <c:pt idx="42">
                  <c:v>6.5170704000000006</c:v>
                </c:pt>
                <c:pt idx="43">
                  <c:v>6.5008920000000003</c:v>
                </c:pt>
                <c:pt idx="44">
                  <c:v>6.4848420000000004</c:v>
                </c:pt>
                <c:pt idx="45">
                  <c:v>6.3768576000000001</c:v>
                </c:pt>
                <c:pt idx="46">
                  <c:v>6.4486332000000006</c:v>
                </c:pt>
                <c:pt idx="47">
                  <c:v>6.4752120000000009</c:v>
                </c:pt>
                <c:pt idx="48">
                  <c:v>6.5414664</c:v>
                </c:pt>
                <c:pt idx="49">
                  <c:v>6.5977056000000012</c:v>
                </c:pt>
                <c:pt idx="50">
                  <c:v>6.6426456000000007</c:v>
                </c:pt>
                <c:pt idx="51">
                  <c:v>6.6427740000000011</c:v>
                </c:pt>
                <c:pt idx="52">
                  <c:v>6.6458556000000009</c:v>
                </c:pt>
                <c:pt idx="53">
                  <c:v>6.6242843999999996</c:v>
                </c:pt>
                <c:pt idx="54">
                  <c:v>6.7398444</c:v>
                </c:pt>
                <c:pt idx="55">
                  <c:v>6.7431827999999996</c:v>
                </c:pt>
                <c:pt idx="56">
                  <c:v>6.7625712</c:v>
                </c:pt>
                <c:pt idx="57">
                  <c:v>6.7488324000000004</c:v>
                </c:pt>
                <c:pt idx="58">
                  <c:v>6.7756680000000014</c:v>
                </c:pt>
                <c:pt idx="59">
                  <c:v>6.7458792000000001</c:v>
                </c:pt>
                <c:pt idx="60">
                  <c:v>6.7752828000000003</c:v>
                </c:pt>
                <c:pt idx="61">
                  <c:v>6.7119816000000005</c:v>
                </c:pt>
                <c:pt idx="62">
                  <c:v>6.7020948000000011</c:v>
                </c:pt>
                <c:pt idx="63">
                  <c:v>6.7004256000000009</c:v>
                </c:pt>
                <c:pt idx="64">
                  <c:v>6.7621859999999998</c:v>
                </c:pt>
                <c:pt idx="65">
                  <c:v>6.7013243999999998</c:v>
                </c:pt>
                <c:pt idx="66">
                  <c:v>6.7647540000000008</c:v>
                </c:pt>
                <c:pt idx="67">
                  <c:v>6.8109780000000013</c:v>
                </c:pt>
                <c:pt idx="68">
                  <c:v>6.7995503999999993</c:v>
                </c:pt>
                <c:pt idx="69">
                  <c:v>6.8959788000000009</c:v>
                </c:pt>
                <c:pt idx="70">
                  <c:v>6.8434632000000004</c:v>
                </c:pt>
                <c:pt idx="71">
                  <c:v>6.8722248000000006</c:v>
                </c:pt>
                <c:pt idx="72">
                  <c:v>6.8997024000000007</c:v>
                </c:pt>
                <c:pt idx="73">
                  <c:v>6.8732519999999999</c:v>
                </c:pt>
                <c:pt idx="74">
                  <c:v>6.8997024000000007</c:v>
                </c:pt>
                <c:pt idx="75">
                  <c:v>6.8890452</c:v>
                </c:pt>
                <c:pt idx="76">
                  <c:v>6.8842943999999999</c:v>
                </c:pt>
                <c:pt idx="77">
                  <c:v>6.8215067999999999</c:v>
                </c:pt>
                <c:pt idx="78">
                  <c:v>6.8369148000000006</c:v>
                </c:pt>
                <c:pt idx="79">
                  <c:v>6.8342184000000001</c:v>
                </c:pt>
                <c:pt idx="80">
                  <c:v>6.8555327999999998</c:v>
                </c:pt>
                <c:pt idx="81">
                  <c:v>6.8664468000000003</c:v>
                </c:pt>
                <c:pt idx="82">
                  <c:v>6.8457743999999998</c:v>
                </c:pt>
                <c:pt idx="83">
                  <c:v>6.7110827999999998</c:v>
                </c:pt>
                <c:pt idx="84">
                  <c:v>6.7255919999999998</c:v>
                </c:pt>
                <c:pt idx="85">
                  <c:v>6.8064840000000011</c:v>
                </c:pt>
                <c:pt idx="86">
                  <c:v>6.9759719999999996</c:v>
                </c:pt>
                <c:pt idx="87">
                  <c:v>7.0302851999999998</c:v>
                </c:pt>
                <c:pt idx="88">
                  <c:v>7.0613580000000011</c:v>
                </c:pt>
                <c:pt idx="89">
                  <c:v>7.0673927999999995</c:v>
                </c:pt>
                <c:pt idx="90">
                  <c:v>7.0459500000000004</c:v>
                </c:pt>
                <c:pt idx="91">
                  <c:v>7.0495451999999998</c:v>
                </c:pt>
                <c:pt idx="92">
                  <c:v>6.9143400000000002</c:v>
                </c:pt>
                <c:pt idx="93">
                  <c:v>6.9429732000000008</c:v>
                </c:pt>
                <c:pt idx="94">
                  <c:v>6.968268000000001</c:v>
                </c:pt>
                <c:pt idx="95">
                  <c:v>6.9708360000000003</c:v>
                </c:pt>
                <c:pt idx="96">
                  <c:v>7.0060175999999998</c:v>
                </c:pt>
                <c:pt idx="97">
                  <c:v>7.0295148000000012</c:v>
                </c:pt>
                <c:pt idx="98">
                  <c:v>7.0521132000000009</c:v>
                </c:pt>
                <c:pt idx="99">
                  <c:v>7.0916603999999994</c:v>
                </c:pt>
                <c:pt idx="100">
                  <c:v>7.0690619999999997</c:v>
                </c:pt>
                <c:pt idx="101">
                  <c:v>7.0690619999999997</c:v>
                </c:pt>
                <c:pt idx="102">
                  <c:v>7.1062980000000007</c:v>
                </c:pt>
                <c:pt idx="103">
                  <c:v>7.1263284000000002</c:v>
                </c:pt>
                <c:pt idx="104">
                  <c:v>7.1279976000000005</c:v>
                </c:pt>
                <c:pt idx="105">
                  <c:v>7.1729376</c:v>
                </c:pt>
                <c:pt idx="106">
                  <c:v>7.160996400000001</c:v>
                </c:pt>
                <c:pt idx="107">
                  <c:v>7.1752488000000012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8EB-A9BC-8DC913FE986C}"/>
            </c:ext>
          </c:extLst>
        </c:ser>
        <c:ser>
          <c:idx val="9"/>
          <c:order val="9"/>
          <c:tx>
            <c:strRef>
              <c:f>'Inv Bolsa'!$L$2</c:f>
              <c:strCache>
                <c:ptCount val="1"/>
                <c:pt idx="0">
                  <c:v>GAN/PER3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Bolsa'!$L$3:$L$110</c:f>
              <c:numCache>
                <c:formatCode>_("$"* #,##0.00_);_("$"* \(#,##0.00\);_("$"* "-"??_);_(@_)</c:formatCode>
                <c:ptCount val="108"/>
                <c:pt idx="0">
                  <c:v>-0.38909280000000024</c:v>
                </c:pt>
                <c:pt idx="1">
                  <c:v>-0.34736279999999997</c:v>
                </c:pt>
                <c:pt idx="2">
                  <c:v>-0.34017240000000015</c:v>
                </c:pt>
                <c:pt idx="3">
                  <c:v>-0.29510400000000025</c:v>
                </c:pt>
                <c:pt idx="4">
                  <c:v>-0.33375239999999984</c:v>
                </c:pt>
                <c:pt idx="5">
                  <c:v>-0.29317800000000016</c:v>
                </c:pt>
                <c:pt idx="6">
                  <c:v>-0.27314759999999971</c:v>
                </c:pt>
                <c:pt idx="7">
                  <c:v>-0.23552640000000036</c:v>
                </c:pt>
                <c:pt idx="8">
                  <c:v>-0.32861639999999959</c:v>
                </c:pt>
                <c:pt idx="9">
                  <c:v>-0.37805040000000023</c:v>
                </c:pt>
                <c:pt idx="10">
                  <c:v>-0.42157800000000023</c:v>
                </c:pt>
                <c:pt idx="11">
                  <c:v>-0.35429639999999996</c:v>
                </c:pt>
                <c:pt idx="12">
                  <c:v>-0.3652103999999996</c:v>
                </c:pt>
                <c:pt idx="13">
                  <c:v>-0.51479639999999982</c:v>
                </c:pt>
                <c:pt idx="14">
                  <c:v>-0.54702479999999998</c:v>
                </c:pt>
                <c:pt idx="15">
                  <c:v>-0.47576280000000004</c:v>
                </c:pt>
                <c:pt idx="16">
                  <c:v>-0.47101199999999999</c:v>
                </c:pt>
                <c:pt idx="17">
                  <c:v>-0.50465280000000057</c:v>
                </c:pt>
                <c:pt idx="18">
                  <c:v>-0.40385880000000007</c:v>
                </c:pt>
                <c:pt idx="19">
                  <c:v>-0.49245479999999997</c:v>
                </c:pt>
                <c:pt idx="20">
                  <c:v>-0.60955559999999931</c:v>
                </c:pt>
                <c:pt idx="21">
                  <c:v>-0.79843200000000003</c:v>
                </c:pt>
                <c:pt idx="22">
                  <c:v>-0.73757040000000007</c:v>
                </c:pt>
                <c:pt idx="23">
                  <c:v>-0.78032759999999968</c:v>
                </c:pt>
                <c:pt idx="24">
                  <c:v>-0.63754679999999997</c:v>
                </c:pt>
                <c:pt idx="25">
                  <c:v>-0.6107111999999999</c:v>
                </c:pt>
                <c:pt idx="26">
                  <c:v>-0.6107111999999999</c:v>
                </c:pt>
                <c:pt idx="27">
                  <c:v>-0.60750119999999974</c:v>
                </c:pt>
                <c:pt idx="28">
                  <c:v>-0.50298360000000031</c:v>
                </c:pt>
                <c:pt idx="29">
                  <c:v>-0.48256799999999966</c:v>
                </c:pt>
                <c:pt idx="30">
                  <c:v>-0.37240080000000031</c:v>
                </c:pt>
                <c:pt idx="31">
                  <c:v>-0.35866199999999981</c:v>
                </c:pt>
                <c:pt idx="32">
                  <c:v>-0.2957459999999994</c:v>
                </c:pt>
                <c:pt idx="33">
                  <c:v>-0.30665999999999993</c:v>
                </c:pt>
                <c:pt idx="34">
                  <c:v>-0.28354800000000058</c:v>
                </c:pt>
                <c:pt idx="35">
                  <c:v>-0.33709080000000036</c:v>
                </c:pt>
                <c:pt idx="36">
                  <c:v>-0.26608560000000026</c:v>
                </c:pt>
                <c:pt idx="37">
                  <c:v>-0.28239239999999999</c:v>
                </c:pt>
                <c:pt idx="38">
                  <c:v>-0.27353279999999902</c:v>
                </c:pt>
                <c:pt idx="39">
                  <c:v>-0.31141079999999999</c:v>
                </c:pt>
                <c:pt idx="40">
                  <c:v>-0.31038359999999976</c:v>
                </c:pt>
                <c:pt idx="41">
                  <c:v>-0.2483664000000001</c:v>
                </c:pt>
                <c:pt idx="42">
                  <c:v>-0.38292959999999976</c:v>
                </c:pt>
                <c:pt idx="43">
                  <c:v>-0.39910800000000002</c:v>
                </c:pt>
                <c:pt idx="44">
                  <c:v>-0.41515799999999992</c:v>
                </c:pt>
                <c:pt idx="45">
                  <c:v>-0.52314240000000023</c:v>
                </c:pt>
                <c:pt idx="46">
                  <c:v>-0.45136679999999973</c:v>
                </c:pt>
                <c:pt idx="47">
                  <c:v>-0.4247879999999995</c:v>
                </c:pt>
                <c:pt idx="48">
                  <c:v>-0.35853360000000034</c:v>
                </c:pt>
                <c:pt idx="49">
                  <c:v>-0.30229439999999919</c:v>
                </c:pt>
                <c:pt idx="50">
                  <c:v>-0.25735439999999965</c:v>
                </c:pt>
                <c:pt idx="51">
                  <c:v>-0.25722599999999929</c:v>
                </c:pt>
                <c:pt idx="52">
                  <c:v>-0.25414439999999949</c:v>
                </c:pt>
                <c:pt idx="53">
                  <c:v>-0.27571560000000073</c:v>
                </c:pt>
                <c:pt idx="54">
                  <c:v>-0.1601556000000004</c:v>
                </c:pt>
                <c:pt idx="55">
                  <c:v>-0.15681720000000077</c:v>
                </c:pt>
                <c:pt idx="56">
                  <c:v>-0.13742880000000035</c:v>
                </c:pt>
                <c:pt idx="57">
                  <c:v>-0.15116759999999996</c:v>
                </c:pt>
                <c:pt idx="58">
                  <c:v>-0.124331999999999</c:v>
                </c:pt>
                <c:pt idx="59">
                  <c:v>-0.15412080000000028</c:v>
                </c:pt>
                <c:pt idx="60">
                  <c:v>-0.12471720000000008</c:v>
                </c:pt>
                <c:pt idx="61">
                  <c:v>-0.18801839999999981</c:v>
                </c:pt>
                <c:pt idx="62">
                  <c:v>-0.19790519999999923</c:v>
                </c:pt>
                <c:pt idx="63">
                  <c:v>-0.19957439999999949</c:v>
                </c:pt>
                <c:pt idx="64">
                  <c:v>-0.13781400000000055</c:v>
                </c:pt>
                <c:pt idx="65">
                  <c:v>-0.19867560000000051</c:v>
                </c:pt>
                <c:pt idx="66">
                  <c:v>-0.13524599999999953</c:v>
                </c:pt>
                <c:pt idx="67">
                  <c:v>-8.9021999999999046E-2</c:v>
                </c:pt>
                <c:pt idx="68">
                  <c:v>-0.10044960000000103</c:v>
                </c:pt>
                <c:pt idx="69">
                  <c:v>-4.0211999999995029E-3</c:v>
                </c:pt>
                <c:pt idx="70">
                  <c:v>-5.6536799999999943E-2</c:v>
                </c:pt>
                <c:pt idx="71">
                  <c:v>-2.7775199999999778E-2</c:v>
                </c:pt>
                <c:pt idx="72">
                  <c:v>-2.975999999996759E-4</c:v>
                </c:pt>
                <c:pt idx="73">
                  <c:v>-2.6748000000000438E-2</c:v>
                </c:pt>
                <c:pt idx="74">
                  <c:v>-2.975999999996759E-4</c:v>
                </c:pt>
                <c:pt idx="75">
                  <c:v>-1.0954800000000375E-2</c:v>
                </c:pt>
                <c:pt idx="76">
                  <c:v>-1.570560000000043E-2</c:v>
                </c:pt>
                <c:pt idx="77">
                  <c:v>-7.8493200000000485E-2</c:v>
                </c:pt>
                <c:pt idx="78">
                  <c:v>-6.308519999999973E-2</c:v>
                </c:pt>
                <c:pt idx="79">
                  <c:v>-6.5781600000000218E-2</c:v>
                </c:pt>
                <c:pt idx="80">
                  <c:v>-4.4467200000000595E-2</c:v>
                </c:pt>
                <c:pt idx="81">
                  <c:v>-3.3553200000000061E-2</c:v>
                </c:pt>
                <c:pt idx="82">
                  <c:v>-5.422560000000054E-2</c:v>
                </c:pt>
                <c:pt idx="83">
                  <c:v>-0.18891720000000056</c:v>
                </c:pt>
                <c:pt idx="84">
                  <c:v>-0.17440800000000056</c:v>
                </c:pt>
                <c:pt idx="85">
                  <c:v>-9.3515999999999266E-2</c:v>
                </c:pt>
                <c:pt idx="86">
                  <c:v>7.5971999999999262E-2</c:v>
                </c:pt>
                <c:pt idx="87">
                  <c:v>0.13028519999999943</c:v>
                </c:pt>
                <c:pt idx="88">
                  <c:v>0.16135800000000078</c:v>
                </c:pt>
                <c:pt idx="89">
                  <c:v>0.16739279999999912</c:v>
                </c:pt>
                <c:pt idx="90">
                  <c:v>0.14595000000000002</c:v>
                </c:pt>
                <c:pt idx="91">
                  <c:v>0.14954519999999949</c:v>
                </c:pt>
                <c:pt idx="92">
                  <c:v>1.4339999999999797E-2</c:v>
                </c:pt>
                <c:pt idx="93">
                  <c:v>4.2973200000000489E-2</c:v>
                </c:pt>
                <c:pt idx="94">
                  <c:v>6.8268000000000661E-2</c:v>
                </c:pt>
                <c:pt idx="95">
                  <c:v>7.0835999999999899E-2</c:v>
                </c:pt>
                <c:pt idx="96">
                  <c:v>0.10601759999999949</c:v>
                </c:pt>
                <c:pt idx="97">
                  <c:v>0.12951480000000082</c:v>
                </c:pt>
                <c:pt idx="98">
                  <c:v>0.1521132000000005</c:v>
                </c:pt>
                <c:pt idx="99">
                  <c:v>0.19166039999999906</c:v>
                </c:pt>
                <c:pt idx="100">
                  <c:v>0.16906199999999938</c:v>
                </c:pt>
                <c:pt idx="101">
                  <c:v>0.16906199999999938</c:v>
                </c:pt>
                <c:pt idx="102">
                  <c:v>0.20629800000000031</c:v>
                </c:pt>
                <c:pt idx="103">
                  <c:v>0.22632839999999987</c:v>
                </c:pt>
                <c:pt idx="104">
                  <c:v>0.22799760000000013</c:v>
                </c:pt>
                <c:pt idx="105">
                  <c:v>0.27293759999999967</c:v>
                </c:pt>
                <c:pt idx="106">
                  <c:v>0.26099640000000068</c:v>
                </c:pt>
                <c:pt idx="107">
                  <c:v>0.27524880000000085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8EB-A9BC-8DC913FE986C}"/>
            </c:ext>
          </c:extLst>
        </c:ser>
        <c:ser>
          <c:idx val="10"/>
          <c:order val="10"/>
          <c:tx>
            <c:strRef>
              <c:f>'Inv Bolsa'!$M$2</c:f>
              <c:strCache>
                <c:ptCount val="1"/>
                <c:pt idx="0">
                  <c:v>VALOR EN COP3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Bolsa'!$M$3:$M$110</c:f>
              <c:numCache>
                <c:formatCode>_("$"* #,##0.00_);_("$"* \(#,##0.00\);_("$"* "-"??_);_(@_)</c:formatCode>
                <c:ptCount val="108"/>
                <c:pt idx="0">
                  <c:v>26632.865901600002</c:v>
                </c:pt>
                <c:pt idx="1">
                  <c:v>26725.913715780003</c:v>
                </c:pt>
                <c:pt idx="2">
                  <c:v>26562.513105852002</c:v>
                </c:pt>
                <c:pt idx="3">
                  <c:v>26485.038519359998</c:v>
                </c:pt>
                <c:pt idx="4">
                  <c:v>25970.888169996004</c:v>
                </c:pt>
                <c:pt idx="5">
                  <c:v>26263.769155500002</c:v>
                </c:pt>
                <c:pt idx="6">
                  <c:v>26461.618049916004</c:v>
                </c:pt>
                <c:pt idx="7">
                  <c:v>26350.528877568002</c:v>
                </c:pt>
                <c:pt idx="8">
                  <c:v>26107.252762932003</c:v>
                </c:pt>
                <c:pt idx="9">
                  <c:v>26082.906937800002</c:v>
                </c:pt>
                <c:pt idx="10">
                  <c:v>26219.59908684</c:v>
                </c:pt>
                <c:pt idx="11">
                  <c:v>26453.348329788001</c:v>
                </c:pt>
                <c:pt idx="12">
                  <c:v>26106.549799896005</c:v>
                </c:pt>
                <c:pt idx="13">
                  <c:v>25630.718066688001</c:v>
                </c:pt>
                <c:pt idx="14">
                  <c:v>25692.638774088002</c:v>
                </c:pt>
                <c:pt idx="15">
                  <c:v>25968.758275931999</c:v>
                </c:pt>
                <c:pt idx="16">
                  <c:v>25908.950219760001</c:v>
                </c:pt>
                <c:pt idx="17">
                  <c:v>26074.342162175999</c:v>
                </c:pt>
                <c:pt idx="18">
                  <c:v>26485.222402284002</c:v>
                </c:pt>
                <c:pt idx="19">
                  <c:v>25921.788182052002</c:v>
                </c:pt>
                <c:pt idx="20">
                  <c:v>25564.806372708004</c:v>
                </c:pt>
                <c:pt idx="21">
                  <c:v>23952.559403520001</c:v>
                </c:pt>
                <c:pt idx="22">
                  <c:v>25606.805341176005</c:v>
                </c:pt>
                <c:pt idx="23">
                  <c:v>25335.994506516003</c:v>
                </c:pt>
                <c:pt idx="24">
                  <c:v>25978.158862368</c:v>
                </c:pt>
                <c:pt idx="25">
                  <c:v>25555.392966816002</c:v>
                </c:pt>
                <c:pt idx="26">
                  <c:v>25519.103770440004</c:v>
                </c:pt>
                <c:pt idx="27">
                  <c:v>25634.570386404001</c:v>
                </c:pt>
                <c:pt idx="28">
                  <c:v>25888.469490144002</c:v>
                </c:pt>
                <c:pt idx="29">
                  <c:v>25916.542434720002</c:v>
                </c:pt>
                <c:pt idx="30">
                  <c:v>26352.962386272</c:v>
                </c:pt>
                <c:pt idx="31">
                  <c:v>26262.163802400002</c:v>
                </c:pt>
                <c:pt idx="32">
                  <c:v>26616.200300640005</c:v>
                </c:pt>
                <c:pt idx="33">
                  <c:v>26525.138686800001</c:v>
                </c:pt>
                <c:pt idx="34">
                  <c:v>26533.295810399999</c:v>
                </c:pt>
                <c:pt idx="35">
                  <c:v>26489.542258500001</c:v>
                </c:pt>
                <c:pt idx="36">
                  <c:v>26997.510720528</c:v>
                </c:pt>
                <c:pt idx="37">
                  <c:v>26667.304226100001</c:v>
                </c:pt>
                <c:pt idx="38">
                  <c:v>26664.373895424007</c:v>
                </c:pt>
                <c:pt idx="39">
                  <c:v>26655.060011088</c:v>
                </c:pt>
                <c:pt idx="40">
                  <c:v>26789.031135576002</c:v>
                </c:pt>
                <c:pt idx="41">
                  <c:v>27485.281714895998</c:v>
                </c:pt>
                <c:pt idx="42">
                  <c:v>27113.033155824007</c:v>
                </c:pt>
                <c:pt idx="43">
                  <c:v>27211.433733600003</c:v>
                </c:pt>
                <c:pt idx="44">
                  <c:v>27144.381340439999</c:v>
                </c:pt>
                <c:pt idx="45">
                  <c:v>26607.438335999999</c:v>
                </c:pt>
                <c:pt idx="46">
                  <c:v>26760.473567028002</c:v>
                </c:pt>
                <c:pt idx="47">
                  <c:v>27479.504685600004</c:v>
                </c:pt>
                <c:pt idx="48">
                  <c:v>27991.523457576001</c:v>
                </c:pt>
                <c:pt idx="49">
                  <c:v>28176.293489472006</c:v>
                </c:pt>
                <c:pt idx="50">
                  <c:v>27881.707788528005</c:v>
                </c:pt>
                <c:pt idx="51">
                  <c:v>27714.516688620006</c:v>
                </c:pt>
                <c:pt idx="52">
                  <c:v>28049.365228248003</c:v>
                </c:pt>
                <c:pt idx="53">
                  <c:v>27987.667832843999</c:v>
                </c:pt>
                <c:pt idx="54">
                  <c:v>28151.319082140002</c:v>
                </c:pt>
                <c:pt idx="55">
                  <c:v>28011.046487543994</c:v>
                </c:pt>
                <c:pt idx="56">
                  <c:v>28144.130691599999</c:v>
                </c:pt>
                <c:pt idx="57">
                  <c:v>27999.218419500001</c:v>
                </c:pt>
                <c:pt idx="58">
                  <c:v>28462.887351000005</c:v>
                </c:pt>
                <c:pt idx="59">
                  <c:v>28046.262609167999</c:v>
                </c:pt>
                <c:pt idx="60">
                  <c:v>28169.322286248</c:v>
                </c:pt>
                <c:pt idx="61">
                  <c:v>28184.416176192</c:v>
                </c:pt>
                <c:pt idx="62">
                  <c:v>28291.351716396006</c:v>
                </c:pt>
                <c:pt idx="63">
                  <c:v>28103.327077056005</c:v>
                </c:pt>
                <c:pt idx="64">
                  <c:v>28327.946725620001</c:v>
                </c:pt>
                <c:pt idx="65">
                  <c:v>27927.166317804</c:v>
                </c:pt>
                <c:pt idx="66">
                  <c:v>28503.629216700007</c:v>
                </c:pt>
                <c:pt idx="67">
                  <c:v>28817.792796240006</c:v>
                </c:pt>
                <c:pt idx="68">
                  <c:v>28782.83682072</c:v>
                </c:pt>
                <c:pt idx="69">
                  <c:v>29038.621927860004</c:v>
                </c:pt>
                <c:pt idx="70">
                  <c:v>28791.886809672003</c:v>
                </c:pt>
                <c:pt idx="71">
                  <c:v>29256.504140808003</c:v>
                </c:pt>
                <c:pt idx="72">
                  <c:v>29522.032646976</c:v>
                </c:pt>
                <c:pt idx="73">
                  <c:v>29192.69448708</c:v>
                </c:pt>
                <c:pt idx="74">
                  <c:v>29305.037006496004</c:v>
                </c:pt>
                <c:pt idx="75">
                  <c:v>29416.223003999999</c:v>
                </c:pt>
                <c:pt idx="76">
                  <c:v>29465.055403776001</c:v>
                </c:pt>
                <c:pt idx="77">
                  <c:v>29130.357993515998</c:v>
                </c:pt>
                <c:pt idx="78">
                  <c:v>29562.272642016003</c:v>
                </c:pt>
                <c:pt idx="79">
                  <c:v>29545.077907223997</c:v>
                </c:pt>
                <c:pt idx="80">
                  <c:v>29627.144769792001</c:v>
                </c:pt>
                <c:pt idx="81">
                  <c:v>29835.603984084002</c:v>
                </c:pt>
                <c:pt idx="82">
                  <c:v>29594.351188944001</c:v>
                </c:pt>
                <c:pt idx="83">
                  <c:v>29653.791792563999</c:v>
                </c:pt>
                <c:pt idx="84">
                  <c:v>29897.610397200002</c:v>
                </c:pt>
                <c:pt idx="85">
                  <c:v>30211.396012080004</c:v>
                </c:pt>
                <c:pt idx="86">
                  <c:v>30971.571687</c:v>
                </c:pt>
                <c:pt idx="87">
                  <c:v>30861.053850995995</c:v>
                </c:pt>
                <c:pt idx="88">
                  <c:v>31067.009429640006</c:v>
                </c:pt>
                <c:pt idx="89">
                  <c:v>30719.836283759996</c:v>
                </c:pt>
                <c:pt idx="90">
                  <c:v>30839.770852500002</c:v>
                </c:pt>
                <c:pt idx="91">
                  <c:v>30685.26034656</c:v>
                </c:pt>
                <c:pt idx="92">
                  <c:v>31028.169893400001</c:v>
                </c:pt>
                <c:pt idx="93">
                  <c:v>30600.529511412002</c:v>
                </c:pt>
                <c:pt idx="94">
                  <c:v>30807.270289440003</c:v>
                </c:pt>
                <c:pt idx="95">
                  <c:v>30710.436248160004</c:v>
                </c:pt>
                <c:pt idx="96">
                  <c:v>30926.943732383999</c:v>
                </c:pt>
                <c:pt idx="97">
                  <c:v>31202.469703944003</c:v>
                </c:pt>
                <c:pt idx="98">
                  <c:v>30768.017285940001</c:v>
                </c:pt>
                <c:pt idx="99">
                  <c:v>31199.121680363998</c:v>
                </c:pt>
                <c:pt idx="100">
                  <c:v>30957.401835359997</c:v>
                </c:pt>
                <c:pt idx="101">
                  <c:v>31038.342595259997</c:v>
                </c:pt>
                <c:pt idx="102">
                  <c:v>31115.494296840003</c:v>
                </c:pt>
                <c:pt idx="103">
                  <c:v>31345.369257251998</c:v>
                </c:pt>
                <c:pt idx="104">
                  <c:v>31634.766148560004</c:v>
                </c:pt>
                <c:pt idx="105">
                  <c:v>31872.589578719999</c:v>
                </c:pt>
                <c:pt idx="106">
                  <c:v>31708.462399416003</c:v>
                </c:pt>
                <c:pt idx="107">
                  <c:v>31744.592235984008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8EB-A9BC-8DC913FE986C}"/>
            </c:ext>
          </c:extLst>
        </c:ser>
        <c:ser>
          <c:idx val="11"/>
          <c:order val="11"/>
          <c:tx>
            <c:strRef>
              <c:f>'Inv Bolsa'!$N$2</c:f>
              <c:strCache>
                <c:ptCount val="1"/>
                <c:pt idx="0">
                  <c:v>VALOR INVERSION 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Bolsa'!$N$3:$N$110</c:f>
              <c:numCache>
                <c:formatCode>_("$"* #,##0.00_);_("$"* \(#,##0.00\);_("$"* "-"??_);_(@_)</c:formatCode>
                <c:ptCount val="108"/>
                <c:pt idx="0">
                  <c:v>6.2168007999999997</c:v>
                </c:pt>
                <c:pt idx="1">
                  <c:v>6.2566458000000003</c:v>
                </c:pt>
                <c:pt idx="2">
                  <c:v>6.2635113999999996</c:v>
                </c:pt>
                <c:pt idx="3">
                  <c:v>6.3065439999999997</c:v>
                </c:pt>
                <c:pt idx="4">
                  <c:v>6.2696414000000003</c:v>
                </c:pt>
                <c:pt idx="5">
                  <c:v>6.3083829999999992</c:v>
                </c:pt>
                <c:pt idx="6">
                  <c:v>6.3275085999999998</c:v>
                </c:pt>
                <c:pt idx="7">
                  <c:v>6.3634303999999995</c:v>
                </c:pt>
                <c:pt idx="8">
                  <c:v>6.2745454000000001</c:v>
                </c:pt>
                <c:pt idx="9">
                  <c:v>6.2273443999999998</c:v>
                </c:pt>
                <c:pt idx="10">
                  <c:v>6.1857829999999998</c:v>
                </c:pt>
                <c:pt idx="11">
                  <c:v>6.2500254000000002</c:v>
                </c:pt>
                <c:pt idx="12">
                  <c:v>6.2396044000000002</c:v>
                </c:pt>
                <c:pt idx="13">
                  <c:v>6.0967754000000003</c:v>
                </c:pt>
                <c:pt idx="14">
                  <c:v>6.0660027999999997</c:v>
                </c:pt>
                <c:pt idx="15">
                  <c:v>6.1340458</c:v>
                </c:pt>
                <c:pt idx="16">
                  <c:v>6.1385819999999995</c:v>
                </c:pt>
                <c:pt idx="17">
                  <c:v>6.1064607999999998</c:v>
                </c:pt>
                <c:pt idx="18">
                  <c:v>6.2027017999999998</c:v>
                </c:pt>
                <c:pt idx="19">
                  <c:v>6.1181077999999998</c:v>
                </c:pt>
                <c:pt idx="20">
                  <c:v>6.0062966000000007</c:v>
                </c:pt>
                <c:pt idx="21">
                  <c:v>5.825952</c:v>
                </c:pt>
                <c:pt idx="22">
                  <c:v>5.8840643999999998</c:v>
                </c:pt>
                <c:pt idx="23">
                  <c:v>5.8432386000000003</c:v>
                </c:pt>
                <c:pt idx="24">
                  <c:v>5.9795698000000002</c:v>
                </c:pt>
                <c:pt idx="25">
                  <c:v>6.0051931999999999</c:v>
                </c:pt>
                <c:pt idx="26">
                  <c:v>6.0051931999999999</c:v>
                </c:pt>
                <c:pt idx="27">
                  <c:v>6.0082582000000002</c:v>
                </c:pt>
                <c:pt idx="28">
                  <c:v>6.1080546</c:v>
                </c:pt>
                <c:pt idx="29">
                  <c:v>6.127548</c:v>
                </c:pt>
                <c:pt idx="30">
                  <c:v>6.2327387999999999</c:v>
                </c:pt>
                <c:pt idx="31">
                  <c:v>6.245857</c:v>
                </c:pt>
                <c:pt idx="32">
                  <c:v>6.3059310000000002</c:v>
                </c:pt>
                <c:pt idx="33">
                  <c:v>6.2955100000000002</c:v>
                </c:pt>
                <c:pt idx="34">
                  <c:v>6.3175779999999992</c:v>
                </c:pt>
                <c:pt idx="35">
                  <c:v>6.2664537999999999</c:v>
                </c:pt>
                <c:pt idx="36">
                  <c:v>6.3342516</c:v>
                </c:pt>
                <c:pt idx="37">
                  <c:v>6.3186814</c:v>
                </c:pt>
                <c:pt idx="38">
                  <c:v>6.3271408000000005</c:v>
                </c:pt>
                <c:pt idx="39">
                  <c:v>6.2909737999999997</c:v>
                </c:pt>
                <c:pt idx="40">
                  <c:v>6.2919546000000004</c:v>
                </c:pt>
                <c:pt idx="41">
                  <c:v>6.3511704</c:v>
                </c:pt>
                <c:pt idx="42">
                  <c:v>6.2226856000000002</c:v>
                </c:pt>
                <c:pt idx="43">
                  <c:v>6.2072380000000003</c:v>
                </c:pt>
                <c:pt idx="44">
                  <c:v>6.1919130000000004</c:v>
                </c:pt>
                <c:pt idx="45">
                  <c:v>6.0888064000000002</c:v>
                </c:pt>
                <c:pt idx="46">
                  <c:v>6.1573397999999999</c:v>
                </c:pt>
                <c:pt idx="47">
                  <c:v>6.1827180000000004</c:v>
                </c:pt>
                <c:pt idx="48">
                  <c:v>6.2459796000000001</c:v>
                </c:pt>
                <c:pt idx="49">
                  <c:v>6.2996784000000003</c:v>
                </c:pt>
                <c:pt idx="50">
                  <c:v>6.3425884000000003</c:v>
                </c:pt>
                <c:pt idx="51">
                  <c:v>6.3427110000000004</c:v>
                </c:pt>
                <c:pt idx="52">
                  <c:v>6.3456534000000007</c:v>
                </c:pt>
                <c:pt idx="53">
                  <c:v>6.3250565999999999</c:v>
                </c:pt>
                <c:pt idx="54">
                  <c:v>6.4353965999999998</c:v>
                </c:pt>
                <c:pt idx="55">
                  <c:v>6.4385841999999993</c:v>
                </c:pt>
                <c:pt idx="56">
                  <c:v>6.4570967999999995</c:v>
                </c:pt>
                <c:pt idx="57">
                  <c:v>6.4439786000000003</c:v>
                </c:pt>
                <c:pt idx="58">
                  <c:v>6.469602000000001</c:v>
                </c:pt>
                <c:pt idx="59">
                  <c:v>6.4411588000000002</c:v>
                </c:pt>
                <c:pt idx="60">
                  <c:v>6.4692341999999998</c:v>
                </c:pt>
                <c:pt idx="61">
                  <c:v>6.4087924000000003</c:v>
                </c:pt>
                <c:pt idx="62">
                  <c:v>6.3993522</c:v>
                </c:pt>
                <c:pt idx="63">
                  <c:v>6.3977584000000007</c:v>
                </c:pt>
                <c:pt idx="64">
                  <c:v>6.4567290000000002</c:v>
                </c:pt>
                <c:pt idx="65">
                  <c:v>6.3986165999999995</c:v>
                </c:pt>
                <c:pt idx="66">
                  <c:v>6.4591810000000001</c:v>
                </c:pt>
                <c:pt idx="67">
                  <c:v>6.5033170000000009</c:v>
                </c:pt>
                <c:pt idx="68">
                  <c:v>6.4924055999999997</c:v>
                </c:pt>
                <c:pt idx="69">
                  <c:v>6.5844782000000004</c:v>
                </c:pt>
                <c:pt idx="70">
                  <c:v>6.5343347999999999</c:v>
                </c:pt>
                <c:pt idx="71">
                  <c:v>6.5617972</c:v>
                </c:pt>
                <c:pt idx="72">
                  <c:v>6.5880336000000002</c:v>
                </c:pt>
                <c:pt idx="73">
                  <c:v>6.5627779999999998</c:v>
                </c:pt>
                <c:pt idx="74">
                  <c:v>6.5880336000000002</c:v>
                </c:pt>
                <c:pt idx="75">
                  <c:v>6.5778577999999994</c:v>
                </c:pt>
                <c:pt idx="76">
                  <c:v>6.5733215999999999</c:v>
                </c:pt>
                <c:pt idx="77">
                  <c:v>6.5133701999999998</c:v>
                </c:pt>
                <c:pt idx="78">
                  <c:v>6.5280822000000001</c:v>
                </c:pt>
                <c:pt idx="79">
                  <c:v>6.5255076000000001</c:v>
                </c:pt>
                <c:pt idx="80">
                  <c:v>6.5458591999999998</c:v>
                </c:pt>
                <c:pt idx="81">
                  <c:v>6.5562801999999998</c:v>
                </c:pt>
                <c:pt idx="82">
                  <c:v>6.5365415999999996</c:v>
                </c:pt>
                <c:pt idx="83">
                  <c:v>6.4079341999999997</c:v>
                </c:pt>
                <c:pt idx="84">
                  <c:v>6.4217879999999994</c:v>
                </c:pt>
                <c:pt idx="85">
                  <c:v>6.4990260000000006</c:v>
                </c:pt>
                <c:pt idx="86">
                  <c:v>6.6608579999999993</c:v>
                </c:pt>
                <c:pt idx="87">
                  <c:v>6.7127178000000001</c:v>
                </c:pt>
                <c:pt idx="88">
                  <c:v>6.7423870000000008</c:v>
                </c:pt>
                <c:pt idx="89">
                  <c:v>6.7481491999999994</c:v>
                </c:pt>
                <c:pt idx="90">
                  <c:v>6.7276749999999996</c:v>
                </c:pt>
                <c:pt idx="91">
                  <c:v>6.7311077999999993</c:v>
                </c:pt>
                <c:pt idx="92">
                  <c:v>6.6020099999999999</c:v>
                </c:pt>
                <c:pt idx="93">
                  <c:v>6.6293498</c:v>
                </c:pt>
                <c:pt idx="94">
                  <c:v>6.6535020000000005</c:v>
                </c:pt>
                <c:pt idx="95">
                  <c:v>6.6559539999999995</c:v>
                </c:pt>
                <c:pt idx="96">
                  <c:v>6.6895464000000002</c:v>
                </c:pt>
                <c:pt idx="97">
                  <c:v>6.7119822000000005</c:v>
                </c:pt>
                <c:pt idx="98">
                  <c:v>6.7335598000000001</c:v>
                </c:pt>
                <c:pt idx="99">
                  <c:v>6.7713205999999992</c:v>
                </c:pt>
                <c:pt idx="100">
                  <c:v>6.7497429999999996</c:v>
                </c:pt>
                <c:pt idx="101">
                  <c:v>6.7497429999999996</c:v>
                </c:pt>
                <c:pt idx="102">
                  <c:v>6.7852970000000008</c:v>
                </c:pt>
                <c:pt idx="103">
                  <c:v>6.8044225999999997</c:v>
                </c:pt>
                <c:pt idx="104">
                  <c:v>6.8060163999999999</c:v>
                </c:pt>
                <c:pt idx="105">
                  <c:v>6.8489263999999999</c:v>
                </c:pt>
                <c:pt idx="106">
                  <c:v>6.8375246000000001</c:v>
                </c:pt>
                <c:pt idx="107">
                  <c:v>6.8511332000000005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A-41D2-9575-D3A1831C78A0}"/>
            </c:ext>
          </c:extLst>
        </c:ser>
        <c:ser>
          <c:idx val="12"/>
          <c:order val="12"/>
          <c:tx>
            <c:strRef>
              <c:f>'Inv Bolsa'!$O$2</c:f>
              <c:strCache>
                <c:ptCount val="1"/>
                <c:pt idx="0">
                  <c:v>GAN/PER4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Bolsa'!$O$3:$O$110</c:f>
              <c:numCache>
                <c:formatCode>_("$"* #,##0.00_);_("$"* \(#,##0.00\);_("$"* "-"??_);_(@_)</c:formatCode>
                <c:ptCount val="108"/>
                <c:pt idx="0">
                  <c:v>-0.38319919999999996</c:v>
                </c:pt>
                <c:pt idx="1">
                  <c:v>-0.34335419999999939</c:v>
                </c:pt>
                <c:pt idx="2">
                  <c:v>-0.33648860000000003</c:v>
                </c:pt>
                <c:pt idx="3">
                  <c:v>-0.29345599999999994</c:v>
                </c:pt>
                <c:pt idx="4">
                  <c:v>-0.33035859999999939</c:v>
                </c:pt>
                <c:pt idx="5">
                  <c:v>-0.29161700000000046</c:v>
                </c:pt>
                <c:pt idx="6">
                  <c:v>-0.27249139999999983</c:v>
                </c:pt>
                <c:pt idx="7">
                  <c:v>-0.23656960000000016</c:v>
                </c:pt>
                <c:pt idx="8">
                  <c:v>-0.32545459999999959</c:v>
                </c:pt>
                <c:pt idx="9">
                  <c:v>-0.37265559999999986</c:v>
                </c:pt>
                <c:pt idx="10">
                  <c:v>-0.41421699999999984</c:v>
                </c:pt>
                <c:pt idx="11">
                  <c:v>-0.34997459999999947</c:v>
                </c:pt>
                <c:pt idx="12">
                  <c:v>-0.36039559999999948</c:v>
                </c:pt>
                <c:pt idx="13">
                  <c:v>-0.50322459999999936</c:v>
                </c:pt>
                <c:pt idx="14">
                  <c:v>-0.53399719999999995</c:v>
                </c:pt>
                <c:pt idx="15">
                  <c:v>-0.46595419999999965</c:v>
                </c:pt>
                <c:pt idx="16">
                  <c:v>-0.46141800000000011</c:v>
                </c:pt>
                <c:pt idx="17">
                  <c:v>-0.49353919999999984</c:v>
                </c:pt>
                <c:pt idx="18">
                  <c:v>-0.39729819999999982</c:v>
                </c:pt>
                <c:pt idx="19">
                  <c:v>-0.48189219999999988</c:v>
                </c:pt>
                <c:pt idx="20">
                  <c:v>-0.59370339999999899</c:v>
                </c:pt>
                <c:pt idx="21">
                  <c:v>-0.77404799999999963</c:v>
                </c:pt>
                <c:pt idx="22">
                  <c:v>-0.71593559999999989</c:v>
                </c:pt>
                <c:pt idx="23">
                  <c:v>-0.75676139999999936</c:v>
                </c:pt>
                <c:pt idx="24">
                  <c:v>-0.62043019999999949</c:v>
                </c:pt>
                <c:pt idx="25">
                  <c:v>-0.59480679999999975</c:v>
                </c:pt>
                <c:pt idx="26">
                  <c:v>-0.59480679999999975</c:v>
                </c:pt>
                <c:pt idx="27">
                  <c:v>-0.59174179999999943</c:v>
                </c:pt>
                <c:pt idx="28">
                  <c:v>-0.49194539999999964</c:v>
                </c:pt>
                <c:pt idx="29">
                  <c:v>-0.47245199999999965</c:v>
                </c:pt>
                <c:pt idx="30">
                  <c:v>-0.36726119999999973</c:v>
                </c:pt>
                <c:pt idx="31">
                  <c:v>-0.35414299999999965</c:v>
                </c:pt>
                <c:pt idx="32">
                  <c:v>-0.29406899999999947</c:v>
                </c:pt>
                <c:pt idx="33">
                  <c:v>-0.30448999999999948</c:v>
                </c:pt>
                <c:pt idx="34">
                  <c:v>-0.28242200000000039</c:v>
                </c:pt>
                <c:pt idx="35">
                  <c:v>-0.33354619999999979</c:v>
                </c:pt>
                <c:pt idx="36">
                  <c:v>-0.26574839999999966</c:v>
                </c:pt>
                <c:pt idx="37">
                  <c:v>-0.28131859999999964</c:v>
                </c:pt>
                <c:pt idx="38">
                  <c:v>-0.27285919999999919</c:v>
                </c:pt>
                <c:pt idx="39">
                  <c:v>-0.30902619999999992</c:v>
                </c:pt>
                <c:pt idx="40">
                  <c:v>-0.30804539999999925</c:v>
                </c:pt>
                <c:pt idx="41">
                  <c:v>-0.24882959999999965</c:v>
                </c:pt>
                <c:pt idx="42">
                  <c:v>-0.37731439999999949</c:v>
                </c:pt>
                <c:pt idx="43">
                  <c:v>-0.39276199999999939</c:v>
                </c:pt>
                <c:pt idx="44">
                  <c:v>-0.4080869999999992</c:v>
                </c:pt>
                <c:pt idx="45">
                  <c:v>-0.51119359999999947</c:v>
                </c:pt>
                <c:pt idx="46">
                  <c:v>-0.44266019999999973</c:v>
                </c:pt>
                <c:pt idx="47">
                  <c:v>-0.41728199999999926</c:v>
                </c:pt>
                <c:pt idx="48">
                  <c:v>-0.35402039999999957</c:v>
                </c:pt>
                <c:pt idx="49">
                  <c:v>-0.3003215999999993</c:v>
                </c:pt>
                <c:pt idx="50">
                  <c:v>-0.2574115999999993</c:v>
                </c:pt>
                <c:pt idx="51">
                  <c:v>-0.25728899999999921</c:v>
                </c:pt>
                <c:pt idx="52">
                  <c:v>-0.25434659999999898</c:v>
                </c:pt>
                <c:pt idx="53">
                  <c:v>-0.27494339999999973</c:v>
                </c:pt>
                <c:pt idx="54">
                  <c:v>-0.16460339999999984</c:v>
                </c:pt>
                <c:pt idx="55">
                  <c:v>-0.16141580000000033</c:v>
                </c:pt>
                <c:pt idx="56">
                  <c:v>-0.14290320000000012</c:v>
                </c:pt>
                <c:pt idx="57">
                  <c:v>-0.15602139999999931</c:v>
                </c:pt>
                <c:pt idx="58">
                  <c:v>-0.13039799999999868</c:v>
                </c:pt>
                <c:pt idx="59">
                  <c:v>-0.15884119999999946</c:v>
                </c:pt>
                <c:pt idx="60">
                  <c:v>-0.13076579999999982</c:v>
                </c:pt>
                <c:pt idx="61">
                  <c:v>-0.19120759999999937</c:v>
                </c:pt>
                <c:pt idx="62">
                  <c:v>-0.2006477999999996</c:v>
                </c:pt>
                <c:pt idx="63">
                  <c:v>-0.20224159999999891</c:v>
                </c:pt>
                <c:pt idx="64">
                  <c:v>-0.14327099999999948</c:v>
                </c:pt>
                <c:pt idx="65">
                  <c:v>-0.2013834000000001</c:v>
                </c:pt>
                <c:pt idx="66">
                  <c:v>-0.14081899999999958</c:v>
                </c:pt>
                <c:pt idx="67">
                  <c:v>-9.6682999999998742E-2</c:v>
                </c:pt>
                <c:pt idx="68">
                  <c:v>-0.10759439999999998</c:v>
                </c:pt>
                <c:pt idx="69">
                  <c:v>-1.5521799999999253E-2</c:v>
                </c:pt>
                <c:pt idx="70">
                  <c:v>-6.5665199999999757E-2</c:v>
                </c:pt>
                <c:pt idx="71">
                  <c:v>-3.8202799999999648E-2</c:v>
                </c:pt>
                <c:pt idx="72">
                  <c:v>-1.1966399999999489E-2</c:v>
                </c:pt>
                <c:pt idx="73">
                  <c:v>-3.7221999999999866E-2</c:v>
                </c:pt>
                <c:pt idx="74">
                  <c:v>-1.1966399999999489E-2</c:v>
                </c:pt>
                <c:pt idx="75">
                  <c:v>-2.2142200000000223E-2</c:v>
                </c:pt>
                <c:pt idx="76">
                  <c:v>-2.6678399999999769E-2</c:v>
                </c:pt>
                <c:pt idx="77">
                  <c:v>-8.6629799999999868E-2</c:v>
                </c:pt>
                <c:pt idx="78">
                  <c:v>-7.1917799999999588E-2</c:v>
                </c:pt>
                <c:pt idx="79">
                  <c:v>-7.449239999999957E-2</c:v>
                </c:pt>
                <c:pt idx="80">
                  <c:v>-5.4140799999999878E-2</c:v>
                </c:pt>
                <c:pt idx="81">
                  <c:v>-4.3719799999999864E-2</c:v>
                </c:pt>
                <c:pt idx="82">
                  <c:v>-6.3458400000000026E-2</c:v>
                </c:pt>
                <c:pt idx="83">
                  <c:v>-0.19206579999999995</c:v>
                </c:pt>
                <c:pt idx="84">
                  <c:v>-0.17821200000000026</c:v>
                </c:pt>
                <c:pt idx="85">
                  <c:v>-0.10097399999999901</c:v>
                </c:pt>
                <c:pt idx="86">
                  <c:v>6.0857999999999635E-2</c:v>
                </c:pt>
                <c:pt idx="87">
                  <c:v>0.11271780000000042</c:v>
                </c:pt>
                <c:pt idx="88">
                  <c:v>0.14238700000000115</c:v>
                </c:pt>
                <c:pt idx="89">
                  <c:v>0.14814919999999976</c:v>
                </c:pt>
                <c:pt idx="90">
                  <c:v>0.12767499999999998</c:v>
                </c:pt>
                <c:pt idx="91">
                  <c:v>0.13110779999999966</c:v>
                </c:pt>
                <c:pt idx="92">
                  <c:v>2.0100000000002893E-3</c:v>
                </c:pt>
                <c:pt idx="93">
                  <c:v>2.9349800000000315E-2</c:v>
                </c:pt>
                <c:pt idx="94">
                  <c:v>5.3502000000000827E-2</c:v>
                </c:pt>
                <c:pt idx="95">
                  <c:v>5.5953999999999837E-2</c:v>
                </c:pt>
                <c:pt idx="96">
                  <c:v>8.9546400000000581E-2</c:v>
                </c:pt>
                <c:pt idx="97">
                  <c:v>0.11198220000000081</c:v>
                </c:pt>
                <c:pt idx="98">
                  <c:v>0.13355980000000045</c:v>
                </c:pt>
                <c:pt idx="99">
                  <c:v>0.1713205999999996</c:v>
                </c:pt>
                <c:pt idx="100">
                  <c:v>0.14974299999999996</c:v>
                </c:pt>
                <c:pt idx="101">
                  <c:v>0.14974299999999996</c:v>
                </c:pt>
                <c:pt idx="102">
                  <c:v>0.18529700000000116</c:v>
                </c:pt>
                <c:pt idx="103">
                  <c:v>0.20442260000000001</c:v>
                </c:pt>
                <c:pt idx="104">
                  <c:v>0.20601640000000021</c:v>
                </c:pt>
                <c:pt idx="105">
                  <c:v>0.24892640000000021</c:v>
                </c:pt>
                <c:pt idx="106">
                  <c:v>0.23752460000000042</c:v>
                </c:pt>
                <c:pt idx="107">
                  <c:v>0.25113320000000083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A-41D2-9575-D3A1831C78A0}"/>
            </c:ext>
          </c:extLst>
        </c:ser>
        <c:ser>
          <c:idx val="13"/>
          <c:order val="13"/>
          <c:tx>
            <c:strRef>
              <c:f>'Inv Bolsa'!$P$2</c:f>
              <c:strCache>
                <c:ptCount val="1"/>
                <c:pt idx="0">
                  <c:v>VALOR EN COP4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Bolsa'!$B$3:$B$110</c:f>
              <c:numCache>
                <c:formatCode>m/d/yyyy</c:formatCode>
                <c:ptCount val="108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45558</c:v>
                </c:pt>
                <c:pt idx="56">
                  <c:v>45559</c:v>
                </c:pt>
                <c:pt idx="57">
                  <c:v>45560</c:v>
                </c:pt>
                <c:pt idx="58">
                  <c:v>45561</c:v>
                </c:pt>
                <c:pt idx="59">
                  <c:v>45562</c:v>
                </c:pt>
                <c:pt idx="60">
                  <c:v>45565</c:v>
                </c:pt>
                <c:pt idx="61">
                  <c:v>45566</c:v>
                </c:pt>
                <c:pt idx="62">
                  <c:v>45567</c:v>
                </c:pt>
                <c:pt idx="63">
                  <c:v>45568</c:v>
                </c:pt>
                <c:pt idx="64">
                  <c:v>45569</c:v>
                </c:pt>
                <c:pt idx="65">
                  <c:v>45572</c:v>
                </c:pt>
                <c:pt idx="66">
                  <c:v>45573</c:v>
                </c:pt>
                <c:pt idx="67">
                  <c:v>45574</c:v>
                </c:pt>
                <c:pt idx="68">
                  <c:v>45575</c:v>
                </c:pt>
                <c:pt idx="69">
                  <c:v>45579</c:v>
                </c:pt>
                <c:pt idx="70">
                  <c:v>45580</c:v>
                </c:pt>
                <c:pt idx="71">
                  <c:v>45581</c:v>
                </c:pt>
                <c:pt idx="72">
                  <c:v>45582</c:v>
                </c:pt>
                <c:pt idx="73">
                  <c:v>45583</c:v>
                </c:pt>
                <c:pt idx="74">
                  <c:v>45583</c:v>
                </c:pt>
                <c:pt idx="75">
                  <c:v>45586</c:v>
                </c:pt>
                <c:pt idx="76">
                  <c:v>45587</c:v>
                </c:pt>
                <c:pt idx="77">
                  <c:v>45588</c:v>
                </c:pt>
                <c:pt idx="78">
                  <c:v>45589</c:v>
                </c:pt>
                <c:pt idx="79">
                  <c:v>45590</c:v>
                </c:pt>
                <c:pt idx="80">
                  <c:v>45593</c:v>
                </c:pt>
                <c:pt idx="81">
                  <c:v>45594</c:v>
                </c:pt>
                <c:pt idx="82">
                  <c:v>45595</c:v>
                </c:pt>
                <c:pt idx="83">
                  <c:v>45597</c:v>
                </c:pt>
                <c:pt idx="84">
                  <c:v>45600</c:v>
                </c:pt>
                <c:pt idx="85">
                  <c:v>45601</c:v>
                </c:pt>
                <c:pt idx="86">
                  <c:v>45602</c:v>
                </c:pt>
                <c:pt idx="87">
                  <c:v>45603</c:v>
                </c:pt>
                <c:pt idx="88">
                  <c:v>45604</c:v>
                </c:pt>
                <c:pt idx="89">
                  <c:v>45607</c:v>
                </c:pt>
                <c:pt idx="90">
                  <c:v>45608</c:v>
                </c:pt>
                <c:pt idx="91">
                  <c:v>45609</c:v>
                </c:pt>
                <c:pt idx="92">
                  <c:v>45611</c:v>
                </c:pt>
                <c:pt idx="93">
                  <c:v>45614</c:v>
                </c:pt>
                <c:pt idx="94">
                  <c:v>45615</c:v>
                </c:pt>
                <c:pt idx="95">
                  <c:v>45616</c:v>
                </c:pt>
                <c:pt idx="96">
                  <c:v>45617</c:v>
                </c:pt>
                <c:pt idx="97">
                  <c:v>45618</c:v>
                </c:pt>
                <c:pt idx="98">
                  <c:v>45621</c:v>
                </c:pt>
                <c:pt idx="99">
                  <c:v>45622</c:v>
                </c:pt>
                <c:pt idx="100">
                  <c:v>45623</c:v>
                </c:pt>
                <c:pt idx="101">
                  <c:v>45624</c:v>
                </c:pt>
                <c:pt idx="102">
                  <c:v>45625</c:v>
                </c:pt>
                <c:pt idx="103">
                  <c:v>45628</c:v>
                </c:pt>
                <c:pt idx="104">
                  <c:v>45629</c:v>
                </c:pt>
                <c:pt idx="105">
                  <c:v>45630</c:v>
                </c:pt>
                <c:pt idx="106">
                  <c:v>45631</c:v>
                </c:pt>
                <c:pt idx="107">
                  <c:v>45632</c:v>
                </c:pt>
              </c:numCache>
            </c:numRef>
          </c:cat>
          <c:val>
            <c:numRef>
              <c:f>'Inv Bolsa'!$P$3:$P$110</c:f>
              <c:numCache>
                <c:formatCode>_("$"* #,##0.00_);_("$"* \(#,##0.00\);_("$"* "-"??_);_(@_)</c:formatCode>
                <c:ptCount val="108"/>
                <c:pt idx="0">
                  <c:v>25429.823672399998</c:v>
                </c:pt>
                <c:pt idx="1">
                  <c:v>25518.668392170002</c:v>
                </c:pt>
                <c:pt idx="2">
                  <c:v>25362.648806677997</c:v>
                </c:pt>
                <c:pt idx="3">
                  <c:v>25288.673851039999</c:v>
                </c:pt>
                <c:pt idx="4">
                  <c:v>24797.748361694001</c:v>
                </c:pt>
                <c:pt idx="5">
                  <c:v>25077.399520749997</c:v>
                </c:pt>
                <c:pt idx="6">
                  <c:v>25266.311315573999</c:v>
                </c:pt>
                <c:pt idx="7">
                  <c:v>25160.240189951997</c:v>
                </c:pt>
                <c:pt idx="8">
                  <c:v>24927.953183297999</c:v>
                </c:pt>
                <c:pt idx="9">
                  <c:v>24904.707091699998</c:v>
                </c:pt>
                <c:pt idx="10">
                  <c:v>25035.22467326</c:v>
                </c:pt>
                <c:pt idx="11">
                  <c:v>25258.415149781998</c:v>
                </c:pt>
                <c:pt idx="12">
                  <c:v>24927.281974044003</c:v>
                </c:pt>
                <c:pt idx="13">
                  <c:v>24472.944197632001</c:v>
                </c:pt>
                <c:pt idx="14">
                  <c:v>24532.067863731998</c:v>
                </c:pt>
                <c:pt idx="15">
                  <c:v>24795.714677797998</c:v>
                </c:pt>
                <c:pt idx="16">
                  <c:v>24738.608231639999</c:v>
                </c:pt>
                <c:pt idx="17">
                  <c:v>24896.529198463999</c:v>
                </c:pt>
                <c:pt idx="18">
                  <c:v>25288.849427726</c:v>
                </c:pt>
                <c:pt idx="19">
                  <c:v>24750.866285978002</c:v>
                </c:pt>
                <c:pt idx="20">
                  <c:v>24410.009823162003</c:v>
                </c:pt>
                <c:pt idx="21">
                  <c:v>22870.590209279999</c:v>
                </c:pt>
                <c:pt idx="22">
                  <c:v>24450.111641964002</c:v>
                </c:pt>
                <c:pt idx="23">
                  <c:v>24191.533695474001</c:v>
                </c:pt>
                <c:pt idx="24">
                  <c:v>24804.690627151998</c:v>
                </c:pt>
                <c:pt idx="25">
                  <c:v>24401.021633423999</c:v>
                </c:pt>
                <c:pt idx="26">
                  <c:v>24366.371668660002</c:v>
                </c:pt>
                <c:pt idx="27">
                  <c:v>24476.622502906001</c:v>
                </c:pt>
                <c:pt idx="28">
                  <c:v>24719.052644015999</c:v>
                </c:pt>
                <c:pt idx="29">
                  <c:v>24745.85749608</c:v>
                </c:pt>
                <c:pt idx="30">
                  <c:v>25162.563773808</c:v>
                </c:pt>
                <c:pt idx="31">
                  <c:v>25075.866683600001</c:v>
                </c:pt>
                <c:pt idx="32">
                  <c:v>25413.91087896</c:v>
                </c:pt>
                <c:pt idx="33">
                  <c:v>25326.962640199999</c:v>
                </c:pt>
                <c:pt idx="34">
                  <c:v>25334.751295599996</c:v>
                </c:pt>
                <c:pt idx="35">
                  <c:v>25292.97415025</c:v>
                </c:pt>
                <c:pt idx="36">
                  <c:v>25777.996996391998</c:v>
                </c:pt>
                <c:pt idx="37">
                  <c:v>25462.706371650002</c:v>
                </c:pt>
                <c:pt idx="38">
                  <c:v>25459.908407936004</c:v>
                </c:pt>
                <c:pt idx="39">
                  <c:v>25451.015244232</c:v>
                </c:pt>
                <c:pt idx="40">
                  <c:v>25578.934713564002</c:v>
                </c:pt>
                <c:pt idx="41">
                  <c:v>26243.734721543999</c:v>
                </c:pt>
                <c:pt idx="42">
                  <c:v>25888.301128536004</c:v>
                </c:pt>
                <c:pt idx="43">
                  <c:v>25982.256820400002</c:v>
                </c:pt>
                <c:pt idx="44">
                  <c:v>25918.23327366</c:v>
                </c:pt>
                <c:pt idx="45">
                  <c:v>25405.544704</c:v>
                </c:pt>
                <c:pt idx="46">
                  <c:v>25551.667128641999</c:v>
                </c:pt>
                <c:pt idx="47">
                  <c:v>26238.218648400001</c:v>
                </c:pt>
                <c:pt idx="48">
                  <c:v>26727.108846564002</c:v>
                </c:pt>
                <c:pt idx="49">
                  <c:v>26903.532568608</c:v>
                </c:pt>
                <c:pt idx="50">
                  <c:v>26622.253698392004</c:v>
                </c:pt>
                <c:pt idx="51">
                  <c:v>26462.614844430002</c:v>
                </c:pt>
                <c:pt idx="52">
                  <c:v>26782.337826972001</c:v>
                </c:pt>
                <c:pt idx="53">
                  <c:v>26723.427385565999</c:v>
                </c:pt>
                <c:pt idx="54">
                  <c:v>26879.686288710003</c:v>
                </c:pt>
                <c:pt idx="55">
                  <c:v>26745.749995115995</c:v>
                </c:pt>
                <c:pt idx="56">
                  <c:v>26872.822607399998</c:v>
                </c:pt>
                <c:pt idx="57">
                  <c:v>26734.456216750001</c:v>
                </c:pt>
                <c:pt idx="58">
                  <c:v>27177.180601500004</c:v>
                </c:pt>
                <c:pt idx="59">
                  <c:v>26779.375357352001</c:v>
                </c:pt>
                <c:pt idx="60">
                  <c:v>26896.876263971997</c:v>
                </c:pt>
                <c:pt idx="61">
                  <c:v>26911.288342688</c:v>
                </c:pt>
                <c:pt idx="62">
                  <c:v>27013.393461294003</c:v>
                </c:pt>
                <c:pt idx="63">
                  <c:v>26833.862146784006</c:v>
                </c:pt>
                <c:pt idx="64">
                  <c:v>27048.335424930003</c:v>
                </c:pt>
                <c:pt idx="65">
                  <c:v>26665.658805005998</c:v>
                </c:pt>
                <c:pt idx="66">
                  <c:v>27216.082102550001</c:v>
                </c:pt>
                <c:pt idx="67">
                  <c:v>27516.054492360003</c:v>
                </c:pt>
                <c:pt idx="68">
                  <c:v>27482.677525079998</c:v>
                </c:pt>
                <c:pt idx="69">
                  <c:v>27726.908476290002</c:v>
                </c:pt>
                <c:pt idx="70">
                  <c:v>27491.318713908</c:v>
                </c:pt>
                <c:pt idx="71">
                  <c:v>27934.948657812001</c:v>
                </c:pt>
                <c:pt idx="72">
                  <c:v>28188.482885663998</c:v>
                </c:pt>
                <c:pt idx="73">
                  <c:v>27874.021371619998</c:v>
                </c:pt>
                <c:pt idx="74">
                  <c:v>27981.289228943999</c:v>
                </c:pt>
                <c:pt idx="75">
                  <c:v>28087.452805999998</c:v>
                </c:pt>
                <c:pt idx="76">
                  <c:v>28134.079380864001</c:v>
                </c:pt>
                <c:pt idx="77">
                  <c:v>27814.500700973997</c:v>
                </c:pt>
                <c:pt idx="78">
                  <c:v>28226.905186224001</c:v>
                </c:pt>
                <c:pt idx="79">
                  <c:v>28210.487160635999</c:v>
                </c:pt>
                <c:pt idx="80">
                  <c:v>28288.846953088003</c:v>
                </c:pt>
                <c:pt idx="81">
                  <c:v>28487.889785425999</c:v>
                </c:pt>
                <c:pt idx="82">
                  <c:v>28257.534702215999</c:v>
                </c:pt>
                <c:pt idx="83">
                  <c:v>28314.290294145998</c:v>
                </c:pt>
                <c:pt idx="84">
                  <c:v>28547.095285799998</c:v>
                </c:pt>
                <c:pt idx="85">
                  <c:v>28846.706784120001</c:v>
                </c:pt>
                <c:pt idx="86">
                  <c:v>29572.544305499996</c:v>
                </c:pt>
                <c:pt idx="87">
                  <c:v>29467.018708193998</c:v>
                </c:pt>
                <c:pt idx="88">
                  <c:v>29663.670997460002</c:v>
                </c:pt>
                <c:pt idx="89">
                  <c:v>29332.180127639996</c:v>
                </c:pt>
                <c:pt idx="90">
                  <c:v>29446.697091249996</c:v>
                </c:pt>
                <c:pt idx="91">
                  <c:v>29299.166031839999</c:v>
                </c:pt>
                <c:pt idx="92">
                  <c:v>29626.585895100001</c:v>
                </c:pt>
                <c:pt idx="93">
                  <c:v>29218.262602018</c:v>
                </c:pt>
                <c:pt idx="94">
                  <c:v>29415.664622160002</c:v>
                </c:pt>
                <c:pt idx="95">
                  <c:v>29323.204704240001</c:v>
                </c:pt>
                <c:pt idx="96">
                  <c:v>29529.932255376003</c:v>
                </c:pt>
                <c:pt idx="97">
                  <c:v>29793.012349716002</c:v>
                </c:pt>
                <c:pt idx="98">
                  <c:v>29378.184729410001</c:v>
                </c:pt>
                <c:pt idx="99">
                  <c:v>29789.815560845997</c:v>
                </c:pt>
                <c:pt idx="100">
                  <c:v>29559.014525039998</c:v>
                </c:pt>
                <c:pt idx="101">
                  <c:v>29636.299082389996</c:v>
                </c:pt>
                <c:pt idx="102">
                  <c:v>29709.965738260002</c:v>
                </c:pt>
                <c:pt idx="103">
                  <c:v>29929.456938777996</c:v>
                </c:pt>
                <c:pt idx="104">
                  <c:v>30205.78138484</c:v>
                </c:pt>
                <c:pt idx="105">
                  <c:v>30432.862012079997</c:v>
                </c:pt>
                <c:pt idx="106">
                  <c:v>30276.148677323996</c:v>
                </c:pt>
                <c:pt idx="107">
                  <c:v>30310.646480776006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A-41D2-9575-D3A1831C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74800"/>
        <c:axId val="459768816"/>
      </c:lineChart>
      <c:dateAx>
        <c:axId val="459774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68816"/>
        <c:crosses val="autoZero"/>
        <c:auto val="1"/>
        <c:lblOffset val="100"/>
        <c:baseTimeUnit val="days"/>
      </c:dateAx>
      <c:valAx>
        <c:axId val="4597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BOLSA!$C$3:$C$52</c:f>
              <c:numCache>
                <c:formatCode>_-[$$-240A]\ * #,##0.00_-;\-[$$-240A]\ * #,##0.00_-;_-[$$-240A]\ * "-"??_-;_-@_-</c:formatCode>
                <c:ptCount val="50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  <c:pt idx="45">
                  <c:v>4030.16</c:v>
                </c:pt>
                <c:pt idx="46">
                  <c:v>4023.02</c:v>
                </c:pt>
                <c:pt idx="47">
                  <c:v>4010.2</c:v>
                </c:pt>
                <c:pt idx="48">
                  <c:v>4036.25</c:v>
                </c:pt>
                <c:pt idx="49">
                  <c:v>4069.62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BOLSA!$D$3:$D$52</c:f>
              <c:numCache>
                <c:formatCode>_-[$$-240A]\ * #,##0.00_-;\-[$$-240A]\ * #,##0.00_-;_-[$$-240A]\ * "-"??_-;_-@_-</c:formatCode>
                <c:ptCount val="50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  <c:pt idx="45">
                  <c:v>5608.24</c:v>
                </c:pt>
                <c:pt idx="46">
                  <c:v>5597.11</c:v>
                </c:pt>
                <c:pt idx="47">
                  <c:v>5620.94</c:v>
                </c:pt>
                <c:pt idx="48">
                  <c:v>5570.65</c:v>
                </c:pt>
                <c:pt idx="49">
                  <c:v>5634.6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BOLSA!$E$3:$E$52</c:f>
              <c:numCache>
                <c:formatCode>_-[$$-240A]\ * #,##0.00_-;\-[$$-240A]\ * #,##0.00_-;_-[$$-240A]\ * "-"??_-;_-@_-</c:formatCode>
                <c:ptCount val="50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  <c:pt idx="45">
                  <c:v>19766.490000000002</c:v>
                </c:pt>
                <c:pt idx="46">
                  <c:v>19719.82</c:v>
                </c:pt>
                <c:pt idx="47">
                  <c:v>19824.84</c:v>
                </c:pt>
                <c:pt idx="48">
                  <c:v>19491.84</c:v>
                </c:pt>
                <c:pt idx="49">
                  <c:v>19720.87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9780784"/>
        <c:axId val="459779696"/>
      </c:lineChart>
      <c:dateAx>
        <c:axId val="45978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9696"/>
        <c:crosses val="autoZero"/>
        <c:auto val="1"/>
        <c:lblOffset val="100"/>
        <c:baseTimeUnit val="days"/>
      </c:dateAx>
      <c:valAx>
        <c:axId val="459779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BOLSA!$F$3:$F$52</c:f>
              <c:numCache>
                <c:formatCode>_-[$$-240A]\ * #,##0.00_-;\-[$$-240A]\ * #,##0.00_-;_-[$$-240A]\ * "-"??_-;_-@_-</c:formatCode>
                <c:ptCount val="50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  <c:pt idx="45">
                  <c:v>68.98</c:v>
                </c:pt>
                <c:pt idx="46">
                  <c:v>69.38</c:v>
                </c:pt>
                <c:pt idx="47">
                  <c:v>69.569999999999993</c:v>
                </c:pt>
                <c:pt idx="48">
                  <c:v>69.33</c:v>
                </c:pt>
                <c:pt idx="49">
                  <c:v>69.790000000000006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BOLSA!$G$3:$G$52</c:f>
              <c:numCache>
                <c:formatCode>_-[$$-240A]\ * #,##0.00_-;\-[$$-240A]\ * #,##0.00_-;_-[$$-240A]\ * "-"??_-;_-@_-</c:formatCode>
                <c:ptCount val="50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  <c:pt idx="45">
                  <c:v>159.63</c:v>
                </c:pt>
                <c:pt idx="46">
                  <c:v>160.16</c:v>
                </c:pt>
                <c:pt idx="47">
                  <c:v>161.43</c:v>
                </c:pt>
                <c:pt idx="48">
                  <c:v>162.35</c:v>
                </c:pt>
                <c:pt idx="49">
                  <c:v>164.13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BOLSA!$H$3:$H$52</c:f>
              <c:numCache>
                <c:formatCode>_-[$$-240A]\ * #,##0.00_-;\-[$$-240A]\ * #,##0.00_-;_-[$$-240A]\ * "-"??_-;_-@_-</c:formatCode>
                <c:ptCount val="50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  <c:pt idx="45">
                  <c:v>168.42</c:v>
                </c:pt>
                <c:pt idx="46">
                  <c:v>170.41</c:v>
                </c:pt>
                <c:pt idx="47">
                  <c:v>170.16</c:v>
                </c:pt>
                <c:pt idx="48">
                  <c:v>170.15</c:v>
                </c:pt>
                <c:pt idx="49">
                  <c:v>169.17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BOLSA!$I$3:$I$52</c:f>
              <c:numCache>
                <c:formatCode>_-[$$-240A]\ * #,##0.00_-;\-[$$-240A]\ * #,##0.00_-;_-[$$-240A]\ * "-"??_-;_-@_-</c:formatCode>
                <c:ptCount val="50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  <c:pt idx="45">
                  <c:v>173.82</c:v>
                </c:pt>
                <c:pt idx="46">
                  <c:v>175.85</c:v>
                </c:pt>
                <c:pt idx="47">
                  <c:v>175.21</c:v>
                </c:pt>
                <c:pt idx="48">
                  <c:v>175.74</c:v>
                </c:pt>
                <c:pt idx="49">
                  <c:v>175.87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BOLSA!$J$3:$J$52</c:f>
              <c:numCache>
                <c:formatCode>_-[$$-240A]\ * #,##0.00_-;\-[$$-240A]\ * #,##0.00_-;_-[$$-240A]\ * "-"??_-;_-@_-</c:formatCode>
                <c:ptCount val="50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  <c:pt idx="45">
                  <c:v>421.53</c:v>
                </c:pt>
                <c:pt idx="46">
                  <c:v>424.8</c:v>
                </c:pt>
                <c:pt idx="47">
                  <c:v>424.14</c:v>
                </c:pt>
                <c:pt idx="48">
                  <c:v>415.55</c:v>
                </c:pt>
                <c:pt idx="49">
                  <c:v>416.79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BOLSA!$B$3:$B$52</c:f>
              <c:numCache>
                <c:formatCode>m/d/yyyy</c:formatCode>
                <c:ptCount val="50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  <c:pt idx="45">
                  <c:v>45523</c:v>
                </c:pt>
                <c:pt idx="46">
                  <c:v>45524</c:v>
                </c:pt>
                <c:pt idx="47">
                  <c:v>45525</c:v>
                </c:pt>
                <c:pt idx="48">
                  <c:v>45526</c:v>
                </c:pt>
                <c:pt idx="49">
                  <c:v>45527</c:v>
                </c:pt>
              </c:numCache>
            </c:numRef>
          </c:cat>
          <c:val>
            <c:numRef>
              <c:f>BOLSA!$K$3:$K$52</c:f>
              <c:numCache>
                <c:formatCode>_-[$$-240A]\ * #,##0.00_-;\-[$$-240A]\ * #,##0.00_-;_-[$$-240A]\ * "-"??_-;_-@_-</c:formatCode>
                <c:ptCount val="50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  <c:pt idx="45">
                  <c:v>287.55</c:v>
                </c:pt>
                <c:pt idx="46">
                  <c:v>285.63</c:v>
                </c:pt>
                <c:pt idx="47">
                  <c:v>289.70999999999998</c:v>
                </c:pt>
                <c:pt idx="48">
                  <c:v>289.20999999999998</c:v>
                </c:pt>
                <c:pt idx="49">
                  <c:v>289.52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9772624"/>
        <c:axId val="459766640"/>
      </c:lineChart>
      <c:dateAx>
        <c:axId val="459772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66640"/>
        <c:crosses val="autoZero"/>
        <c:auto val="1"/>
        <c:lblOffset val="100"/>
        <c:baseTimeUnit val="days"/>
      </c:dateAx>
      <c:valAx>
        <c:axId val="4597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7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6</xdr:row>
      <xdr:rowOff>104775</xdr:rowOff>
    </xdr:from>
    <xdr:to>
      <xdr:col>24</xdr:col>
      <xdr:colOff>1181100</xdr:colOff>
      <xdr:row>21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</xdr:colOff>
      <xdr:row>0</xdr:row>
      <xdr:rowOff>166687</xdr:rowOff>
    </xdr:from>
    <xdr:to>
      <xdr:col>37</xdr:col>
      <xdr:colOff>638174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Tabla8" displayName="Tabla8" ref="B2:I44" totalsRowShown="0">
  <autoFilter ref="B2:I44"/>
  <tableColumns count="8">
    <tableColumn id="1" name="MES"/>
    <tableColumn id="2" name="TIPO DE INVERSION"/>
    <tableColumn id="7" name="NOMBRE"/>
    <tableColumn id="3" name="CAPITAL A INICIO DE MES" dataCellStyle="Moneda"/>
    <tableColumn id="8" name="CAPITAL INVERTIDO ESTE MES" dataDxfId="121" dataCellStyle="Moneda"/>
    <tableColumn id="4" name="CAPITAL A FIN DE MES" dataCellStyle="Moneda"/>
    <tableColumn id="5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name="RENTABILIDAD" dataCellStyle="Porcentaje">
      <calculatedColumnFormula>(Tabla8[[#This Row],[CAPITAL A FIN DE MES]]-Tabla8[[#This Row],[CAPITAL A INICIO DE MES]])/Tabla8[[#This Row],[CAPITAL A INICIO DE MES]]</calculatedColumnFormula>
    </tableColumn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id="3" name="Tabla3" displayName="Tabla3" ref="B2:T14" totalsRowShown="0" headerRowDxfId="24">
  <autoFilter ref="B2:T14"/>
  <tableColumns count="19">
    <tableColumn id="1" name="FECHA ACTUAL" dataDxfId="23">
      <calculatedColumnFormula>TODAY()</calculatedColumnFormula>
    </tableColumn>
    <tableColumn id="2" name="PRECIO ACT KO" dataDxfId="22" dataCellStyle="Moneda">
      <calculatedColumnFormula>VLOOKUP(B3,Tabla1[],5,FALSE)</calculatedColumnFormula>
    </tableColumn>
    <tableColumn id="3" name="PRECIO ACT JNJ" dataDxfId="21">
      <calculatedColumnFormula>VLOOKUP(B3,Tabla1[],6,FALSE)</calculatedColumnFormula>
    </tableColumn>
    <tableColumn id="4" name="PRECIO ACT PG" dataDxfId="20">
      <calculatedColumnFormula>VLOOKUP(B3,Tabla1[],7,FALSE)</calculatedColumnFormula>
    </tableColumn>
    <tableColumn id="5" name="PRECIO ACT PEP" dataDxfId="19">
      <calculatedColumnFormula>VLOOKUP(B3,Tabla1[],8,FALSE)</calculatedColumnFormula>
    </tableColumn>
    <tableColumn id="6" name="PRECIO ACT MSFT" dataDxfId="18">
      <calculatedColumnFormula>VLOOKUP(B3,Tabla1[],9,FALSE)</calculatedColumnFormula>
    </tableColumn>
    <tableColumn id="7" name="PRECIO ACT MCD" dataDxfId="17">
      <calculatedColumnFormula>VLOOKUP(B3,Tabla1[],10,FALSE)</calculatedColumnFormula>
    </tableColumn>
    <tableColumn id="20" name="PRECIO ACT VOO" dataDxfId="16">
      <calculatedColumnFormula>VLOOKUP(B3,Tabla2[],3,FALSE)</calculatedColumnFormula>
    </tableColumn>
    <tableColumn id="8" name="EMPRESA" dataDxfId="15"/>
    <tableColumn id="9" name="FECHA COMPRA" dataDxfId="14"/>
    <tableColumn id="10" name="PRECIO COMPRA" dataDxfId="13" dataCellStyle="Moneda"/>
    <tableColumn id="11" name="CAPITAL INVE" dataDxfId="12" dataCellStyle="Moneda"/>
    <tableColumn id="12" name="CANTIDAD DE ACCIONES" dataDxfId="11" dataCellStyle="Moneda">
      <calculatedColumnFormula>(M3/L3)</calculatedColumnFormula>
    </tableColumn>
    <tableColumn id="13" name="VALOR ACTUAL INVE" dataDxfId="10" dataCellStyle="Moneda">
      <calculatedColumnFormula>ROUND(IF(J3="KO",N3*C3,IF(J3="JNJ",N3*D3,IF(J3="PG",N3*E3,IF(J3="PEP",N3*F3,IF(J3="MSFT",N3*G3,IF(J3="MCD",N3*H3,IF(J3="VOO",N3*I3,0))))))),2)</calculatedColumnFormula>
    </tableColumn>
    <tableColumn id="14" name="FECHA DIVIDENDO" dataDxfId="9"/>
    <tableColumn id="15" name="VALOR DIVIDENDO POR ACCION" dataDxfId="8" dataCellStyle="Moneda"/>
    <tableColumn id="16" name="TOTAL DIVIDENDO RECIBIDO" dataDxfId="7" dataCellStyle="Moneda">
      <calculatedColumnFormula>ROUND(Q3*N3,2)</calculatedColumnFormula>
    </tableColumn>
    <tableColumn id="17" name="GANACIA/PERDIDA" dataDxfId="6" dataCellStyle="Moneda">
      <calculatedColumnFormula>ROUND(O3-M3,2)</calculatedColumnFormula>
    </tableColumn>
    <tableColumn id="18" name="RENTABILIDAD" dataDxfId="5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L2:Y3" totalsRowShown="0" headerRowDxfId="120" dataDxfId="118" headerRowBorderDxfId="119" tableBorderDxfId="117" totalsRowBorderDxfId="116" dataCellStyle="Moneda">
  <autoFilter ref="L2:Y3"/>
  <tableColumns count="14">
    <tableColumn id="1" name="MES" dataDxfId="115"/>
    <tableColumn id="2" name="ENERO" dataDxfId="114" dataCellStyle="Moneda"/>
    <tableColumn id="3" name="FEBRERO" dataDxfId="113" dataCellStyle="Moneda"/>
    <tableColumn id="4" name="MARZO" dataDxfId="112" dataCellStyle="Moneda"/>
    <tableColumn id="5" name="ABRIL" dataDxfId="111" dataCellStyle="Moneda"/>
    <tableColumn id="6" name="MAYO" dataDxfId="110" dataCellStyle="Moneda"/>
    <tableColumn id="7" name="JUNIO" dataDxfId="109" dataCellStyle="Moneda"/>
    <tableColumn id="8" name="JULIO" dataDxfId="108" dataCellStyle="Moneda">
      <calculatedColumnFormula>SUM(H3:H9)</calculatedColumnFormula>
    </tableColumn>
    <tableColumn id="9" name="AGOSTO" dataDxfId="107" dataCellStyle="Moneda">
      <calculatedColumnFormula>SUM(H10:H16)</calculatedColumnFormula>
    </tableColumn>
    <tableColumn id="10" name="SEPTIEMBRE" dataDxfId="106" dataCellStyle="Moneda">
      <calculatedColumnFormula>SUM(H17:H23)</calculatedColumnFormula>
    </tableColumn>
    <tableColumn id="11" name="OCTUBRE" dataDxfId="105" dataCellStyle="Moneda">
      <calculatedColumnFormula>SUM(H24:H30)</calculatedColumnFormula>
    </tableColumn>
    <tableColumn id="12" name="NOVIEMBRE" dataDxfId="104" dataCellStyle="Moneda">
      <calculatedColumnFormula>SUM(H31:H37)</calculatedColumnFormula>
    </tableColumn>
    <tableColumn id="13" name="DICIEMBRE" dataDxfId="103" dataCellStyle="Moneda"/>
    <tableColumn id="14" name="TOTAL ANUAL" dataDxfId="102" dataCellStyle="Moneda">
      <calculatedColumnFormula>SUM(M3:X3)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B2:J18" totalsRowShown="0" headerRowDxfId="101">
  <autoFilter ref="B2:J18"/>
  <tableColumns count="9">
    <tableColumn id="1" name="MES"/>
    <tableColumn id="2" name="CUENTA"/>
    <tableColumn id="3" name="CANTIDAD INICIAL" dataDxfId="100"/>
    <tableColumn id="4" name="CAPITAL INVERTIDO" dataDxfId="99"/>
    <tableColumn id="5" name="INTERES OBTENIDO" dataDxfId="98"/>
    <tableColumn id="6" name="PORCENTAJE DE INTERES" dataDxfId="97" dataCellStyle="Porcentaje">
      <calculatedColumnFormula>(F3/(D3+E3))</calculatedColumnFormula>
    </tableColumn>
    <tableColumn id="7" name="RETIROS DE CAPITAL" dataDxfId="96"/>
    <tableColumn id="8" name="TOTAL CAPITAL FIN DE MES" dataDxfId="95">
      <calculatedColumnFormula>D3+E3+F3-H3</calculatedColumnFormula>
    </tableColumn>
    <tableColumn id="9" name="RENTABILIDAD" dataDxfId="94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232" totalsRowShown="0">
  <autoFilter ref="B2:G232"/>
  <tableColumns count="6">
    <tableColumn id="1" name="FECHA" dataDxfId="93"/>
    <tableColumn id="2" name="DÓLAR" dataDxfId="92"/>
    <tableColumn id="3" name="BITCOIN" dataDxfId="91"/>
    <tableColumn id="5" name="io.net" dataDxfId="90"/>
    <tableColumn id="4" name="ETHEREUM" dataDxfId="89"/>
    <tableColumn id="6" name="USDT" dataDxfId="88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B2:Z89" totalsRowShown="0">
  <autoFilter ref="B2:Z89"/>
  <sortState ref="B3:Z89">
    <sortCondition descending="1" ref="N2:N89"/>
  </sortState>
  <tableColumns count="25">
    <tableColumn id="1" name="fecha act" dataDxfId="83">
      <calculatedColumnFormula>TODAY()</calculatedColumnFormula>
    </tableColumn>
    <tableColumn id="2" name="precio actual dólar" dataDxfId="82">
      <calculatedColumnFormula>VLOOKUP(B3,Tabla4[],2,FALSE)</calculatedColumnFormula>
    </tableColumn>
    <tableColumn id="3" name="precio actual btc" dataDxfId="81">
      <calculatedColumnFormula>VLOOKUP(B3,Tabla4[],3,FALSE)</calculatedColumnFormula>
    </tableColumn>
    <tableColumn id="4" name="precio actul eth" dataDxfId="80">
      <calculatedColumnFormula>VLOOKUP(B3,Tabla4[],5,FALSE)</calculatedColumnFormula>
    </tableColumn>
    <tableColumn id="5" name="precio actual io.net" dataDxfId="79">
      <calculatedColumnFormula>VLOOKUP(B3,Tabla4[],4,FALSE)</calculatedColumnFormula>
    </tableColumn>
    <tableColumn id="6" name="moneda"/>
    <tableColumn id="27" name="FECHA COMPRA"/>
    <tableColumn id="20" name="PRECIO DEL DÓLAR, DIA COMPRA" dataDxfId="78">
      <calculatedColumnFormula>VLOOKUP(H3,Tabla4[],2,FALSE)</calculatedColumnFormula>
    </tableColumn>
    <tableColumn id="7" name="precio de compra" dataDxfId="77"/>
    <tableColumn id="8" name="cantidad" dataDxfId="76" dataCellStyle="Porcentaje"/>
    <tableColumn id="18" name="COSTO DE COMPRA" dataDxfId="75" dataCellStyle="Porcentaje">
      <calculatedColumnFormula>Tabla6[[#This Row],[precio de compra]]*Tabla6[[#This Row],[cantidad]]*Tabla6[[#This Row],[PRECIO DEL DÓLAR, DIA COMPRA]]</calculatedColumnFormula>
    </tableColumn>
    <tableColumn id="21" name="VALOR ACTUAL INV" dataDxfId="74" dataCellStyle="Porcentaje">
      <calculatedColumnFormula xml:space="preserve"> K3 * (IF(G3="BTC", D3, IF(G3="ETH", E3, IF(G3="IO.NET", F3, 0)))) * C3</calculatedColumnFormula>
    </tableColumn>
    <tableColumn id="9" name="rentabilidad" dataDxfId="73" dataCellStyle="Porcentaje">
      <calculatedColumnFormula>IF(G3 = "BTC", (D3 - J3) / J3,
 IF(G3 = "ETH", (E3 - J3) / J3,
 IF(G3 = "IO.NET", (F3 - J3) / J3,
 "Moneda no soportada")))</calculatedColumnFormula>
    </tableColumn>
    <tableColumn id="10" name="meta1" dataDxfId="72" dataCellStyle="Porcentaje"/>
    <tableColumn id="11" name="META2" dataDxfId="71" dataCellStyle="Porcentaje"/>
    <tableColumn id="12" name="ACCION" dataDxfId="70">
      <calculatedColumnFormula>IF(N3 &lt; O3, "MANTENER", IF(N3 &lt; P3, "VENTA PARCIAL", "VENDER"))</calculatedColumnFormula>
    </tableColumn>
    <tableColumn id="13" name="FECHA DE VENTA"/>
    <tableColumn id="17" name="CANTIDAD VENDIDA"/>
    <tableColumn id="14" name="PRECIO DE VENTA" dataDxfId="69"/>
    <tableColumn id="23" name="INVENTARIO" dataDxfId="68">
      <calculatedColumnFormula>Tabla6[[#This Row],[cantidad]]-Tabla6[[#This Row],[CANTIDAD VENDIDA]]</calculatedColumnFormula>
    </tableColumn>
    <tableColumn id="24" name="VALOR ACTUAL" dataDxfId="67">
      <calculatedColumnFormula>IF(G3="BTC", D3 * U3 * C3, IF(G3="ETH", E3 * U3 * C3, IF(G3="IO.NET", F3 * U3 * C3, 0)))</calculatedColumnFormula>
    </tableColumn>
    <tableColumn id="15" name="GANANCIA/PERDIDA" dataDxfId="66">
      <calculatedColumnFormula>IF(G3 = "BTC", ((T3 - L3)), IF(G3 = "ETH", ((T3 - L3)), IF(G3 = "IO.NET", ((T3 - L3)), "Moneda no soportada")))</calculatedColumnFormula>
    </tableColumn>
    <tableColumn id="25" name="RENTABILIDAD TOTAL" dataDxfId="65" dataCellStyle="Porcentaje">
      <calculatedColumnFormula>IF(G3 = "BTC", (((D3 - J3) / J3)),IF(G3 = "ETH", ((E3 - J3) / J3), IF(G3 = "IO.NET", ((F3 - J3) / J3), "Moneda no soportada")))</calculatedColumnFormula>
    </tableColumn>
    <tableColumn id="26" name="ESTADO DE LA INVERSION" dataDxfId="64">
      <calculatedColumnFormula>IF(U3=0,"VENDIDA","ACTIVA")</calculatedColumnFormula>
    </tableColumn>
    <tableColumn id="16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B2:M24" totalsRowShown="0">
  <autoFilter ref="B2:M24"/>
  <tableColumns count="12">
    <tableColumn id="1" name="FECHA ACT" dataDxfId="63">
      <calculatedColumnFormula>TODAY()</calculatedColumnFormula>
    </tableColumn>
    <tableColumn id="11" name="FECHA COMPRA" dataDxfId="62"/>
    <tableColumn id="2" name="PRECIO DEL USD,DIA COMPRA"/>
    <tableColumn id="3" name="CANTIDAD COPRADA"/>
    <tableColumn id="4" name="CONTO EN COP">
      <calculatedColumnFormula>D3*E3</calculatedColumnFormula>
    </tableColumn>
    <tableColumn id="5" name="CANTIDAD TOTAL(USD)" dataDxfId="61">
      <calculatedColumnFormula>G2+E3</calculatedColumnFormula>
    </tableColumn>
    <tableColumn id="6" name="PRECIO ACTUAL(USD)">
      <calculatedColumnFormula>VLOOKUP(B3,Tabla4[],6,FALSE)</calculatedColumnFormula>
    </tableColumn>
    <tableColumn id="7" name="VALOR ACTUAL EN COP">
      <calculatedColumnFormula>G3*H3</calculatedColumnFormula>
    </tableColumn>
    <tableColumn id="8" name="COSTO TOTAL EN COP">
      <calculatedColumnFormula>F3+J2</calculatedColumnFormula>
    </tableColumn>
    <tableColumn id="12" name="DIFERENCIA" dataDxfId="60">
      <calculatedColumnFormula>Tabla5[[#This Row],[VALOR ACTUAL EN COP]]-Tabla5[[#This Row],[COSTO TOTAL EN COP]]</calculatedColumnFormula>
    </tableColumn>
    <tableColumn id="9" name="RENTABILIDAD" dataDxfId="59" dataCellStyle="Porcentaje">
      <calculatedColumnFormula>((I3-J3)/J3)</calculatedColumnFormula>
    </tableColumn>
    <tableColumn id="10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a9" displayName="Tabla9" ref="B2:O26" totalsRowShown="0">
  <autoFilter ref="B2:O26"/>
  <tableColumns count="14">
    <tableColumn id="1" name="MES" dataDxfId="58"/>
    <tableColumn id="2" name="CRIPTOMONEDA"/>
    <tableColumn id="3" name="CANTIDAD INICIAL"/>
    <tableColumn id="4" name="PRECIO DÓLAR INICIAL"/>
    <tableColumn id="5" name="PRECIO INICIAL USD" dataCellStyle="Moneda"/>
    <tableColumn id="6" name="VALOR INICIAL EN COP">
      <calculatedColumnFormula>D3*F3*E3</calculatedColumnFormula>
    </tableColumn>
    <tableColumn id="7" name="CANTIDAD A FIN DE MES"/>
    <tableColumn id="8" name="PRECIO DÓLAR FINAL"/>
    <tableColumn id="9" name="PRECIO A FIN DE MES(USD)"/>
    <tableColumn id="10" name="PRECIO FINAL(COP)">
      <calculatedColumnFormula>H3*J3*I3</calculatedColumnFormula>
    </tableColumn>
    <tableColumn id="11" name="DIFERENCIA DE CANTIDAD">
      <calculatedColumnFormula>H3-D3</calculatedColumnFormula>
    </tableColumn>
    <tableColumn id="12" name="DIFERENCIA EN PRECIO" dataDxfId="4">
      <calculatedColumnFormula>J3-F3</calculatedColumnFormula>
    </tableColumn>
    <tableColumn id="13" name="PRECIO DE LA DIFERENCIA EN COP">
      <calculatedColumnFormula>L3*J3*I3</calculatedColumnFormula>
    </tableColumn>
    <tableColumn id="14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id="2" name="Tabla2" displayName="Tabla2" ref="B2:P110" totalsRowShown="0">
  <autoFilter ref="B2:P110"/>
  <tableColumns count="15">
    <tableColumn id="1" name="FECHA" dataDxfId="49"/>
    <tableColumn id="5" name="PRECIO DEL DÓLAR" dataDxfId="48">
      <calculatedColumnFormula>VLOOKUP(B3,Tabla4[],2,FALSE)</calculatedColumnFormula>
    </tableColumn>
    <tableColumn id="2" name="VOO" dataDxfId="47" dataCellStyle="Moneda"/>
    <tableColumn id="3" name="VALOR INVERSION 1" dataDxfId="46">
      <calculatedColumnFormula>0.01518 * D3</calculatedColumnFormula>
    </tableColumn>
    <tableColumn id="4" name="GAN/PER" dataDxfId="45">
      <calculatedColumnFormula>Tabla2[[#This Row],[VALOR INVERSION 1]]-7.7</calculatedColumnFormula>
    </tableColumn>
    <tableColumn id="6" name="VALOR EN COP" dataDxfId="44">
      <calculatedColumnFormula>Tabla2[[#This Row],[VALOR INVERSION 1]]*Tabla2[[#This Row],[PRECIO DEL DÓLAR]]</calculatedColumnFormula>
    </tableColumn>
    <tableColumn id="8" name="VALOR INVERSION 2" dataDxfId="43">
      <calculatedColumnFormula>Tabla2[[#This Row],[VOO]]*0.01527</calculatedColumnFormula>
    </tableColumn>
    <tableColumn id="9" name="GAN/PER2" dataDxfId="42">
      <calculatedColumnFormula>Tabla2[[#This Row],[VALOR INVERSION 2]]-7.9</calculatedColumnFormula>
    </tableColumn>
    <tableColumn id="10" name="VALOR EN COP2" dataDxfId="41">
      <calculatedColumnFormula>Tabla2[[#This Row],[VALOR INVERSION 2]]*Tabla2[[#This Row],[PRECIO DEL DÓLAR]]</calculatedColumnFormula>
    </tableColumn>
    <tableColumn id="7" name="VALOR INVERSION 3" dataDxfId="40">
      <calculatedColumnFormula>Tabla2[[#This Row],[VOO]]*0.01284</calculatedColumnFormula>
    </tableColumn>
    <tableColumn id="11" name="GAN/PER3" dataDxfId="39">
      <calculatedColumnFormula>Tabla2[[#This Row],[VALOR INVERSION 3]]-6.9</calculatedColumnFormula>
    </tableColumn>
    <tableColumn id="12" name="VALOR EN COP3" dataDxfId="38">
      <calculatedColumnFormula>Tabla2[[#This Row],[VALOR INVERSION 3]]*Tabla2[[#This Row],[PRECIO DEL DÓLAR]]</calculatedColumnFormula>
    </tableColumn>
    <tableColumn id="13" name="VALOR INVERSION 4" dataDxfId="37">
      <calculatedColumnFormula>Tabla2[[#This Row],[VOO]]*0.01226</calculatedColumnFormula>
    </tableColumn>
    <tableColumn id="14" name="GAN/PER4" dataDxfId="36">
      <calculatedColumnFormula>Tabla2[[#This Row],[VALOR INVERSION 4]]-6.6</calculatedColumnFormula>
    </tableColumn>
    <tableColumn id="16" name="VALOR EN COP4" dataDxfId="35">
      <calculatedColumnFormula>Tabla2[[#This Row],[VALOR INVERSION 4]]*Tabla2[[#This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a1" displayName="Tabla1" ref="B2:K52" totalsRowShown="0" headerRowDxfId="34">
  <autoFilter ref="B2:K52"/>
  <tableColumns count="10">
    <tableColumn id="1" name="FECHA"/>
    <tableColumn id="2" name="DÓLAR" dataDxfId="33">
      <calculatedColumnFormula>VLOOKUP(B3,Tabla4[],2,FALSE)</calculatedColumnFormula>
    </tableColumn>
    <tableColumn id="3" name="S&amp;P 500" dataDxfId="32"/>
    <tableColumn id="4" name="NASDAQ-100" dataDxfId="31"/>
    <tableColumn id="5" name="KO" dataDxfId="30"/>
    <tableColumn id="6" name="JNJ" dataDxfId="29"/>
    <tableColumn id="7" name="PG" dataDxfId="28"/>
    <tableColumn id="8" name="PEP" dataDxfId="27"/>
    <tableColumn id="13" name="MSFT" dataDxfId="26"/>
    <tableColumn id="9" name="MCD" dataDxfId="2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4"/>
  <sheetViews>
    <sheetView topLeftCell="B22" workbookViewId="0">
      <selection activeCell="F44" sqref="F44"/>
    </sheetView>
  </sheetViews>
  <sheetFormatPr baseColWidth="10" defaultRowHeight="14.25"/>
  <cols>
    <col min="2" max="2" width="12.625" bestFit="1" customWidth="1"/>
    <col min="3" max="4" width="20.875" customWidth="1"/>
    <col min="5" max="6" width="25.875" customWidth="1"/>
    <col min="7" max="7" width="22.875" customWidth="1"/>
    <col min="8" max="8" width="21.75" customWidth="1"/>
    <col min="9" max="9" width="16.375" customWidth="1"/>
    <col min="12" max="12" width="14.5" bestFit="1" customWidth="1"/>
    <col min="14" max="14" width="12" customWidth="1"/>
    <col min="21" max="21" width="15.125" customWidth="1"/>
    <col min="22" max="22" width="12.25" customWidth="1"/>
    <col min="23" max="23" width="14.125" customWidth="1"/>
    <col min="24" max="24" width="13.375" customWidth="1"/>
    <col min="25" max="25" width="15.625" customWidth="1"/>
  </cols>
  <sheetData>
    <row r="2" spans="2:25">
      <c r="B2" t="s">
        <v>52</v>
      </c>
      <c r="C2" t="s">
        <v>98</v>
      </c>
      <c r="D2" t="s">
        <v>102</v>
      </c>
      <c r="E2" t="s">
        <v>100</v>
      </c>
      <c r="F2" t="s">
        <v>104</v>
      </c>
      <c r="G2" t="s">
        <v>99</v>
      </c>
      <c r="H2" t="s">
        <v>28</v>
      </c>
      <c r="I2" t="s">
        <v>47</v>
      </c>
      <c r="L2" s="33" t="s">
        <v>52</v>
      </c>
      <c r="M2" s="34" t="s">
        <v>109</v>
      </c>
      <c r="N2" s="34" t="s">
        <v>110</v>
      </c>
      <c r="O2" s="34" t="s">
        <v>92</v>
      </c>
      <c r="P2" s="34" t="s">
        <v>94</v>
      </c>
      <c r="Q2" s="34" t="s">
        <v>95</v>
      </c>
      <c r="R2" s="34" t="s">
        <v>97</v>
      </c>
      <c r="S2" s="34" t="s">
        <v>64</v>
      </c>
      <c r="T2" s="34" t="s">
        <v>85</v>
      </c>
      <c r="U2" s="34" t="s">
        <v>108</v>
      </c>
      <c r="V2" s="34" t="s">
        <v>111</v>
      </c>
      <c r="W2" s="34" t="s">
        <v>112</v>
      </c>
      <c r="X2" s="34" t="s">
        <v>113</v>
      </c>
      <c r="Y2" s="35" t="s">
        <v>115</v>
      </c>
    </row>
    <row r="3" spans="2:25">
      <c r="B3" t="s">
        <v>64</v>
      </c>
      <c r="C3" t="s">
        <v>101</v>
      </c>
      <c r="D3" t="s">
        <v>93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I3" s="9">
        <f>(Tabla8[[#This Row],[CAPITAL A FIN DE MES]]-Tabla8[[#This Row],[CAPITAL A INICIO DE MES]])/Tabla8[[#This Row],[CAPITAL A INICIO DE MES]]</f>
        <v>0.34637322248206726</v>
      </c>
      <c r="L3" s="36" t="s">
        <v>114</v>
      </c>
      <c r="M3" s="37"/>
      <c r="N3" s="37"/>
      <c r="O3" s="37"/>
      <c r="P3" s="37"/>
      <c r="Q3" s="37"/>
      <c r="R3" s="37"/>
      <c r="S3" s="37">
        <f>SUM(H3:H9)</f>
        <v>-3075.5499999999988</v>
      </c>
      <c r="T3" s="37">
        <f>SUM(H10:H16)</f>
        <v>1769.3199999999993</v>
      </c>
      <c r="U3" s="37">
        <f>SUM(H17:H23)</f>
        <v>5206.7821492273697</v>
      </c>
      <c r="V3" s="37">
        <f>SUM(H24:H30)</f>
        <v>-3958.345066650003</v>
      </c>
      <c r="W3" s="37">
        <f>SUM(H31:H37)</f>
        <v>18070.395726733324</v>
      </c>
      <c r="X3" s="37"/>
      <c r="Y3" s="38">
        <f>SUM(M3:X3)</f>
        <v>18012.602809310691</v>
      </c>
    </row>
    <row r="4" spans="2:25">
      <c r="B4" t="s">
        <v>64</v>
      </c>
      <c r="C4" t="s">
        <v>101</v>
      </c>
      <c r="D4" t="s">
        <v>96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I4" s="9">
        <f>(Tabla8[[#This Row],[CAPITAL A FIN DE MES]]-Tabla8[[#This Row],[CAPITAL A INICIO DE MES]])/Tabla8[[#This Row],[CAPITAL A INICIO DE MES]]</f>
        <v>1.7986301369863008E-2</v>
      </c>
    </row>
    <row r="5" spans="2:25">
      <c r="B5" t="s">
        <v>64</v>
      </c>
      <c r="C5" t="s">
        <v>53</v>
      </c>
      <c r="D5" t="s">
        <v>14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I5" s="9">
        <f>(Tabla8[[#This Row],[CAPITAL A FIN DE MES]]-Tabla8[[#This Row],[CAPITAL A INICIO DE MES]])/Tabla8[[#This Row],[CAPITAL A INICIO DE MES]]</f>
        <v>0.18152320142756584</v>
      </c>
    </row>
    <row r="6" spans="2:25">
      <c r="B6" t="s">
        <v>64</v>
      </c>
      <c r="C6" t="s">
        <v>53</v>
      </c>
      <c r="D6" t="s">
        <v>15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I6" s="9">
        <f>(Tabla8[[#This Row],[CAPITAL A FIN DE MES]]-Tabla8[[#This Row],[CAPITAL A INICIO DE MES]])/Tabla8[[#This Row],[CAPITAL A INICIO DE MES]]</f>
        <v>7.0311093294014942E-2</v>
      </c>
    </row>
    <row r="7" spans="2:25">
      <c r="B7" t="s">
        <v>64</v>
      </c>
      <c r="C7" t="s">
        <v>53</v>
      </c>
      <c r="D7" t="s">
        <v>63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I7" s="9">
        <f>(Tabla8[[#This Row],[CAPITAL A FIN DE MES]]-Tabla8[[#This Row],[CAPITAL A INICIO DE MES]])/Tabla8[[#This Row],[CAPITAL A INICIO DE MES]]</f>
        <v>1.1520000000000001</v>
      </c>
    </row>
    <row r="8" spans="2:25">
      <c r="B8" t="s">
        <v>64</v>
      </c>
      <c r="C8" t="s">
        <v>53</v>
      </c>
      <c r="D8" t="s">
        <v>41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  <c r="I8" s="9">
        <f>(Tabla8[[#This Row],[CAPITAL A FIN DE MES]]-Tabla8[[#This Row],[CAPITAL A INICIO DE MES]])/Tabla8[[#This Row],[CAPITAL A INICIO DE MES]]</f>
        <v>-8.738891468431792E-2</v>
      </c>
    </row>
    <row r="9" spans="2:25">
      <c r="B9" t="s">
        <v>64</v>
      </c>
      <c r="C9" t="s">
        <v>103</v>
      </c>
      <c r="D9" t="s">
        <v>13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  <c r="I9" s="9">
        <f>(Tabla8[[#This Row],[CAPITAL A FIN DE MES]]-Tabla8[[#This Row],[CAPITAL A INICIO DE MES]])/Tabla8[[#This Row],[CAPITAL A INICIO DE MES]]</f>
        <v>-2.6411847533959729E-2</v>
      </c>
    </row>
    <row r="10" spans="2:25">
      <c r="B10" t="s">
        <v>85</v>
      </c>
      <c r="C10" t="s">
        <v>101</v>
      </c>
      <c r="D10" t="s">
        <v>93</v>
      </c>
      <c r="E10" s="7">
        <v>24997.599999999999</v>
      </c>
      <c r="F10" s="7">
        <v>6000</v>
      </c>
      <c r="G10" s="7">
        <v>31345.439999999999</v>
      </c>
      <c r="H10" s="7">
        <f>(Tabla8[[#This Row],[CAPITAL A FIN DE MES]]-(Tabla8[[#This Row],[CAPITAL A INICIO DE MES]]+Tabla8[[#This Row],[CAPITAL INVERTIDO ESTE MES]]))</f>
        <v>347.84000000000015</v>
      </c>
      <c r="I10" s="9">
        <f>(Tabla8[[#This Row],[CAPITAL A FIN DE MES]]-Tabla8[[#This Row],[CAPITAL A INICIO DE MES]])/Tabla8[[#This Row],[CAPITAL A INICIO DE MES]]</f>
        <v>0.25393797804589241</v>
      </c>
    </row>
    <row r="11" spans="2:25">
      <c r="B11" t="s">
        <v>85</v>
      </c>
      <c r="C11" t="s">
        <v>101</v>
      </c>
      <c r="D11" t="s">
        <v>96</v>
      </c>
      <c r="E11" s="7">
        <v>743.13</v>
      </c>
      <c r="F11" s="7">
        <v>6000</v>
      </c>
      <c r="G11" s="7">
        <v>6814.06</v>
      </c>
      <c r="H11" s="7">
        <f>(Tabla8[[#This Row],[CAPITAL A FIN DE MES]]-(Tabla8[[#This Row],[CAPITAL A INICIO DE MES]]+Tabla8[[#This Row],[CAPITAL INVERTIDO ESTE MES]]))</f>
        <v>70.930000000000291</v>
      </c>
      <c r="I11" s="9">
        <f>(Tabla8[[#This Row],[CAPITAL A FIN DE MES]]-Tabla8[[#This Row],[CAPITAL A INICIO DE MES]])/Tabla8[[#This Row],[CAPITAL A INICIO DE MES]]</f>
        <v>8.169405083901875</v>
      </c>
    </row>
    <row r="12" spans="2:25">
      <c r="B12" t="s">
        <v>85</v>
      </c>
      <c r="C12" t="s">
        <v>53</v>
      </c>
      <c r="D12" t="s">
        <v>14</v>
      </c>
      <c r="E12" s="7">
        <v>6780.1</v>
      </c>
      <c r="F12" s="7">
        <v>2800</v>
      </c>
      <c r="G12" s="7">
        <v>9798.34</v>
      </c>
      <c r="H12" s="7">
        <f>(Tabla8[[#This Row],[CAPITAL A FIN DE MES]]-(Tabla8[[#This Row],[CAPITAL A INICIO DE MES]]+Tabla8[[#This Row],[CAPITAL INVERTIDO ESTE MES]]))</f>
        <v>218.23999999999978</v>
      </c>
      <c r="I12" s="9">
        <f>(Tabla8[[#This Row],[CAPITAL A FIN DE MES]]-Tabla8[[#This Row],[CAPITAL A INICIO DE MES]])/Tabla8[[#This Row],[CAPITAL A INICIO DE MES]]</f>
        <v>0.44516157578796767</v>
      </c>
    </row>
    <row r="13" spans="2:25">
      <c r="B13" t="s">
        <v>85</v>
      </c>
      <c r="C13" t="s">
        <v>53</v>
      </c>
      <c r="D13" t="s">
        <v>15</v>
      </c>
      <c r="E13" s="7">
        <v>3942.9</v>
      </c>
      <c r="F13" s="7">
        <v>2800</v>
      </c>
      <c r="G13" s="7">
        <v>6569.61</v>
      </c>
      <c r="H13" s="7">
        <f>(Tabla8[[#This Row],[CAPITAL A FIN DE MES]]-(Tabla8[[#This Row],[CAPITAL A INICIO DE MES]]+Tabla8[[#This Row],[CAPITAL INVERTIDO ESTE MES]]))</f>
        <v>-173.28999999999996</v>
      </c>
      <c r="I13" s="9">
        <f>(Tabla8[[#This Row],[CAPITAL A FIN DE MES]]-Tabla8[[#This Row],[CAPITAL A INICIO DE MES]])/Tabla8[[#This Row],[CAPITAL A INICIO DE MES]]</f>
        <v>0.66618732405082537</v>
      </c>
    </row>
    <row r="14" spans="2:25">
      <c r="B14" t="s">
        <v>85</v>
      </c>
      <c r="C14" t="s">
        <v>53</v>
      </c>
      <c r="D14" t="s">
        <v>41</v>
      </c>
      <c r="E14" s="7">
        <v>2535.48</v>
      </c>
      <c r="F14" s="7">
        <v>1400</v>
      </c>
      <c r="G14" s="7">
        <v>3187.74</v>
      </c>
      <c r="H14" s="7">
        <f>(Tabla8[[#This Row],[CAPITAL A FIN DE MES]]-(Tabla8[[#This Row],[CAPITAL A INICIO DE MES]]+Tabla8[[#This Row],[CAPITAL INVERTIDO ESTE MES]]))</f>
        <v>-747.74000000000024</v>
      </c>
      <c r="I14" s="9">
        <f>(Tabla8[[#This Row],[CAPITAL A FIN DE MES]]-Tabla8[[#This Row],[CAPITAL A INICIO DE MES]])/Tabla8[[#This Row],[CAPITAL A INICIO DE MES]]</f>
        <v>0.25725306450849533</v>
      </c>
    </row>
    <row r="15" spans="2:25">
      <c r="B15" t="s">
        <v>85</v>
      </c>
      <c r="C15" t="s">
        <v>53</v>
      </c>
      <c r="D15" t="s">
        <v>63</v>
      </c>
      <c r="E15" s="7">
        <v>1529.58</v>
      </c>
      <c r="F15" s="7">
        <v>2800</v>
      </c>
      <c r="G15" s="7">
        <v>4993.6899999999996</v>
      </c>
      <c r="H15" s="7">
        <f>(Tabla8[[#This Row],[CAPITAL A FIN DE MES]]-(Tabla8[[#This Row],[CAPITAL A INICIO DE MES]]+Tabla8[[#This Row],[CAPITAL INVERTIDO ESTE MES]]))</f>
        <v>664.10999999999967</v>
      </c>
      <c r="I15" s="9">
        <f>(Tabla8[[#This Row],[CAPITAL A FIN DE MES]]-Tabla8[[#This Row],[CAPITAL A INICIO DE MES]])/Tabla8[[#This Row],[CAPITAL A INICIO DE MES]]</f>
        <v>2.2647458779534251</v>
      </c>
    </row>
    <row r="16" spans="2:25">
      <c r="B16" t="s">
        <v>85</v>
      </c>
      <c r="C16" t="s">
        <v>103</v>
      </c>
      <c r="D16" t="s">
        <v>13</v>
      </c>
      <c r="E16" s="7">
        <v>30664.959999999999</v>
      </c>
      <c r="F16" s="7"/>
      <c r="G16" s="7">
        <v>32054.19</v>
      </c>
      <c r="H16" s="7">
        <f>(Tabla8[[#This Row],[CAPITAL A FIN DE MES]]-(Tabla8[[#This Row],[CAPITAL A INICIO DE MES]]+Tabla8[[#This Row],[CAPITAL INVERTIDO ESTE MES]]))</f>
        <v>1389.2299999999996</v>
      </c>
      <c r="I16" s="9">
        <f>(Tabla8[[#This Row],[CAPITAL A FIN DE MES]]-Tabla8[[#This Row],[CAPITAL A INICIO DE MES]])/Tabla8[[#This Row],[CAPITAL A INICIO DE MES]]</f>
        <v>4.5303499499102548E-2</v>
      </c>
    </row>
    <row r="17" spans="2:9">
      <c r="B17" t="s">
        <v>108</v>
      </c>
      <c r="C17" t="s">
        <v>101</v>
      </c>
      <c r="D17" t="s">
        <v>93</v>
      </c>
      <c r="E17" s="7">
        <v>31345.439999999999</v>
      </c>
      <c r="F17" s="29">
        <v>6000</v>
      </c>
      <c r="G17" s="7">
        <v>37696</v>
      </c>
      <c r="H17" s="7">
        <f>(Tabla8[[#This Row],[CAPITAL A FIN DE MES]]-(Tabla8[[#This Row],[CAPITAL A INICIO DE MES]]+Tabla8[[#This Row],[CAPITAL INVERTIDO ESTE MES]]))</f>
        <v>350.55999999999767</v>
      </c>
      <c r="I17" s="9">
        <f>(Tabla8[[#This Row],[CAPITAL A FIN DE MES]]-Tabla8[[#This Row],[CAPITAL A INICIO DE MES]])/Tabla8[[#This Row],[CAPITAL A INICIO DE MES]]</f>
        <v>0.2025991659392882</v>
      </c>
    </row>
    <row r="18" spans="2:9">
      <c r="B18" t="s">
        <v>108</v>
      </c>
      <c r="C18" t="s">
        <v>101</v>
      </c>
      <c r="D18" t="s">
        <v>96</v>
      </c>
      <c r="E18" s="7">
        <v>6814.06</v>
      </c>
      <c r="F18" s="29">
        <v>6000</v>
      </c>
      <c r="G18" s="7">
        <v>12940.41</v>
      </c>
      <c r="H18" s="7">
        <f>(Tabla8[[#This Row],[CAPITAL A FIN DE MES]]-(Tabla8[[#This Row],[CAPITAL A INICIO DE MES]]+Tabla8[[#This Row],[CAPITAL INVERTIDO ESTE MES]]))</f>
        <v>126.34999999999854</v>
      </c>
      <c r="I18" s="9">
        <f>(Tabla8[[#This Row],[CAPITAL A FIN DE MES]]-Tabla8[[#This Row],[CAPITAL A INICIO DE MES]])/Tabla8[[#This Row],[CAPITAL A INICIO DE MES]]</f>
        <v>0.89907485405176935</v>
      </c>
    </row>
    <row r="19" spans="2:9">
      <c r="B19" t="s">
        <v>108</v>
      </c>
      <c r="C19" t="s">
        <v>53</v>
      </c>
      <c r="D19" t="s">
        <v>14</v>
      </c>
      <c r="E19" s="7">
        <v>9798.34</v>
      </c>
      <c r="F19" s="29">
        <v>3500</v>
      </c>
      <c r="G19" s="7">
        <v>14069.857322894881</v>
      </c>
      <c r="H19" s="7">
        <f>(Tabla8[[#This Row],[CAPITAL A FIN DE MES]]-(Tabla8[[#This Row],[CAPITAL A INICIO DE MES]]+Tabla8[[#This Row],[CAPITAL INVERTIDO ESTE MES]]))</f>
        <v>771.51732289488064</v>
      </c>
      <c r="I19" s="9">
        <f>(Tabla8[[#This Row],[CAPITAL A FIN DE MES]]-Tabla8[[#This Row],[CAPITAL A INICIO DE MES]])/Tabla8[[#This Row],[CAPITAL A INICIO DE MES]]</f>
        <v>0.43594295798011506</v>
      </c>
    </row>
    <row r="20" spans="2:9">
      <c r="B20" t="s">
        <v>108</v>
      </c>
      <c r="C20" t="s">
        <v>53</v>
      </c>
      <c r="D20" t="s">
        <v>15</v>
      </c>
      <c r="E20" s="7">
        <v>6569.61</v>
      </c>
      <c r="F20" s="29">
        <v>3500</v>
      </c>
      <c r="G20" s="7">
        <v>11373.39366623264</v>
      </c>
      <c r="H20" s="7">
        <f>(Tabla8[[#This Row],[CAPITAL A FIN DE MES]]-(Tabla8[[#This Row],[CAPITAL A INICIO DE MES]]+Tabla8[[#This Row],[CAPITAL INVERTIDO ESTE MES]]))</f>
        <v>1303.783666232639</v>
      </c>
      <c r="I20" s="9">
        <f>(Tabla8[[#This Row],[CAPITAL A FIN DE MES]]-Tabla8[[#This Row],[CAPITAL A INICIO DE MES]])/Tabla8[[#This Row],[CAPITAL A INICIO DE MES]]</f>
        <v>0.73121291313070946</v>
      </c>
    </row>
    <row r="21" spans="2:9">
      <c r="B21" t="s">
        <v>108</v>
      </c>
      <c r="C21" t="s">
        <v>53</v>
      </c>
      <c r="D21" t="s">
        <v>41</v>
      </c>
      <c r="E21" s="7">
        <v>3187.74</v>
      </c>
      <c r="F21" s="29">
        <v>1750</v>
      </c>
      <c r="G21" s="7">
        <v>6375.4667619334559</v>
      </c>
      <c r="H21" s="7">
        <f>(Tabla8[[#This Row],[CAPITAL A FIN DE MES]]-(Tabla8[[#This Row],[CAPITAL A INICIO DE MES]]+Tabla8[[#This Row],[CAPITAL INVERTIDO ESTE MES]]))</f>
        <v>1437.7267619334561</v>
      </c>
      <c r="I21" s="9">
        <f>(Tabla8[[#This Row],[CAPITAL A FIN DE MES]]-Tabla8[[#This Row],[CAPITAL A INICIO DE MES]])/Tabla8[[#This Row],[CAPITAL A INICIO DE MES]]</f>
        <v>0.99999584719376622</v>
      </c>
    </row>
    <row r="22" spans="2:9">
      <c r="B22" t="s">
        <v>108</v>
      </c>
      <c r="C22" t="s">
        <v>53</v>
      </c>
      <c r="D22" t="s">
        <v>63</v>
      </c>
      <c r="E22" s="7">
        <v>4993.6899999999996</v>
      </c>
      <c r="F22" s="29">
        <v>3500</v>
      </c>
      <c r="G22" s="7">
        <v>8119.6943981663999</v>
      </c>
      <c r="H22" s="7">
        <f>(Tabla8[[#This Row],[CAPITAL A FIN DE MES]]-(Tabla8[[#This Row],[CAPITAL A INICIO DE MES]]+Tabla8[[#This Row],[CAPITAL INVERTIDO ESTE MES]]))</f>
        <v>-373.99560183359881</v>
      </c>
      <c r="I22" s="9">
        <f>(Tabla8[[#This Row],[CAPITAL A FIN DE MES]]-Tabla8[[#This Row],[CAPITAL A INICIO DE MES]])/Tabla8[[#This Row],[CAPITAL A INICIO DE MES]]</f>
        <v>0.62599088012399662</v>
      </c>
    </row>
    <row r="23" spans="2:9">
      <c r="B23" t="s">
        <v>108</v>
      </c>
      <c r="C23" t="s">
        <v>103</v>
      </c>
      <c r="D23" t="s">
        <v>13</v>
      </c>
      <c r="E23" s="7">
        <v>32054.19</v>
      </c>
      <c r="F23" s="29">
        <v>33158.39</v>
      </c>
      <c r="G23" s="7">
        <v>66803.42</v>
      </c>
      <c r="H23" s="7">
        <f>(Tabla8[[#This Row],[CAPITAL A FIN DE MES]]-(Tabla8[[#This Row],[CAPITAL A INICIO DE MES]]+Tabla8[[#This Row],[CAPITAL INVERTIDO ESTE MES]]))</f>
        <v>1590.8399999999965</v>
      </c>
      <c r="I23" s="9">
        <f>(Tabla8[[#This Row],[CAPITAL A FIN DE MES]]-Tabla8[[#This Row],[CAPITAL A INICIO DE MES]])/Tabla8[[#This Row],[CAPITAL A INICIO DE MES]]</f>
        <v>1.0840776198057103</v>
      </c>
    </row>
    <row r="24" spans="2:9">
      <c r="B24" t="s">
        <v>111</v>
      </c>
      <c r="C24" t="s">
        <v>101</v>
      </c>
      <c r="D24" t="s">
        <v>93</v>
      </c>
      <c r="E24" s="7">
        <v>37696</v>
      </c>
      <c r="F24" s="29">
        <v>6000</v>
      </c>
      <c r="G24" s="7">
        <v>44138.1</v>
      </c>
      <c r="H24" s="7">
        <f>(Tabla8[[#This Row],[CAPITAL A FIN DE MES]]-(Tabla8[[#This Row],[CAPITAL A INICIO DE MES]]+Tabla8[[#This Row],[CAPITAL INVERTIDO ESTE MES]]))</f>
        <v>442.09999999999854</v>
      </c>
      <c r="I24" s="9">
        <f>(Tabla8[[#This Row],[CAPITAL A FIN DE MES]]-Tabla8[[#This Row],[CAPITAL A INICIO DE MES]])/Tabla8[[#This Row],[CAPITAL A INICIO DE MES]]</f>
        <v>0.17089611629881152</v>
      </c>
    </row>
    <row r="25" spans="2:9">
      <c r="B25" t="s">
        <v>111</v>
      </c>
      <c r="C25" t="s">
        <v>101</v>
      </c>
      <c r="D25" t="s">
        <v>96</v>
      </c>
      <c r="E25" s="7">
        <v>12940.41</v>
      </c>
      <c r="F25" s="29">
        <v>6000</v>
      </c>
      <c r="G25" s="7">
        <v>19138.02</v>
      </c>
      <c r="H25" s="7">
        <f>(Tabla8[[#This Row],[CAPITAL A FIN DE MES]]-(Tabla8[[#This Row],[CAPITAL A INICIO DE MES]]+Tabla8[[#This Row],[CAPITAL INVERTIDO ESTE MES]]))</f>
        <v>197.61000000000058</v>
      </c>
      <c r="I25" s="9">
        <f>(Tabla8[[#This Row],[CAPITAL A FIN DE MES]]-Tabla8[[#This Row],[CAPITAL A INICIO DE MES]])/Tabla8[[#This Row],[CAPITAL A INICIO DE MES]]</f>
        <v>0.47893459326250098</v>
      </c>
    </row>
    <row r="26" spans="2:9">
      <c r="B26" t="s">
        <v>111</v>
      </c>
      <c r="C26" t="s">
        <v>53</v>
      </c>
      <c r="D26" t="s">
        <v>14</v>
      </c>
      <c r="E26" s="7">
        <v>14069.86</v>
      </c>
      <c r="F26" s="29">
        <v>2800</v>
      </c>
      <c r="G26" s="7">
        <v>19782.494933349997</v>
      </c>
      <c r="H26" s="7">
        <f>(Tabla8[[#This Row],[CAPITAL A FIN DE MES]]-(Tabla8[[#This Row],[CAPITAL A INICIO DE MES]]+Tabla8[[#This Row],[CAPITAL INVERTIDO ESTE MES]]))</f>
        <v>2912.6349333499966</v>
      </c>
      <c r="I26" s="9">
        <f>(Tabla8[[#This Row],[CAPITAL A FIN DE MES]]-Tabla8[[#This Row],[CAPITAL A INICIO DE MES]])/Tabla8[[#This Row],[CAPITAL A INICIO DE MES]]</f>
        <v>0.40601931599532592</v>
      </c>
    </row>
    <row r="27" spans="2:9">
      <c r="B27" t="s">
        <v>111</v>
      </c>
      <c r="C27" t="s">
        <v>53</v>
      </c>
      <c r="D27" t="s">
        <v>15</v>
      </c>
      <c r="E27" s="7">
        <v>11373.39</v>
      </c>
      <c r="F27" s="29">
        <v>2800</v>
      </c>
      <c r="G27" s="7">
        <v>14770.53</v>
      </c>
      <c r="H27" s="7">
        <f>(Tabla8[[#This Row],[CAPITAL A FIN DE MES]]-(Tabla8[[#This Row],[CAPITAL A INICIO DE MES]]+Tabla8[[#This Row],[CAPITAL INVERTIDO ESTE MES]]))</f>
        <v>597.14000000000124</v>
      </c>
      <c r="I27" s="9">
        <f>(Tabla8[[#This Row],[CAPITAL A FIN DE MES]]-Tabla8[[#This Row],[CAPITAL A INICIO DE MES]])/Tabla8[[#This Row],[CAPITAL A INICIO DE MES]]</f>
        <v>0.29869194672828431</v>
      </c>
    </row>
    <row r="28" spans="2:9">
      <c r="B28" t="s">
        <v>111</v>
      </c>
      <c r="C28" t="s">
        <v>53</v>
      </c>
      <c r="D28" t="s">
        <v>41</v>
      </c>
      <c r="E28" s="7">
        <v>8119.69</v>
      </c>
      <c r="F28" s="29">
        <v>1400</v>
      </c>
      <c r="G28" s="7">
        <v>6757.24</v>
      </c>
      <c r="H28" s="7">
        <f>(Tabla8[[#This Row],[CAPITAL A FIN DE MES]]-(Tabla8[[#This Row],[CAPITAL A INICIO DE MES]]+Tabla8[[#This Row],[CAPITAL INVERTIDO ESTE MES]]))</f>
        <v>-2762.4499999999989</v>
      </c>
      <c r="I28" s="9">
        <f>(Tabla8[[#This Row],[CAPITAL A FIN DE MES]]-Tabla8[[#This Row],[CAPITAL A INICIO DE MES]])/Tabla8[[#This Row],[CAPITAL A INICIO DE MES]]</f>
        <v>-0.1677958148648532</v>
      </c>
    </row>
    <row r="29" spans="2:9">
      <c r="B29" t="s">
        <v>111</v>
      </c>
      <c r="C29" t="s">
        <v>53</v>
      </c>
      <c r="D29" t="s">
        <v>63</v>
      </c>
      <c r="E29" s="7">
        <v>8119.69</v>
      </c>
      <c r="F29" s="29">
        <v>2800</v>
      </c>
      <c r="G29" s="7">
        <v>11513.11</v>
      </c>
      <c r="H29" s="7">
        <f>(Tabla8[[#This Row],[CAPITAL A FIN DE MES]]-(Tabla8[[#This Row],[CAPITAL A INICIO DE MES]]+Tabla8[[#This Row],[CAPITAL INVERTIDO ESTE MES]]))</f>
        <v>593.42000000000189</v>
      </c>
      <c r="I29" s="9">
        <f>(Tabla8[[#This Row],[CAPITAL A FIN DE MES]]-Tabla8[[#This Row],[CAPITAL A INICIO DE MES]])/Tabla8[[#This Row],[CAPITAL A INICIO DE MES]]</f>
        <v>0.41792482225306643</v>
      </c>
    </row>
    <row r="30" spans="2:9">
      <c r="B30" t="s">
        <v>111</v>
      </c>
      <c r="C30" t="s">
        <v>103</v>
      </c>
      <c r="D30" t="s">
        <v>13</v>
      </c>
      <c r="E30" s="7">
        <v>66803.42</v>
      </c>
      <c r="F30" s="29">
        <v>39113</v>
      </c>
      <c r="G30" s="7">
        <v>99977.62</v>
      </c>
      <c r="H30" s="7">
        <f>(Tabla8[[#This Row],[CAPITAL A FIN DE MES]]-(Tabla8[[#This Row],[CAPITAL A INICIO DE MES]]+Tabla8[[#This Row],[CAPITAL INVERTIDO ESTE MES]]))</f>
        <v>-5938.8000000000029</v>
      </c>
      <c r="I30" s="9">
        <f>(Tabla8[[#This Row],[CAPITAL A FIN DE MES]]-Tabla8[[#This Row],[CAPITAL A INICIO DE MES]])/Tabla8[[#This Row],[CAPITAL A INICIO DE MES]]</f>
        <v>0.49659433603848424</v>
      </c>
    </row>
    <row r="31" spans="2:9">
      <c r="B31" t="s">
        <v>112</v>
      </c>
      <c r="C31" t="s">
        <v>101</v>
      </c>
      <c r="D31" t="s">
        <v>93</v>
      </c>
      <c r="E31" s="7">
        <v>44138.1</v>
      </c>
      <c r="F31" s="29">
        <v>6000</v>
      </c>
      <c r="G31" s="7">
        <v>50555.040000000001</v>
      </c>
      <c r="H31" s="7">
        <f>(Tabla8[[#This Row],[CAPITAL A FIN DE MES]]-(Tabla8[[#This Row],[CAPITAL A INICIO DE MES]]+Tabla8[[#This Row],[CAPITAL INVERTIDO ESTE MES]]))</f>
        <v>416.94000000000233</v>
      </c>
      <c r="I31" s="9">
        <f>(Tabla8[[#This Row],[CAPITAL A FIN DE MES]]-Tabla8[[#This Row],[CAPITAL A INICIO DE MES]])/Tabla8[[#This Row],[CAPITAL A INICIO DE MES]]</f>
        <v>0.14538324032978317</v>
      </c>
    </row>
    <row r="32" spans="2:9">
      <c r="B32" t="s">
        <v>112</v>
      </c>
      <c r="C32" t="s">
        <v>101</v>
      </c>
      <c r="D32" t="s">
        <v>96</v>
      </c>
      <c r="E32" s="7">
        <v>19138.02</v>
      </c>
      <c r="F32" s="29">
        <v>6000</v>
      </c>
      <c r="G32" s="7">
        <v>25391.83</v>
      </c>
      <c r="H32" s="7">
        <f>(Tabla8[[#This Row],[CAPITAL A FIN DE MES]]-(Tabla8[[#This Row],[CAPITAL A INICIO DE MES]]+Tabla8[[#This Row],[CAPITAL INVERTIDO ESTE MES]]))</f>
        <v>253.81000000000131</v>
      </c>
      <c r="I32" s="9">
        <f>(Tabla8[[#This Row],[CAPITAL A FIN DE MES]]-Tabla8[[#This Row],[CAPITAL A INICIO DE MES]])/Tabla8[[#This Row],[CAPITAL A INICIO DE MES]]</f>
        <v>0.32677413859949989</v>
      </c>
    </row>
    <row r="33" spans="2:9">
      <c r="B33" t="s">
        <v>112</v>
      </c>
      <c r="C33" t="s">
        <v>53</v>
      </c>
      <c r="D33" t="s">
        <v>14</v>
      </c>
      <c r="E33" s="7">
        <v>19782.494933349997</v>
      </c>
      <c r="F33" s="29">
        <v>2800</v>
      </c>
      <c r="G33" s="7">
        <v>30051.485614938741</v>
      </c>
      <c r="H33" s="7">
        <f>(Tabla8[[#This Row],[CAPITAL A FIN DE MES]]-(Tabla8[[#This Row],[CAPITAL A INICIO DE MES]]+Tabla8[[#This Row],[CAPITAL INVERTIDO ESTE MES]]))</f>
        <v>7468.9906815887443</v>
      </c>
      <c r="I33" s="9">
        <f>(Tabla8[[#This Row],[CAPITAL A FIN DE MES]]-Tabla8[[#This Row],[CAPITAL A INICIO DE MES]])/Tabla8[[#This Row],[CAPITAL A INICIO DE MES]]</f>
        <v>0.51909482176977251</v>
      </c>
    </row>
    <row r="34" spans="2:9">
      <c r="B34" t="s">
        <v>112</v>
      </c>
      <c r="C34" t="s">
        <v>53</v>
      </c>
      <c r="D34" t="s">
        <v>15</v>
      </c>
      <c r="E34" s="7">
        <v>14770.53</v>
      </c>
      <c r="F34" s="29">
        <v>2800</v>
      </c>
      <c r="G34" s="7">
        <v>24459.264982754161</v>
      </c>
      <c r="H34" s="7">
        <f>(Tabla8[[#This Row],[CAPITAL A FIN DE MES]]-(Tabla8[[#This Row],[CAPITAL A INICIO DE MES]]+Tabla8[[#This Row],[CAPITAL INVERTIDO ESTE MES]]))</f>
        <v>6888.734982754162</v>
      </c>
      <c r="I34" s="9">
        <f>(Tabla8[[#This Row],[CAPITAL A FIN DE MES]]-Tabla8[[#This Row],[CAPITAL A INICIO DE MES]])/Tabla8[[#This Row],[CAPITAL A INICIO DE MES]]</f>
        <v>0.65595039465436644</v>
      </c>
    </row>
    <row r="35" spans="2:9">
      <c r="B35" t="s">
        <v>112</v>
      </c>
      <c r="C35" t="s">
        <v>53</v>
      </c>
      <c r="D35" t="s">
        <v>41</v>
      </c>
      <c r="E35" s="7">
        <v>6757.24</v>
      </c>
      <c r="F35" s="29">
        <v>1400</v>
      </c>
      <c r="G35" s="7">
        <v>16390.33356135682</v>
      </c>
      <c r="H35" s="7">
        <f>(Tabla8[[#This Row],[CAPITAL A FIN DE MES]]-(Tabla8[[#This Row],[CAPITAL A INICIO DE MES]]+Tabla8[[#This Row],[CAPITAL INVERTIDO ESTE MES]]))</f>
        <v>8233.0935613568199</v>
      </c>
      <c r="I35" s="9">
        <f>(Tabla8[[#This Row],[CAPITAL A FIN DE MES]]-Tabla8[[#This Row],[CAPITAL A INICIO DE MES]])/Tabla8[[#This Row],[CAPITAL A INICIO DE MES]]</f>
        <v>1.4255958884628666</v>
      </c>
    </row>
    <row r="36" spans="2:9">
      <c r="B36" t="s">
        <v>112</v>
      </c>
      <c r="C36" t="s">
        <v>53</v>
      </c>
      <c r="D36" t="s">
        <v>63</v>
      </c>
      <c r="E36" s="7">
        <v>11513.11</v>
      </c>
      <c r="F36" s="29">
        <v>2800</v>
      </c>
      <c r="G36" s="7">
        <v>14348.8465010336</v>
      </c>
      <c r="H36" s="7">
        <f>(Tabla8[[#This Row],[CAPITAL A FIN DE MES]]-(Tabla8[[#This Row],[CAPITAL A INICIO DE MES]]+Tabla8[[#This Row],[CAPITAL INVERTIDO ESTE MES]]))</f>
        <v>35.736501033599779</v>
      </c>
      <c r="I36" s="9">
        <f>(Tabla8[[#This Row],[CAPITAL A FIN DE MES]]-Tabla8[[#This Row],[CAPITAL A INICIO DE MES]])/Tabla8[[#This Row],[CAPITAL A INICIO DE MES]]</f>
        <v>0.24630499500426903</v>
      </c>
    </row>
    <row r="37" spans="2:9">
      <c r="B37" t="s">
        <v>112</v>
      </c>
      <c r="C37" t="s">
        <v>103</v>
      </c>
      <c r="D37" t="s">
        <v>13</v>
      </c>
      <c r="E37" s="7">
        <v>99977.62</v>
      </c>
      <c r="F37" s="29">
        <v>39865</v>
      </c>
      <c r="G37" s="7">
        <v>134615.71</v>
      </c>
      <c r="H37" s="7">
        <f>(Tabla8[[#This Row],[CAPITAL A FIN DE MES]]-(Tabla8[[#This Row],[CAPITAL A INICIO DE MES]]+Tabla8[[#This Row],[CAPITAL INVERTIDO ESTE MES]]))</f>
        <v>-5226.9100000000035</v>
      </c>
      <c r="I37" s="9">
        <f>(Tabla8[[#This Row],[CAPITAL A FIN DE MES]]-Tabla8[[#This Row],[CAPITAL A INICIO DE MES]])/Tabla8[[#This Row],[CAPITAL A INICIO DE MES]]</f>
        <v>0.34645843739828974</v>
      </c>
    </row>
    <row r="38" spans="2:9">
      <c r="B38" t="s">
        <v>113</v>
      </c>
      <c r="C38" t="s">
        <v>101</v>
      </c>
      <c r="D38" t="s">
        <v>93</v>
      </c>
      <c r="E38" s="7">
        <v>50555.040000000001</v>
      </c>
      <c r="F38" s="29">
        <v>6000</v>
      </c>
      <c r="G38" s="7"/>
      <c r="H38" s="7">
        <f>(Tabla8[[#This Row],[CAPITAL A FIN DE MES]]-(Tabla8[[#This Row],[CAPITAL A INICIO DE MES]]+Tabla8[[#This Row],[CAPITAL INVERTIDO ESTE MES]]))</f>
        <v>-56555.040000000001</v>
      </c>
      <c r="I38" s="9">
        <f>(Tabla8[[#This Row],[CAPITAL A FIN DE MES]]-Tabla8[[#This Row],[CAPITAL A INICIO DE MES]])/Tabla8[[#This Row],[CAPITAL A INICIO DE MES]]</f>
        <v>-1</v>
      </c>
    </row>
    <row r="39" spans="2:9">
      <c r="B39" t="s">
        <v>113</v>
      </c>
      <c r="C39" t="s">
        <v>101</v>
      </c>
      <c r="D39" t="s">
        <v>96</v>
      </c>
      <c r="E39" s="7">
        <v>25391.83</v>
      </c>
      <c r="F39" s="29">
        <v>6000</v>
      </c>
      <c r="G39" s="7"/>
      <c r="H39" s="7">
        <f>(Tabla8[[#This Row],[CAPITAL A FIN DE MES]]-(Tabla8[[#This Row],[CAPITAL A INICIO DE MES]]+Tabla8[[#This Row],[CAPITAL INVERTIDO ESTE MES]]))</f>
        <v>-31391.83</v>
      </c>
      <c r="I39" s="9">
        <f>(Tabla8[[#This Row],[CAPITAL A FIN DE MES]]-Tabla8[[#This Row],[CAPITAL A INICIO DE MES]])/Tabla8[[#This Row],[CAPITAL A INICIO DE MES]]</f>
        <v>-1</v>
      </c>
    </row>
    <row r="40" spans="2:9">
      <c r="B40" t="s">
        <v>113</v>
      </c>
      <c r="C40" t="s">
        <v>53</v>
      </c>
      <c r="D40" t="s">
        <v>14</v>
      </c>
      <c r="E40" s="7">
        <v>30051.485614938741</v>
      </c>
      <c r="F40" s="29">
        <v>2800</v>
      </c>
      <c r="G40" s="7"/>
      <c r="H40" s="7">
        <f>(Tabla8[[#This Row],[CAPITAL A FIN DE MES]]-(Tabla8[[#This Row],[CAPITAL A INICIO DE MES]]+Tabla8[[#This Row],[CAPITAL INVERTIDO ESTE MES]]))</f>
        <v>-32851.485614938741</v>
      </c>
      <c r="I40" s="9">
        <f>(Tabla8[[#This Row],[CAPITAL A FIN DE MES]]-Tabla8[[#This Row],[CAPITAL A INICIO DE MES]])/Tabla8[[#This Row],[CAPITAL A INICIO DE MES]]</f>
        <v>-1</v>
      </c>
    </row>
    <row r="41" spans="2:9">
      <c r="B41" t="s">
        <v>113</v>
      </c>
      <c r="C41" t="s">
        <v>53</v>
      </c>
      <c r="D41" t="s">
        <v>15</v>
      </c>
      <c r="E41" s="7">
        <v>24459.264982754161</v>
      </c>
      <c r="F41" s="29">
        <v>2800</v>
      </c>
      <c r="G41" s="7"/>
      <c r="H41" s="7">
        <f>(Tabla8[[#This Row],[CAPITAL A FIN DE MES]]-(Tabla8[[#This Row],[CAPITAL A INICIO DE MES]]+Tabla8[[#This Row],[CAPITAL INVERTIDO ESTE MES]]))</f>
        <v>-27259.264982754161</v>
      </c>
      <c r="I41" s="9">
        <f>(Tabla8[[#This Row],[CAPITAL A FIN DE MES]]-Tabla8[[#This Row],[CAPITAL A INICIO DE MES]])/Tabla8[[#This Row],[CAPITAL A INICIO DE MES]]</f>
        <v>-1</v>
      </c>
    </row>
    <row r="42" spans="2:9">
      <c r="B42" t="s">
        <v>113</v>
      </c>
      <c r="C42" t="s">
        <v>53</v>
      </c>
      <c r="D42" t="s">
        <v>41</v>
      </c>
      <c r="E42" s="7">
        <v>16390.33356135682</v>
      </c>
      <c r="F42" s="29">
        <v>1400</v>
      </c>
      <c r="G42" s="7"/>
      <c r="H42" s="7">
        <f>(Tabla8[[#This Row],[CAPITAL A FIN DE MES]]-(Tabla8[[#This Row],[CAPITAL A INICIO DE MES]]+Tabla8[[#This Row],[CAPITAL INVERTIDO ESTE MES]]))</f>
        <v>-17790.33356135682</v>
      </c>
      <c r="I42" s="9">
        <f>(Tabla8[[#This Row],[CAPITAL A FIN DE MES]]-Tabla8[[#This Row],[CAPITAL A INICIO DE MES]])/Tabla8[[#This Row],[CAPITAL A INICIO DE MES]]</f>
        <v>-1</v>
      </c>
    </row>
    <row r="43" spans="2:9">
      <c r="B43" t="s">
        <v>113</v>
      </c>
      <c r="C43" t="s">
        <v>53</v>
      </c>
      <c r="D43" t="s">
        <v>63</v>
      </c>
      <c r="E43" s="7">
        <v>14348.8465010336</v>
      </c>
      <c r="F43" s="29">
        <v>2800</v>
      </c>
      <c r="G43" s="7"/>
      <c r="H43" s="7">
        <f>(Tabla8[[#This Row],[CAPITAL A FIN DE MES]]-(Tabla8[[#This Row],[CAPITAL A INICIO DE MES]]+Tabla8[[#This Row],[CAPITAL INVERTIDO ESTE MES]]))</f>
        <v>-17148.8465010336</v>
      </c>
      <c r="I43" s="9">
        <f>(Tabla8[[#This Row],[CAPITAL A FIN DE MES]]-Tabla8[[#This Row],[CAPITAL A INICIO DE MES]])/Tabla8[[#This Row],[CAPITAL A INICIO DE MES]]</f>
        <v>-1</v>
      </c>
    </row>
    <row r="44" spans="2:9">
      <c r="B44" t="s">
        <v>113</v>
      </c>
      <c r="C44" t="s">
        <v>103</v>
      </c>
      <c r="D44" t="s">
        <v>13</v>
      </c>
      <c r="E44" s="7">
        <v>134615.71</v>
      </c>
      <c r="F44" s="29"/>
      <c r="G44" s="7"/>
      <c r="H44" s="7">
        <f>(Tabla8[[#This Row],[CAPITAL A FIN DE MES]]-(Tabla8[[#This Row],[CAPITAL A INICIO DE MES]]+Tabla8[[#This Row],[CAPITAL INVERTIDO ESTE MES]]))</f>
        <v>-134615.71</v>
      </c>
      <c r="I44" s="9">
        <f>(Tabla8[[#This Row],[CAPITAL A FIN DE MES]]-Tabla8[[#This Row],[CAPITAL A INICIO DE MES]])/Tabla8[[#This Row],[CAPITAL A INICIO DE MES]]</f>
        <v>-1</v>
      </c>
    </row>
  </sheetData>
  <conditionalFormatting sqref="H1:H1048576">
    <cfRule type="cellIs" dxfId="125" priority="3" operator="lessThan">
      <formula>0</formula>
    </cfRule>
    <cfRule type="cellIs" dxfId="124" priority="4" operator="lessThan">
      <formula>0</formula>
    </cfRule>
  </conditionalFormatting>
  <conditionalFormatting sqref="M3:X3">
    <cfRule type="cellIs" dxfId="123" priority="2" operator="lessThan">
      <formula>0</formula>
    </cfRule>
  </conditionalFormatting>
  <conditionalFormatting sqref="M3:Y3">
    <cfRule type="cellIs" dxfId="122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H3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C1" workbookViewId="0">
      <selection activeCell="I16" sqref="I16"/>
    </sheetView>
  </sheetViews>
  <sheetFormatPr baseColWidth="10" defaultRowHeight="14.25"/>
  <cols>
    <col min="2" max="2" width="17.125" bestFit="1" customWidth="1"/>
    <col min="3" max="3" width="13.25" bestFit="1" customWidth="1"/>
    <col min="4" max="4" width="19.875" customWidth="1"/>
    <col min="5" max="5" width="21" customWidth="1"/>
    <col min="6" max="6" width="20.875" customWidth="1"/>
    <col min="7" max="7" width="26.125" customWidth="1"/>
    <col min="8" max="8" width="21.875" customWidth="1"/>
    <col min="9" max="9" width="27.25" customWidth="1"/>
    <col min="10" max="10" width="16.375" customWidth="1"/>
    <col min="30" max="30" width="12.125" bestFit="1" customWidth="1"/>
    <col min="31" max="31" width="14.25" bestFit="1" customWidth="1"/>
  </cols>
  <sheetData>
    <row r="2" spans="2:10">
      <c r="B2" s="23" t="s">
        <v>52</v>
      </c>
      <c r="C2" s="23" t="s">
        <v>86</v>
      </c>
      <c r="D2" s="23" t="s">
        <v>54</v>
      </c>
      <c r="E2" s="23" t="s">
        <v>87</v>
      </c>
      <c r="F2" s="23" t="s">
        <v>88</v>
      </c>
      <c r="G2" s="23" t="s">
        <v>89</v>
      </c>
      <c r="H2" s="23" t="s">
        <v>90</v>
      </c>
      <c r="I2" s="23" t="s">
        <v>91</v>
      </c>
      <c r="J2" s="23" t="s">
        <v>47</v>
      </c>
    </row>
    <row r="3" spans="2:10">
      <c r="B3" t="s">
        <v>92</v>
      </c>
      <c r="C3" t="s">
        <v>93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>
      <c r="B4" t="s">
        <v>94</v>
      </c>
      <c r="C4" t="s">
        <v>93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>
      <c r="B5" t="s">
        <v>95</v>
      </c>
      <c r="C5" t="s">
        <v>93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>
      <c r="B6" t="s">
        <v>97</v>
      </c>
      <c r="C6" t="s">
        <v>93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>
      <c r="B7" t="s">
        <v>64</v>
      </c>
      <c r="C7" t="s">
        <v>93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>
      <c r="B8" t="s">
        <v>64</v>
      </c>
      <c r="C8" t="s">
        <v>96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>
      <c r="B9" t="s">
        <v>85</v>
      </c>
      <c r="C9" t="s">
        <v>93</v>
      </c>
      <c r="D9" s="2">
        <v>24997.599999999999</v>
      </c>
      <c r="E9" s="2">
        <v>6000</v>
      </c>
      <c r="F9" s="2">
        <v>347.84</v>
      </c>
      <c r="G9" s="12">
        <f t="shared" si="0"/>
        <v>1.1221513923658605E-2</v>
      </c>
      <c r="H9" s="2"/>
      <c r="I9" s="2">
        <f t="shared" si="1"/>
        <v>31345.439999999999</v>
      </c>
      <c r="J9" s="12">
        <f t="shared" si="2"/>
        <v>1.122151392365861E-2</v>
      </c>
    </row>
    <row r="10" spans="2:10">
      <c r="B10" t="s">
        <v>85</v>
      </c>
      <c r="C10" t="s">
        <v>96</v>
      </c>
      <c r="D10" s="2">
        <v>743.73</v>
      </c>
      <c r="E10" s="2">
        <v>6000</v>
      </c>
      <c r="F10" s="2">
        <v>70.33</v>
      </c>
      <c r="G10" s="12">
        <f t="shared" si="0"/>
        <v>1.0428946591871265E-2</v>
      </c>
      <c r="H10" s="2"/>
      <c r="I10" s="2">
        <f t="shared" si="1"/>
        <v>6814.0599999999995</v>
      </c>
      <c r="J10" s="12">
        <f t="shared" si="2"/>
        <v>1.0428946591871255E-2</v>
      </c>
    </row>
    <row r="11" spans="2:10">
      <c r="B11" t="s">
        <v>108</v>
      </c>
      <c r="C11" t="s">
        <v>93</v>
      </c>
      <c r="D11" s="2">
        <f>I9</f>
        <v>31345.439999999999</v>
      </c>
      <c r="E11" s="2">
        <v>6000</v>
      </c>
      <c r="F11" s="2">
        <v>350.56</v>
      </c>
      <c r="G11" s="27">
        <f t="shared" ref="G11:G16" si="3">(F11/(D11+E11))</f>
        <v>9.3869559442866374E-3</v>
      </c>
      <c r="H11" s="2"/>
      <c r="I11" s="2">
        <f t="shared" ref="I11:I16" si="4">D11+E11+F11-H11</f>
        <v>37696</v>
      </c>
      <c r="J11" s="27">
        <f t="shared" ref="J11:J16" si="5">((I11-(D11+E11))/(D11+E11))</f>
        <v>9.3869559442865749E-3</v>
      </c>
    </row>
    <row r="12" spans="2:10">
      <c r="B12" t="s">
        <v>108</v>
      </c>
      <c r="C12" t="s">
        <v>96</v>
      </c>
      <c r="D12" s="2">
        <f>I10</f>
        <v>6814.0599999999995</v>
      </c>
      <c r="E12" s="2">
        <v>6000</v>
      </c>
      <c r="F12" s="2">
        <v>126.35</v>
      </c>
      <c r="G12" s="27">
        <f t="shared" si="3"/>
        <v>9.8602628675064728E-3</v>
      </c>
      <c r="H12" s="2"/>
      <c r="I12" s="2">
        <f t="shared" si="4"/>
        <v>12940.41</v>
      </c>
      <c r="J12" s="27">
        <f t="shared" si="5"/>
        <v>9.8602628675065022E-3</v>
      </c>
    </row>
    <row r="13" spans="2:10">
      <c r="B13" t="s">
        <v>111</v>
      </c>
      <c r="C13" t="s">
        <v>93</v>
      </c>
      <c r="D13" s="2">
        <v>37696</v>
      </c>
      <c r="E13" s="2">
        <v>6000</v>
      </c>
      <c r="F13" s="2">
        <v>442.1</v>
      </c>
      <c r="G13" s="27">
        <f t="shared" si="3"/>
        <v>1.0117630904430613E-2</v>
      </c>
      <c r="H13" s="2"/>
      <c r="I13" s="2">
        <f t="shared" si="4"/>
        <v>44138.1</v>
      </c>
      <c r="J13" s="27">
        <f t="shared" si="5"/>
        <v>1.0117630904430578E-2</v>
      </c>
    </row>
    <row r="14" spans="2:10">
      <c r="B14" t="s">
        <v>111</v>
      </c>
      <c r="C14" t="s">
        <v>96</v>
      </c>
      <c r="D14" s="2">
        <v>12940.41</v>
      </c>
      <c r="E14" s="2">
        <v>6000</v>
      </c>
      <c r="F14" s="2">
        <v>197.61</v>
      </c>
      <c r="G14" s="27">
        <f t="shared" si="3"/>
        <v>1.0433248277096432E-2</v>
      </c>
      <c r="H14" s="2"/>
      <c r="I14" s="2">
        <f t="shared" si="4"/>
        <v>19138.02</v>
      </c>
      <c r="J14" s="27">
        <f t="shared" si="5"/>
        <v>1.0433248277096461E-2</v>
      </c>
    </row>
    <row r="15" spans="2:10">
      <c r="B15" t="s">
        <v>112</v>
      </c>
      <c r="C15" t="s">
        <v>93</v>
      </c>
      <c r="D15" s="2">
        <v>44138.1</v>
      </c>
      <c r="E15" s="2">
        <v>6000</v>
      </c>
      <c r="F15" s="2">
        <v>416.94</v>
      </c>
      <c r="G15" s="27">
        <f t="shared" si="3"/>
        <v>8.3158316729193965E-3</v>
      </c>
      <c r="H15" s="2"/>
      <c r="I15" s="2">
        <f t="shared" si="4"/>
        <v>50555.040000000001</v>
      </c>
      <c r="J15" s="27">
        <f t="shared" si="5"/>
        <v>8.3158316729194433E-3</v>
      </c>
    </row>
    <row r="16" spans="2:10">
      <c r="B16" t="s">
        <v>112</v>
      </c>
      <c r="C16" t="s">
        <v>96</v>
      </c>
      <c r="D16" s="2">
        <v>19138.02</v>
      </c>
      <c r="E16" s="2">
        <v>6000</v>
      </c>
      <c r="F16" s="2">
        <v>253.81</v>
      </c>
      <c r="G16" s="27">
        <f t="shared" si="3"/>
        <v>1.0096658368479299E-2</v>
      </c>
      <c r="H16" s="2"/>
      <c r="I16" s="2">
        <f t="shared" si="4"/>
        <v>25391.83</v>
      </c>
      <c r="J16" s="27">
        <f t="shared" si="5"/>
        <v>1.0096658368479351E-2</v>
      </c>
    </row>
    <row r="17" spans="2:10">
      <c r="B17" t="s">
        <v>113</v>
      </c>
      <c r="C17" t="s">
        <v>93</v>
      </c>
      <c r="D17" s="2">
        <v>50555.040000000001</v>
      </c>
      <c r="E17" s="2">
        <v>6000</v>
      </c>
      <c r="F17" s="2"/>
      <c r="G17" s="27">
        <f>(F17/(D17+E17))</f>
        <v>0</v>
      </c>
      <c r="H17" s="2"/>
      <c r="I17" s="2">
        <f>D17+E17+F17-H17</f>
        <v>56555.040000000001</v>
      </c>
      <c r="J17" s="27">
        <f>((I17-(D17+E17))/(D17+E17))</f>
        <v>0</v>
      </c>
    </row>
    <row r="18" spans="2:10">
      <c r="B18" t="s">
        <v>113</v>
      </c>
      <c r="C18" t="s">
        <v>96</v>
      </c>
      <c r="D18" s="2">
        <v>25391.83</v>
      </c>
      <c r="E18" s="2">
        <v>6000</v>
      </c>
      <c r="F18" s="2"/>
      <c r="G18" s="27">
        <f>(F18/(D18+E18))</f>
        <v>0</v>
      </c>
      <c r="H18" s="2"/>
      <c r="I18" s="2">
        <f>D18+E18+F18-H18</f>
        <v>31391.83</v>
      </c>
      <c r="J18" s="27">
        <f>((I18-(D18+E18))/(D18+E18))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2"/>
  <sheetViews>
    <sheetView topLeftCell="A211" zoomScaleNormal="100" workbookViewId="0">
      <selection activeCell="F222" sqref="F222"/>
    </sheetView>
  </sheetViews>
  <sheetFormatPr baseColWidth="10" defaultRowHeight="14.25"/>
  <cols>
    <col min="3" max="3" width="11.625" bestFit="1" customWidth="1"/>
    <col min="4" max="4" width="14.125" bestFit="1" customWidth="1"/>
    <col min="5" max="5" width="12" customWidth="1"/>
    <col min="6" max="7" width="13.125" customWidth="1"/>
  </cols>
  <sheetData>
    <row r="2" spans="2:7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63</v>
      </c>
    </row>
    <row r="3" spans="2:7">
      <c r="B3" s="1">
        <v>45404</v>
      </c>
      <c r="C3" s="3">
        <v>3912.77</v>
      </c>
      <c r="D3" s="3">
        <v>66429</v>
      </c>
      <c r="E3" s="3"/>
      <c r="F3" s="3"/>
      <c r="G3" s="3"/>
    </row>
    <row r="4" spans="2:7">
      <c r="B4" s="1">
        <v>45405</v>
      </c>
      <c r="C4" s="3">
        <v>3910.09</v>
      </c>
      <c r="D4" s="3">
        <v>66429</v>
      </c>
      <c r="E4" s="3"/>
      <c r="F4" s="3"/>
      <c r="G4" s="3"/>
    </row>
    <row r="5" spans="2:7">
      <c r="B5" s="1">
        <v>45406</v>
      </c>
      <c r="C5" s="3">
        <v>3906.66</v>
      </c>
      <c r="D5" s="3">
        <v>66651</v>
      </c>
      <c r="E5" s="3"/>
      <c r="F5" s="3"/>
      <c r="G5" s="3"/>
    </row>
    <row r="6" spans="2:7">
      <c r="B6" s="1">
        <v>45407</v>
      </c>
      <c r="C6" s="3">
        <v>3954.52</v>
      </c>
      <c r="D6" s="3">
        <v>64247</v>
      </c>
      <c r="E6" s="3"/>
      <c r="F6" s="3"/>
      <c r="G6" s="3"/>
    </row>
    <row r="7" spans="2:7">
      <c r="B7" s="1">
        <v>45408</v>
      </c>
      <c r="C7" s="3">
        <v>3959.14</v>
      </c>
      <c r="D7" s="3">
        <v>64262</v>
      </c>
      <c r="E7" s="3"/>
      <c r="F7" s="3"/>
      <c r="G7" s="3"/>
    </row>
    <row r="8" spans="2:7">
      <c r="B8" s="1">
        <v>45409</v>
      </c>
      <c r="C8" s="3">
        <v>3965.23</v>
      </c>
      <c r="D8" s="3">
        <v>64262</v>
      </c>
      <c r="E8" s="3"/>
      <c r="F8" s="3"/>
      <c r="G8" s="3"/>
    </row>
    <row r="9" spans="2:7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8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  <c r="H49">
        <v>1</v>
      </c>
    </row>
    <row r="50" spans="2:8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8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8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8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  <c r="H53">
        <v>2</v>
      </c>
    </row>
    <row r="54" spans="2:8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8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8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8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8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8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8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  <c r="H60">
        <v>3</v>
      </c>
    </row>
    <row r="61" spans="2:8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8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8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8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8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8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8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  <c r="H67">
        <v>4</v>
      </c>
    </row>
    <row r="68" spans="2:8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8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8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8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  <c r="H71">
        <v>5</v>
      </c>
    </row>
    <row r="72" spans="2:8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8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8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8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8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8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  <c r="H77">
        <v>6</v>
      </c>
    </row>
    <row r="78" spans="2:8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8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8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8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8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8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8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  <c r="H84">
        <v>7</v>
      </c>
    </row>
    <row r="85" spans="2:8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8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8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8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8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8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8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  <c r="H91">
        <v>8</v>
      </c>
    </row>
    <row r="92" spans="2:8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8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8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8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8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8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8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  <c r="H98">
        <v>9</v>
      </c>
    </row>
    <row r="99" spans="2:8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8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8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8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8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8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8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  <c r="H105">
        <v>10</v>
      </c>
    </row>
    <row r="106" spans="2:8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8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8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8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8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8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8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  <c r="H112">
        <v>11</v>
      </c>
    </row>
    <row r="113" spans="2:8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8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8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8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8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  <row r="118" spans="2:8">
      <c r="B118" s="1">
        <v>45522</v>
      </c>
      <c r="C118" s="3">
        <v>3999.63</v>
      </c>
      <c r="D118" s="3">
        <v>58427.35</v>
      </c>
      <c r="E118" s="3">
        <v>1.72</v>
      </c>
      <c r="F118" s="3">
        <v>2611.4</v>
      </c>
      <c r="G118" s="3">
        <v>3883</v>
      </c>
    </row>
    <row r="119" spans="2:8">
      <c r="B119" s="1">
        <v>45523</v>
      </c>
      <c r="C119" s="3">
        <v>4030.16</v>
      </c>
      <c r="D119" s="4">
        <v>59438.5</v>
      </c>
      <c r="E119" s="4">
        <v>1.72</v>
      </c>
      <c r="F119" s="4">
        <v>2638.2</v>
      </c>
      <c r="G119" s="4">
        <v>3917</v>
      </c>
      <c r="H119">
        <v>12</v>
      </c>
    </row>
    <row r="120" spans="2:8">
      <c r="B120" s="1">
        <v>45524</v>
      </c>
      <c r="C120" s="3">
        <v>4023.02</v>
      </c>
      <c r="D120" s="3">
        <v>59050</v>
      </c>
      <c r="E120" s="3">
        <v>1.65</v>
      </c>
      <c r="F120" s="3">
        <v>2577.5</v>
      </c>
      <c r="G120" s="3">
        <v>3955</v>
      </c>
    </row>
    <row r="121" spans="2:8">
      <c r="B121" s="1">
        <v>45525</v>
      </c>
      <c r="C121" s="3">
        <v>4010.2</v>
      </c>
      <c r="D121" s="3">
        <v>61156.03</v>
      </c>
      <c r="E121" s="3">
        <v>1.68</v>
      </c>
      <c r="F121" s="3">
        <v>2631.2</v>
      </c>
      <c r="G121" s="3">
        <v>3962</v>
      </c>
    </row>
    <row r="122" spans="2:8">
      <c r="B122" s="1">
        <v>45526</v>
      </c>
      <c r="C122" s="3">
        <v>4036.25</v>
      </c>
      <c r="D122" s="3">
        <v>60375.839999999997</v>
      </c>
      <c r="E122" s="3">
        <v>2</v>
      </c>
      <c r="F122" s="3">
        <v>2623.1</v>
      </c>
      <c r="G122" s="3">
        <v>4004</v>
      </c>
    </row>
    <row r="123" spans="2:8">
      <c r="B123" s="1">
        <v>45527</v>
      </c>
      <c r="C123" s="3">
        <v>4069.62</v>
      </c>
      <c r="D123" s="3">
        <v>61146.6</v>
      </c>
      <c r="E123" s="3">
        <v>2.02</v>
      </c>
      <c r="F123" s="3">
        <v>2665</v>
      </c>
      <c r="G123" s="3">
        <v>4000</v>
      </c>
    </row>
    <row r="124" spans="2:8">
      <c r="B124" s="1">
        <v>45528</v>
      </c>
      <c r="C124" s="3">
        <v>4035.33</v>
      </c>
      <c r="D124" s="3">
        <v>64157.01</v>
      </c>
      <c r="E124" s="3">
        <v>2.31</v>
      </c>
      <c r="F124" s="3">
        <v>2769</v>
      </c>
      <c r="G124" s="3">
        <v>3933</v>
      </c>
    </row>
    <row r="125" spans="2:8">
      <c r="B125" s="1">
        <v>45529</v>
      </c>
      <c r="C125" s="3">
        <v>4035.33</v>
      </c>
      <c r="D125" s="3">
        <v>63920.7</v>
      </c>
      <c r="E125" s="3">
        <v>2.31</v>
      </c>
      <c r="F125" s="3">
        <v>2758.6</v>
      </c>
      <c r="G125" s="3">
        <v>3929</v>
      </c>
    </row>
    <row r="126" spans="2:8">
      <c r="B126" s="1">
        <v>45530</v>
      </c>
      <c r="C126" s="3">
        <v>4029.75</v>
      </c>
      <c r="D126" s="4">
        <v>62954.5</v>
      </c>
      <c r="E126" s="4">
        <v>2.17</v>
      </c>
      <c r="F126" s="4">
        <v>2688.4</v>
      </c>
      <c r="G126" s="4">
        <v>3932</v>
      </c>
      <c r="H126">
        <v>13</v>
      </c>
    </row>
    <row r="127" spans="2:8">
      <c r="B127" s="1">
        <v>45531</v>
      </c>
      <c r="C127" s="3">
        <v>4023.92</v>
      </c>
      <c r="D127" s="3">
        <v>59398</v>
      </c>
      <c r="E127" s="3">
        <v>1.97</v>
      </c>
      <c r="F127" s="3">
        <v>2458.1</v>
      </c>
      <c r="G127" s="3">
        <v>3966</v>
      </c>
    </row>
    <row r="128" spans="2:8">
      <c r="B128" s="1">
        <v>45532</v>
      </c>
      <c r="C128" s="3">
        <v>4045.64</v>
      </c>
      <c r="D128" s="3">
        <v>59013.7</v>
      </c>
      <c r="E128" s="3">
        <v>1.74</v>
      </c>
      <c r="F128" s="3">
        <v>2528.3000000000002</v>
      </c>
      <c r="G128" s="3">
        <v>4009</v>
      </c>
    </row>
    <row r="129" spans="2:8">
      <c r="B129" s="1">
        <v>45533</v>
      </c>
      <c r="C129" s="3">
        <v>4065.34</v>
      </c>
      <c r="D129" s="3">
        <v>59356.1</v>
      </c>
      <c r="E129" s="3">
        <v>1.63</v>
      </c>
      <c r="F129" s="3">
        <v>2528.1999999999998</v>
      </c>
      <c r="G129" s="3">
        <v>4026</v>
      </c>
    </row>
    <row r="130" spans="2:8">
      <c r="B130" s="1">
        <v>45534</v>
      </c>
      <c r="C130" s="3">
        <v>4132.1099999999997</v>
      </c>
      <c r="D130" s="3">
        <v>59125.599999999999</v>
      </c>
      <c r="E130" s="3">
        <v>1.57</v>
      </c>
      <c r="F130" s="3">
        <v>2525.3000000000002</v>
      </c>
      <c r="G130" s="3">
        <v>4066</v>
      </c>
    </row>
    <row r="131" spans="2:8">
      <c r="B131" s="1">
        <v>45535</v>
      </c>
      <c r="C131" s="3">
        <v>4160.3100000000004</v>
      </c>
      <c r="D131" s="3">
        <v>58978</v>
      </c>
      <c r="E131" s="3">
        <v>1.47</v>
      </c>
      <c r="F131" s="3">
        <v>2512.8000000000002</v>
      </c>
      <c r="G131" s="3">
        <v>4018</v>
      </c>
    </row>
    <row r="132" spans="2:8">
      <c r="B132" s="1">
        <v>45536</v>
      </c>
      <c r="C132" s="3">
        <v>4160.3100000000004</v>
      </c>
      <c r="D132" s="3">
        <v>57304</v>
      </c>
      <c r="E132" s="3">
        <v>1.39</v>
      </c>
      <c r="F132" s="3">
        <v>2425.9</v>
      </c>
      <c r="G132" s="3">
        <v>4005</v>
      </c>
    </row>
    <row r="133" spans="2:8">
      <c r="B133" s="1">
        <v>45537</v>
      </c>
      <c r="C133" s="3">
        <v>4160.3100000000004</v>
      </c>
      <c r="D133" s="4">
        <v>59134.3</v>
      </c>
      <c r="E133" s="4">
        <v>1.46</v>
      </c>
      <c r="F133" s="4">
        <v>2538.3000000000002</v>
      </c>
      <c r="G133" s="4">
        <v>4029</v>
      </c>
      <c r="H133">
        <v>14</v>
      </c>
    </row>
    <row r="134" spans="2:8">
      <c r="B134" s="1">
        <v>45538</v>
      </c>
      <c r="C134" s="3">
        <v>4160.3100000000004</v>
      </c>
      <c r="D134" s="3">
        <v>57499.9</v>
      </c>
      <c r="E134" s="3">
        <v>1.43</v>
      </c>
      <c r="F134" s="3">
        <v>2422.3000000000002</v>
      </c>
      <c r="G134" s="3">
        <v>4024</v>
      </c>
    </row>
    <row r="135" spans="2:8">
      <c r="B135" s="1">
        <v>45539</v>
      </c>
      <c r="C135" s="3">
        <v>4185.8</v>
      </c>
      <c r="D135" s="3">
        <v>57970</v>
      </c>
      <c r="E135" s="3">
        <v>1.5</v>
      </c>
      <c r="F135" s="3">
        <v>2450</v>
      </c>
      <c r="G135" s="3">
        <v>4036</v>
      </c>
    </row>
    <row r="136" spans="2:8">
      <c r="B136" s="1">
        <v>45540</v>
      </c>
      <c r="C136" s="3">
        <v>4185.82</v>
      </c>
      <c r="D136" s="3">
        <v>56183.9</v>
      </c>
      <c r="E136" s="3">
        <v>1.47</v>
      </c>
      <c r="F136" s="3">
        <v>2367.3000000000002</v>
      </c>
      <c r="G136" s="3">
        <v>4035</v>
      </c>
    </row>
    <row r="137" spans="2:8">
      <c r="B137" s="1">
        <v>45541</v>
      </c>
      <c r="C137" s="3">
        <v>4172.5</v>
      </c>
      <c r="D137" s="3">
        <v>53961.4</v>
      </c>
      <c r="E137" s="3">
        <v>1.5</v>
      </c>
      <c r="F137" s="3">
        <v>2223.5</v>
      </c>
      <c r="G137" s="3">
        <v>4068</v>
      </c>
    </row>
    <row r="138" spans="2:8">
      <c r="B138" s="1">
        <v>45542</v>
      </c>
      <c r="C138" s="3">
        <v>4167.16</v>
      </c>
      <c r="D138" s="3">
        <v>54160.86</v>
      </c>
      <c r="E138" s="3">
        <v>1.56</v>
      </c>
      <c r="F138" s="3">
        <v>2273</v>
      </c>
      <c r="G138" s="3">
        <v>4045</v>
      </c>
    </row>
    <row r="139" spans="2:8">
      <c r="B139" s="1">
        <v>45543</v>
      </c>
      <c r="C139" s="3">
        <v>4149.79</v>
      </c>
      <c r="D139" s="3">
        <v>53629.01</v>
      </c>
      <c r="E139" s="3">
        <v>1.61</v>
      </c>
      <c r="F139" s="3">
        <v>2295.9</v>
      </c>
      <c r="G139" s="3">
        <v>4060</v>
      </c>
    </row>
    <row r="140" spans="2:8">
      <c r="B140" s="1">
        <v>45544</v>
      </c>
      <c r="C140" s="3">
        <v>4149.79</v>
      </c>
      <c r="D140" s="4">
        <v>57042</v>
      </c>
      <c r="E140" s="4">
        <v>1.64</v>
      </c>
      <c r="F140" s="4">
        <v>2360.1</v>
      </c>
      <c r="G140" s="4">
        <v>4059</v>
      </c>
      <c r="H140">
        <v>15</v>
      </c>
    </row>
    <row r="141" spans="2:8">
      <c r="B141" s="1">
        <v>45545</v>
      </c>
      <c r="C141" s="3">
        <v>4243.8</v>
      </c>
      <c r="D141" s="3">
        <v>57245.279999999999</v>
      </c>
      <c r="E141" s="3">
        <v>1.66</v>
      </c>
      <c r="F141" s="3">
        <v>2352.5</v>
      </c>
      <c r="G141" s="3">
        <v>4084</v>
      </c>
    </row>
    <row r="142" spans="2:8">
      <c r="B142" s="1">
        <v>45546</v>
      </c>
      <c r="C142" s="3">
        <v>4279.09</v>
      </c>
      <c r="D142" s="3">
        <v>56780.57</v>
      </c>
      <c r="E142" s="3">
        <v>1.58</v>
      </c>
      <c r="F142" s="3">
        <v>2326.6</v>
      </c>
      <c r="G142" s="3">
        <v>4146</v>
      </c>
    </row>
    <row r="143" spans="2:8">
      <c r="B143" s="1">
        <v>45547</v>
      </c>
      <c r="C143" s="3">
        <v>4270.62</v>
      </c>
      <c r="D143" s="3">
        <v>57978.97</v>
      </c>
      <c r="E143" s="3">
        <v>1.66</v>
      </c>
      <c r="F143" s="3">
        <v>2349.5</v>
      </c>
      <c r="G143" s="3">
        <v>4136</v>
      </c>
    </row>
    <row r="144" spans="2:8">
      <c r="B144" s="1">
        <v>45548</v>
      </c>
      <c r="C144" s="3">
        <v>4197.38</v>
      </c>
      <c r="D144" s="3">
        <v>57821.2</v>
      </c>
      <c r="E144" s="3">
        <v>1.72</v>
      </c>
      <c r="F144" s="3">
        <v>2349.4</v>
      </c>
      <c r="G144" s="3">
        <v>4090</v>
      </c>
    </row>
    <row r="145" spans="2:8">
      <c r="B145" s="1">
        <v>45549</v>
      </c>
      <c r="C145" s="3">
        <v>4172.13</v>
      </c>
      <c r="D145" s="3">
        <v>59993.03</v>
      </c>
      <c r="E145" s="3">
        <v>1.77</v>
      </c>
      <c r="F145" s="3">
        <v>2418.1999999999998</v>
      </c>
      <c r="G145" s="3">
        <v>4066</v>
      </c>
    </row>
    <row r="146" spans="2:8">
      <c r="B146" s="1">
        <v>45550</v>
      </c>
      <c r="C146" s="3">
        <v>4172.13</v>
      </c>
      <c r="D146" s="3">
        <v>59132</v>
      </c>
      <c r="E146" s="3">
        <v>1.7</v>
      </c>
      <c r="F146" s="3">
        <v>2317.3000000000002</v>
      </c>
      <c r="G146" s="3">
        <v>4090</v>
      </c>
    </row>
    <row r="147" spans="2:8">
      <c r="B147" s="1">
        <v>45551</v>
      </c>
      <c r="C147" s="3">
        <v>4172.13</v>
      </c>
      <c r="D147" s="4">
        <v>58671.09</v>
      </c>
      <c r="E147" s="4">
        <v>1.77</v>
      </c>
      <c r="F147" s="4">
        <v>2307.5</v>
      </c>
      <c r="G147" s="4">
        <v>4098</v>
      </c>
      <c r="H147">
        <v>16</v>
      </c>
    </row>
    <row r="148" spans="2:8">
      <c r="B148" s="1">
        <v>45552</v>
      </c>
      <c r="C148" s="3">
        <v>4220.58</v>
      </c>
      <c r="D148" s="3">
        <v>59090.6</v>
      </c>
      <c r="E148" s="3">
        <v>1.89</v>
      </c>
      <c r="F148" s="3">
        <v>2311.4</v>
      </c>
      <c r="G148" s="3">
        <v>4135</v>
      </c>
    </row>
    <row r="149" spans="2:8">
      <c r="B149" s="1">
        <v>45553</v>
      </c>
      <c r="C149" s="3">
        <v>4225.01</v>
      </c>
      <c r="D149" s="3">
        <v>59937.3</v>
      </c>
      <c r="E149" s="3">
        <v>1.89</v>
      </c>
      <c r="F149" s="3">
        <v>2307.8000000000002</v>
      </c>
      <c r="G149" s="3">
        <v>4098</v>
      </c>
    </row>
    <row r="150" spans="2:8">
      <c r="B150" s="1">
        <v>45554</v>
      </c>
      <c r="C150" s="3">
        <v>4176.8500000000004</v>
      </c>
      <c r="D150" s="3">
        <v>62938.7</v>
      </c>
      <c r="E150" s="3">
        <v>2.16</v>
      </c>
      <c r="F150" s="3">
        <v>2427.3000000000002</v>
      </c>
      <c r="G150" s="3">
        <v>4097</v>
      </c>
    </row>
    <row r="151" spans="2:8">
      <c r="B151" s="1">
        <v>45555</v>
      </c>
      <c r="C151" s="3">
        <v>4162.8100000000004</v>
      </c>
      <c r="D151" s="3">
        <v>63468.6</v>
      </c>
      <c r="E151" s="3">
        <v>2.02</v>
      </c>
      <c r="F151" s="3">
        <v>2554.8000000000002</v>
      </c>
      <c r="G151" s="3">
        <v>4094</v>
      </c>
    </row>
    <row r="152" spans="2:8">
      <c r="B152" s="1">
        <v>45556</v>
      </c>
      <c r="C152" s="3">
        <v>4162.8100000000004</v>
      </c>
      <c r="D152" s="3">
        <v>63244.4</v>
      </c>
      <c r="E152" s="3">
        <v>2.0699999999999998</v>
      </c>
      <c r="F152" s="3">
        <v>2616.9</v>
      </c>
      <c r="G152" s="3">
        <v>4033</v>
      </c>
    </row>
    <row r="153" spans="2:8">
      <c r="B153" s="1">
        <v>45557</v>
      </c>
      <c r="C153" s="3">
        <v>4162.8100000000004</v>
      </c>
      <c r="D153" s="3">
        <v>63578.76</v>
      </c>
      <c r="E153" s="3">
        <v>1.97</v>
      </c>
      <c r="F153" s="3">
        <v>2581.1999999999998</v>
      </c>
      <c r="G153" s="3">
        <v>4041</v>
      </c>
    </row>
    <row r="154" spans="2:8">
      <c r="B154" s="1">
        <v>45558</v>
      </c>
      <c r="C154" s="3">
        <v>4153.9799999999996</v>
      </c>
      <c r="D154" s="4">
        <v>63506.5</v>
      </c>
      <c r="E154" s="4">
        <v>2.13</v>
      </c>
      <c r="F154" s="4">
        <v>2649.3</v>
      </c>
      <c r="G154" s="4">
        <v>4051</v>
      </c>
      <c r="H154">
        <v>17</v>
      </c>
    </row>
    <row r="155" spans="2:8">
      <c r="B155" s="1">
        <v>45559</v>
      </c>
      <c r="C155" s="3">
        <v>4161.75</v>
      </c>
      <c r="D155" s="3">
        <v>63505.2</v>
      </c>
      <c r="E155" s="3">
        <v>2.13</v>
      </c>
      <c r="F155" s="3">
        <v>2639.4</v>
      </c>
      <c r="G155" s="3">
        <v>4073</v>
      </c>
    </row>
    <row r="156" spans="2:8">
      <c r="B156" s="1">
        <v>45560</v>
      </c>
      <c r="C156" s="3">
        <v>4148.75</v>
      </c>
      <c r="D156" s="3">
        <v>63675</v>
      </c>
      <c r="E156" s="3">
        <v>2.15</v>
      </c>
      <c r="F156" s="3">
        <v>2620.0300000000002</v>
      </c>
      <c r="G156" s="3">
        <v>4071</v>
      </c>
    </row>
    <row r="157" spans="2:8">
      <c r="B157" s="1">
        <v>45561</v>
      </c>
      <c r="C157" s="3">
        <v>4200.75</v>
      </c>
      <c r="D157" s="3">
        <v>64418.9</v>
      </c>
      <c r="E157" s="3">
        <v>2.16</v>
      </c>
      <c r="F157" s="3">
        <v>2629.7</v>
      </c>
      <c r="G157" s="3">
        <v>4032</v>
      </c>
    </row>
    <row r="158" spans="2:8">
      <c r="B158" s="1">
        <v>45562</v>
      </c>
      <c r="C158" s="3">
        <v>4157.54</v>
      </c>
      <c r="D158" s="3">
        <v>65837.3</v>
      </c>
      <c r="E158" s="3">
        <v>2.2599999999999998</v>
      </c>
      <c r="F158" s="3">
        <v>2659.7</v>
      </c>
      <c r="G158" s="3">
        <v>4001</v>
      </c>
    </row>
    <row r="159" spans="2:8">
      <c r="B159" s="1">
        <v>45563</v>
      </c>
      <c r="C159" s="3">
        <v>4157.54</v>
      </c>
      <c r="D159" s="3">
        <v>65858</v>
      </c>
      <c r="E159" s="3">
        <v>2.1</v>
      </c>
      <c r="F159" s="3">
        <v>2675.6</v>
      </c>
      <c r="G159" s="3">
        <v>3975</v>
      </c>
    </row>
    <row r="160" spans="2:8">
      <c r="B160" s="1">
        <v>45564</v>
      </c>
      <c r="C160" s="3">
        <v>4157.54</v>
      </c>
      <c r="D160" s="3">
        <v>65602.009999999995</v>
      </c>
      <c r="E160" s="3">
        <v>2.21</v>
      </c>
      <c r="F160" s="3">
        <v>2635</v>
      </c>
      <c r="G160" s="3">
        <v>3977</v>
      </c>
    </row>
    <row r="161" spans="2:8">
      <c r="B161" s="1">
        <v>45565</v>
      </c>
      <c r="C161" s="3">
        <v>4157.66</v>
      </c>
      <c r="D161" s="4">
        <v>63629.9</v>
      </c>
      <c r="E161" s="4">
        <v>2.1</v>
      </c>
      <c r="F161" s="4">
        <v>2592.6999999999998</v>
      </c>
      <c r="G161" s="4">
        <v>4000</v>
      </c>
      <c r="H161">
        <v>18</v>
      </c>
    </row>
    <row r="162" spans="2:8">
      <c r="B162" s="1">
        <v>45566</v>
      </c>
      <c r="C162" s="3">
        <v>4199.12</v>
      </c>
      <c r="D162" s="3">
        <v>63785.8</v>
      </c>
      <c r="E162" s="3">
        <v>2.06</v>
      </c>
      <c r="F162" s="3">
        <v>2630.6</v>
      </c>
      <c r="G162" s="3">
        <v>4047</v>
      </c>
    </row>
    <row r="163" spans="2:8">
      <c r="B163" s="1">
        <v>45567</v>
      </c>
      <c r="C163" s="3">
        <v>4221.2700000000004</v>
      </c>
      <c r="D163" s="3">
        <v>61293.1</v>
      </c>
      <c r="E163" s="3">
        <v>1.77</v>
      </c>
      <c r="F163" s="3">
        <v>2458.1999999999998</v>
      </c>
      <c r="G163" s="3">
        <v>4083</v>
      </c>
    </row>
    <row r="164" spans="2:8">
      <c r="B164" s="1">
        <v>45568</v>
      </c>
      <c r="C164" s="3">
        <v>4194.26</v>
      </c>
      <c r="D164" s="3">
        <v>60134.8</v>
      </c>
      <c r="E164" s="3">
        <v>1.67</v>
      </c>
      <c r="F164" s="3">
        <v>2343.5</v>
      </c>
      <c r="G164" s="3">
        <v>4070</v>
      </c>
    </row>
    <row r="165" spans="2:8">
      <c r="B165" s="1">
        <v>45569</v>
      </c>
      <c r="C165" s="3">
        <v>4189.17</v>
      </c>
      <c r="D165" s="3">
        <v>61440.4</v>
      </c>
      <c r="E165" s="3">
        <v>1.69</v>
      </c>
      <c r="F165" s="3">
        <v>2381.3000000000002</v>
      </c>
      <c r="G165" s="3">
        <v>4057</v>
      </c>
    </row>
    <row r="166" spans="2:8">
      <c r="B166" s="1">
        <v>45570</v>
      </c>
      <c r="C166" s="3">
        <v>4189.17</v>
      </c>
      <c r="D166" s="3">
        <v>62058</v>
      </c>
      <c r="E166" s="3">
        <v>1.77</v>
      </c>
      <c r="F166" s="3">
        <v>2414.6999999999998</v>
      </c>
      <c r="G166" s="3">
        <v>4004</v>
      </c>
    </row>
    <row r="167" spans="2:8">
      <c r="B167" s="1">
        <v>45571</v>
      </c>
      <c r="C167" s="3">
        <v>4189.17</v>
      </c>
      <c r="D167" s="3">
        <v>62819.91</v>
      </c>
      <c r="E167" s="3">
        <v>1.83</v>
      </c>
      <c r="F167" s="3">
        <v>2439.9</v>
      </c>
      <c r="G167" s="3">
        <v>4002</v>
      </c>
    </row>
    <row r="168" spans="2:8">
      <c r="B168" s="1">
        <v>45572</v>
      </c>
      <c r="C168" s="3">
        <v>4167.41</v>
      </c>
      <c r="D168" s="4">
        <v>62721.1</v>
      </c>
      <c r="E168" s="4">
        <v>1.85</v>
      </c>
      <c r="F168" s="4">
        <v>2461.3000000000002</v>
      </c>
      <c r="G168" s="4">
        <v>4002</v>
      </c>
      <c r="H168">
        <v>19</v>
      </c>
    </row>
    <row r="169" spans="2:8">
      <c r="B169" s="1">
        <v>45573</v>
      </c>
      <c r="C169" s="3">
        <v>4213.55</v>
      </c>
      <c r="D169" s="3">
        <v>62554</v>
      </c>
      <c r="E169" s="3">
        <v>1.85</v>
      </c>
      <c r="F169" s="3">
        <v>2435.6999999999998</v>
      </c>
      <c r="G169" s="3">
        <v>4035</v>
      </c>
    </row>
    <row r="170" spans="2:8">
      <c r="B170" s="1">
        <v>45574</v>
      </c>
      <c r="C170" s="3">
        <v>4231.08</v>
      </c>
      <c r="D170" s="3">
        <v>62146</v>
      </c>
      <c r="E170" s="3">
        <v>1.85</v>
      </c>
      <c r="F170" s="3">
        <v>2434.1999999999998</v>
      </c>
      <c r="G170" s="3">
        <v>4052</v>
      </c>
    </row>
    <row r="171" spans="2:8">
      <c r="B171" s="1">
        <v>45575</v>
      </c>
      <c r="C171" s="3">
        <v>4233.05</v>
      </c>
      <c r="D171" s="3">
        <v>61260.02</v>
      </c>
      <c r="E171" s="3">
        <v>1.75</v>
      </c>
      <c r="F171" s="3">
        <v>2403.6999999999998</v>
      </c>
      <c r="G171" s="3">
        <v>4052</v>
      </c>
    </row>
    <row r="172" spans="2:8">
      <c r="B172" s="1">
        <v>45576</v>
      </c>
      <c r="C172" s="3">
        <v>4210.95</v>
      </c>
      <c r="D172" s="3">
        <v>61255.99</v>
      </c>
      <c r="E172" s="3">
        <v>1.73</v>
      </c>
      <c r="F172" s="3">
        <v>2419.4</v>
      </c>
      <c r="G172" s="3">
        <v>4024</v>
      </c>
    </row>
    <row r="173" spans="2:8">
      <c r="B173" s="1">
        <v>45577</v>
      </c>
      <c r="C173" s="3">
        <v>4210.95</v>
      </c>
      <c r="D173" s="3">
        <v>63206.22</v>
      </c>
      <c r="E173" s="3">
        <v>1.89</v>
      </c>
      <c r="F173" s="3">
        <v>2437.6</v>
      </c>
      <c r="G173" s="3">
        <v>4023</v>
      </c>
    </row>
    <row r="174" spans="2:8">
      <c r="B174" s="1">
        <v>45578</v>
      </c>
      <c r="C174" s="3">
        <v>4210.95</v>
      </c>
      <c r="D174" s="3">
        <v>62870.02</v>
      </c>
      <c r="E174" s="3">
        <v>1.9</v>
      </c>
      <c r="F174" s="3">
        <v>2575.9</v>
      </c>
      <c r="G174" s="3">
        <v>4023</v>
      </c>
    </row>
    <row r="175" spans="2:8">
      <c r="B175" s="1">
        <v>45579</v>
      </c>
      <c r="C175" s="3">
        <v>4210.95</v>
      </c>
      <c r="D175" s="4">
        <v>66083.990000000005</v>
      </c>
      <c r="E175" s="4">
        <v>2.0699999999999998</v>
      </c>
      <c r="F175" s="4">
        <v>2468</v>
      </c>
      <c r="G175" s="4">
        <v>4023</v>
      </c>
      <c r="H175">
        <v>20</v>
      </c>
    </row>
    <row r="176" spans="2:8">
      <c r="B176" s="1">
        <v>45580</v>
      </c>
      <c r="C176" s="3">
        <v>4207.21</v>
      </c>
      <c r="D176" s="3">
        <v>65440</v>
      </c>
      <c r="E176" s="3">
        <v>2.06</v>
      </c>
      <c r="F176" s="3">
        <v>2629.3</v>
      </c>
      <c r="G176" s="3">
        <v>4023</v>
      </c>
    </row>
    <row r="177" spans="2:8">
      <c r="B177" s="1">
        <v>45581</v>
      </c>
      <c r="C177" s="3">
        <v>4257.21</v>
      </c>
      <c r="D177" s="3">
        <v>67630</v>
      </c>
      <c r="E177" s="3">
        <v>1.89</v>
      </c>
      <c r="F177" s="3">
        <v>2610.6</v>
      </c>
      <c r="G177" s="3">
        <v>4141</v>
      </c>
    </row>
    <row r="178" spans="2:8">
      <c r="B178" s="1">
        <v>45582</v>
      </c>
      <c r="C178" s="3">
        <v>4278.74</v>
      </c>
      <c r="D178" s="3">
        <v>66892</v>
      </c>
      <c r="E178" s="3">
        <v>1.8</v>
      </c>
      <c r="F178" s="3">
        <v>2599.4</v>
      </c>
      <c r="G178" s="3">
        <v>4150</v>
      </c>
    </row>
    <row r="179" spans="2:8">
      <c r="B179" s="1">
        <v>45583</v>
      </c>
      <c r="C179" s="3">
        <v>4247.29</v>
      </c>
      <c r="D179" s="3">
        <v>67725.279999999999</v>
      </c>
      <c r="E179" s="3">
        <v>1.88</v>
      </c>
      <c r="F179" s="3">
        <v>2623.4</v>
      </c>
      <c r="G179" s="3">
        <v>4149</v>
      </c>
    </row>
    <row r="180" spans="2:8">
      <c r="B180" s="1">
        <v>45584</v>
      </c>
      <c r="C180" s="3">
        <v>4237.25</v>
      </c>
      <c r="D180" s="3">
        <v>68340</v>
      </c>
      <c r="E180" s="3">
        <v>1.85</v>
      </c>
      <c r="F180" s="3">
        <v>2649.3</v>
      </c>
      <c r="G180" s="3">
        <v>4159</v>
      </c>
    </row>
    <row r="181" spans="2:8">
      <c r="B181" s="1">
        <v>45585</v>
      </c>
      <c r="C181" s="3">
        <v>4237.25</v>
      </c>
      <c r="D181" s="3">
        <v>69000</v>
      </c>
      <c r="E181" s="3">
        <v>1.87</v>
      </c>
      <c r="F181" s="3">
        <v>2750</v>
      </c>
      <c r="G181" s="3">
        <v>4159</v>
      </c>
    </row>
    <row r="182" spans="2:8">
      <c r="B182" s="1">
        <v>45586</v>
      </c>
      <c r="C182" s="3">
        <v>4270</v>
      </c>
      <c r="D182" s="4">
        <v>68297.87</v>
      </c>
      <c r="E182" s="4">
        <v>1.9</v>
      </c>
      <c r="F182" s="4">
        <v>2709.4</v>
      </c>
      <c r="G182" s="4">
        <v>4173</v>
      </c>
      <c r="H182">
        <v>21</v>
      </c>
    </row>
    <row r="183" spans="2:8">
      <c r="B183" s="1">
        <v>45587</v>
      </c>
      <c r="C183" s="3">
        <v>4280.04</v>
      </c>
      <c r="D183" s="3">
        <v>67353.34</v>
      </c>
      <c r="E183" s="3">
        <v>1.84</v>
      </c>
      <c r="F183" s="3">
        <v>2632.9</v>
      </c>
      <c r="G183" s="3">
        <v>4189</v>
      </c>
    </row>
    <row r="184" spans="2:8">
      <c r="B184" s="1">
        <v>45588</v>
      </c>
      <c r="C184" s="3">
        <v>4270.37</v>
      </c>
      <c r="D184" s="3">
        <v>66410.070000000007</v>
      </c>
      <c r="E184" s="3">
        <v>1.79</v>
      </c>
      <c r="F184" s="3">
        <v>2579.1</v>
      </c>
      <c r="G184" s="3">
        <v>4176</v>
      </c>
    </row>
    <row r="185" spans="2:8">
      <c r="B185" s="1">
        <v>45589</v>
      </c>
      <c r="C185" s="3">
        <v>4323.92</v>
      </c>
      <c r="D185" s="3">
        <v>67293.87</v>
      </c>
      <c r="E185" s="3">
        <v>1.89</v>
      </c>
      <c r="F185" s="3">
        <v>2527.3000000000002</v>
      </c>
      <c r="G185" s="3">
        <v>4214</v>
      </c>
    </row>
    <row r="186" spans="2:8">
      <c r="B186" s="1">
        <v>45590</v>
      </c>
      <c r="C186" s="3">
        <v>4323.1099999999997</v>
      </c>
      <c r="D186" s="3">
        <v>68253.88</v>
      </c>
      <c r="E186" s="3">
        <v>1.97</v>
      </c>
      <c r="F186" s="3">
        <v>2548.9</v>
      </c>
      <c r="G186" s="3">
        <v>4202</v>
      </c>
    </row>
    <row r="187" spans="2:8">
      <c r="B187" s="1">
        <v>45591</v>
      </c>
      <c r="C187" s="3">
        <v>4321.6400000000003</v>
      </c>
      <c r="D187" s="3">
        <v>67092.759999999995</v>
      </c>
      <c r="E187" s="3">
        <v>1.71</v>
      </c>
      <c r="F187" s="3">
        <v>2479.6</v>
      </c>
      <c r="G187" s="3">
        <v>4200</v>
      </c>
    </row>
    <row r="188" spans="2:8">
      <c r="B188" s="1">
        <v>45592</v>
      </c>
      <c r="C188" s="3">
        <v>4321.6400000000003</v>
      </c>
      <c r="D188" s="3">
        <v>68021.7</v>
      </c>
      <c r="E188" s="3">
        <v>1.75</v>
      </c>
      <c r="F188" s="3">
        <v>2505.4</v>
      </c>
      <c r="G188" s="3">
        <v>4215</v>
      </c>
    </row>
    <row r="189" spans="2:8">
      <c r="B189" s="1">
        <v>45593</v>
      </c>
      <c r="C189" s="3">
        <v>4321.6400000000003</v>
      </c>
      <c r="D189" s="4">
        <v>69615</v>
      </c>
      <c r="E189" s="4">
        <v>1.73</v>
      </c>
      <c r="F189" s="4">
        <v>2524.6</v>
      </c>
      <c r="G189" s="4">
        <v>4207</v>
      </c>
      <c r="H189">
        <v>22</v>
      </c>
    </row>
    <row r="190" spans="2:8">
      <c r="B190" s="1">
        <v>45594</v>
      </c>
      <c r="C190" s="3">
        <v>4345.13</v>
      </c>
      <c r="D190" s="3">
        <v>71200.91</v>
      </c>
      <c r="E190" s="3">
        <v>1.75</v>
      </c>
      <c r="F190" s="3">
        <v>2619.9</v>
      </c>
      <c r="G190" s="3">
        <v>4254</v>
      </c>
    </row>
    <row r="191" spans="2:8">
      <c r="B191" s="1">
        <v>45595</v>
      </c>
      <c r="C191" s="3">
        <v>4323.01</v>
      </c>
      <c r="D191" s="3">
        <v>72187.039999999994</v>
      </c>
      <c r="E191" s="3">
        <v>1.74</v>
      </c>
      <c r="F191" s="3">
        <v>2664</v>
      </c>
      <c r="G191" s="3">
        <v>4288</v>
      </c>
    </row>
    <row r="192" spans="2:8">
      <c r="B192" s="1">
        <v>45596</v>
      </c>
      <c r="C192" s="3">
        <v>4374.1000000000004</v>
      </c>
      <c r="D192" s="3">
        <v>72074</v>
      </c>
      <c r="E192" s="3">
        <v>1.68</v>
      </c>
      <c r="F192" s="3">
        <v>2630</v>
      </c>
      <c r="G192" s="3">
        <v>4314</v>
      </c>
    </row>
    <row r="193" spans="2:8">
      <c r="B193" s="1">
        <v>45597</v>
      </c>
      <c r="C193" s="3">
        <v>4418.63</v>
      </c>
      <c r="D193" s="3">
        <v>69923.17</v>
      </c>
      <c r="E193" s="3">
        <v>1.61</v>
      </c>
      <c r="F193" s="3">
        <v>2517.8000000000002</v>
      </c>
      <c r="G193" s="3">
        <v>4293</v>
      </c>
    </row>
    <row r="194" spans="2:8">
      <c r="B194" s="1">
        <v>45598</v>
      </c>
      <c r="C194" s="3">
        <v>4414</v>
      </c>
      <c r="D194" s="3">
        <v>69374.740000000005</v>
      </c>
      <c r="E194" s="3">
        <v>1.54</v>
      </c>
      <c r="F194" s="3">
        <v>2493.4</v>
      </c>
      <c r="G194" s="3">
        <v>4327</v>
      </c>
    </row>
    <row r="195" spans="2:8">
      <c r="B195" s="1">
        <v>45599</v>
      </c>
      <c r="C195" s="3">
        <v>4418.12</v>
      </c>
      <c r="D195" s="3">
        <v>68306.28</v>
      </c>
      <c r="E195" s="3">
        <v>1.47</v>
      </c>
      <c r="F195" s="3">
        <v>2445.3000000000002</v>
      </c>
      <c r="G195" s="3">
        <v>4328</v>
      </c>
    </row>
    <row r="196" spans="2:8">
      <c r="B196" s="1">
        <v>45600</v>
      </c>
      <c r="C196" s="3">
        <v>4445.3500000000004</v>
      </c>
      <c r="D196" s="4">
        <v>67722.23</v>
      </c>
      <c r="E196" s="4">
        <v>1.47</v>
      </c>
      <c r="F196" s="4">
        <v>2412</v>
      </c>
      <c r="G196" s="4">
        <v>4338</v>
      </c>
      <c r="H196">
        <v>23</v>
      </c>
    </row>
    <row r="197" spans="2:8">
      <c r="B197" s="1">
        <v>45601</v>
      </c>
      <c r="C197" s="3">
        <v>4438.62</v>
      </c>
      <c r="D197" s="3">
        <v>68825.05</v>
      </c>
      <c r="E197" s="3">
        <v>1.5</v>
      </c>
      <c r="F197" s="3">
        <v>2438.6</v>
      </c>
      <c r="G197" s="3">
        <v>4287</v>
      </c>
    </row>
    <row r="198" spans="2:8">
      <c r="B198" s="1">
        <v>45602</v>
      </c>
      <c r="C198" s="3">
        <v>4439.75</v>
      </c>
      <c r="D198" s="3">
        <v>75165</v>
      </c>
      <c r="E198" s="3">
        <v>1.73</v>
      </c>
      <c r="F198" s="3">
        <v>2622.5</v>
      </c>
      <c r="G198" s="3">
        <v>4338</v>
      </c>
    </row>
    <row r="199" spans="2:8">
      <c r="B199" s="1">
        <v>45603</v>
      </c>
      <c r="C199" s="3">
        <v>4389.7299999999996</v>
      </c>
      <c r="D199" s="3">
        <v>76495</v>
      </c>
      <c r="E199" s="3">
        <v>1.83</v>
      </c>
      <c r="F199" s="3">
        <v>2819.3</v>
      </c>
      <c r="G199" s="3">
        <v>4331</v>
      </c>
    </row>
    <row r="200" spans="2:8">
      <c r="B200" s="1">
        <v>45604</v>
      </c>
      <c r="C200" s="3">
        <v>4399.58</v>
      </c>
      <c r="D200" s="3">
        <v>76116.72</v>
      </c>
      <c r="E200" s="3">
        <v>1.99</v>
      </c>
      <c r="F200" s="3">
        <v>2924.8</v>
      </c>
      <c r="G200" s="3">
        <v>4234</v>
      </c>
    </row>
    <row r="201" spans="2:8">
      <c r="B201" s="1">
        <v>45605</v>
      </c>
      <c r="C201" s="3">
        <v>4346.7</v>
      </c>
      <c r="D201" s="3">
        <v>76677.460000000006</v>
      </c>
      <c r="E201" s="3">
        <v>2.02</v>
      </c>
      <c r="F201" s="3">
        <v>3128.4</v>
      </c>
      <c r="G201" s="3">
        <v>4258</v>
      </c>
    </row>
    <row r="202" spans="2:8">
      <c r="B202" s="1">
        <v>45606</v>
      </c>
      <c r="C202" s="3">
        <v>4346.7</v>
      </c>
      <c r="D202" s="3">
        <v>80370.009999999995</v>
      </c>
      <c r="E202" s="3">
        <v>2.02</v>
      </c>
      <c r="F202" s="3">
        <v>3186.8</v>
      </c>
      <c r="G202" s="3">
        <v>4246</v>
      </c>
    </row>
    <row r="203" spans="2:8">
      <c r="B203" s="1">
        <v>45607</v>
      </c>
      <c r="C203" s="3">
        <v>4346.7</v>
      </c>
      <c r="D203" s="4">
        <v>87272.61</v>
      </c>
      <c r="E203" s="4">
        <v>2.69</v>
      </c>
      <c r="F203" s="4">
        <v>3355.6</v>
      </c>
      <c r="G203" s="4">
        <v>4267</v>
      </c>
      <c r="H203">
        <v>24</v>
      </c>
    </row>
    <row r="204" spans="2:8">
      <c r="B204" s="1">
        <v>45608</v>
      </c>
      <c r="C204" s="3">
        <v>4376.95</v>
      </c>
      <c r="D204" s="3">
        <v>87348.83</v>
      </c>
      <c r="E204" s="3">
        <v>2.4900000000000002</v>
      </c>
      <c r="F204" s="3">
        <v>3295.5</v>
      </c>
      <c r="G204" s="3">
        <v>4274</v>
      </c>
    </row>
    <row r="205" spans="2:8">
      <c r="B205" s="1">
        <v>45609</v>
      </c>
      <c r="C205" s="3">
        <v>4352.8</v>
      </c>
      <c r="D205" s="3">
        <v>87644</v>
      </c>
      <c r="E205" s="3">
        <v>2.23</v>
      </c>
      <c r="F205" s="3">
        <v>3172.4</v>
      </c>
      <c r="G205" s="3">
        <v>4274</v>
      </c>
    </row>
    <row r="206" spans="2:8">
      <c r="B206" s="1">
        <v>45610</v>
      </c>
      <c r="C206" s="3">
        <v>4500.38</v>
      </c>
      <c r="D206" s="3">
        <v>91328</v>
      </c>
      <c r="E206" s="3">
        <v>2.2400000000000002</v>
      </c>
      <c r="F206" s="3">
        <v>3186.4</v>
      </c>
      <c r="G206" s="3">
        <v>4275</v>
      </c>
    </row>
    <row r="207" spans="2:8">
      <c r="B207" s="1">
        <v>45611</v>
      </c>
      <c r="C207" s="3">
        <v>4487.51</v>
      </c>
      <c r="D207" s="3">
        <v>90301.8</v>
      </c>
      <c r="E207" s="3">
        <v>2.27</v>
      </c>
      <c r="F207" s="3">
        <v>3106.4</v>
      </c>
      <c r="G207" s="3">
        <v>4324</v>
      </c>
    </row>
    <row r="208" spans="2:8">
      <c r="B208" s="1">
        <v>45612</v>
      </c>
      <c r="C208" s="3">
        <v>4498.58</v>
      </c>
      <c r="D208" s="3">
        <v>90748.73</v>
      </c>
      <c r="E208" s="3">
        <v>2.44</v>
      </c>
      <c r="F208" s="3">
        <v>3160.3</v>
      </c>
      <c r="G208" s="3">
        <v>4318</v>
      </c>
    </row>
    <row r="209" spans="2:8">
      <c r="B209" s="1">
        <v>45613</v>
      </c>
      <c r="C209" s="3">
        <v>4498.58</v>
      </c>
      <c r="D209" s="46">
        <v>89855.99</v>
      </c>
      <c r="E209" s="46">
        <v>2.27</v>
      </c>
      <c r="F209" s="46">
        <v>3076</v>
      </c>
      <c r="G209" s="46">
        <v>4339</v>
      </c>
      <c r="H209">
        <v>25</v>
      </c>
    </row>
    <row r="210" spans="2:8">
      <c r="B210" s="1">
        <v>45614</v>
      </c>
      <c r="C210" s="3">
        <v>4407.41</v>
      </c>
      <c r="D210" s="4">
        <v>90464.08</v>
      </c>
      <c r="E210" s="4">
        <v>2.38</v>
      </c>
      <c r="F210" s="4">
        <v>3209.4</v>
      </c>
      <c r="G210" s="4">
        <v>4308</v>
      </c>
    </row>
    <row r="211" spans="2:8">
      <c r="B211" s="1">
        <v>45615</v>
      </c>
      <c r="C211" s="3">
        <v>4421.08</v>
      </c>
      <c r="D211" s="3">
        <v>92087.16</v>
      </c>
      <c r="E211" s="3">
        <v>2.2999999999999998</v>
      </c>
      <c r="F211" s="3">
        <v>3141.5</v>
      </c>
      <c r="G211" s="3">
        <v>4314</v>
      </c>
    </row>
    <row r="212" spans="2:8">
      <c r="B212" s="1">
        <v>45616</v>
      </c>
      <c r="C212" s="3">
        <v>4405.5600000000004</v>
      </c>
      <c r="D212" s="3">
        <v>93571.07</v>
      </c>
      <c r="E212" s="3">
        <v>2.39</v>
      </c>
      <c r="F212" s="3">
        <v>3106.5</v>
      </c>
      <c r="G212" s="3">
        <v>4314</v>
      </c>
    </row>
    <row r="213" spans="2:8">
      <c r="B213" s="1">
        <v>45617</v>
      </c>
      <c r="C213" s="3">
        <v>4414.34</v>
      </c>
      <c r="D213" s="3">
        <v>98020</v>
      </c>
      <c r="E213" s="3">
        <v>2.2000000000000002</v>
      </c>
      <c r="F213" s="3">
        <v>3144.7</v>
      </c>
      <c r="G213" s="3">
        <v>4347</v>
      </c>
    </row>
    <row r="214" spans="2:8">
      <c r="B214" s="1">
        <v>45618</v>
      </c>
      <c r="C214" s="3">
        <v>4438.78</v>
      </c>
      <c r="D214" s="3">
        <v>98838.75</v>
      </c>
      <c r="E214" s="3">
        <v>2.5</v>
      </c>
      <c r="F214" s="3">
        <v>3344.4</v>
      </c>
      <c r="G214" s="3">
        <v>4317</v>
      </c>
    </row>
    <row r="215" spans="2:8">
      <c r="B215" s="1">
        <v>45619</v>
      </c>
      <c r="C215" s="3">
        <v>4389.2299999999996</v>
      </c>
      <c r="D215" s="3">
        <v>97712</v>
      </c>
      <c r="E215" s="3">
        <v>2.62</v>
      </c>
      <c r="F215" s="3">
        <v>3420.7</v>
      </c>
      <c r="G215" s="3">
        <v>4345</v>
      </c>
    </row>
    <row r="216" spans="2:8">
      <c r="B216" s="1">
        <v>45620</v>
      </c>
      <c r="C216" s="3">
        <v>4389.2299999999996</v>
      </c>
      <c r="D216" s="3">
        <v>97384</v>
      </c>
      <c r="E216" s="3">
        <v>2.52</v>
      </c>
      <c r="F216" s="3">
        <v>3331.8</v>
      </c>
      <c r="G216" s="3">
        <v>4337</v>
      </c>
    </row>
    <row r="217" spans="2:8">
      <c r="B217" s="1">
        <v>45621</v>
      </c>
      <c r="C217" s="3">
        <v>4362.95</v>
      </c>
      <c r="D217" s="4">
        <v>98202.98</v>
      </c>
      <c r="E217" s="4">
        <v>2.75</v>
      </c>
      <c r="F217" s="4">
        <v>3488.4</v>
      </c>
      <c r="G217" s="4">
        <v>4315</v>
      </c>
      <c r="H217">
        <v>26</v>
      </c>
    </row>
    <row r="218" spans="2:8">
      <c r="B218" s="1">
        <v>45622</v>
      </c>
      <c r="C218" s="3">
        <v>4399.41</v>
      </c>
      <c r="D218" s="3">
        <v>91967.67</v>
      </c>
      <c r="E218" s="3">
        <v>2.4700000000000002</v>
      </c>
      <c r="F218" s="3">
        <v>3314.6</v>
      </c>
      <c r="G218" s="3">
        <v>4319</v>
      </c>
    </row>
    <row r="219" spans="2:8">
      <c r="B219" s="1">
        <v>45623</v>
      </c>
      <c r="C219" s="3">
        <v>4379.28</v>
      </c>
      <c r="D219" s="3">
        <v>93360.16</v>
      </c>
      <c r="E219" s="3">
        <v>2.6</v>
      </c>
      <c r="F219" s="3">
        <v>3462.1</v>
      </c>
      <c r="G219" s="3">
        <v>4332</v>
      </c>
    </row>
    <row r="220" spans="2:8">
      <c r="B220" s="1">
        <v>45624</v>
      </c>
      <c r="C220" s="3">
        <v>4390.7299999999996</v>
      </c>
      <c r="D220" s="3">
        <v>95743.55</v>
      </c>
      <c r="E220" s="3">
        <v>2.91</v>
      </c>
      <c r="F220" s="3">
        <v>3632.8</v>
      </c>
      <c r="G220" s="3">
        <v>4312</v>
      </c>
    </row>
    <row r="221" spans="2:8">
      <c r="B221" s="1">
        <v>45625</v>
      </c>
      <c r="C221" s="3">
        <v>4378.58</v>
      </c>
      <c r="D221" s="3">
        <v>97308.01</v>
      </c>
      <c r="E221" s="3">
        <v>3.01</v>
      </c>
      <c r="F221" s="3">
        <v>3598.1</v>
      </c>
      <c r="G221" s="3">
        <v>4325</v>
      </c>
    </row>
    <row r="222" spans="2:8">
      <c r="B222" s="1">
        <v>45626</v>
      </c>
      <c r="C222" s="3">
        <v>4419.5600000000004</v>
      </c>
      <c r="D222" s="3">
        <v>96407.99</v>
      </c>
      <c r="E222" s="3">
        <v>3.46</v>
      </c>
      <c r="F222" s="3">
        <v>3706.3</v>
      </c>
      <c r="G222" s="3">
        <v>4300</v>
      </c>
    </row>
    <row r="223" spans="2:8">
      <c r="B223" s="1">
        <v>45627</v>
      </c>
      <c r="C223" s="3">
        <v>4419.59</v>
      </c>
      <c r="D223" s="3">
        <v>97185.17</v>
      </c>
      <c r="E223" s="3">
        <v>3.3266</v>
      </c>
      <c r="F223" s="3">
        <v>3710.1</v>
      </c>
      <c r="G223" s="3">
        <v>4338</v>
      </c>
    </row>
    <row r="224" spans="2:8">
      <c r="B224" s="1">
        <v>45628</v>
      </c>
      <c r="C224" s="3">
        <v>4398.53</v>
      </c>
      <c r="D224" s="4">
        <v>95031.74</v>
      </c>
      <c r="E224" s="4">
        <v>3.18</v>
      </c>
      <c r="F224" s="4">
        <v>3582.4</v>
      </c>
      <c r="G224" s="4">
        <v>4369</v>
      </c>
      <c r="H224">
        <v>27</v>
      </c>
    </row>
    <row r="225" spans="2:8">
      <c r="B225" s="1">
        <v>45629</v>
      </c>
      <c r="C225" s="3">
        <v>4438.1000000000004</v>
      </c>
      <c r="D225" s="3">
        <v>94966.55</v>
      </c>
      <c r="E225" s="3">
        <v>3.35</v>
      </c>
      <c r="F225" s="3">
        <v>3604.5</v>
      </c>
      <c r="G225" s="3">
        <v>4387</v>
      </c>
    </row>
    <row r="226" spans="2:8">
      <c r="B226" s="1">
        <v>45630</v>
      </c>
      <c r="C226" s="3">
        <v>4443.45</v>
      </c>
      <c r="D226" s="3">
        <v>95716.12</v>
      </c>
      <c r="E226" s="3">
        <v>3.41</v>
      </c>
      <c r="F226" s="3">
        <v>3706.7</v>
      </c>
      <c r="G226" s="3">
        <v>4362</v>
      </c>
    </row>
    <row r="227" spans="2:8">
      <c r="B227" s="1">
        <v>45631</v>
      </c>
      <c r="C227" s="3">
        <v>4427.9399999999996</v>
      </c>
      <c r="D227" s="3">
        <v>102611.8</v>
      </c>
      <c r="E227" s="3">
        <v>3.24</v>
      </c>
      <c r="F227" s="3">
        <v>3940.1</v>
      </c>
      <c r="G227" s="3">
        <v>4350</v>
      </c>
    </row>
    <row r="228" spans="2:8">
      <c r="B228" s="1">
        <v>45632</v>
      </c>
      <c r="C228" s="3">
        <v>4424.18</v>
      </c>
      <c r="D228" s="3">
        <v>98080.1</v>
      </c>
      <c r="E228" s="3">
        <v>3.86</v>
      </c>
      <c r="F228" s="3">
        <v>3868.8</v>
      </c>
      <c r="G228" s="3">
        <v>4347</v>
      </c>
    </row>
    <row r="229" spans="2:8">
      <c r="B229" s="1">
        <v>45633</v>
      </c>
      <c r="C229" s="3">
        <v>4424.18</v>
      </c>
      <c r="D229" s="3">
        <v>99831.99</v>
      </c>
      <c r="E229" s="3">
        <v>3.63</v>
      </c>
      <c r="F229" s="3">
        <v>4000</v>
      </c>
      <c r="G229" s="3">
        <v>4308</v>
      </c>
    </row>
    <row r="230" spans="2:8">
      <c r="B230" s="1">
        <v>45634</v>
      </c>
      <c r="C230" s="3">
        <v>4424.18</v>
      </c>
      <c r="D230" s="3">
        <v>101109.59</v>
      </c>
      <c r="E230" s="3">
        <v>3.6</v>
      </c>
      <c r="F230" s="3">
        <v>4007.4</v>
      </c>
      <c r="G230" s="3">
        <v>4325</v>
      </c>
    </row>
    <row r="231" spans="2:8">
      <c r="B231" s="1">
        <v>45635</v>
      </c>
      <c r="C231" s="3">
        <v>4426</v>
      </c>
      <c r="D231" s="4">
        <v>98015.98</v>
      </c>
      <c r="E231" s="4">
        <v>3.23</v>
      </c>
      <c r="F231" s="4">
        <v>3842</v>
      </c>
      <c r="G231" s="4">
        <v>4333</v>
      </c>
      <c r="H231">
        <v>28</v>
      </c>
    </row>
    <row r="232" spans="2:8">
      <c r="B232" s="1"/>
      <c r="C232" s="3"/>
      <c r="D232" s="3"/>
      <c r="E232" s="3"/>
      <c r="F232" s="3"/>
      <c r="G232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9"/>
  <sheetViews>
    <sheetView topLeftCell="G1" workbookViewId="0">
      <selection activeCell="Q89" sqref="Q89"/>
    </sheetView>
  </sheetViews>
  <sheetFormatPr baseColWidth="10" defaultRowHeight="14.25"/>
  <cols>
    <col min="3" max="3" width="19.75" customWidth="1"/>
    <col min="4" max="4" width="18" customWidth="1"/>
    <col min="5" max="5" width="17.125" customWidth="1"/>
    <col min="6" max="6" width="20.375" customWidth="1"/>
    <col min="9" max="9" width="19.75" customWidth="1"/>
    <col min="10" max="10" width="18.75" customWidth="1"/>
    <col min="12" max="12" width="20.125" bestFit="1" customWidth="1"/>
    <col min="13" max="13" width="18.25" bestFit="1" customWidth="1"/>
    <col min="14" max="14" width="14" customWidth="1"/>
    <col min="17" max="17" width="15.625" bestFit="1" customWidth="1"/>
    <col min="18" max="19" width="18.625" customWidth="1"/>
    <col min="20" max="22" width="19.375" customWidth="1"/>
    <col min="23" max="25" width="21.75" customWidth="1"/>
  </cols>
  <sheetData>
    <row r="2" spans="2:26">
      <c r="B2" t="s">
        <v>40</v>
      </c>
      <c r="C2" t="s">
        <v>20</v>
      </c>
      <c r="D2" t="s">
        <v>21</v>
      </c>
      <c r="E2" t="s">
        <v>22</v>
      </c>
      <c r="F2" t="s">
        <v>23</v>
      </c>
      <c r="G2" t="s">
        <v>16</v>
      </c>
      <c r="H2" t="s">
        <v>39</v>
      </c>
      <c r="I2" t="s">
        <v>33</v>
      </c>
      <c r="J2" t="s">
        <v>17</v>
      </c>
      <c r="K2" t="s">
        <v>18</v>
      </c>
      <c r="L2" t="s">
        <v>32</v>
      </c>
      <c r="M2" t="s">
        <v>34</v>
      </c>
      <c r="N2" t="s">
        <v>19</v>
      </c>
      <c r="O2" t="s">
        <v>24</v>
      </c>
      <c r="P2" t="s">
        <v>25</v>
      </c>
      <c r="Q2" t="s">
        <v>30</v>
      </c>
      <c r="R2" t="s">
        <v>26</v>
      </c>
      <c r="S2" t="s">
        <v>31</v>
      </c>
      <c r="T2" t="s">
        <v>27</v>
      </c>
      <c r="U2" t="s">
        <v>35</v>
      </c>
      <c r="V2" t="s">
        <v>36</v>
      </c>
      <c r="W2" t="s">
        <v>28</v>
      </c>
      <c r="X2" t="s">
        <v>37</v>
      </c>
      <c r="Y2" t="s">
        <v>38</v>
      </c>
      <c r="Z2" t="s">
        <v>29</v>
      </c>
    </row>
    <row r="3" spans="2:26">
      <c r="B3" s="1">
        <f ca="1">TODAY()</f>
        <v>45635</v>
      </c>
      <c r="C3" s="2">
        <f ca="1">VLOOKUP(B3,Tabla4[],2,FALSE)</f>
        <v>4426</v>
      </c>
      <c r="D3" s="3">
        <f ca="1">VLOOKUP(B3,Tabla4[],3,FALSE)</f>
        <v>98015.98</v>
      </c>
      <c r="E3" s="2">
        <f ca="1">VLOOKUP(B3,Tabla4[],5,FALSE)</f>
        <v>3842</v>
      </c>
      <c r="F3" s="2">
        <f ca="1">VLOOKUP(B3,Tabla4[],4,FALSE)</f>
        <v>3.23</v>
      </c>
      <c r="G3" t="s">
        <v>41</v>
      </c>
      <c r="H3" s="1">
        <v>45537</v>
      </c>
      <c r="I3" s="3">
        <f>VLOOKUP(H3,Tabla4[],2,FALSE)</f>
        <v>4160.3100000000004</v>
      </c>
      <c r="J3" s="3">
        <v>1.3929</v>
      </c>
      <c r="K3" s="25">
        <v>6.0397489999999998E-2</v>
      </c>
      <c r="L3" s="29">
        <f>Tabla6[[#This Row],[precio de compra]]*Tabla6[[#This Row],[cantidad]]*Tabla6[[#This Row],[PRECIO DEL DÓLAR, DIA COMPRA]]</f>
        <v>349.99716107114455</v>
      </c>
      <c r="M3" s="26">
        <f ca="1" xml:space="preserve"> K3 * (IF(G3="BTC", D3, IF(G3="ETH", E3, IF(G3="IO.NET", F3, 0)))) * C3</f>
        <v>863.44130909019998</v>
      </c>
      <c r="N3" s="41">
        <f ca="1">IF(G3 = "BTC", (D3 - J3) / J3,
 IF(G3 = "ETH", (E3 - J3) / J3,
 IF(G3 = "IO.NET", (F3 - J3) / J3,
 "Moneda no soportada")))</f>
        <v>1.3189030081125708</v>
      </c>
      <c r="O3" s="28">
        <v>0.1</v>
      </c>
      <c r="P3" s="28">
        <v>0.3</v>
      </c>
      <c r="Q3" s="31" t="str">
        <f ca="1">IF(N3 &lt; O3, "MANTENER", IF(N3 &lt; P3, "VENTA PARCIAL", "VENDER"))</f>
        <v>VENDER</v>
      </c>
      <c r="T3" s="2"/>
      <c r="U3" s="14">
        <f>Tabla6[[#This Row],[cantidad]]-Tabla6[[#This Row],[CANTIDAD VENDIDA]]</f>
        <v>6.0397489999999998E-2</v>
      </c>
      <c r="V3" s="2">
        <f ca="1">IF(G3="BTC", D3 * U3 * C3, IF(G3="ETH", E3 * U3 * C3, IF(G3="IO.NET", F3 * U3 * C3, 0)))</f>
        <v>863.44130909019998</v>
      </c>
      <c r="W3" s="2">
        <f>IF(G3 = "BTC", ((T3 - L3)), IF(G3 = "ETH", ((T3 - L3)), IF(G3 = "IO.NET", ((T3 - L3)), "Moneda no soportada")))</f>
        <v>-349.99716107114455</v>
      </c>
      <c r="X3" s="32">
        <f ca="1">IF(G3 = "BTC", (((D3 - J3) / J3)),IF(G3 = "ETH", ((E3 - J3) / J3), IF(G3 = "IO.NET", ((F3 - J3) / J3), "Moneda no soportada")))</f>
        <v>1.3189030081125708</v>
      </c>
      <c r="Y3" s="2" t="str">
        <f>IF(U3=0,"VENDIDA","ACTIVA")</f>
        <v>ACTIVA</v>
      </c>
    </row>
    <row r="4" spans="2:26">
      <c r="B4" s="1">
        <f ca="1">TODAY()</f>
        <v>45635</v>
      </c>
      <c r="C4" s="2">
        <f ca="1">VLOOKUP(B4,Tabla4[],2,FALSE)</f>
        <v>4426</v>
      </c>
      <c r="D4" s="3">
        <f ca="1">VLOOKUP(B4,Tabla4[],3,FALSE)</f>
        <v>98015.98</v>
      </c>
      <c r="E4" s="2">
        <f ca="1">VLOOKUP(B4,Tabla4[],5,FALSE)</f>
        <v>3842</v>
      </c>
      <c r="F4" s="2">
        <f ca="1">VLOOKUP(B4,Tabla4[],4,FALSE)</f>
        <v>3.23</v>
      </c>
      <c r="G4" t="s">
        <v>41</v>
      </c>
      <c r="H4" s="1">
        <v>45509</v>
      </c>
      <c r="I4" s="3">
        <f>VLOOKUP(H4,Tabla4[],2,FALSE)</f>
        <v>4116.91</v>
      </c>
      <c r="J4" s="3">
        <v>1.4723999999999999</v>
      </c>
      <c r="K4" s="11">
        <v>5.7740630000000001E-2</v>
      </c>
      <c r="L4" s="7">
        <f>Tabla6[[#This Row],[precio de compra]]*Tabla6[[#This Row],[cantidad]]*Tabla6[[#This Row],[PRECIO DEL DÓLAR, DIA COMPRA]]</f>
        <v>350.00858741327886</v>
      </c>
      <c r="M4" s="13">
        <f ca="1" xml:space="preserve"> K4 * (IF(G4="BTC", D4, IF(G4="ETH", E4, IF(G4="IO.NET", F4, 0)))) * C4</f>
        <v>825.45889166740005</v>
      </c>
      <c r="N4" s="32">
        <f ca="1">IF(G4 = "BTC", (D4 - J4) / J4,
 IF(G4 = "ETH", (E4 - J4) / J4,
 IF(G4 = "IO.NET", (F4 - J4) / J4,
 "Moneda no soportada")))</f>
        <v>1.1936973648465092</v>
      </c>
      <c r="O4" s="9">
        <v>0.1</v>
      </c>
      <c r="P4" s="9">
        <v>0.3</v>
      </c>
      <c r="Q4" t="str">
        <f ca="1">IF(N4 &lt; O4, "MANTENER", IF(N4 &lt; P4, "VENTA PARCIAL", "VENDER"))</f>
        <v>VENDER</v>
      </c>
      <c r="T4" s="2"/>
      <c r="U4" s="14">
        <f>Tabla6[[#This Row],[cantidad]]-Tabla6[[#This Row],[CANTIDAD VENDIDA]]</f>
        <v>5.7740630000000001E-2</v>
      </c>
      <c r="V4" s="2">
        <f ca="1">IF(G4="BTC", D4 * U4 * C4, IF(G4="ETH", E4 * U4 * C4, IF(G4="IO.NET", F4 * U4 * C4, 0)))</f>
        <v>825.45889166740005</v>
      </c>
      <c r="W4" s="2">
        <f>IF(G4 = "BTC", ((T4 - L4)), IF(G4 = "ETH", ((T4 - L4)), IF(G4 = "IO.NET", ((T4 - L4)), "Moneda no soportada")))</f>
        <v>-350.00858741327886</v>
      </c>
      <c r="X4" s="9">
        <f ca="1">IF(G4 = "BTC", (((D4 - J4) / J4)),IF(G4 = "ETH", ((E4 - J4) / J4), IF(G4 = "IO.NET", ((F4 - J4) / J4), "Moneda no soportada")))</f>
        <v>1.1936973648465092</v>
      </c>
      <c r="Y4" s="2" t="str">
        <f>IF(U4=0,"VENDIDA","ACTIVA")</f>
        <v>ACTIVA</v>
      </c>
    </row>
    <row r="5" spans="2:26">
      <c r="B5" s="1">
        <f ca="1">TODAY()</f>
        <v>45635</v>
      </c>
      <c r="C5" s="2">
        <f ca="1">VLOOKUP(B5,Tabla4[],2,FALSE)</f>
        <v>4426</v>
      </c>
      <c r="D5" s="3">
        <f ca="1">VLOOKUP(B5,Tabla4[],3,FALSE)</f>
        <v>98015.98</v>
      </c>
      <c r="E5" s="2">
        <f ca="1">VLOOKUP(B5,Tabla4[],5,FALSE)</f>
        <v>3842</v>
      </c>
      <c r="F5" s="2">
        <f ca="1">VLOOKUP(B5,Tabla4[],4,FALSE)</f>
        <v>3.23</v>
      </c>
      <c r="G5" t="s">
        <v>41</v>
      </c>
      <c r="H5" s="1">
        <v>45600</v>
      </c>
      <c r="I5" s="3">
        <v>4370.66</v>
      </c>
      <c r="J5" s="3">
        <v>1.4944500000000001</v>
      </c>
      <c r="K5" s="25">
        <v>5.3584970000000003E-2</v>
      </c>
      <c r="L5" s="29">
        <f>Tabla6[[#This Row],[precio de compra]]*Tabla6[[#This Row],[cantidad]]*Tabla6[[#This Row],[PRECIO DEL DÓLAR, DIA COMPRA]]</f>
        <v>350.00270811865994</v>
      </c>
      <c r="M5" s="26">
        <f ca="1" xml:space="preserve"> K5 * (IF(G5="BTC", D5, IF(G5="ETH", E5, IF(G5="IO.NET", F5, 0)))) * C5</f>
        <v>766.04965942060005</v>
      </c>
      <c r="N5" s="41">
        <f ca="1">IF(G5 = "BTC", (D5 - J5) / J5,
 IF(G5 = "ETH", (E5 - J5) / J5,
 IF(G5 = "IO.NET", (F5 - J5) / J5,
 "Moneda no soportada")))</f>
        <v>1.1613302552778613</v>
      </c>
      <c r="O5" s="28">
        <v>0.1</v>
      </c>
      <c r="P5" s="28">
        <v>0.3</v>
      </c>
      <c r="Q5" s="31" t="str">
        <f ca="1">IF(N5 &lt; O5, "MANTENER", IF(N5 &lt; P5, "VENTA PARCIAL", "VENDER"))</f>
        <v>VENDER</v>
      </c>
      <c r="T5" s="2"/>
      <c r="U5" s="14">
        <f>Tabla6[[#This Row],[cantidad]]-Tabla6[[#This Row],[CANTIDAD VENDIDA]]</f>
        <v>5.3584970000000003E-2</v>
      </c>
      <c r="V5" s="2">
        <f ca="1">IF(G5="BTC", D5 * U5 * C5, IF(G5="ETH", E5 * U5 * C5, IF(G5="IO.NET", F5 * U5 * C5, 0)))</f>
        <v>766.04965942060005</v>
      </c>
      <c r="W5" s="2">
        <f>IF(G5 = "BTC", ((T5 - L5)), IF(G5 = "ETH", ((T5 - L5)), IF(G5 = "IO.NET", ((T5 - L5)), "Moneda no soportada")))</f>
        <v>-350.00270811865994</v>
      </c>
      <c r="X5" s="32">
        <f ca="1">IF(G5 = "BTC", (((D5 - J5) / J5)),IF(G5 = "ETH", ((E5 - J5) / J5), IF(G5 = "IO.NET", ((F5 - J5) / J5), "Moneda no soportada")))</f>
        <v>1.1613302552778613</v>
      </c>
      <c r="Y5" s="2" t="str">
        <f>IF(U5=0,"VENDIDA","ACTIVA")</f>
        <v>ACTIVA</v>
      </c>
    </row>
    <row r="6" spans="2:26">
      <c r="B6" s="1">
        <f ca="1">TODAY()</f>
        <v>45635</v>
      </c>
      <c r="C6" s="2">
        <f ca="1">VLOOKUP(B6,Tabla4[],2,FALSE)</f>
        <v>4426</v>
      </c>
      <c r="D6" s="3">
        <f ca="1">VLOOKUP(B6,Tabla4[],3,FALSE)</f>
        <v>98015.98</v>
      </c>
      <c r="E6" s="2">
        <f ca="1">VLOOKUP(B6,Tabla4[],5,FALSE)</f>
        <v>3842</v>
      </c>
      <c r="F6" s="2">
        <f ca="1">VLOOKUP(B6,Tabla4[],4,FALSE)</f>
        <v>3.23</v>
      </c>
      <c r="G6" t="s">
        <v>41</v>
      </c>
      <c r="H6" s="1">
        <v>45544</v>
      </c>
      <c r="I6" s="3">
        <f>VLOOKUP(H6,Tabla4[],2,FALSE)</f>
        <v>4149.79</v>
      </c>
      <c r="J6" s="3">
        <v>1.5613999999999999</v>
      </c>
      <c r="K6" s="25">
        <v>5.4016019999999998E-2</v>
      </c>
      <c r="L6" s="29">
        <f>Tabla6[[#This Row],[precio de compra]]*Tabla6[[#This Row],[cantidad]]*Tabla6[[#This Row],[PRECIO DEL DÓLAR, DIA COMPRA]]</f>
        <v>349.9958350273381</v>
      </c>
      <c r="M6" s="26">
        <f ca="1" xml:space="preserve"> K6 * (IF(G6="BTC", D6, IF(G6="ETH", E6, IF(G6="IO.NET", F6, 0)))) * C6</f>
        <v>772.21194159959998</v>
      </c>
      <c r="N6" s="41">
        <f ca="1">IF(G6 = "BTC", (D6 - J6) / J6,
 IF(G6 = "ETH", (E6 - J6) / J6,
 IF(G6 = "IO.NET", (F6 - J6) / J6,
 "Moneda no soportada")))</f>
        <v>1.0686563340591777</v>
      </c>
      <c r="O6" s="28">
        <v>0.1</v>
      </c>
      <c r="P6" s="28">
        <v>0.3</v>
      </c>
      <c r="Q6" s="31" t="str">
        <f ca="1">IF(N6 &lt; O6, "MANTENER", IF(N6 &lt; P6, "VENTA PARCIAL", "VENDER"))</f>
        <v>VENDER</v>
      </c>
      <c r="T6" s="2"/>
      <c r="U6" s="14">
        <f>Tabla6[[#This Row],[cantidad]]-Tabla6[[#This Row],[CANTIDAD VENDIDA]]</f>
        <v>5.4016019999999998E-2</v>
      </c>
      <c r="V6" s="2">
        <f ca="1">IF(G6="BTC", D6 * U6 * C6, IF(G6="ETH", E6 * U6 * C6, IF(G6="IO.NET", F6 * U6 * C6, 0)))</f>
        <v>772.21194159959998</v>
      </c>
      <c r="W6" s="2">
        <f>IF(G6 = "BTC", ((T6 - L6)), IF(G6 = "ETH", ((T6 - L6)), IF(G6 = "IO.NET", ((T6 - L6)), "Moneda no soportada")))</f>
        <v>-349.9958350273381</v>
      </c>
      <c r="X6" s="32">
        <f ca="1">IF(G6 = "BTC", (((D6 - J6) / J6)),IF(G6 = "ETH", ((E6 - J6) / J6), IF(G6 = "IO.NET", ((F6 - J6) / J6), "Moneda no soportada")))</f>
        <v>1.0686563340591777</v>
      </c>
      <c r="Y6" s="2" t="str">
        <f>IF(U6=0,"VENDIDA","ACTIVA")</f>
        <v>ACTIVA</v>
      </c>
    </row>
    <row r="7" spans="2:26">
      <c r="B7" s="1">
        <f ca="1">TODAY()</f>
        <v>45635</v>
      </c>
      <c r="C7" s="2">
        <f ca="1">VLOOKUP(B7,Tabla4[],2,FALSE)</f>
        <v>4426</v>
      </c>
      <c r="D7" s="3">
        <f ca="1">VLOOKUP(B7,Tabla4[],3,FALSE)</f>
        <v>98015.98</v>
      </c>
      <c r="E7" s="2">
        <f ca="1">VLOOKUP(B7,Tabla4[],5,FALSE)</f>
        <v>3842</v>
      </c>
      <c r="F7" s="2">
        <f ca="1">VLOOKUP(B7,Tabla4[],4,FALSE)</f>
        <v>3.23</v>
      </c>
      <c r="G7" t="s">
        <v>41</v>
      </c>
      <c r="H7" s="1">
        <v>45516</v>
      </c>
      <c r="I7" s="3">
        <f>VLOOKUP(H7,Tabla4[],2,FALSE)</f>
        <v>4073.83</v>
      </c>
      <c r="J7" s="3">
        <v>1.5723400000000001</v>
      </c>
      <c r="K7" s="25">
        <v>5.4640859999999999E-2</v>
      </c>
      <c r="L7" s="29">
        <f>Tabla6[[#This Row],[precio de compra]]*Tabla6[[#This Row],[cantidad]]*Tabla6[[#This Row],[PRECIO DEL DÓLAR, DIA COMPRA]]</f>
        <v>349.9990705940495</v>
      </c>
      <c r="M7" s="26">
        <f ca="1" xml:space="preserve"> K7 * (IF(G7="BTC", D7, IF(G7="ETH", E7, IF(G7="IO.NET", F7, 0)))) * C7</f>
        <v>781.14464174279999</v>
      </c>
      <c r="N7" s="41">
        <f ca="1">IF(G7 = "BTC", (D7 - J7) / J7,
 IF(G7 = "ETH", (E7 - J7) / J7,
 IF(G7 = "IO.NET", (F7 - J7) / J7,
 "Moneda no soportada")))</f>
        <v>1.0542630728722795</v>
      </c>
      <c r="O7" s="28">
        <v>0.1</v>
      </c>
      <c r="P7" s="28">
        <v>0.3</v>
      </c>
      <c r="Q7" t="str">
        <f ca="1">IF(N7 &lt; O7, "MANTENER", IF(N7 &lt; P7, "VENTA PARCIAL", "VENDER"))</f>
        <v>VENDER</v>
      </c>
      <c r="T7" s="2"/>
      <c r="U7" s="14">
        <f>Tabla6[[#This Row],[cantidad]]-Tabla6[[#This Row],[CANTIDAD VENDIDA]]</f>
        <v>5.4640859999999999E-2</v>
      </c>
      <c r="V7" s="2">
        <f ca="1">IF(G7="BTC", D7 * U7 * C7, IF(G7="ETH", E7 * U7 * C7, IF(G7="IO.NET", F7 * U7 * C7, 0)))</f>
        <v>781.14464174279999</v>
      </c>
      <c r="W7" s="2">
        <f>IF(G7 = "BTC", ((T7 - L7)), IF(G7 = "ETH", ((T7 - L7)), IF(G7 = "IO.NET", ((T7 - L7)), "Moneda no soportada")))</f>
        <v>-349.9990705940495</v>
      </c>
      <c r="X7" s="9">
        <f ca="1">IF(G7 = "BTC", (((D7 - J7) / J7)),IF(G7 = "ETH", ((E7 - J7) / J7), IF(G7 = "IO.NET", ((F7 - J7) / J7), "Moneda no soportada")))</f>
        <v>1.0542630728722795</v>
      </c>
      <c r="Y7" s="2" t="str">
        <f>IF(U7=0,"VENDIDA","ACTIVA")</f>
        <v>ACTIVA</v>
      </c>
    </row>
    <row r="8" spans="2:26">
      <c r="B8" s="1">
        <f ca="1">TODAY()</f>
        <v>45635</v>
      </c>
      <c r="C8" s="2">
        <f ca="1">VLOOKUP(B8,Tabla4[],2,FALSE)</f>
        <v>4426</v>
      </c>
      <c r="D8" s="3">
        <f ca="1">VLOOKUP(B8,Tabla4[],3,FALSE)</f>
        <v>98015.98</v>
      </c>
      <c r="E8" s="2">
        <f ca="1">VLOOKUP(B8,Tabla4[],5,FALSE)</f>
        <v>3842</v>
      </c>
      <c r="F8" s="2">
        <f ca="1">VLOOKUP(B8,Tabla4[],4,FALSE)</f>
        <v>3.23</v>
      </c>
      <c r="G8" t="s">
        <v>41</v>
      </c>
      <c r="H8" s="1">
        <v>45523</v>
      </c>
      <c r="I8" s="3">
        <f>VLOOKUP(H8,Tabla4[],2,FALSE)</f>
        <v>4030.16</v>
      </c>
      <c r="J8" s="3">
        <v>1.6122000000000001</v>
      </c>
      <c r="K8" s="25">
        <v>5.3867089999999999E-2</v>
      </c>
      <c r="L8" s="29">
        <f>Tabla6[[#This Row],[precio de compra]]*Tabla6[[#This Row],[cantidad]]*Tabla6[[#This Row],[PRECIO DEL DÓLAR, DIA COMPRA]]</f>
        <v>349.99732079053973</v>
      </c>
      <c r="M8" s="26">
        <f ca="1" xml:space="preserve"> K8 * (IF(G8="BTC", D8, IF(G8="ETH", E8, IF(G8="IO.NET", F8, 0)))) * C8</f>
        <v>770.08284129820004</v>
      </c>
      <c r="N8" s="41">
        <f ca="1">IF(G8 = "BTC", (D8 - J8) / J8,
 IF(G8 = "ETH", (E8 - J8) / J8,
 IF(G8 = "IO.NET", (F8 - J8) / J8,
 "Moneda no soportada")))</f>
        <v>1.003473514452301</v>
      </c>
      <c r="O8" s="28">
        <v>0.1</v>
      </c>
      <c r="P8" s="28">
        <v>0.3</v>
      </c>
      <c r="Q8" t="str">
        <f ca="1">IF(N8 &lt; O8, "MANTENER", IF(N8 &lt; P8, "VENTA PARCIAL", "VENDER"))</f>
        <v>VENDER</v>
      </c>
      <c r="T8" s="2"/>
      <c r="U8" s="14">
        <f>Tabla6[[#This Row],[cantidad]]-Tabla6[[#This Row],[CANTIDAD VENDIDA]]</f>
        <v>5.3867089999999999E-2</v>
      </c>
      <c r="V8" s="2">
        <f ca="1">IF(G8="BTC", D8 * U8 * C8, IF(G8="ETH", E8 * U8 * C8, IF(G8="IO.NET", F8 * U8 * C8, 0)))</f>
        <v>770.08284129820004</v>
      </c>
      <c r="W8" s="2">
        <f>IF(G8 = "BTC", ((T8 - L8)), IF(G8 = "ETH", ((T8 - L8)), IF(G8 = "IO.NET", ((T8 - L8)), "Moneda no soportada")))</f>
        <v>-349.99732079053973</v>
      </c>
      <c r="X8" s="9">
        <f ca="1">IF(G8 = "BTC", (((D8 - J8) / J8)),IF(G8 = "ETH", ((E8 - J8) / J8), IF(G8 = "IO.NET", ((F8 - J8) / J8), "Moneda no soportada")))</f>
        <v>1.003473514452301</v>
      </c>
      <c r="Y8" s="2" t="str">
        <f>IF(U8=0,"VENDIDA","ACTIVA")</f>
        <v>ACTIVA</v>
      </c>
    </row>
    <row r="9" spans="2:26">
      <c r="B9" s="1">
        <f ca="1">TODAY()</f>
        <v>45635</v>
      </c>
      <c r="C9" s="2">
        <f ca="1">VLOOKUP(B9,Tabla4[],2,FALSE)</f>
        <v>4426</v>
      </c>
      <c r="D9" s="3">
        <f ca="1">VLOOKUP(B9,Tabla4[],3,FALSE)</f>
        <v>98015.98</v>
      </c>
      <c r="E9" s="2">
        <f ca="1">VLOOKUP(B9,Tabla4[],5,FALSE)</f>
        <v>3842</v>
      </c>
      <c r="F9" s="2">
        <f ca="1">VLOOKUP(B9,Tabla4[],4,FALSE)</f>
        <v>3.23</v>
      </c>
      <c r="G9" t="s">
        <v>41</v>
      </c>
      <c r="H9" s="1">
        <v>45551</v>
      </c>
      <c r="I9" s="3">
        <f>VLOOKUP(H9,Tabla4[],2,FALSE)</f>
        <v>4172.13</v>
      </c>
      <c r="J9" s="3">
        <v>1.7242</v>
      </c>
      <c r="K9" s="25">
        <v>4.8654459999999997E-2</v>
      </c>
      <c r="L9" s="29">
        <f>Tabla6[[#This Row],[precio de compra]]*Tabla6[[#This Row],[cantidad]]*Tabla6[[#This Row],[PRECIO DEL DÓLAR, DIA COMPRA]]</f>
        <v>350.00006885889513</v>
      </c>
      <c r="M9" s="26">
        <f ca="1" xml:space="preserve"> K9 * (IF(G9="BTC", D9, IF(G9="ETH", E9, IF(G9="IO.NET", F9, 0)))) * C9</f>
        <v>695.56318707079993</v>
      </c>
      <c r="N9" s="41">
        <f ca="1">IF(G9 = "BTC", (D9 - J9) / J9,
 IF(G9 = "ETH", (E9 - J9) / J9,
 IF(G9 = "IO.NET", (F9 - J9) / J9,
 "Moneda no soportada")))</f>
        <v>0.87333256002783899</v>
      </c>
      <c r="O9" s="28">
        <v>0.1</v>
      </c>
      <c r="P9" s="28">
        <v>0.3</v>
      </c>
      <c r="Q9" s="31" t="str">
        <f ca="1">IF(N9 &lt; O9, "MANTENER", IF(N9 &lt; P9, "VENTA PARCIAL", "VENDER"))</f>
        <v>VENDER</v>
      </c>
      <c r="T9" s="2"/>
      <c r="U9" s="14">
        <f>Tabla6[[#This Row],[cantidad]]-Tabla6[[#This Row],[CANTIDAD VENDIDA]]</f>
        <v>4.8654459999999997E-2</v>
      </c>
      <c r="V9" s="2">
        <f ca="1">IF(G9="BTC", D9 * U9 * C9, IF(G9="ETH", E9 * U9 * C9, IF(G9="IO.NET", F9 * U9 * C9, 0)))</f>
        <v>695.56318707079993</v>
      </c>
      <c r="W9" s="2">
        <f>IF(G9 = "BTC", ((T9 - L9)), IF(G9 = "ETH", ((T9 - L9)), IF(G9 = "IO.NET", ((T9 - L9)), "Moneda no soportada")))</f>
        <v>-350.00006885889513</v>
      </c>
      <c r="X9" s="32">
        <f ca="1">IF(G9 = "BTC", (((D9 - J9) / J9)),IF(G9 = "ETH", ((E9 - J9) / J9), IF(G9 = "IO.NET", ((F9 - J9) / J9), "Moneda no soportada")))</f>
        <v>0.87333256002783899</v>
      </c>
      <c r="Y9" s="2" t="str">
        <f>IF(U9=0,"VENDIDA","ACTIVA")</f>
        <v>ACTIVA</v>
      </c>
    </row>
    <row r="10" spans="2:26">
      <c r="B10" s="1">
        <f ca="1">TODAY()</f>
        <v>45635</v>
      </c>
      <c r="C10" s="2">
        <f ca="1">VLOOKUP(B10,Tabla4[],2,FALSE)</f>
        <v>4426</v>
      </c>
      <c r="D10" s="3">
        <f ca="1">VLOOKUP(B10,Tabla4[],3,FALSE)</f>
        <v>98015.98</v>
      </c>
      <c r="E10" s="2">
        <f ca="1">VLOOKUP(B10,Tabla4[],5,FALSE)</f>
        <v>3842</v>
      </c>
      <c r="F10" s="2">
        <f ca="1">VLOOKUP(B10,Tabla4[],4,FALSE)</f>
        <v>3.23</v>
      </c>
      <c r="G10" t="s">
        <v>41</v>
      </c>
      <c r="H10" s="1">
        <v>45593</v>
      </c>
      <c r="I10" s="3">
        <v>4241.6000000000004</v>
      </c>
      <c r="J10" s="3">
        <v>1.7296899999999999</v>
      </c>
      <c r="K10" s="25">
        <v>4.7706220000000001E-2</v>
      </c>
      <c r="L10" s="29">
        <f>Tabla6[[#This Row],[precio de compra]]*Tabla6[[#This Row],[cantidad]]*Tabla6[[#This Row],[PRECIO DEL DÓLAR, DIA COMPRA]]</f>
        <v>350.00398704310692</v>
      </c>
      <c r="M10" s="26">
        <f ca="1" xml:space="preserve"> K10 * (IF(G10="BTC", D10, IF(G10="ETH", E10, IF(G10="IO.NET", F10, 0)))) * C10</f>
        <v>682.00716699560007</v>
      </c>
      <c r="N10" s="41">
        <f ca="1">IF(G10 = "BTC", (D10 - J10) / J10,
 IF(G10 = "ETH", (E10 - J10) / J10,
 IF(G10 = "IO.NET", (F10 - J10) / J10,
 "Moneda no soportada")))</f>
        <v>0.8673866415369228</v>
      </c>
      <c r="O10" s="28">
        <v>0.1</v>
      </c>
      <c r="P10" s="28">
        <v>0.3</v>
      </c>
      <c r="Q10" s="31" t="str">
        <f ca="1">IF(N10 &lt; O10, "MANTENER", IF(N10 &lt; P10, "VENTA PARCIAL", "VENDER"))</f>
        <v>VENDER</v>
      </c>
      <c r="T10" s="2"/>
      <c r="U10" s="14">
        <f>Tabla6[[#This Row],[cantidad]]-Tabla6[[#This Row],[CANTIDAD VENDIDA]]</f>
        <v>4.7706220000000001E-2</v>
      </c>
      <c r="V10" s="2">
        <f ca="1">IF(G10="BTC", D10 * U10 * C10, IF(G10="ETH", E10 * U10 * C10, IF(G10="IO.NET", F10 * U10 * C10, 0)))</f>
        <v>682.00716699560007</v>
      </c>
      <c r="W10" s="2">
        <f>IF(G10 = "BTC", ((T10 - L10)), IF(G10 = "ETH", ((T10 - L10)), IF(G10 = "IO.NET", ((T10 - L10)), "Moneda no soportada")))</f>
        <v>-350.00398704310692</v>
      </c>
      <c r="X10" s="32">
        <f ca="1">IF(G10 = "BTC", (((D10 - J10) / J10)),IF(G10 = "ETH", ((E10 - J10) / J10), IF(G10 = "IO.NET", ((F10 - J10) / J10), "Moneda no soportada")))</f>
        <v>0.8673866415369228</v>
      </c>
      <c r="Y10" s="2" t="str">
        <f>IF(U10=0,"VENDIDA","ACTIVA")</f>
        <v>ACTIVA</v>
      </c>
    </row>
    <row r="11" spans="2:26">
      <c r="B11" s="1">
        <f ca="1">TODAY()</f>
        <v>45635</v>
      </c>
      <c r="C11" s="2">
        <f ca="1">VLOOKUP(B11,Tabla4[],2,FALSE)</f>
        <v>4426</v>
      </c>
      <c r="D11" s="3">
        <f ca="1">VLOOKUP(B11,Tabla4[],3,FALSE)</f>
        <v>98015.98</v>
      </c>
      <c r="E11" s="2">
        <f ca="1">VLOOKUP(B11,Tabla4[],5,FALSE)</f>
        <v>3842</v>
      </c>
      <c r="F11" s="2">
        <f ca="1">VLOOKUP(B11,Tabla4[],4,FALSE)</f>
        <v>3.23</v>
      </c>
      <c r="G11" t="s">
        <v>14</v>
      </c>
      <c r="H11" s="1">
        <v>45509</v>
      </c>
      <c r="I11" s="3">
        <f>VLOOKUP(H11,Tabla4[],2,FALSE)</f>
        <v>4116.91</v>
      </c>
      <c r="J11" s="3">
        <v>53468.49</v>
      </c>
      <c r="K11" s="11">
        <v>3.18E-6</v>
      </c>
      <c r="L11" s="7">
        <f>Tabla6[[#This Row],[precio de compra]]*Tabla6[[#This Row],[cantidad]]*Tabla6[[#This Row],[PRECIO DEL DÓLAR, DIA COMPRA]]</f>
        <v>699.99737650756197</v>
      </c>
      <c r="M11" s="7">
        <f ca="1" xml:space="preserve"> K11 * (IF(G11="BTC", D11, IF(G11="ETH", E11, IF(G11="IO.NET", F11, 0)))) * C11</f>
        <v>1379.5435533864002</v>
      </c>
      <c r="N11" s="32">
        <f ca="1">IF(G11 = "BTC", (D11 - J11) / J11,
 IF(G11 = "ETH", (E11 - J11) / J11,
 IF(G11 = "IO.NET", (F11 - J11) / J11,
 "Moneda no soportada")))</f>
        <v>0.83315406887308763</v>
      </c>
      <c r="O11" s="9">
        <v>0.25</v>
      </c>
      <c r="P11" s="9">
        <v>0.5</v>
      </c>
      <c r="Q11" t="str">
        <f ca="1">IF(N11 &lt; O11, "MANTENER", IF(N11 &lt; P11, "VENTA PARCIAL", "VENDER"))</f>
        <v>VENDER</v>
      </c>
      <c r="T11" s="2"/>
      <c r="U11" s="14">
        <f>Tabla6[[#This Row],[cantidad]]-Tabla6[[#This Row],[CANTIDAD VENDIDA]]</f>
        <v>3.18E-6</v>
      </c>
      <c r="V11" s="2">
        <f ca="1">IF(G11="BTC", D11 * U11 * C11, IF(G11="ETH", E11 * U11 * C11, IF(G11="IO.NET", F11 * U11 * C11, 0)))</f>
        <v>1379.5435533864002</v>
      </c>
      <c r="W11" s="2">
        <f>IF(G11 = "BTC", ((T11 - L11)), IF(G11 = "ETH", ((T11 - L11)), IF(G11 = "IO.NET", ((T11 - L11)), "Moneda no soportada")))</f>
        <v>-699.99737650756197</v>
      </c>
      <c r="X11" s="9">
        <f ca="1">IF(G11 = "BTC", (((D11 - J11) / J11)),IF(G11 = "ETH", ((E11 - J11) / J11), IF(G11 = "IO.NET", ((F11 - J11) / J11), "Moneda no soportada")))</f>
        <v>0.83315406887308763</v>
      </c>
      <c r="Y11" s="2" t="str">
        <f>IF(U11=0,"VENDIDA","ACTIVA")</f>
        <v>ACTIVA</v>
      </c>
    </row>
    <row r="12" spans="2:26">
      <c r="B12" s="1">
        <f ca="1">TODAY()</f>
        <v>45635</v>
      </c>
      <c r="C12" s="2">
        <f ca="1">VLOOKUP(B12,Tabla4[],2,FALSE)</f>
        <v>4426</v>
      </c>
      <c r="D12" s="3">
        <f ca="1">VLOOKUP(B12,Tabla4[],3,FALSE)</f>
        <v>98015.98</v>
      </c>
      <c r="E12" s="2">
        <f ca="1">VLOOKUP(B12,Tabla4[],5,FALSE)</f>
        <v>3842</v>
      </c>
      <c r="F12" s="2">
        <f ca="1">VLOOKUP(B12,Tabla4[],4,FALSE)</f>
        <v>3.23</v>
      </c>
      <c r="G12" t="s">
        <v>14</v>
      </c>
      <c r="H12" s="1">
        <v>45544</v>
      </c>
      <c r="I12" s="3">
        <f>VLOOKUP(H12,Tabla4[],2,FALSE)</f>
        <v>4149.79</v>
      </c>
      <c r="J12" s="3">
        <v>54414</v>
      </c>
      <c r="K12" s="25">
        <v>3.1E-6</v>
      </c>
      <c r="L12" s="29">
        <f>Tabla6[[#This Row],[precio de compra]]*Tabla6[[#This Row],[cantidad]]*Tabla6[[#This Row],[PRECIO DEL DÓLAR, DIA COMPRA]]</f>
        <v>700.00068648600006</v>
      </c>
      <c r="M12" s="26">
        <f ca="1" xml:space="preserve"> K12 * (IF(G12="BTC", D12, IF(G12="ETH", E12, IF(G12="IO.NET", F12, 0)))) * C12</f>
        <v>1344.838055188</v>
      </c>
      <c r="N12" s="41">
        <f ca="1">IF(G12 = "BTC", (D12 - J12) / J12,
 IF(G12 = "ETH", (E12 - J12) / J12,
 IF(G12 = "IO.NET", (F12 - J12) / J12,
 "Moneda no soportada")))</f>
        <v>0.80130076818465823</v>
      </c>
      <c r="O12" s="28">
        <v>0.25</v>
      </c>
      <c r="P12" s="28">
        <v>0.5</v>
      </c>
      <c r="Q12" s="31" t="str">
        <f ca="1">IF(N12 &lt; O12, "MANTENER", IF(N12 &lt; P12, "VENTA PARCIAL", "VENDER"))</f>
        <v>VENDER</v>
      </c>
      <c r="T12" s="2"/>
      <c r="U12" s="14">
        <f>Tabla6[[#This Row],[cantidad]]-Tabla6[[#This Row],[CANTIDAD VENDIDA]]</f>
        <v>3.1E-6</v>
      </c>
      <c r="V12" s="2">
        <f ca="1">IF(G12="BTC", D12 * U12 * C12, IF(G12="ETH", E12 * U12 * C12, IF(G12="IO.NET", F12 * U12 * C12, 0)))</f>
        <v>1344.838055188</v>
      </c>
      <c r="W12" s="2">
        <f>IF(G12 = "BTC", ((T12 - L12)), IF(G12 = "ETH", ((T12 - L12)), IF(G12 = "IO.NET", ((T12 - L12)), "Moneda no soportada")))</f>
        <v>-700.00068648600006</v>
      </c>
      <c r="X12" s="32">
        <f ca="1">IF(G12 = "BTC", (((D12 - J12) / J12)),IF(G12 = "ETH", ((E12 - J12) / J12), IF(G12 = "IO.NET", ((F12 - J12) / J12), "Moneda no soportada")))</f>
        <v>0.80130076818465823</v>
      </c>
      <c r="Y12" s="2" t="str">
        <f>IF(U12=0,"VENDIDA","ACTIVA")</f>
        <v>ACTIVA</v>
      </c>
    </row>
    <row r="13" spans="2:26">
      <c r="B13" s="1">
        <f ca="1">TODAY()</f>
        <v>45635</v>
      </c>
      <c r="C13" s="2">
        <f ca="1">VLOOKUP(B13,Tabla4[],2,FALSE)</f>
        <v>4426</v>
      </c>
      <c r="D13" s="3">
        <f ca="1">VLOOKUP(B13,Tabla4[],3,FALSE)</f>
        <v>98015.98</v>
      </c>
      <c r="E13" s="2">
        <f ca="1">VLOOKUP(B13,Tabla4[],5,FALSE)</f>
        <v>3842</v>
      </c>
      <c r="F13" s="2">
        <f ca="1">VLOOKUP(B13,Tabla4[],4,FALSE)</f>
        <v>3.23</v>
      </c>
      <c r="G13" t="s">
        <v>41</v>
      </c>
      <c r="H13" s="1">
        <v>45572</v>
      </c>
      <c r="I13" s="3">
        <v>4036.67</v>
      </c>
      <c r="J13" s="3">
        <v>1.841</v>
      </c>
      <c r="K13" s="25">
        <v>4.7097090000000001E-2</v>
      </c>
      <c r="L13" s="29">
        <f>Tabla6[[#This Row],[precio de compra]]*Tabla6[[#This Row],[cantidad]]*Tabla6[[#This Row],[PRECIO DEL DÓLAR, DIA COMPRA]]</f>
        <v>350.00247034444232</v>
      </c>
      <c r="M13" s="26">
        <f ca="1" xml:space="preserve"> K13 * (IF(G13="BTC", D13, IF(G13="ETH", E13, IF(G13="IO.NET", F13, 0)))) * C13</f>
        <v>673.29905669820005</v>
      </c>
      <c r="N13" s="41">
        <f ca="1">IF(G13 = "BTC", (D13 - J13) / J13,
 IF(G13 = "ETH", (E13 - J13) / J13,
 IF(G13 = "IO.NET", (F13 - J13) / J13,
 "Moneda no soportada")))</f>
        <v>0.75448126018468231</v>
      </c>
      <c r="O13" s="28">
        <v>0.1</v>
      </c>
      <c r="P13" s="28">
        <v>0.3</v>
      </c>
      <c r="Q13" s="31" t="str">
        <f ca="1">IF(N13 &lt; O13, "MANTENER", IF(N13 &lt; P13, "VENTA PARCIAL", "VENDER"))</f>
        <v>VENDER</v>
      </c>
      <c r="T13" s="2"/>
      <c r="U13" s="14">
        <f>Tabla6[[#This Row],[cantidad]]-Tabla6[[#This Row],[CANTIDAD VENDIDA]]</f>
        <v>4.7097090000000001E-2</v>
      </c>
      <c r="V13" s="2">
        <f ca="1">IF(G13="BTC", D13 * U13 * C13, IF(G13="ETH", E13 * U13 * C13, IF(G13="IO.NET", F13 * U13 * C13, 0)))</f>
        <v>673.29905669820005</v>
      </c>
      <c r="W13" s="2">
        <f>IF(G13 = "BTC", ((T13 - L13)), IF(G13 = "ETH", ((T13 - L13)), IF(G13 = "IO.NET", ((T13 - L13)), "Moneda no soportada")))</f>
        <v>-350.00247034444232</v>
      </c>
      <c r="X13" s="32">
        <f ca="1">IF(G13 = "BTC", (((D13 - J13) / J13)),IF(G13 = "ETH", ((E13 - J13) / J13), IF(G13 = "IO.NET", ((F13 - J13) / J13), "Moneda no soportada")))</f>
        <v>0.75448126018468231</v>
      </c>
      <c r="Y13" s="2" t="str">
        <f>IF(U13=0,"VENDIDA","ACTIVA")</f>
        <v>ACTIVA</v>
      </c>
    </row>
    <row r="14" spans="2:26">
      <c r="B14" s="1">
        <f ca="1">TODAY()</f>
        <v>45635</v>
      </c>
      <c r="C14" s="2">
        <f ca="1">VLOOKUP(B14,Tabla4[],2,FALSE)</f>
        <v>4426</v>
      </c>
      <c r="D14" s="3">
        <f ca="1">VLOOKUP(B14,Tabla4[],3,FALSE)</f>
        <v>98015.98</v>
      </c>
      <c r="E14" s="2">
        <f ca="1">VLOOKUP(B14,Tabla4[],5,FALSE)</f>
        <v>3842</v>
      </c>
      <c r="F14" s="2">
        <f ca="1">VLOOKUP(B14,Tabla4[],4,FALSE)</f>
        <v>3.23</v>
      </c>
      <c r="G14" t="s">
        <v>14</v>
      </c>
      <c r="H14" s="1">
        <v>45537</v>
      </c>
      <c r="I14" s="3">
        <f>VLOOKUP(H14,Tabla4[],2,FALSE)</f>
        <v>4160.3100000000004</v>
      </c>
      <c r="J14" s="3">
        <v>56272.800000000003</v>
      </c>
      <c r="K14" s="25">
        <v>2.9900000000000002E-6</v>
      </c>
      <c r="L14" s="29">
        <f>Tabla6[[#This Row],[precio de compra]]*Tabla6[[#This Row],[cantidad]]*Tabla6[[#This Row],[PRECIO DEL DÓLAR, DIA COMPRA]]</f>
        <v>699.99575477832013</v>
      </c>
      <c r="M14" s="26">
        <f ca="1" xml:space="preserve"> K14 * (IF(G14="BTC", D14, IF(G14="ETH", E14, IF(G14="IO.NET", F14, 0)))) * C14</f>
        <v>1297.1179951652</v>
      </c>
      <c r="N14" s="41">
        <f ca="1">IF(G14 = "BTC", (D14 - J14) / J14,
 IF(G14 = "ETH", (E14 - J14) / J14,
 IF(G14 = "IO.NET", (F14 - J14) / J14,
 "Moneda no soportada")))</f>
        <v>0.74180030138894792</v>
      </c>
      <c r="O14" s="28">
        <v>0.25</v>
      </c>
      <c r="P14" s="28">
        <v>0.5</v>
      </c>
      <c r="Q14" s="31" t="str">
        <f ca="1">IF(N14 &lt; O14, "MANTENER", IF(N14 &lt; P14, "VENTA PARCIAL", "VENDER"))</f>
        <v>VENDER</v>
      </c>
      <c r="T14" s="2"/>
      <c r="U14" s="14">
        <f>Tabla6[[#This Row],[cantidad]]-Tabla6[[#This Row],[CANTIDAD VENDIDA]]</f>
        <v>2.9900000000000002E-6</v>
      </c>
      <c r="V14" s="2">
        <f ca="1">IF(G14="BTC", D14 * U14 * C14, IF(G14="ETH", E14 * U14 * C14, IF(G14="IO.NET", F14 * U14 * C14, 0)))</f>
        <v>1297.1179951652</v>
      </c>
      <c r="W14" s="2">
        <f>IF(G14 = "BTC", ((T14 - L14)), IF(G14 = "ETH", ((T14 - L14)), IF(G14 = "IO.NET", ((T14 - L14)), "Moneda no soportada")))</f>
        <v>-699.99575477832013</v>
      </c>
      <c r="X14" s="32">
        <f ca="1">IF(G14 = "BTC", (((D14 - J14) / J14)),IF(G14 = "ETH", ((E14 - J14) / J14), IF(G14 = "IO.NET", ((F14 - J14) / J14), "Moneda no soportada")))</f>
        <v>0.74180030138894792</v>
      </c>
      <c r="Y14" s="2" t="str">
        <f>IF(U14=0,"VENDIDA","ACTIVA")</f>
        <v>ACTIVA</v>
      </c>
    </row>
    <row r="15" spans="2:26">
      <c r="B15" s="1">
        <f ca="1">TODAY()</f>
        <v>45635</v>
      </c>
      <c r="C15" s="2">
        <f ca="1">VLOOKUP(B15,Tabla4[],2,FALSE)</f>
        <v>4426</v>
      </c>
      <c r="D15" s="3">
        <f ca="1">VLOOKUP(B15,Tabla4[],3,FALSE)</f>
        <v>98015.98</v>
      </c>
      <c r="E15" s="2">
        <f ca="1">VLOOKUP(B15,Tabla4[],5,FALSE)</f>
        <v>3842</v>
      </c>
      <c r="F15" s="2">
        <f ca="1">VLOOKUP(B15,Tabla4[],4,FALSE)</f>
        <v>3.23</v>
      </c>
      <c r="G15" t="s">
        <v>41</v>
      </c>
      <c r="H15" s="1">
        <v>45586</v>
      </c>
      <c r="I15" s="3">
        <f>VLOOKUP(H15,Tabla4[],2,FALSE)</f>
        <v>4270</v>
      </c>
      <c r="J15" s="3">
        <v>1.87052</v>
      </c>
      <c r="K15" s="25">
        <v>4.3820940000000003E-2</v>
      </c>
      <c r="L15" s="29">
        <f>Tabla6[[#This Row],[precio de compra]]*Tabla6[[#This Row],[cantidad]]*Tabla6[[#This Row],[PRECIO DEL DÓLAR, DIA COMPRA]]</f>
        <v>350.00312382117602</v>
      </c>
      <c r="M15" s="26">
        <f ca="1" xml:space="preserve"> K15 * (IF(G15="BTC", D15, IF(G15="ETH", E15, IF(G15="IO.NET", F15, 0)))) * C15</f>
        <v>626.4632818212001</v>
      </c>
      <c r="N15" s="41">
        <f ca="1">IF(G15 = "BTC", (D15 - J15) / J15,
 IF(G15 = "ETH", (E15 - J15) / J15,
 IF(G15 = "IO.NET", (F15 - J15) / J15,
 "Moneda no soportada")))</f>
        <v>0.72679254966533369</v>
      </c>
      <c r="O15" s="28">
        <v>0.1</v>
      </c>
      <c r="P15" s="28">
        <v>0.3</v>
      </c>
      <c r="Q15" s="31" t="str">
        <f ca="1">IF(N15 &lt; O15, "MANTENER", IF(N15 &lt; P15, "VENTA PARCIAL", "VENDER"))</f>
        <v>VENDER</v>
      </c>
      <c r="T15" s="2"/>
      <c r="U15" s="14">
        <f>Tabla6[[#This Row],[cantidad]]-Tabla6[[#This Row],[CANTIDAD VENDIDA]]</f>
        <v>4.3820940000000003E-2</v>
      </c>
      <c r="V15" s="2">
        <f ca="1">IF(G15="BTC", D15 * U15 * C15, IF(G15="ETH", E15 * U15 * C15, IF(G15="IO.NET", F15 * U15 * C15, 0)))</f>
        <v>626.4632818212001</v>
      </c>
      <c r="W15" s="2">
        <f>IF(G15 = "BTC", ((T15 - L15)), IF(G15 = "ETH", ((T15 - L15)), IF(G15 = "IO.NET", ((T15 - L15)), "Moneda no soportada")))</f>
        <v>-350.00312382117602</v>
      </c>
      <c r="X15" s="32">
        <f ca="1">IF(G15 = "BTC", (((D15 - J15) / J15)),IF(G15 = "ETH", ((E15 - J15) / J15), IF(G15 = "IO.NET", ((F15 - J15) / J15), "Moneda no soportada")))</f>
        <v>0.72679254966533369</v>
      </c>
      <c r="Y15" s="2" t="str">
        <f>IF(U15=0,"VENDIDA","ACTIVA")</f>
        <v>ACTIVA</v>
      </c>
    </row>
    <row r="16" spans="2:26">
      <c r="B16" s="1">
        <f ca="1">TODAY()</f>
        <v>45635</v>
      </c>
      <c r="C16" s="2">
        <f ca="1">VLOOKUP(B16,Tabla4[],2,FALSE)</f>
        <v>4426</v>
      </c>
      <c r="D16" s="3">
        <f ca="1">VLOOKUP(B16,Tabla4[],3,FALSE)</f>
        <v>98015.98</v>
      </c>
      <c r="E16" s="2">
        <f ca="1">VLOOKUP(B16,Tabla4[],5,FALSE)</f>
        <v>3842</v>
      </c>
      <c r="F16" s="2">
        <f ca="1">VLOOKUP(B16,Tabla4[],4,FALSE)</f>
        <v>3.23</v>
      </c>
      <c r="G16" t="s">
        <v>14</v>
      </c>
      <c r="H16" s="1">
        <v>45481</v>
      </c>
      <c r="I16" s="3">
        <f>VLOOKUP(H16,Tabla4[],2,FALSE)</f>
        <v>4078.65</v>
      </c>
      <c r="J16" s="3">
        <v>57094.400000000001</v>
      </c>
      <c r="K16" s="11">
        <v>3.0299999999999998E-6</v>
      </c>
      <c r="L16" s="7">
        <f>Tabla6[[#This Row],[precio de compra]]*Tabla6[[#This Row],[cantidad]]*Tabla6[[#This Row],[PRECIO DEL DÓLAR, DIA COMPRA]]</f>
        <v>705.59026591680004</v>
      </c>
      <c r="M16" s="13">
        <f ca="1" xml:space="preserve"> K16 * (IF(G16="BTC", D16, IF(G16="ETH", E16, IF(G16="IO.NET", F16, 0)))) * C16</f>
        <v>1314.4707442643999</v>
      </c>
      <c r="N16" s="32">
        <f ca="1">IF(G16 = "BTC", (D16 - J16) / J16,
 IF(G16 = "ETH", (E16 - J16) / J16,
 IF(G16 = "IO.NET", (F16 - J16) / J16,
 "Moneda no soportada")))</f>
        <v>0.71673544165452296</v>
      </c>
      <c r="O16" s="9">
        <v>0.25</v>
      </c>
      <c r="P16" s="9">
        <v>0.5</v>
      </c>
      <c r="Q16" t="str">
        <f ca="1">IF(N16 &lt; O16, "MANTENER", IF(N16 &lt; P16, "VENTA PARCIAL", "VENDER"))</f>
        <v>VENDER</v>
      </c>
      <c r="T16" s="2"/>
      <c r="U16" s="14">
        <f>Tabla6[[#This Row],[cantidad]]-Tabla6[[#This Row],[CANTIDAD VENDIDA]]</f>
        <v>3.0299999999999998E-6</v>
      </c>
      <c r="V16" s="2">
        <f ca="1">IF(G16="BTC", D16 * U16 * C16, IF(G16="ETH", E16 * U16 * C16, IF(G16="IO.NET", F16 * U16 * C16, 0)))</f>
        <v>1314.4707442643999</v>
      </c>
      <c r="W16" s="2">
        <f>IF(G16 = "BTC", ((T16 - L16)), IF(G16 = "ETH", ((T16 - L16)), IF(G16 = "IO.NET", ((T16 - L16)), "Moneda no soportada")))</f>
        <v>-705.59026591680004</v>
      </c>
      <c r="X16" s="9">
        <f ca="1">IF(G16 = "BTC", (((D16 - J16) / J16)),IF(G16 = "ETH", ((E16 - J16) / J16), IF(G16 = "IO.NET", ((F16 - J16) / J16), "Moneda no soportada")))</f>
        <v>0.71673544165452296</v>
      </c>
      <c r="Y16" s="2" t="str">
        <f>IF(U16=0,"VENDIDA","ACTIVA")</f>
        <v>ACTIVA</v>
      </c>
    </row>
    <row r="17" spans="2:25">
      <c r="B17" s="1">
        <f ca="1">TODAY()</f>
        <v>45635</v>
      </c>
      <c r="C17" s="2">
        <f ca="1">VLOOKUP(B17,Tabla4[],2,FALSE)</f>
        <v>4426</v>
      </c>
      <c r="D17" s="3">
        <f ca="1">VLOOKUP(B17,Tabla4[],3,FALSE)</f>
        <v>98015.98</v>
      </c>
      <c r="E17" s="2">
        <f ca="1">VLOOKUP(B17,Tabla4[],5,FALSE)</f>
        <v>3842</v>
      </c>
      <c r="F17" s="2">
        <f ca="1">VLOOKUP(B17,Tabla4[],4,FALSE)</f>
        <v>3.23</v>
      </c>
      <c r="G17" t="s">
        <v>14</v>
      </c>
      <c r="H17" s="1">
        <v>45523</v>
      </c>
      <c r="I17" s="3">
        <f>VLOOKUP(H17,Tabla4[],2,FALSE)</f>
        <v>4030.16</v>
      </c>
      <c r="J17" s="3">
        <v>57323.8</v>
      </c>
      <c r="K17" s="25">
        <v>3.0299999999999998E-6</v>
      </c>
      <c r="L17" s="29">
        <f>Tabla6[[#This Row],[precio de compra]]*Tabla6[[#This Row],[cantidad]]*Tabla6[[#This Row],[PRECIO DEL DÓLAR, DIA COMPRA]]</f>
        <v>700.00297999823999</v>
      </c>
      <c r="M17" s="26">
        <f ca="1" xml:space="preserve"> K17 * (IF(G17="BTC", D17, IF(G17="ETH", E17, IF(G17="IO.NET", F17, 0)))) * C17</f>
        <v>1314.4707442643999</v>
      </c>
      <c r="N17" s="41">
        <f ca="1">IF(G17 = "BTC", (D17 - J17) / J17,
 IF(G17 = "ETH", (E17 - J17) / J17,
 IF(G17 = "IO.NET", (F17 - J17) / J17,
 "Moneda no soportada")))</f>
        <v>0.70986536133333777</v>
      </c>
      <c r="O17" s="28">
        <v>0.25</v>
      </c>
      <c r="P17" s="28">
        <v>0.5</v>
      </c>
      <c r="Q17" t="str">
        <f ca="1">IF(N17 &lt; O17, "MANTENER", IF(N17 &lt; P17, "VENTA PARCIAL", "VENDER"))</f>
        <v>VENDER</v>
      </c>
      <c r="T17" s="2"/>
      <c r="U17" s="14">
        <f>Tabla6[[#This Row],[cantidad]]-Tabla6[[#This Row],[CANTIDAD VENDIDA]]</f>
        <v>3.0299999999999998E-6</v>
      </c>
      <c r="V17" s="2">
        <f ca="1">IF(G17="BTC", D17 * U17 * C17, IF(G17="ETH", E17 * U17 * C17, IF(G17="IO.NET", F17 * U17 * C17, 0)))</f>
        <v>1314.4707442643999</v>
      </c>
      <c r="W17" s="2">
        <f>IF(G17 = "BTC", ((T17 - L17)), IF(G17 = "ETH", ((T17 - L17)), IF(G17 = "IO.NET", ((T17 - L17)), "Moneda no soportada")))</f>
        <v>-700.00297999823999</v>
      </c>
      <c r="X17" s="9">
        <f ca="1">IF(G17 = "BTC", (((D17 - J17) / J17)),IF(G17 = "ETH", ((E17 - J17) / J17), IF(G17 = "IO.NET", ((F17 - J17) / J17), "Moneda no soportada")))</f>
        <v>0.70986536133333777</v>
      </c>
      <c r="Y17" s="2" t="str">
        <f>IF(U17=0,"VENDIDA","ACTIVA")</f>
        <v>ACTIVA</v>
      </c>
    </row>
    <row r="18" spans="2:25">
      <c r="B18" s="1">
        <f ca="1">TODAY()</f>
        <v>45635</v>
      </c>
      <c r="C18" s="2">
        <f ca="1">VLOOKUP(B18,Tabla4[],2,FALSE)</f>
        <v>4426</v>
      </c>
      <c r="D18" s="3">
        <f ca="1">VLOOKUP(B18,Tabla4[],3,FALSE)</f>
        <v>98015.98</v>
      </c>
      <c r="E18" s="2">
        <f ca="1">VLOOKUP(B18,Tabla4[],5,FALSE)</f>
        <v>3842</v>
      </c>
      <c r="F18" s="2">
        <f ca="1">VLOOKUP(B18,Tabla4[],4,FALSE)</f>
        <v>3.23</v>
      </c>
      <c r="G18" t="s">
        <v>15</v>
      </c>
      <c r="H18" s="1">
        <v>45551</v>
      </c>
      <c r="I18" s="3">
        <f>VLOOKUP(H18,Tabla4[],2,FALSE)</f>
        <v>4172.13</v>
      </c>
      <c r="J18" s="3">
        <v>2269.46</v>
      </c>
      <c r="K18" s="25">
        <v>7.3930000000000005E-5</v>
      </c>
      <c r="L18" s="29">
        <f>Tabla6[[#This Row],[precio de compra]]*Tabla6[[#This Row],[cantidad]]*Tabla6[[#This Row],[PRECIO DEL DÓLAR, DIA COMPRA]]</f>
        <v>700.00488533471412</v>
      </c>
      <c r="M18" s="26">
        <f ca="1" xml:space="preserve"> K18 * (IF(G18="BTC", D18, IF(G18="ETH", E18, IF(G18="IO.NET", F18, 0)))) * C18</f>
        <v>1257.1568795600001</v>
      </c>
      <c r="N18" s="41">
        <f ca="1">IF(G18 = "BTC", (D18 - J18) / J18,
 IF(G18 = "ETH", (E18 - J18) / J18,
 IF(G18 = "IO.NET", (F18 - J18) / J18,
 "Moneda no soportada")))</f>
        <v>0.69291373278224777</v>
      </c>
      <c r="O18" s="28">
        <v>0.25</v>
      </c>
      <c r="P18" s="28">
        <v>0.5</v>
      </c>
      <c r="Q18" s="31" t="str">
        <f ca="1">IF(N18 &lt; O18, "MANTENER", IF(N18 &lt; P18, "VENTA PARCIAL", "VENDER"))</f>
        <v>VENDER</v>
      </c>
      <c r="T18" s="2"/>
      <c r="U18" s="14">
        <f>Tabla6[[#This Row],[cantidad]]-Tabla6[[#This Row],[CANTIDAD VENDIDA]]</f>
        <v>7.3930000000000005E-5</v>
      </c>
      <c r="V18" s="2">
        <f ca="1">IF(G18="BTC", D18 * U18 * C18, IF(G18="ETH", E18 * U18 * C18, IF(G18="IO.NET", F18 * U18 * C18, 0)))</f>
        <v>1257.1568795600001</v>
      </c>
      <c r="W18" s="2">
        <f>IF(G18 = "BTC", ((T18 - L18)), IF(G18 = "ETH", ((T18 - L18)), IF(G18 = "IO.NET", ((T18 - L18)), "Moneda no soportada")))</f>
        <v>-700.00488533471412</v>
      </c>
      <c r="X18" s="32">
        <f ca="1">IF(G18 = "BTC", (((D18 - J18) / J18)),IF(G18 = "ETH", ((E18 - J18) / J18), IF(G18 = "IO.NET", ((F18 - J18) / J18), "Moneda no soportada")))</f>
        <v>0.69291373278224777</v>
      </c>
      <c r="Y18" s="2" t="str">
        <f>IF(U18=0,"VENDIDA","ACTIVA")</f>
        <v>ACTIVA</v>
      </c>
    </row>
    <row r="19" spans="2:25">
      <c r="B19" s="1">
        <f ca="1">TODAY()</f>
        <v>45635</v>
      </c>
      <c r="C19" s="2">
        <f ca="1">VLOOKUP(B19,Tabla4[],2,FALSE)</f>
        <v>4426</v>
      </c>
      <c r="D19" s="3">
        <f ca="1">VLOOKUP(B19,Tabla4[],3,FALSE)</f>
        <v>98015.98</v>
      </c>
      <c r="E19" s="2">
        <f ca="1">VLOOKUP(B19,Tabla4[],5,FALSE)</f>
        <v>3842</v>
      </c>
      <c r="F19" s="2">
        <f ca="1">VLOOKUP(B19,Tabla4[],4,FALSE)</f>
        <v>3.23</v>
      </c>
      <c r="G19" t="s">
        <v>14</v>
      </c>
      <c r="H19" s="1">
        <v>45551</v>
      </c>
      <c r="I19" s="3">
        <f>VLOOKUP(H19,Tabla4[],2,FALSE)</f>
        <v>4172.13</v>
      </c>
      <c r="J19" s="3">
        <v>58055.63</v>
      </c>
      <c r="K19" s="25">
        <v>2.8899999999999999E-6</v>
      </c>
      <c r="L19" s="29">
        <f>Tabla6[[#This Row],[precio de compra]]*Tabla6[[#This Row],[cantidad]]*Tabla6[[#This Row],[PRECIO DEL DÓLAR, DIA COMPRA]]</f>
        <v>700.00318686059086</v>
      </c>
      <c r="M19" s="26">
        <f ca="1" xml:space="preserve"> K19 * (IF(G19="BTC", D19, IF(G19="ETH", E19, IF(G19="IO.NET", F19, 0)))) * C19</f>
        <v>1253.7361224172</v>
      </c>
      <c r="N19" s="41">
        <f ca="1">IF(G19 = "BTC", (D19 - J19) / J19,
 IF(G19 = "ETH", (E19 - J19) / J19,
 IF(G19 = "IO.NET", (F19 - J19) / J19,
 "Moneda no soportada")))</f>
        <v>0.6883113661844682</v>
      </c>
      <c r="O19" s="28">
        <v>0.25</v>
      </c>
      <c r="P19" s="28">
        <v>0.5</v>
      </c>
      <c r="Q19" s="31" t="str">
        <f ca="1">IF(N19 &lt; O19, "MANTENER", IF(N19 &lt; P19, "VENTA PARCIAL", "VENDER"))</f>
        <v>VENDER</v>
      </c>
      <c r="T19" s="2"/>
      <c r="U19" s="14">
        <f>Tabla6[[#This Row],[cantidad]]-Tabla6[[#This Row],[CANTIDAD VENDIDA]]</f>
        <v>2.8899999999999999E-6</v>
      </c>
      <c r="V19" s="2">
        <f ca="1">IF(G19="BTC", D19 * U19 * C19, IF(G19="ETH", E19 * U19 * C19, IF(G19="IO.NET", F19 * U19 * C19, 0)))</f>
        <v>1253.7361224172</v>
      </c>
      <c r="W19" s="2">
        <f>IF(G19 = "BTC", ((T19 - L19)), IF(G19 = "ETH", ((T19 - L19)), IF(G19 = "IO.NET", ((T19 - L19)), "Moneda no soportada")))</f>
        <v>-700.00318686059086</v>
      </c>
      <c r="X19" s="32">
        <f ca="1">IF(G19 = "BTC", (((D19 - J19) / J19)),IF(G19 = "ETH", ((E19 - J19) / J19), IF(G19 = "IO.NET", ((F19 - J19) / J19), "Moneda no soportada")))</f>
        <v>0.6883113661844682</v>
      </c>
      <c r="Y19" s="2" t="str">
        <f>IF(U19=0,"VENDIDA","ACTIVA")</f>
        <v>ACTIVA</v>
      </c>
    </row>
    <row r="20" spans="2:25">
      <c r="B20" s="1">
        <f ca="1">TODAY()</f>
        <v>45635</v>
      </c>
      <c r="C20" s="2">
        <f ca="1">VLOOKUP(B20,Tabla4[],2,FALSE)</f>
        <v>4426</v>
      </c>
      <c r="D20" s="3">
        <f ca="1">VLOOKUP(B20,Tabla4[],3,FALSE)</f>
        <v>98015.98</v>
      </c>
      <c r="E20" s="2">
        <f ca="1">VLOOKUP(B20,Tabla4[],5,FALSE)</f>
        <v>3842</v>
      </c>
      <c r="F20" s="2">
        <f ca="1">VLOOKUP(B20,Tabla4[],4,FALSE)</f>
        <v>3.23</v>
      </c>
      <c r="G20" t="s">
        <v>15</v>
      </c>
      <c r="H20" s="1">
        <v>45544</v>
      </c>
      <c r="I20" s="3">
        <f>VLOOKUP(H20,Tabla4[],2,FALSE)</f>
        <v>4149.79</v>
      </c>
      <c r="J20" s="3">
        <v>2282.59</v>
      </c>
      <c r="K20" s="25">
        <v>7.3899999999999994E-5</v>
      </c>
      <c r="L20" s="29">
        <f>Tabla6[[#This Row],[precio de compra]]*Tabla6[[#This Row],[cantidad]]*Tabla6[[#This Row],[PRECIO DEL DÓLAR, DIA COMPRA]]</f>
        <v>700.00069063578997</v>
      </c>
      <c r="M20" s="26">
        <f ca="1" xml:space="preserve"> K20 * (IF(G20="BTC", D20, IF(G20="ETH", E20, IF(G20="IO.NET", F20, 0)))) * C20</f>
        <v>1256.6467387999999</v>
      </c>
      <c r="N20" s="41">
        <f ca="1">IF(G20 = "BTC", (D20 - J20) / J20,
 IF(G20 = "ETH", (E20 - J20) / J20,
 IF(G20 = "IO.NET", (F20 - J20) / J20,
 "Moneda no soportada")))</f>
        <v>0.68317569077232432</v>
      </c>
      <c r="O20" s="28">
        <v>0.25</v>
      </c>
      <c r="P20" s="28">
        <v>0.5</v>
      </c>
      <c r="Q20" s="31" t="str">
        <f ca="1">IF(N20 &lt; O20, "MANTENER", IF(N20 &lt; P20, "VENTA PARCIAL", "VENDER"))</f>
        <v>VENDER</v>
      </c>
      <c r="T20" s="2"/>
      <c r="U20" s="14">
        <f>Tabla6[[#This Row],[cantidad]]-Tabla6[[#This Row],[CANTIDAD VENDIDA]]</f>
        <v>7.3899999999999994E-5</v>
      </c>
      <c r="V20" s="2">
        <f ca="1">IF(G20="BTC", D20 * U20 * C20, IF(G20="ETH", E20 * U20 * C20, IF(G20="IO.NET", F20 * U20 * C20, 0)))</f>
        <v>1256.6467387999999</v>
      </c>
      <c r="W20" s="2">
        <f>IF(G20 = "BTC", ((T20 - L20)), IF(G20 = "ETH", ((T20 - L20)), IF(G20 = "IO.NET", ((T20 - L20)), "Moneda no soportada")))</f>
        <v>-700.00069063578997</v>
      </c>
      <c r="X20" s="32">
        <f ca="1">IF(G20 = "BTC", (((D20 - J20) / J20)),IF(G20 = "ETH", ((E20 - J20) / J20), IF(G20 = "IO.NET", ((F20 - J20) / J20), "Moneda no soportada")))</f>
        <v>0.68317569077232432</v>
      </c>
      <c r="Y20" s="2" t="str">
        <f>IF(U20=0,"VENDIDA","ACTIVA")</f>
        <v>ACTIVA</v>
      </c>
    </row>
    <row r="21" spans="2:25">
      <c r="B21" s="1">
        <f ca="1">TODAY()</f>
        <v>45635</v>
      </c>
      <c r="C21" s="2">
        <f ca="1">VLOOKUP(B21,Tabla4[],2,FALSE)</f>
        <v>4426</v>
      </c>
      <c r="D21" s="3">
        <f ca="1">VLOOKUP(B21,Tabla4[],3,FALSE)</f>
        <v>98015.98</v>
      </c>
      <c r="E21" s="2">
        <f ca="1">VLOOKUP(B21,Tabla4[],5,FALSE)</f>
        <v>3842</v>
      </c>
      <c r="F21" s="2">
        <f ca="1">VLOOKUP(B21,Tabla4[],4,FALSE)</f>
        <v>3.23</v>
      </c>
      <c r="G21" t="s">
        <v>41</v>
      </c>
      <c r="H21" s="1">
        <v>45579</v>
      </c>
      <c r="I21" s="3">
        <f>VLOOKUP(H21,Tabla4[],2,FALSE)</f>
        <v>4210.95</v>
      </c>
      <c r="J21" s="3">
        <v>1.9345000000000001</v>
      </c>
      <c r="K21" s="25">
        <v>4.2965499999999997E-2</v>
      </c>
      <c r="L21" s="29">
        <f>Tabla6[[#This Row],[precio de compra]]*Tabla6[[#This Row],[cantidad]]*Tabla6[[#This Row],[PRECIO DEL DÓLAR, DIA COMPRA]]</f>
        <v>350.00051946926249</v>
      </c>
      <c r="M21" s="26">
        <f ca="1" xml:space="preserve"> K21 * (IF(G21="BTC", D21, IF(G21="ETH", E21, IF(G21="IO.NET", F21, 0)))) * C21</f>
        <v>614.23392868999997</v>
      </c>
      <c r="N21" s="41">
        <f ca="1">IF(G21 = "BTC", (D21 - J21) / J21,
 IF(G21 = "ETH", (E21 - J21) / J21,
 IF(G21 = "IO.NET", (F21 - J21) / J21,
 "Moneda no soportada")))</f>
        <v>0.66968208839493404</v>
      </c>
      <c r="O21" s="28">
        <v>0.1</v>
      </c>
      <c r="P21" s="28">
        <v>0.3</v>
      </c>
      <c r="Q21" s="31" t="str">
        <f ca="1">IF(N21 &lt; O21, "MANTENER", IF(N21 &lt; P21, "VENTA PARCIAL", "VENDER"))</f>
        <v>VENDER</v>
      </c>
      <c r="T21" s="2"/>
      <c r="U21" s="14">
        <f>Tabla6[[#This Row],[cantidad]]-Tabla6[[#This Row],[CANTIDAD VENDIDA]]</f>
        <v>4.2965499999999997E-2</v>
      </c>
      <c r="V21" s="2">
        <f ca="1">IF(G21="BTC", D21 * U21 * C21, IF(G21="ETH", E21 * U21 * C21, IF(G21="IO.NET", F21 * U21 * C21, 0)))</f>
        <v>614.23392868999997</v>
      </c>
      <c r="W21" s="2">
        <f>IF(G21 = "BTC", ((T21 - L21)), IF(G21 = "ETH", ((T21 - L21)), IF(G21 = "IO.NET", ((T21 - L21)), "Moneda no soportada")))</f>
        <v>-350.00051946926249</v>
      </c>
      <c r="X21" s="32">
        <f ca="1">IF(G21 = "BTC", (((D21 - J21) / J21)),IF(G21 = "ETH", ((E21 - J21) / J21), IF(G21 = "IO.NET", ((F21 - J21) / J21), "Moneda no soportada")))</f>
        <v>0.66968208839493404</v>
      </c>
      <c r="Y21" s="2" t="str">
        <f>IF(U21=0,"VENDIDA","ACTIVA")</f>
        <v>ACTIVA</v>
      </c>
    </row>
    <row r="22" spans="2:25">
      <c r="B22" s="1">
        <f ca="1">TODAY()</f>
        <v>45635</v>
      </c>
      <c r="C22" s="2">
        <f ca="1">VLOOKUP(B22,Tabla4[],2,FALSE)</f>
        <v>4426</v>
      </c>
      <c r="D22" s="3">
        <f ca="1">VLOOKUP(B22,Tabla4[],3,FALSE)</f>
        <v>98015.98</v>
      </c>
      <c r="E22" s="2">
        <f ca="1">VLOOKUP(B22,Tabla4[],5,FALSE)</f>
        <v>3842</v>
      </c>
      <c r="F22" s="2">
        <f ca="1">VLOOKUP(B22,Tabla4[],4,FALSE)</f>
        <v>3.23</v>
      </c>
      <c r="G22" t="s">
        <v>14</v>
      </c>
      <c r="H22" s="1">
        <v>45516</v>
      </c>
      <c r="I22" s="3">
        <f>VLOOKUP(H22,Tabla4[],2,FALSE)</f>
        <v>4073.83</v>
      </c>
      <c r="J22" s="3">
        <v>59047.29</v>
      </c>
      <c r="K22" s="11">
        <v>2.9100000000000001E-6</v>
      </c>
      <c r="L22" s="29">
        <f>Tabla6[[#This Row],[precio de compra]]*Tabla6[[#This Row],[cantidad]]*Tabla6[[#This Row],[PRECIO DEL DÓLAR, DIA COMPRA]]</f>
        <v>699.99648833423703</v>
      </c>
      <c r="M22" s="26">
        <f ca="1" xml:space="preserve"> K22 * (IF(G22="BTC", D22, IF(G22="ETH", E22, IF(G22="IO.NET", F22, 0)))) * C22</f>
        <v>1262.4124969667998</v>
      </c>
      <c r="N22" s="41">
        <f ca="1">IF(G22 = "BTC", (D22 - J22) / J22,
 IF(G22 = "ETH", (E22 - J22) / J22,
 IF(G22 = "IO.NET", (F22 - J22) / J22,
 "Moneda no soportada")))</f>
        <v>0.65995729863301089</v>
      </c>
      <c r="O22" s="28">
        <v>0.25</v>
      </c>
      <c r="P22" s="28">
        <v>0.5</v>
      </c>
      <c r="Q22" t="str">
        <f ca="1">IF(N22 &lt; O22, "MANTENER", IF(N22 &lt; P22, "VENTA PARCIAL", "VENDER"))</f>
        <v>VENDER</v>
      </c>
      <c r="T22" s="2"/>
      <c r="U22" s="14">
        <f>Tabla6[[#This Row],[cantidad]]-Tabla6[[#This Row],[CANTIDAD VENDIDA]]</f>
        <v>2.9100000000000001E-6</v>
      </c>
      <c r="V22" s="2">
        <f ca="1">IF(G22="BTC", D22 * U22 * C22, IF(G22="ETH", E22 * U22 * C22, IF(G22="IO.NET", F22 * U22 * C22, 0)))</f>
        <v>1262.4124969667998</v>
      </c>
      <c r="W22" s="2">
        <f>IF(G22 = "BTC", ((T22 - L22)), IF(G22 = "ETH", ((T22 - L22)), IF(G22 = "IO.NET", ((T22 - L22)), "Moneda no soportada")))</f>
        <v>-699.99648833423703</v>
      </c>
      <c r="X22" s="9">
        <f ca="1">IF(G22 = "BTC", (((D22 - J22) / J22)),IF(G22 = "ETH", ((E22 - J22) / J22), IF(G22 = "IO.NET", ((F22 - J22) / J22), "Moneda no soportada")))</f>
        <v>0.65995729863301089</v>
      </c>
      <c r="Y22" s="2" t="str">
        <f>IF(U22=0,"VENDIDA","ACTIVA")</f>
        <v>ACTIVA</v>
      </c>
    </row>
    <row r="23" spans="2:25">
      <c r="B23" s="1">
        <f ca="1">TODAY()</f>
        <v>45635</v>
      </c>
      <c r="C23" s="2">
        <f ca="1">VLOOKUP(B23,Tabla4[],2,FALSE)</f>
        <v>4426</v>
      </c>
      <c r="D23" s="3">
        <f ca="1">VLOOKUP(B23,Tabla4[],3,FALSE)</f>
        <v>98015.98</v>
      </c>
      <c r="E23" s="2">
        <f ca="1">VLOOKUP(B23,Tabla4[],5,FALSE)</f>
        <v>3842</v>
      </c>
      <c r="F23" s="2">
        <f ca="1">VLOOKUP(B23,Tabla4[],4,FALSE)</f>
        <v>3.23</v>
      </c>
      <c r="G23" t="s">
        <v>15</v>
      </c>
      <c r="H23" s="1">
        <v>45509</v>
      </c>
      <c r="I23" s="3">
        <f>VLOOKUP(H23,Tabla4[],2,FALSE)</f>
        <v>4116.91</v>
      </c>
      <c r="J23" s="3">
        <v>2374.38</v>
      </c>
      <c r="K23" s="11">
        <v>7.161E-5</v>
      </c>
      <c r="L23" s="7">
        <f>Tabla6[[#This Row],[precio de compra]]*Tabla6[[#This Row],[cantidad]]*Tabla6[[#This Row],[PRECIO DEL DÓLAR, DIA COMPRA]]</f>
        <v>699.99553871893795</v>
      </c>
      <c r="M23" s="13">
        <f ca="1" xml:space="preserve"> K23 * (IF(G23="BTC", D23, IF(G23="ETH", E23, IF(G23="IO.NET", F23, 0)))) * C23</f>
        <v>1217.70599412</v>
      </c>
      <c r="N23" s="32">
        <f ca="1">IF(G23 = "BTC", (D23 - J23) / J23,
 IF(G23 = "ETH", (E23 - J23) / J23,
 IF(G23 = "IO.NET", (F23 - J23) / J23,
 "Moneda no soportada")))</f>
        <v>0.6181066215180383</v>
      </c>
      <c r="O23" s="9">
        <v>0.25</v>
      </c>
      <c r="P23" s="9">
        <v>0.5</v>
      </c>
      <c r="Q23" t="str">
        <f ca="1">IF(N23 &lt; O23, "MANTENER", IF(N23 &lt; P23, "VENTA PARCIAL", "VENDER"))</f>
        <v>VENDER</v>
      </c>
      <c r="T23" s="2"/>
      <c r="U23" s="14">
        <f>Tabla6[[#This Row],[cantidad]]-Tabla6[[#This Row],[CANTIDAD VENDIDA]]</f>
        <v>7.161E-5</v>
      </c>
      <c r="V23" s="2">
        <f ca="1">IF(G23="BTC", D23 * U23 * C23, IF(G23="ETH", E23 * U23 * C23, IF(G23="IO.NET", F23 * U23 * C23, 0)))</f>
        <v>1217.70599412</v>
      </c>
      <c r="W23" s="2">
        <f>IF(G23 = "BTC", ((T23 - L23)), IF(G23 = "ETH", ((T23 - L23)), IF(G23 = "IO.NET", ((T23 - L23)), "Moneda no soportada")))</f>
        <v>-699.99553871893795</v>
      </c>
      <c r="X23" s="9">
        <f ca="1">IF(G23 = "BTC", (((D23 - J23) / J23)),IF(G23 = "ETH", ((E23 - J23) / J23), IF(G23 = "IO.NET", ((F23 - J23) / J23), "Moneda no soportada")))</f>
        <v>0.6181066215180383</v>
      </c>
      <c r="Y23" s="2" t="str">
        <f>IF(U23=0,"VENDIDA","ACTIVA")</f>
        <v>ACTIVA</v>
      </c>
    </row>
    <row r="24" spans="2:25">
      <c r="B24" s="1">
        <f ca="1">TODAY()</f>
        <v>45635</v>
      </c>
      <c r="C24" s="2">
        <f ca="1">VLOOKUP(B24,Tabla4[],2,FALSE)</f>
        <v>4426</v>
      </c>
      <c r="D24" s="3">
        <f ca="1">VLOOKUP(B24,Tabla4[],3,FALSE)</f>
        <v>98015.98</v>
      </c>
      <c r="E24" s="2">
        <f ca="1">VLOOKUP(B24,Tabla4[],5,FALSE)</f>
        <v>3842</v>
      </c>
      <c r="F24" s="2">
        <f ca="1">VLOOKUP(B24,Tabla4[],4,FALSE)</f>
        <v>3.23</v>
      </c>
      <c r="G24" t="s">
        <v>14</v>
      </c>
      <c r="H24" s="1">
        <v>45475</v>
      </c>
      <c r="I24" s="3">
        <f>VLOOKUP(H24,Tabla4[],2,FALSE)</f>
        <v>4129.08</v>
      </c>
      <c r="J24" s="3">
        <v>60973.4</v>
      </c>
      <c r="K24" s="11">
        <v>2.7099999999999999E-6</v>
      </c>
      <c r="L24" s="7">
        <f>Tabla6[[#This Row],[precio de compra]]*Tabla6[[#This Row],[cantidad]]*Tabla6[[#This Row],[PRECIO DEL DÓLAR, DIA COMPRA]]</f>
        <v>682.28056593911992</v>
      </c>
      <c r="M24" s="13">
        <f ca="1" xml:space="preserve"> K24 * (IF(G24="BTC", D24, IF(G24="ETH", E24, IF(G24="IO.NET", F24, 0)))) * C24</f>
        <v>1175.6487514707999</v>
      </c>
      <c r="N24" s="32">
        <f ca="1">IF(G24 = "BTC", (D24 - J24) / J24,
 IF(G24 = "ETH", (E24 - J24) / J24,
 IF(G24 = "IO.NET", (F24 - J24) / J24,
 "Moneda no soportada")))</f>
        <v>0.60752032853670601</v>
      </c>
      <c r="O24" s="9">
        <v>0.25</v>
      </c>
      <c r="P24" s="9">
        <v>0.5</v>
      </c>
      <c r="Q24" t="str">
        <f ca="1">IF(N24 &lt; O24, "MANTENER", IF(N24 &lt; P24, "VENTA PARCIAL", "VENDER"))</f>
        <v>VENDER</v>
      </c>
      <c r="T24" s="2"/>
      <c r="U24" s="14">
        <f>Tabla6[[#This Row],[cantidad]]-Tabla6[[#This Row],[CANTIDAD VENDIDA]]</f>
        <v>2.7099999999999999E-6</v>
      </c>
      <c r="V24" s="2">
        <f ca="1">IF(G24="BTC", D24 * U24 * C24, IF(G24="ETH", E24 * U24 * C24, IF(G24="IO.NET", F24 * U24 * C24, 0)))</f>
        <v>1175.6487514707999</v>
      </c>
      <c r="W24" s="2">
        <f>IF(G24 = "BTC", ((T24 - L24)), IF(G24 = "ETH", ((T24 - L24)), IF(G24 = "IO.NET", ((T24 - L24)), "Moneda no soportada")))</f>
        <v>-682.28056593911992</v>
      </c>
      <c r="X24" s="9">
        <f ca="1">IF(G24 = "BTC", (((D24 - J24) / J24)),IF(G24 = "ETH", ((E24 - J24) / J24), IF(G24 = "IO.NET", ((F24 - J24) / J24), "Moneda no soportada")))</f>
        <v>0.60752032853670601</v>
      </c>
      <c r="Y24" s="2" t="str">
        <f>IF(U24=0,"VENDIDA","ACTIVA")</f>
        <v>ACTIVA</v>
      </c>
    </row>
    <row r="25" spans="2:25">
      <c r="B25" s="1">
        <f ca="1">TODAY()</f>
        <v>45635</v>
      </c>
      <c r="C25" s="2">
        <f ca="1">VLOOKUP(B25,Tabla4[],2,FALSE)</f>
        <v>4426</v>
      </c>
      <c r="D25" s="3">
        <f ca="1">VLOOKUP(B25,Tabla4[],3,FALSE)</f>
        <v>98015.98</v>
      </c>
      <c r="E25" s="2">
        <f ca="1">VLOOKUP(B25,Tabla4[],5,FALSE)</f>
        <v>3842</v>
      </c>
      <c r="F25" s="2">
        <f ca="1">VLOOKUP(B25,Tabla4[],4,FALSE)</f>
        <v>3.23</v>
      </c>
      <c r="G25" t="s">
        <v>14</v>
      </c>
      <c r="H25" s="1">
        <v>45467</v>
      </c>
      <c r="I25" s="3">
        <f>VLOOKUP(H25,Tabla4[],2,FALSE)</f>
        <v>4144.4799999999996</v>
      </c>
      <c r="J25" s="3">
        <v>61441.2</v>
      </c>
      <c r="K25" s="11">
        <v>2.7199999999999998E-6</v>
      </c>
      <c r="L25" s="7">
        <f>Tabla6[[#This Row],[precio de compra]]*Tabla6[[#This Row],[cantidad]]*Tabla6[[#This Row],[PRECIO DEL DÓLAR, DIA COMPRA]]</f>
        <v>692.62576284671991</v>
      </c>
      <c r="M25" s="13">
        <f ca="1" xml:space="preserve"> K25 * (IF(G25="BTC", D25, IF(G25="ETH", E25, IF(G25="IO.NET", F25, 0)))) * C25</f>
        <v>1179.9869387455999</v>
      </c>
      <c r="N25" s="32">
        <f ca="1">IF(G25 = "BTC", (D25 - J25) / J25,
 IF(G25 = "ETH", (E25 - J25) / J25,
 IF(G25 = "IO.NET", (F25 - J25) / J25,
 "Moneda no soportada")))</f>
        <v>0.59528101664681032</v>
      </c>
      <c r="O25" s="9">
        <v>0.25</v>
      </c>
      <c r="P25" s="9">
        <v>0.5</v>
      </c>
      <c r="Q25" t="str">
        <f ca="1">IF(N25 &lt; O25, "MANTENER", IF(N25 &lt; P25, "VENTA PARCIAL", "VENDER"))</f>
        <v>VENDER</v>
      </c>
      <c r="T25" s="2"/>
      <c r="U25" s="14">
        <f>Tabla6[[#This Row],[cantidad]]-Tabla6[[#This Row],[CANTIDAD VENDIDA]]</f>
        <v>2.7199999999999998E-6</v>
      </c>
      <c r="V25" s="2">
        <f ca="1">IF(G25="BTC", D25 * U25 * C25, IF(G25="ETH", E25 * U25 * C25, IF(G25="IO.NET", F25 * U25 * C25, 0)))</f>
        <v>1179.9869387455999</v>
      </c>
      <c r="W25" s="2">
        <f>IF(G25 = "BTC", ((T25 - L25)), IF(G25 = "ETH", ((T25 - L25)), IF(G25 = "IO.NET", ((T25 - L25)), "Moneda no soportada")))</f>
        <v>-692.62576284671991</v>
      </c>
      <c r="X25" s="9">
        <f ca="1">IF(G25 = "BTC", (((D25 - J25) / J25)),IF(G25 = "ETH", ((E25 - J25) / J25), IF(G25 = "IO.NET", ((F25 - J25) / J25), "Moneda no soportada")))</f>
        <v>0.59528101664681032</v>
      </c>
      <c r="Y25" s="2" t="str">
        <f>IF(U25=0,"VENDIDA","ACTIVA")</f>
        <v>ACTIVA</v>
      </c>
    </row>
    <row r="26" spans="2:25">
      <c r="B26" s="1">
        <f ca="1">TODAY()</f>
        <v>45635</v>
      </c>
      <c r="C26" s="2">
        <f ca="1">VLOOKUP(B26,Tabla4[],2,FALSE)</f>
        <v>4426</v>
      </c>
      <c r="D26" s="3">
        <f ca="1">VLOOKUP(B26,Tabla4[],3,FALSE)</f>
        <v>98015.98</v>
      </c>
      <c r="E26" s="2">
        <f ca="1">VLOOKUP(B26,Tabla4[],5,FALSE)</f>
        <v>3842</v>
      </c>
      <c r="F26" s="2">
        <f ca="1">VLOOKUP(B26,Tabla4[],4,FALSE)</f>
        <v>3.23</v>
      </c>
      <c r="G26" t="s">
        <v>15</v>
      </c>
      <c r="H26" s="1">
        <v>45537</v>
      </c>
      <c r="I26" s="3">
        <f>VLOOKUP(H26,Tabla4[],2,FALSE)</f>
        <v>4160.3100000000004</v>
      </c>
      <c r="J26" s="3">
        <v>2415.7600000000002</v>
      </c>
      <c r="K26" s="25">
        <v>6.9649999999999999E-5</v>
      </c>
      <c r="L26" s="29">
        <f>Tabla6[[#This Row],[precio de compra]]*Tabla6[[#This Row],[cantidad]]*Tabla6[[#This Row],[PRECIO DEL DÓLAR, DIA COMPRA]]</f>
        <v>700.00412532204018</v>
      </c>
      <c r="M26" s="26">
        <f ca="1" xml:space="preserve"> K26 * (IF(G26="BTC", D26, IF(G26="ETH", E26, IF(G26="IO.NET", F26, 0)))) * C26</f>
        <v>1184.3767977999998</v>
      </c>
      <c r="N26" s="41">
        <f ca="1">IF(G26 = "BTC", (D26 - J26) / J26,
 IF(G26 = "ETH", (E26 - J26) / J26,
 IF(G26 = "IO.NET", (F26 - J26) / J26,
 "Moneda no soportada")))</f>
        <v>0.59038977381859115</v>
      </c>
      <c r="O26" s="28">
        <v>0.25</v>
      </c>
      <c r="P26" s="28">
        <v>0.5</v>
      </c>
      <c r="Q26" s="31" t="str">
        <f ca="1">IF(N26 &lt; O26, "MANTENER", IF(N26 &lt; P26, "VENTA PARCIAL", "VENDER"))</f>
        <v>VENDER</v>
      </c>
      <c r="T26" s="2"/>
      <c r="U26" s="14">
        <f>Tabla6[[#This Row],[cantidad]]-Tabla6[[#This Row],[CANTIDAD VENDIDA]]</f>
        <v>6.9649999999999999E-5</v>
      </c>
      <c r="V26" s="2">
        <f ca="1">IF(G26="BTC", D26 * U26 * C26, IF(G26="ETH", E26 * U26 * C26, IF(G26="IO.NET", F26 * U26 * C26, 0)))</f>
        <v>1184.3767977999998</v>
      </c>
      <c r="W26" s="2">
        <f>IF(G26 = "BTC", ((T26 - L26)), IF(G26 = "ETH", ((T26 - L26)), IF(G26 = "IO.NET", ((T26 - L26)), "Moneda no soportada")))</f>
        <v>-700.00412532204018</v>
      </c>
      <c r="X26" s="32">
        <f ca="1">IF(G26 = "BTC", (((D26 - J26) / J26)),IF(G26 = "ETH", ((E26 - J26) / J26), IF(G26 = "IO.NET", ((F26 - J26) / J26), "Moneda no soportada")))</f>
        <v>0.59038977381859115</v>
      </c>
      <c r="Y26" s="2" t="str">
        <f>IF(U26=0,"VENDIDA","ACTIVA")</f>
        <v>ACTIVA</v>
      </c>
    </row>
    <row r="27" spans="2:25">
      <c r="B27" s="1">
        <f ca="1">TODAY()</f>
        <v>45635</v>
      </c>
      <c r="C27" s="2">
        <f ca="1">VLOOKUP(B27,Tabla4[],2,FALSE)</f>
        <v>4426</v>
      </c>
      <c r="D27" s="3">
        <f ca="1">VLOOKUP(B27,Tabla4[],3,FALSE)</f>
        <v>98015.98</v>
      </c>
      <c r="E27" s="2">
        <f ca="1">VLOOKUP(B27,Tabla4[],5,FALSE)</f>
        <v>3842</v>
      </c>
      <c r="F27" s="2">
        <f ca="1">VLOOKUP(B27,Tabla4[],4,FALSE)</f>
        <v>3.23</v>
      </c>
      <c r="G27" t="s">
        <v>15</v>
      </c>
      <c r="H27" s="1">
        <v>45600</v>
      </c>
      <c r="I27" s="3">
        <v>4370.66</v>
      </c>
      <c r="J27" s="3">
        <v>2439.6</v>
      </c>
      <c r="K27" s="25">
        <v>6.5649999999999997E-5</v>
      </c>
      <c r="L27" s="29">
        <f>Tabla6[[#This Row],[precio de compra]]*Tabla6[[#This Row],[cantidad]]*Tabla6[[#This Row],[PRECIO DEL DÓLAR, DIA COMPRA]]</f>
        <v>700.00376922839996</v>
      </c>
      <c r="M27" s="26">
        <f ca="1" xml:space="preserve"> K27 * (IF(G27="BTC", D27, IF(G27="ETH", E27, IF(G27="IO.NET", F27, 0)))) * C27</f>
        <v>1116.3580297999999</v>
      </c>
      <c r="N27" s="41">
        <f ca="1">IF(G27 = "BTC", (D27 - J27) / J27,
 IF(G27 = "ETH", (E27 - J27) / J27,
 IF(G27 = "IO.NET", (F27 - J27) / J27,
 "Moneda no soportada")))</f>
        <v>0.57484833579275296</v>
      </c>
      <c r="O27" s="28">
        <v>0.25</v>
      </c>
      <c r="P27" s="28">
        <v>0.5</v>
      </c>
      <c r="Q27" s="31" t="str">
        <f ca="1">IF(N27 &lt; O27, "MANTENER", IF(N27 &lt; P27, "VENTA PARCIAL", "VENDER"))</f>
        <v>VENDER</v>
      </c>
      <c r="T27" s="2"/>
      <c r="U27" s="14">
        <f>Tabla6[[#This Row],[cantidad]]-Tabla6[[#This Row],[CANTIDAD VENDIDA]]</f>
        <v>6.5649999999999997E-5</v>
      </c>
      <c r="V27" s="2">
        <f ca="1">IF(G27="BTC", D27 * U27 * C27, IF(G27="ETH", E27 * U27 * C27, IF(G27="IO.NET", F27 * U27 * C27, 0)))</f>
        <v>1116.3580297999999</v>
      </c>
      <c r="W27" s="2">
        <f>IF(G27 = "BTC", ((T27 - L27)), IF(G27 = "ETH", ((T27 - L27)), IF(G27 = "IO.NET", ((T27 - L27)), "Moneda no soportada")))</f>
        <v>-700.00376922839996</v>
      </c>
      <c r="X27" s="32">
        <f ca="1">IF(G27 = "BTC", (((D27 - J27) / J27)),IF(G27 = "ETH", ((E27 - J27) / J27), IF(G27 = "IO.NET", ((F27 - J27) / J27), "Moneda no soportada")))</f>
        <v>0.57484833579275296</v>
      </c>
      <c r="Y27" s="2" t="str">
        <f>IF(U27=0,"VENDIDA","ACTIVA")</f>
        <v>ACTIVA</v>
      </c>
    </row>
    <row r="28" spans="2:25">
      <c r="B28" s="1">
        <f ca="1">TODAY()</f>
        <v>45635</v>
      </c>
      <c r="C28" s="2">
        <f ca="1">VLOOKUP(B28,Tabla4[],2,FALSE)</f>
        <v>4426</v>
      </c>
      <c r="D28" s="3">
        <f ca="1">VLOOKUP(B28,Tabla4[],3,FALSE)</f>
        <v>98015.98</v>
      </c>
      <c r="E28" s="2">
        <f ca="1">VLOOKUP(B28,Tabla4[],5,FALSE)</f>
        <v>3842</v>
      </c>
      <c r="F28" s="2">
        <f ca="1">VLOOKUP(B28,Tabla4[],4,FALSE)</f>
        <v>3.23</v>
      </c>
      <c r="G28" t="s">
        <v>15</v>
      </c>
      <c r="H28" s="1">
        <v>45572</v>
      </c>
      <c r="I28" s="3">
        <v>4036.67</v>
      </c>
      <c r="J28" s="3">
        <v>2441.6999999999998</v>
      </c>
      <c r="K28" s="25">
        <v>7.1019999999999994E-5</v>
      </c>
      <c r="L28" s="29">
        <f>Tabla6[[#This Row],[precio de compra]]*Tabla6[[#This Row],[cantidad]]*Tabla6[[#This Row],[PRECIO DEL DÓLAR, DIA COMPRA]]</f>
        <v>699.99706361177994</v>
      </c>
      <c r="M28" s="26">
        <f ca="1" xml:space="preserve"> K28 * (IF(G28="BTC", D28, IF(G28="ETH", E28, IF(G28="IO.NET", F28, 0)))) * C28</f>
        <v>1207.67322584</v>
      </c>
      <c r="N28" s="41">
        <f ca="1">IF(G28 = "BTC", (D28 - J28) / J28,
 IF(G28 = "ETH", (E28 - J28) / J28,
 IF(G28 = "IO.NET", (F28 - J28) / J28,
 "Moneda no soportada")))</f>
        <v>0.57349387721669343</v>
      </c>
      <c r="O28" s="28">
        <v>0.25</v>
      </c>
      <c r="P28" s="28">
        <v>0.5</v>
      </c>
      <c r="Q28" s="31" t="str">
        <f ca="1">IF(N28 &lt; O28, "MANTENER", IF(N28 &lt; P28, "VENTA PARCIAL", "VENDER"))</f>
        <v>VENDER</v>
      </c>
      <c r="T28" s="2"/>
      <c r="U28" s="14">
        <f>Tabla6[[#This Row],[cantidad]]-Tabla6[[#This Row],[CANTIDAD VENDIDA]]</f>
        <v>7.1019999999999994E-5</v>
      </c>
      <c r="V28" s="2">
        <f ca="1">IF(G28="BTC", D28 * U28 * C28, IF(G28="ETH", E28 * U28 * C28, IF(G28="IO.NET", F28 * U28 * C28, 0)))</f>
        <v>1207.67322584</v>
      </c>
      <c r="W28" s="2">
        <f>IF(G28 = "BTC", ((T28 - L28)), IF(G28 = "ETH", ((T28 - L28)), IF(G28 = "IO.NET", ((T28 - L28)), "Moneda no soportada")))</f>
        <v>-699.99706361177994</v>
      </c>
      <c r="X28" s="32">
        <f ca="1">IF(G28 = "BTC", (((D28 - J28) / J28)),IF(G28 = "ETH", ((E28 - J28) / J28), IF(G28 = "IO.NET", ((F28 - J28) / J28), "Moneda no soportada")))</f>
        <v>0.57349387721669343</v>
      </c>
      <c r="Y28" s="2" t="str">
        <f>IF(U28=0,"VENDIDA","ACTIVA")</f>
        <v>ACTIVA</v>
      </c>
    </row>
    <row r="29" spans="2:25">
      <c r="B29" s="1">
        <f ca="1">TODAY()</f>
        <v>45635</v>
      </c>
      <c r="C29" s="2">
        <f ca="1">VLOOKUP(B29,Tabla4[],2,FALSE)</f>
        <v>4426</v>
      </c>
      <c r="D29" s="3">
        <f ca="1">VLOOKUP(B29,Tabla4[],3,FALSE)</f>
        <v>98015.98</v>
      </c>
      <c r="E29" s="2">
        <f ca="1">VLOOKUP(B29,Tabla4[],5,FALSE)</f>
        <v>3842</v>
      </c>
      <c r="F29" s="2">
        <f ca="1">VLOOKUP(B29,Tabla4[],4,FALSE)</f>
        <v>3.23</v>
      </c>
      <c r="G29" t="s">
        <v>14</v>
      </c>
      <c r="H29" s="1">
        <v>45530</v>
      </c>
      <c r="I29" s="3">
        <f>VLOOKUP(H29,Tabla4[],2,FALSE)</f>
        <v>4029.75</v>
      </c>
      <c r="J29" s="3">
        <v>62485</v>
      </c>
      <c r="K29" s="25">
        <v>2.7800000000000001E-6</v>
      </c>
      <c r="L29" s="29">
        <f>Tabla6[[#This Row],[precio de compra]]*Tabla6[[#This Row],[cantidad]]*Tabla6[[#This Row],[PRECIO DEL DÓLAR, DIA COMPRA]]</f>
        <v>700.00102192500003</v>
      </c>
      <c r="M29" s="26">
        <f ca="1" xml:space="preserve"> K29 * (IF(G29="BTC", D29, IF(G29="ETH", E29, IF(G29="IO.NET", F29, 0)))) * C29</f>
        <v>1206.0160623944</v>
      </c>
      <c r="N29" s="41">
        <f ca="1">IF(G29 = "BTC", (D29 - J29) / J29,
 IF(G29 = "ETH", (E29 - J29) / J29,
 IF(G29 = "IO.NET", (F29 - J29) / J29,
 "Moneda no soportada")))</f>
        <v>0.5686321517164119</v>
      </c>
      <c r="O29" s="28">
        <v>0.25</v>
      </c>
      <c r="P29" s="28">
        <v>0.5</v>
      </c>
      <c r="Q29" t="str">
        <f ca="1">IF(N29 &lt; O29, "MANTENER", IF(N29 &lt; P29, "VENTA PARCIAL", "VENDER"))</f>
        <v>VENDER</v>
      </c>
      <c r="T29" s="2"/>
      <c r="U29" s="14">
        <f>Tabla6[[#This Row],[cantidad]]-Tabla6[[#This Row],[CANTIDAD VENDIDA]]</f>
        <v>2.7800000000000001E-6</v>
      </c>
      <c r="V29" s="2">
        <f ca="1">IF(G29="BTC", D29 * U29 * C29, IF(G29="ETH", E29 * U29 * C29, IF(G29="IO.NET", F29 * U29 * C29, 0)))</f>
        <v>1206.0160623944</v>
      </c>
      <c r="W29" s="2">
        <f>IF(G29 = "BTC", ((T29 - L29)), IF(G29 = "ETH", ((T29 - L29)), IF(G29 = "IO.NET", ((T29 - L29)), "Moneda no soportada")))</f>
        <v>-700.00102192500003</v>
      </c>
      <c r="X29" s="9">
        <f ca="1">IF(G29 = "BTC", (((D29 - J29) / J29)),IF(G29 = "ETH", ((E29 - J29) / J29), IF(G29 = "IO.NET", ((F29 - J29) / J29), "Moneda no soportada")))</f>
        <v>0.5686321517164119</v>
      </c>
      <c r="Y29" s="2" t="str">
        <f>IF(U29=0,"VENDIDA","ACTIVA")</f>
        <v>ACTIVA</v>
      </c>
    </row>
    <row r="30" spans="2:25">
      <c r="B30" s="1">
        <f ca="1">TODAY()</f>
        <v>45635</v>
      </c>
      <c r="C30" s="2">
        <f ca="1">VLOOKUP(B30,Tabla4[],2,FALSE)</f>
        <v>4426</v>
      </c>
      <c r="D30" s="3">
        <f ca="1">VLOOKUP(B30,Tabla4[],3,FALSE)</f>
        <v>98015.98</v>
      </c>
      <c r="E30" s="2">
        <f ca="1">VLOOKUP(B30,Tabla4[],5,FALSE)</f>
        <v>3842</v>
      </c>
      <c r="F30" s="2">
        <f ca="1">VLOOKUP(B30,Tabla4[],4,FALSE)</f>
        <v>3.23</v>
      </c>
      <c r="G30" t="s">
        <v>14</v>
      </c>
      <c r="H30" s="1">
        <v>45558</v>
      </c>
      <c r="I30" s="3">
        <f>VLOOKUP(H30,Tabla4[],2,FALSE)</f>
        <v>4153.9799999999996</v>
      </c>
      <c r="J30" s="7">
        <v>62644</v>
      </c>
      <c r="K30" s="25">
        <v>2.6900000000000001E-6</v>
      </c>
      <c r="L30" s="29">
        <f>Tabla6[[#This Row],[precio de compra]]*Tabla6[[#This Row],[cantidad]]*Tabla6[[#This Row],[PRECIO DEL DÓLAR, DIA COMPRA]]</f>
        <v>699.99697319279994</v>
      </c>
      <c r="M30" s="26">
        <f ca="1" xml:space="preserve"> K30 * (IF(G30="BTC", D30, IF(G30="ETH", E30, IF(G30="IO.NET", F30, 0)))) * C30</f>
        <v>1166.9723769212001</v>
      </c>
      <c r="N30" s="41">
        <f ca="1">IF(G30 = "BTC", (D30 - J30) / J30,
 IF(G30 = "ETH", (E30 - J30) / J30,
 IF(G30 = "IO.NET", (F30 - J30) / J30,
 "Moneda no soportada")))</f>
        <v>0.56465072473022149</v>
      </c>
      <c r="O30" s="28">
        <v>0.25</v>
      </c>
      <c r="P30" s="28">
        <v>0.5</v>
      </c>
      <c r="Q30" s="31" t="str">
        <f ca="1">IF(N30 &lt; O30, "MANTENER", IF(N30 &lt; P30, "VENTA PARCIAL", "VENDER"))</f>
        <v>VENDER</v>
      </c>
      <c r="T30" s="2"/>
      <c r="U30" s="14">
        <f>Tabla6[[#This Row],[cantidad]]-Tabla6[[#This Row],[CANTIDAD VENDIDA]]</f>
        <v>2.6900000000000001E-6</v>
      </c>
      <c r="V30" s="2">
        <f ca="1">IF(G30="BTC", D30 * U30 * C30, IF(G30="ETH", E30 * U30 * C30, IF(G30="IO.NET", F30 * U30 * C30, 0)))</f>
        <v>1166.9723769212001</v>
      </c>
      <c r="W30" s="2">
        <f>IF(G30 = "BTC", ((T30 - L30)), IF(G30 = "ETH", ((T30 - L30)), IF(G30 = "IO.NET", ((T30 - L30)), "Moneda no soportada")))</f>
        <v>-699.99697319279994</v>
      </c>
      <c r="X30" s="32">
        <f ca="1">IF(G30 = "BTC", (((D30 - J30) / J30)),IF(G30 = "ETH", ((E30 - J30) / J30), IF(G30 = "IO.NET", ((F30 - J30) / J30), "Moneda no soportada")))</f>
        <v>0.56465072473022149</v>
      </c>
      <c r="Y30" s="2" t="str">
        <f>IF(U30=0,"VENDIDA","ACTIVA")</f>
        <v>ACTIVA</v>
      </c>
    </row>
    <row r="31" spans="2:25">
      <c r="B31" s="1">
        <f ca="1">TODAY()</f>
        <v>45635</v>
      </c>
      <c r="C31" s="2">
        <f ca="1">VLOOKUP(B31,Tabla4[],2,FALSE)</f>
        <v>4426</v>
      </c>
      <c r="D31" s="3">
        <f ca="1">VLOOKUP(B31,Tabla4[],3,FALSE)</f>
        <v>98015.98</v>
      </c>
      <c r="E31" s="2">
        <f ca="1">VLOOKUP(B31,Tabla4[],5,FALSE)</f>
        <v>3842</v>
      </c>
      <c r="F31" s="2">
        <f ca="1">VLOOKUP(B31,Tabla4[],4,FALSE)</f>
        <v>3.23</v>
      </c>
      <c r="G31" t="s">
        <v>14</v>
      </c>
      <c r="H31" s="1">
        <v>45488</v>
      </c>
      <c r="I31" s="3">
        <f>VLOOKUP(H31,Tabla4[],2,FALSE)</f>
        <v>3993.09</v>
      </c>
      <c r="J31" s="3">
        <v>62959.9</v>
      </c>
      <c r="K31" s="11">
        <v>2.8100000000000002E-6</v>
      </c>
      <c r="L31" s="7">
        <f>Tabla6[[#This Row],[precio de compra]]*Tabla6[[#This Row],[cantidad]]*Tabla6[[#This Row],[PRECIO DEL DÓLAR, DIA COMPRA]]</f>
        <v>706.44677732571006</v>
      </c>
      <c r="M31" s="13">
        <f ca="1" xml:space="preserve"> K31 * (IF(G31="BTC", D31, IF(G31="ETH", E31, IF(G31="IO.NET", F31, 0)))) * C31</f>
        <v>1219.0306242188001</v>
      </c>
      <c r="N31" s="32">
        <f ca="1">IF(G31 = "BTC", (D31 - J31) / J31,
 IF(G31 = "ETH", (E31 - J31) / J31,
 IF(G31 = "IO.NET", (F31 - J31) / J31,
 "Moneda no soportada")))</f>
        <v>0.55680012198240458</v>
      </c>
      <c r="O31" s="9">
        <v>0.25</v>
      </c>
      <c r="P31" s="9">
        <v>0.5</v>
      </c>
      <c r="Q31" t="str">
        <f ca="1">IF(N31 &lt; O31, "MANTENER", IF(N31 &lt; P31, "VENTA PARCIAL", "VENDER"))</f>
        <v>VENDER</v>
      </c>
      <c r="T31" s="2"/>
      <c r="U31" s="14">
        <f>Tabla6[[#This Row],[cantidad]]-Tabla6[[#This Row],[CANTIDAD VENDIDA]]</f>
        <v>2.8100000000000002E-6</v>
      </c>
      <c r="V31" s="2">
        <f ca="1">IF(G31="BTC", D31 * U31 * C31, IF(G31="ETH", E31 * U31 * C31, IF(G31="IO.NET", F31 * U31 * C31, 0)))</f>
        <v>1219.0306242188001</v>
      </c>
      <c r="W31" s="2">
        <f>IF(G31 = "BTC", ((T31 - L31)), IF(G31 = "ETH", ((T31 - L31)), IF(G31 = "IO.NET", ((T31 - L31)), "Moneda no soportada")))</f>
        <v>-706.44677732571006</v>
      </c>
      <c r="X31" s="9">
        <f ca="1">IF(G31 = "BTC", (((D31 - J31) / J31)),IF(G31 = "ETH", ((E31 - J31) / J31), IF(G31 = "IO.NET", ((F31 - J31) / J31), "Moneda no soportada")))</f>
        <v>0.55680012198240458</v>
      </c>
      <c r="Y31" s="2" t="str">
        <f>IF(U31=0,"VENDIDA","ACTIVA")</f>
        <v>ACTIVA</v>
      </c>
    </row>
    <row r="32" spans="2:25">
      <c r="B32" s="1">
        <f ca="1">TODAY()</f>
        <v>45635</v>
      </c>
      <c r="C32" s="2">
        <f ca="1">VLOOKUP(B32,Tabla4[],2,FALSE)</f>
        <v>4426</v>
      </c>
      <c r="D32" s="3">
        <f ca="1">VLOOKUP(B32,Tabla4[],3,FALSE)</f>
        <v>98015.98</v>
      </c>
      <c r="E32" s="2">
        <f ca="1">VLOOKUP(B32,Tabla4[],5,FALSE)</f>
        <v>3842</v>
      </c>
      <c r="F32" s="2">
        <f ca="1">VLOOKUP(B32,Tabla4[],4,FALSE)</f>
        <v>3.23</v>
      </c>
      <c r="G32" t="s">
        <v>14</v>
      </c>
      <c r="H32" s="1">
        <v>45572</v>
      </c>
      <c r="I32" s="3">
        <v>4036.67</v>
      </c>
      <c r="J32" s="3">
        <v>63058</v>
      </c>
      <c r="K32" s="25">
        <v>2.7499999999999999E-6</v>
      </c>
      <c r="L32" s="29">
        <f>Tabla6[[#This Row],[precio de compra]]*Tabla6[[#This Row],[cantidad]]*Tabla6[[#This Row],[PRECIO DEL DÓLAR, DIA COMPRA]]</f>
        <v>699.99692636500004</v>
      </c>
      <c r="M32" s="26">
        <f ca="1" xml:space="preserve"> K32 * (IF(G32="BTC", D32, IF(G32="ETH", E32, IF(G32="IO.NET", F32, 0)))) * C32</f>
        <v>1193.00150057</v>
      </c>
      <c r="N32" s="41">
        <f ca="1">IF(G32 = "BTC", (D32 - J32) / J32,
 IF(G32 = "ETH", (E32 - J32) / J32,
 IF(G32 = "IO.NET", (F32 - J32) / J32,
 "Moneda no soportada")))</f>
        <v>0.55437819150623224</v>
      </c>
      <c r="O32" s="28">
        <v>0.25</v>
      </c>
      <c r="P32" s="28">
        <v>0.5</v>
      </c>
      <c r="Q32" s="31" t="str">
        <f ca="1">IF(N32 &lt; O32, "MANTENER", IF(N32 &lt; P32, "VENTA PARCIAL", "VENDER"))</f>
        <v>VENDER</v>
      </c>
      <c r="T32" s="2"/>
      <c r="U32" s="14">
        <f>Tabla6[[#This Row],[cantidad]]-Tabla6[[#This Row],[CANTIDAD VENDIDA]]</f>
        <v>2.7499999999999999E-6</v>
      </c>
      <c r="V32" s="2">
        <f ca="1">IF(G32="BTC", D32 * U32 * C32, IF(G32="ETH", E32 * U32 * C32, IF(G32="IO.NET", F32 * U32 * C32, 0)))</f>
        <v>1193.00150057</v>
      </c>
      <c r="W32" s="2">
        <f>IF(G32 = "BTC", ((T32 - L32)), IF(G32 = "ETH", ((T32 - L32)), IF(G32 = "IO.NET", ((T32 - L32)), "Moneda no soportada")))</f>
        <v>-699.99692636500004</v>
      </c>
      <c r="X32" s="32">
        <f ca="1">IF(G32 = "BTC", (((D32 - J32) / J32)),IF(G32 = "ETH", ((E32 - J32) / J32), IF(G32 = "IO.NET", ((F32 - J32) / J32), "Moneda no soportada")))</f>
        <v>0.55437819150623224</v>
      </c>
      <c r="Y32" s="2" t="str">
        <f>IF(U32=0,"VENDIDA","ACTIVA")</f>
        <v>ACTIVA</v>
      </c>
    </row>
    <row r="33" spans="2:25">
      <c r="B33" s="1">
        <f ca="1">TODAY()</f>
        <v>45635</v>
      </c>
      <c r="C33" s="2">
        <f ca="1">VLOOKUP(B33,Tabla4[],2,FALSE)</f>
        <v>4426</v>
      </c>
      <c r="D33" s="3">
        <f ca="1">VLOOKUP(B33,Tabla4[],3,FALSE)</f>
        <v>98015.98</v>
      </c>
      <c r="E33" s="2">
        <f ca="1">VLOOKUP(B33,Tabla4[],5,FALSE)</f>
        <v>3842</v>
      </c>
      <c r="F33" s="2">
        <f ca="1">VLOOKUP(B33,Tabla4[],4,FALSE)</f>
        <v>3.23</v>
      </c>
      <c r="G33" t="s">
        <v>41</v>
      </c>
      <c r="H33" s="1">
        <v>45565</v>
      </c>
      <c r="I33" s="3">
        <v>4000</v>
      </c>
      <c r="J33" s="3">
        <v>2.07972</v>
      </c>
      <c r="K33" s="25">
        <v>4.2072680000000001E-2</v>
      </c>
      <c r="L33" s="29">
        <f>Tabla6[[#This Row],[precio de compra]]*Tabla6[[#This Row],[cantidad]]*Tabla6[[#This Row],[PRECIO DEL DÓLAR, DIA COMPRA]]</f>
        <v>349.9975761984</v>
      </c>
      <c r="M33" s="26">
        <f ca="1" xml:space="preserve"> K33 * (IF(G33="BTC", D33, IF(G33="ETH", E33, IF(G33="IO.NET", F33, 0)))) * C33</f>
        <v>601.47019182640008</v>
      </c>
      <c r="N33" s="41">
        <f ca="1">IF(G33 = "BTC", (D33 - J33) / J33,
 IF(G33 = "ETH", (E33 - J33) / J33,
 IF(G33 = "IO.NET", (F33 - J33) / J33,
 "Moneda no soportada")))</f>
        <v>0.55309368568845807</v>
      </c>
      <c r="O33" s="28">
        <v>0.1</v>
      </c>
      <c r="P33" s="28">
        <v>0.3</v>
      </c>
      <c r="Q33" s="31" t="str">
        <f ca="1">IF(N33 &lt; O33, "MANTENER", IF(N33 &lt; P33, "VENTA PARCIAL", "VENDER"))</f>
        <v>VENDER</v>
      </c>
      <c r="T33" s="2"/>
      <c r="U33" s="14">
        <f>Tabla6[[#This Row],[cantidad]]-Tabla6[[#This Row],[CANTIDAD VENDIDA]]</f>
        <v>4.2072680000000001E-2</v>
      </c>
      <c r="V33" s="2">
        <f ca="1">IF(G33="BTC", D33 * U33 * C33, IF(G33="ETH", E33 * U33 * C33, IF(G33="IO.NET", F33 * U33 * C33, 0)))</f>
        <v>601.47019182640008</v>
      </c>
      <c r="W33" s="2">
        <f>IF(G33 = "BTC", ((T33 - L33)), IF(G33 = "ETH", ((T33 - L33)), IF(G33 = "IO.NET", ((T33 - L33)), "Moneda no soportada")))</f>
        <v>-349.9975761984</v>
      </c>
      <c r="X33" s="32">
        <f ca="1">IF(G33 = "BTC", (((D33 - J33) / J33)),IF(G33 = "ETH", ((E33 - J33) / J33), IF(G33 = "IO.NET", ((F33 - J33) / J33), "Moneda no soportada")))</f>
        <v>0.55309368568845807</v>
      </c>
      <c r="Y33" s="2" t="str">
        <f>IF(U33=0,"VENDIDA","ACTIVA")</f>
        <v>ACTIVA</v>
      </c>
    </row>
    <row r="34" spans="2:25">
      <c r="B34" s="1">
        <f ca="1">TODAY()</f>
        <v>45635</v>
      </c>
      <c r="C34" s="2">
        <f ca="1">VLOOKUP(B34,Tabla4[],2,FALSE)</f>
        <v>4426</v>
      </c>
      <c r="D34" s="3">
        <f ca="1">VLOOKUP(B34,Tabla4[],3,FALSE)</f>
        <v>98015.98</v>
      </c>
      <c r="E34" s="2">
        <f ca="1">VLOOKUP(B34,Tabla4[],5,FALSE)</f>
        <v>3842</v>
      </c>
      <c r="F34" s="2">
        <f ca="1">VLOOKUP(B34,Tabla4[],4,FALSE)</f>
        <v>3.23</v>
      </c>
      <c r="G34" t="s">
        <v>41</v>
      </c>
      <c r="H34" s="1">
        <v>45558</v>
      </c>
      <c r="I34" s="3">
        <f>VLOOKUP(H34,Tabla4[],2,FALSE)</f>
        <v>4153.9799999999996</v>
      </c>
      <c r="J34" s="3">
        <v>2.0857999999999999</v>
      </c>
      <c r="K34" s="25">
        <v>4.0395279999999999E-2</v>
      </c>
      <c r="L34" s="29">
        <f>Tabla6[[#This Row],[precio de compra]]*Tabla6[[#This Row],[cantidad]]*Tabla6[[#This Row],[PRECIO DEL DÓLAR, DIA COMPRA]]</f>
        <v>349.99971212019545</v>
      </c>
      <c r="M34" s="26">
        <f ca="1" xml:space="preserve"> K34 * (IF(G34="BTC", D34, IF(G34="ETH", E34, IF(G34="IO.NET", F34, 0)))) * C34</f>
        <v>577.49011497440006</v>
      </c>
      <c r="N34" s="41">
        <f ca="1">IF(G34 = "BTC", (D34 - J34) / J34,
 IF(G34 = "ETH", (E34 - J34) / J34,
 IF(G34 = "IO.NET", (F34 - J34) / J34,
 "Moneda no soportada")))</f>
        <v>0.54856649726723572</v>
      </c>
      <c r="O34" s="28">
        <v>0.1</v>
      </c>
      <c r="P34" s="28">
        <v>0.3</v>
      </c>
      <c r="Q34" s="31" t="str">
        <f ca="1">IF(N34 &lt; O34, "MANTENER", IF(N34 &lt; P34, "VENTA PARCIAL", "VENDER"))</f>
        <v>VENDER</v>
      </c>
      <c r="T34" s="2"/>
      <c r="U34" s="14">
        <f>Tabla6[[#This Row],[cantidad]]-Tabla6[[#This Row],[CANTIDAD VENDIDA]]</f>
        <v>4.0395279999999999E-2</v>
      </c>
      <c r="V34" s="2">
        <f ca="1">IF(G34="BTC", D34 * U34 * C34, IF(G34="ETH", E34 * U34 * C34, IF(G34="IO.NET", F34 * U34 * C34, 0)))</f>
        <v>577.49011497440006</v>
      </c>
      <c r="W34" s="2">
        <f>IF(G34 = "BTC", ((T34 - L34)), IF(G34 = "ETH", ((T34 - L34)), IF(G34 = "IO.NET", ((T34 - L34)), "Moneda no soportada")))</f>
        <v>-349.99971212019545</v>
      </c>
      <c r="X34" s="32">
        <f ca="1">IF(G34 = "BTC", (((D34 - J34) / J34)),IF(G34 = "ETH", ((E34 - J34) / J34), IF(G34 = "IO.NET", ((F34 - J34) / J34), "Moneda no soportada")))</f>
        <v>0.54856649726723572</v>
      </c>
      <c r="Y34" s="2" t="str">
        <f>IF(U34=0,"VENDIDA","ACTIVA")</f>
        <v>ACTIVA</v>
      </c>
    </row>
    <row r="35" spans="2:25">
      <c r="B35" s="1">
        <f ca="1">TODAY()</f>
        <v>45635</v>
      </c>
      <c r="C35" s="2">
        <f ca="1">VLOOKUP(B35,Tabla4[],2,FALSE)</f>
        <v>4426</v>
      </c>
      <c r="D35" s="3">
        <f ca="1">VLOOKUP(B35,Tabla4[],3,FALSE)</f>
        <v>98015.98</v>
      </c>
      <c r="E35" s="2">
        <f ca="1">VLOOKUP(B35,Tabla4[],5,FALSE)</f>
        <v>3842</v>
      </c>
      <c r="F35" s="2">
        <f ca="1">VLOOKUP(B35,Tabla4[],4,FALSE)</f>
        <v>3.23</v>
      </c>
      <c r="G35" t="s">
        <v>14</v>
      </c>
      <c r="H35" s="1">
        <v>45579</v>
      </c>
      <c r="I35" s="3">
        <f>VLOOKUP(H35,Tabla4[],2,FALSE)</f>
        <v>4210.95</v>
      </c>
      <c r="J35" s="3">
        <v>63691</v>
      </c>
      <c r="K35" s="25">
        <v>2.61E-6</v>
      </c>
      <c r="L35" s="29">
        <f>Tabla6[[#This Row],[precio de compra]]*Tabla6[[#This Row],[cantidad]]*Tabla6[[#This Row],[PRECIO DEL DÓLAR, DIA COMPRA]]</f>
        <v>700.00099893449999</v>
      </c>
      <c r="M35" s="26">
        <f ca="1" xml:space="preserve"> K35 * (IF(G35="BTC", D35, IF(G35="ETH", E35, IF(G35="IO.NET", F35, 0)))) * C35</f>
        <v>1132.2668787227999</v>
      </c>
      <c r="N35" s="41">
        <f ca="1">IF(G35 = "BTC", (D35 - J35) / J35,
 IF(G35 = "ETH", (E35 - J35) / J35,
 IF(G35 = "IO.NET", (F35 - J35) / J35,
 "Moneda no soportada")))</f>
        <v>0.53892983310043796</v>
      </c>
      <c r="O35" s="28">
        <v>0.25</v>
      </c>
      <c r="P35" s="28">
        <v>0.5</v>
      </c>
      <c r="Q35" s="31" t="str">
        <f ca="1">IF(N35 &lt; O35, "MANTENER", IF(N35 &lt; P35, "VENTA PARCIAL", "VENDER"))</f>
        <v>VENDER</v>
      </c>
      <c r="T35" s="2"/>
      <c r="U35" s="14">
        <f>Tabla6[[#This Row],[cantidad]]-Tabla6[[#This Row],[CANTIDAD VENDIDA]]</f>
        <v>2.61E-6</v>
      </c>
      <c r="V35" s="2">
        <f ca="1">IF(G35="BTC", D35 * U35 * C35, IF(G35="ETH", E35 * U35 * C35, IF(G35="IO.NET", F35 * U35 * C35, 0)))</f>
        <v>1132.2668787227999</v>
      </c>
      <c r="W35" s="2">
        <f>IF(G35 = "BTC", ((T35 - L35)), IF(G35 = "ETH", ((T35 - L35)), IF(G35 = "IO.NET", ((T35 - L35)), "Moneda no soportada")))</f>
        <v>-700.00099893449999</v>
      </c>
      <c r="X35" s="32">
        <f ca="1">IF(G35 = "BTC", (((D35 - J35) / J35)),IF(G35 = "ETH", ((E35 - J35) / J35), IF(G35 = "IO.NET", ((F35 - J35) / J35), "Moneda no soportada")))</f>
        <v>0.53892983310043796</v>
      </c>
      <c r="Y35" s="2" t="str">
        <f>IF(U35=0,"VENDIDA","ACTIVA")</f>
        <v>ACTIVA</v>
      </c>
    </row>
    <row r="36" spans="2:25">
      <c r="B36" s="1">
        <f ca="1">TODAY()</f>
        <v>45635</v>
      </c>
      <c r="C36" s="2">
        <f ca="1">VLOOKUP(B36,Tabla4[],2,FALSE)</f>
        <v>4426</v>
      </c>
      <c r="D36" s="3">
        <f ca="1">VLOOKUP(B36,Tabla4[],3,FALSE)</f>
        <v>98015.98</v>
      </c>
      <c r="E36" s="2">
        <f ca="1">VLOOKUP(B36,Tabla4[],5,FALSE)</f>
        <v>3842</v>
      </c>
      <c r="F36" s="2">
        <f ca="1">VLOOKUP(B36,Tabla4[],4,FALSE)</f>
        <v>3.23</v>
      </c>
      <c r="G36" t="s">
        <v>15</v>
      </c>
      <c r="H36" s="1">
        <v>45579</v>
      </c>
      <c r="I36" s="3">
        <f>VLOOKUP(H36,Tabla4[],2,FALSE)</f>
        <v>4210.95</v>
      </c>
      <c r="J36" s="3">
        <v>2502.4</v>
      </c>
      <c r="K36" s="25">
        <v>6.6429999999999999E-5</v>
      </c>
      <c r="L36" s="29">
        <f>Tabla6[[#This Row],[precio de compra]]*Tabla6[[#This Row],[cantidad]]*Tabla6[[#This Row],[PRECIO DEL DÓLAR, DIA COMPRA]]</f>
        <v>700.00488143040002</v>
      </c>
      <c r="M36" s="26">
        <f ca="1" xml:space="preserve"> K36 * (IF(G36="BTC", D36, IF(G36="ETH", E36, IF(G36="IO.NET", F36, 0)))) * C36</f>
        <v>1129.6216895599998</v>
      </c>
      <c r="N36" s="41">
        <f ca="1">IF(G36 = "BTC", (D36 - J36) / J36,
 IF(G36 = "ETH", (E36 - J36) / J36,
 IF(G36 = "IO.NET", (F36 - J36) / J36,
 "Moneda no soportada")))</f>
        <v>0.53532608695652173</v>
      </c>
      <c r="O36" s="28">
        <v>0.25</v>
      </c>
      <c r="P36" s="28">
        <v>0.5</v>
      </c>
      <c r="Q36" s="31" t="str">
        <f ca="1">IF(N36 &lt; O36, "MANTENER", IF(N36 &lt; P36, "VENTA PARCIAL", "VENDER"))</f>
        <v>VENDER</v>
      </c>
      <c r="T36" s="2"/>
      <c r="U36" s="14">
        <f>Tabla6[[#This Row],[cantidad]]-Tabla6[[#This Row],[CANTIDAD VENDIDA]]</f>
        <v>6.6429999999999999E-5</v>
      </c>
      <c r="V36" s="2">
        <f ca="1">IF(G36="BTC", D36 * U36 * C36, IF(G36="ETH", E36 * U36 * C36, IF(G36="IO.NET", F36 * U36 * C36, 0)))</f>
        <v>1129.6216895599998</v>
      </c>
      <c r="W36" s="2">
        <f>IF(G36 = "BTC", ((T36 - L36)), IF(G36 = "ETH", ((T36 - L36)), IF(G36 = "IO.NET", ((T36 - L36)), "Moneda no soportada")))</f>
        <v>-700.00488143040002</v>
      </c>
      <c r="X36" s="32">
        <f ca="1">IF(G36 = "BTC", (((D36 - J36) / J36)),IF(G36 = "ETH", ((E36 - J36) / J36), IF(G36 = "IO.NET", ((F36 - J36) / J36), "Moneda no soportada")))</f>
        <v>0.53532608695652173</v>
      </c>
      <c r="Y36" s="2" t="str">
        <f>IF(U36=0,"VENDIDA","ACTIVA")</f>
        <v>ACTIVA</v>
      </c>
    </row>
    <row r="37" spans="2:25">
      <c r="B37" s="1">
        <f ca="1">TODAY()</f>
        <v>45635</v>
      </c>
      <c r="C37" s="2">
        <f ca="1">VLOOKUP(B37,Tabla4[],2,FALSE)</f>
        <v>4426</v>
      </c>
      <c r="D37" s="3">
        <f ca="1">VLOOKUP(B37,Tabla4[],3,FALSE)</f>
        <v>98015.98</v>
      </c>
      <c r="E37" s="2">
        <f ca="1">VLOOKUP(B37,Tabla4[],5,FALSE)</f>
        <v>3842</v>
      </c>
      <c r="F37" s="2">
        <f ca="1">VLOOKUP(B37,Tabla4[],4,FALSE)</f>
        <v>3.23</v>
      </c>
      <c r="G37" t="s">
        <v>14</v>
      </c>
      <c r="H37" s="1">
        <v>45565</v>
      </c>
      <c r="I37" s="3">
        <v>4000</v>
      </c>
      <c r="J37" s="3">
        <v>64338.16</v>
      </c>
      <c r="K37" s="25">
        <v>2.7199999999999998E-6</v>
      </c>
      <c r="L37" s="29">
        <f>Tabla6[[#This Row],[precio de compra]]*Tabla6[[#This Row],[cantidad]]*Tabla6[[#This Row],[PRECIO DEL DÓLAR, DIA COMPRA]]</f>
        <v>699.99918079999998</v>
      </c>
      <c r="M37" s="26">
        <f ca="1" xml:space="preserve"> K37 * (IF(G37="BTC", D37, IF(G37="ETH", E37, IF(G37="IO.NET", F37, 0)))) * C37</f>
        <v>1179.9869387455999</v>
      </c>
      <c r="N37" s="41">
        <f ca="1">IF(G37 = "BTC", (D37 - J37) / J37,
 IF(G37 = "ETH", (E37 - J37) / J37,
 IF(G37 = "IO.NET", (F37 - J37) / J37,
 "Moneda no soportada")))</f>
        <v>0.52345015772909875</v>
      </c>
      <c r="O37" s="28">
        <v>0.25</v>
      </c>
      <c r="P37" s="28">
        <v>0.5</v>
      </c>
      <c r="Q37" s="31" t="str">
        <f ca="1">IF(N37 &lt; O37, "MANTENER", IF(N37 &lt; P37, "VENTA PARCIAL", "VENDER"))</f>
        <v>VENDER</v>
      </c>
      <c r="T37" s="2"/>
      <c r="U37" s="14">
        <f>Tabla6[[#This Row],[cantidad]]-Tabla6[[#This Row],[CANTIDAD VENDIDA]]</f>
        <v>2.7199999999999998E-6</v>
      </c>
      <c r="V37" s="2">
        <f ca="1">IF(G37="BTC", D37 * U37 * C37, IF(G37="ETH", E37 * U37 * C37, IF(G37="IO.NET", F37 * U37 * C37, 0)))</f>
        <v>1179.9869387455999</v>
      </c>
      <c r="W37" s="2">
        <f>IF(G37 = "BTC", ((T37 - L37)), IF(G37 = "ETH", ((T37 - L37)), IF(G37 = "IO.NET", ((T37 - L37)), "Moneda no soportada")))</f>
        <v>-699.99918079999998</v>
      </c>
      <c r="X37" s="32">
        <f ca="1">IF(G37 = "BTC", (((D37 - J37) / J37)),IF(G37 = "ETH", ((E37 - J37) / J37), IF(G37 = "IO.NET", ((F37 - J37) / J37), "Moneda no soportada")))</f>
        <v>0.52345015772909875</v>
      </c>
      <c r="Y37" s="2" t="str">
        <f>IF(U37=0,"VENDIDA","ACTIVA")</f>
        <v>ACTIVA</v>
      </c>
    </row>
    <row r="38" spans="2:25">
      <c r="B38" s="1">
        <f ca="1">TODAY()</f>
        <v>45635</v>
      </c>
      <c r="C38" s="2">
        <f ca="1">VLOOKUP(B38,Tabla4[],2,FALSE)</f>
        <v>4426</v>
      </c>
      <c r="D38" s="3">
        <f ca="1">VLOOKUP(B38,Tabla4[],3,FALSE)</f>
        <v>98015.98</v>
      </c>
      <c r="E38" s="2">
        <f ca="1">VLOOKUP(B38,Tabla4[],5,FALSE)</f>
        <v>3842</v>
      </c>
      <c r="F38" s="2">
        <f ca="1">VLOOKUP(B38,Tabla4[],4,FALSE)</f>
        <v>3.23</v>
      </c>
      <c r="G38" t="s">
        <v>15</v>
      </c>
      <c r="H38" s="1">
        <v>45523</v>
      </c>
      <c r="I38" s="3">
        <f>VLOOKUP(H38,Tabla4[],2,FALSE)</f>
        <v>4030.16</v>
      </c>
      <c r="J38" s="3">
        <v>2527.15</v>
      </c>
      <c r="K38" s="25">
        <v>6.8730000000000001E-5</v>
      </c>
      <c r="L38" s="29">
        <f>Tabla6[[#This Row],[precio de compra]]*Tabla6[[#This Row],[cantidad]]*Tabla6[[#This Row],[PRECIO DEL DÓLAR, DIA COMPRA]]</f>
        <v>700.00259914812</v>
      </c>
      <c r="M38" s="26">
        <f ca="1" xml:space="preserve"> K38 * (IF(G38="BTC", D38, IF(G38="ETH", E38, IF(G38="IO.NET", F38, 0)))) * C38</f>
        <v>1168.7324811599999</v>
      </c>
      <c r="N38" s="41">
        <f ca="1">IF(G38 = "BTC", (D38 - J38) / J38,
 IF(G38 = "ETH", (E38 - J38) / J38,
 IF(G38 = "IO.NET", (F38 - J38) / J38,
 "Moneda no soportada")))</f>
        <v>0.52028965435371854</v>
      </c>
      <c r="O38" s="28">
        <v>0.25</v>
      </c>
      <c r="P38" s="28">
        <v>0.5</v>
      </c>
      <c r="Q38" t="str">
        <f ca="1">IF(N38 &lt; O38, "MANTENER", IF(N38 &lt; P38, "VENTA PARCIAL", "VENDER"))</f>
        <v>VENDER</v>
      </c>
      <c r="T38" s="2"/>
      <c r="U38" s="14">
        <f>Tabla6[[#This Row],[cantidad]]-Tabla6[[#This Row],[CANTIDAD VENDIDA]]</f>
        <v>6.8730000000000001E-5</v>
      </c>
      <c r="V38" s="2">
        <f ca="1">IF(G38="BTC", D38 * U38 * C38, IF(G38="ETH", E38 * U38 * C38, IF(G38="IO.NET", F38 * U38 * C38, 0)))</f>
        <v>1168.7324811599999</v>
      </c>
      <c r="W38" s="2">
        <f>IF(G38 = "BTC", ((T38 - L38)), IF(G38 = "ETH", ((T38 - L38)), IF(G38 = "IO.NET", ((T38 - L38)), "Moneda no soportada")))</f>
        <v>-700.00259914812</v>
      </c>
      <c r="X38" s="9">
        <f ca="1">IF(G38 = "BTC", (((D38 - J38) / J38)),IF(G38 = "ETH", ((E38 - J38) / J38), IF(G38 = "IO.NET", ((F38 - J38) / J38), "Moneda no soportada")))</f>
        <v>0.52028965435371854</v>
      </c>
      <c r="Y38" s="2" t="str">
        <f>IF(U38=0,"VENDIDA","ACTIVA")</f>
        <v>ACTIVA</v>
      </c>
    </row>
    <row r="39" spans="2:25">
      <c r="B39" s="1">
        <f ca="1">TODAY()</f>
        <v>45635</v>
      </c>
      <c r="C39" s="2">
        <f ca="1">VLOOKUP(B39,Tabla4[],2,FALSE)</f>
        <v>4426</v>
      </c>
      <c r="D39" s="3">
        <f ca="1">VLOOKUP(B39,Tabla4[],3,FALSE)</f>
        <v>98015.98</v>
      </c>
      <c r="E39" s="2">
        <f ca="1">VLOOKUP(B39,Tabla4[],5,FALSE)</f>
        <v>3842</v>
      </c>
      <c r="F39" s="2">
        <f ca="1">VLOOKUP(B39,Tabla4[],4,FALSE)</f>
        <v>3.23</v>
      </c>
      <c r="G39" t="s">
        <v>15</v>
      </c>
      <c r="H39" s="1">
        <v>45593</v>
      </c>
      <c r="I39" s="3">
        <v>4241.6000000000004</v>
      </c>
      <c r="J39" s="3">
        <v>2529.6</v>
      </c>
      <c r="K39" s="25">
        <v>6.5240000000000006E-5</v>
      </c>
      <c r="L39" s="29">
        <f>Tabla6[[#This Row],[precio de compra]]*Tabla6[[#This Row],[cantidad]]*Tabla6[[#This Row],[PRECIO DEL DÓLAR, DIA COMPRA]]</f>
        <v>699.99593072640016</v>
      </c>
      <c r="M39" s="26">
        <f ca="1" xml:space="preserve"> K39 * (IF(G39="BTC", D39, IF(G39="ETH", E39, IF(G39="IO.NET", F39, 0)))) * C39</f>
        <v>1109.38610608</v>
      </c>
      <c r="N39" s="41">
        <f ca="1">IF(G39 = "BTC", (D39 - J39) / J39,
 IF(G39 = "ETH", (E39 - J39) / J39,
 IF(G39 = "IO.NET", (F39 - J39) / J39,
 "Moneda no soportada")))</f>
        <v>0.51881720430107536</v>
      </c>
      <c r="O39" s="28">
        <v>0.25</v>
      </c>
      <c r="P39" s="28">
        <v>0.5</v>
      </c>
      <c r="Q39" s="31" t="str">
        <f ca="1">IF(N39 &lt; O39, "MANTENER", IF(N39 &lt; P39, "VENTA PARCIAL", "VENDER"))</f>
        <v>VENDER</v>
      </c>
      <c r="T39" s="2"/>
      <c r="U39" s="14">
        <f>Tabla6[[#This Row],[cantidad]]-Tabla6[[#This Row],[CANTIDAD VENDIDA]]</f>
        <v>6.5240000000000006E-5</v>
      </c>
      <c r="V39" s="2">
        <f ca="1">IF(G39="BTC", D39 * U39 * C39, IF(G39="ETH", E39 * U39 * C39, IF(G39="IO.NET", F39 * U39 * C39, 0)))</f>
        <v>1109.38610608</v>
      </c>
      <c r="W39" s="2">
        <f>IF(G39 = "BTC", ((T39 - L39)), IF(G39 = "ETH", ((T39 - L39)), IF(G39 = "IO.NET", ((T39 - L39)), "Moneda no soportada")))</f>
        <v>-699.99593072640016</v>
      </c>
      <c r="X39" s="32">
        <f ca="1">IF(G39 = "BTC", (((D39 - J39) / J39)),IF(G39 = "ETH", ((E39 - J39) / J39), IF(G39 = "IO.NET", ((F39 - J39) / J39), "Moneda no soportada")))</f>
        <v>0.51881720430107536</v>
      </c>
      <c r="Y39" s="2" t="str">
        <f>IF(U39=0,"VENDIDA","ACTIVA")</f>
        <v>ACTIVA</v>
      </c>
    </row>
    <row r="40" spans="2:25">
      <c r="B40" s="1">
        <f ca="1">TODAY()</f>
        <v>45635</v>
      </c>
      <c r="C40" s="2">
        <f ca="1">VLOOKUP(B40,Tabla4[],2,FALSE)</f>
        <v>4426</v>
      </c>
      <c r="D40" s="3">
        <f ca="1">VLOOKUP(B40,Tabla4[],3,FALSE)</f>
        <v>98015.98</v>
      </c>
      <c r="E40" s="2">
        <f ca="1">VLOOKUP(B40,Tabla4[],5,FALSE)</f>
        <v>3842</v>
      </c>
      <c r="F40" s="2">
        <f ca="1">VLOOKUP(B40,Tabla4[],4,FALSE)</f>
        <v>3.23</v>
      </c>
      <c r="G40" t="s">
        <v>41</v>
      </c>
      <c r="H40" s="1">
        <v>45530</v>
      </c>
      <c r="I40" s="3">
        <f>VLOOKUP(H40,Tabla4[],2,FALSE)</f>
        <v>4029.75</v>
      </c>
      <c r="J40" s="3">
        <v>2.1766899999999998</v>
      </c>
      <c r="K40" s="25">
        <v>3.9902439999999997E-2</v>
      </c>
      <c r="L40" s="29">
        <f>Tabla6[[#This Row],[precio de compra]]*Tabla6[[#This Row],[cantidad]]*Tabla6[[#This Row],[PRECIO DEL DÓLAR, DIA COMPRA]]</f>
        <v>350.00491194757706</v>
      </c>
      <c r="M40" s="26">
        <f ca="1" xml:space="preserve"> K40 * (IF(G40="BTC", D40, IF(G40="ETH", E40, IF(G40="IO.NET", F40, 0)))) * C40</f>
        <v>570.44448419119999</v>
      </c>
      <c r="N40" s="41">
        <f ca="1">IF(G40 = "BTC", (D40 - J40) / J40,
 IF(G40 = "ETH", (E40 - J40) / J40,
 IF(G40 = "IO.NET", (F40 - J40) / J40,
 "Moneda no soportada")))</f>
        <v>0.48390446044223123</v>
      </c>
      <c r="O40" s="28">
        <v>0.1</v>
      </c>
      <c r="P40" s="28">
        <v>0.3</v>
      </c>
      <c r="Q40" t="str">
        <f ca="1">IF(N40 &lt; O40, "MANTENER", IF(N40 &lt; P40, "VENTA PARCIAL", "VENDER"))</f>
        <v>VENDER</v>
      </c>
      <c r="T40" s="2"/>
      <c r="U40" s="14">
        <f>Tabla6[[#This Row],[cantidad]]-Tabla6[[#This Row],[CANTIDAD VENDIDA]]</f>
        <v>3.9902439999999997E-2</v>
      </c>
      <c r="V40" s="2">
        <f ca="1">IF(G40="BTC", D40 * U40 * C40, IF(G40="ETH", E40 * U40 * C40, IF(G40="IO.NET", F40 * U40 * C40, 0)))</f>
        <v>570.44448419119999</v>
      </c>
      <c r="W40" s="2">
        <f>IF(G40 = "BTC", ((T40 - L40)), IF(G40 = "ETH", ((T40 - L40)), IF(G40 = "IO.NET", ((T40 - L40)), "Moneda no soportada")))</f>
        <v>-350.00491194757706</v>
      </c>
      <c r="X40" s="9">
        <f ca="1">IF(G40 = "BTC", (((D40 - J40) / J40)),IF(G40 = "ETH", ((E40 - J40) / J40), IF(G40 = "IO.NET", ((F40 - J40) / J40), "Moneda no soportada")))</f>
        <v>0.48390446044223123</v>
      </c>
      <c r="Y40" s="2" t="str">
        <f>IF(U40=0,"VENDIDA","ACTIVA")</f>
        <v>ACTIVA</v>
      </c>
    </row>
    <row r="41" spans="2:25">
      <c r="B41" s="1">
        <f ca="1">TODAY()</f>
        <v>45635</v>
      </c>
      <c r="C41" s="2">
        <f ca="1">VLOOKUP(B41,Tabla4[],2,FALSE)</f>
        <v>4426</v>
      </c>
      <c r="D41" s="3">
        <f ca="1">VLOOKUP(B41,Tabla4[],3,FALSE)</f>
        <v>98015.98</v>
      </c>
      <c r="E41" s="2">
        <f ca="1">VLOOKUP(B41,Tabla4[],5,FALSE)</f>
        <v>3842</v>
      </c>
      <c r="F41" s="2">
        <f ca="1">VLOOKUP(B41,Tabla4[],4,FALSE)</f>
        <v>3.23</v>
      </c>
      <c r="G41" t="s">
        <v>15</v>
      </c>
      <c r="H41" s="1">
        <v>45558</v>
      </c>
      <c r="I41" s="3">
        <f>VLOOKUP(H41,Tabla4[],2,FALSE)</f>
        <v>4153.9799999999996</v>
      </c>
      <c r="J41" s="3">
        <v>2598.92</v>
      </c>
      <c r="K41" s="25">
        <v>6.4839999999999996E-5</v>
      </c>
      <c r="L41" s="29">
        <f>Tabla6[[#This Row],[precio de compra]]*Tabla6[[#This Row],[cantidad]]*Tabla6[[#This Row],[PRECIO DEL DÓLAR, DIA COMPRA]]</f>
        <v>700.0036727317439</v>
      </c>
      <c r="M41" s="26">
        <f ca="1" xml:space="preserve"> K41 * (IF(G41="BTC", D41, IF(G41="ETH", E41, IF(G41="IO.NET", F41, 0)))) * C41</f>
        <v>1102.58422928</v>
      </c>
      <c r="N41" s="41">
        <f ca="1">IF(G41 = "BTC", (D41 - J41) / J41,
 IF(G41 = "ETH", (E41 - J41) / J41,
 IF(G41 = "IO.NET", (F41 - J41) / J41,
 "Moneda no soportada")))</f>
        <v>0.47830637341664994</v>
      </c>
      <c r="O41" s="28">
        <v>0.25</v>
      </c>
      <c r="P41" s="28">
        <v>0.5</v>
      </c>
      <c r="Q41" s="31" t="str">
        <f ca="1">IF(N41 &lt; O41, "MANTENER", IF(N41 &lt; P41, "VENTA PARCIAL", "VENDER"))</f>
        <v>VENTA PARCIAL</v>
      </c>
      <c r="T41" s="2"/>
      <c r="U41" s="14">
        <f>Tabla6[[#This Row],[cantidad]]-Tabla6[[#This Row],[CANTIDAD VENDIDA]]</f>
        <v>6.4839999999999996E-5</v>
      </c>
      <c r="V41" s="2">
        <f ca="1">IF(G41="BTC", D41 * U41 * C41, IF(G41="ETH", E41 * U41 * C41, IF(G41="IO.NET", F41 * U41 * C41, 0)))</f>
        <v>1102.58422928</v>
      </c>
      <c r="W41" s="2">
        <f>IF(G41 = "BTC", ((T41 - L41)), IF(G41 = "ETH", ((T41 - L41)), IF(G41 = "IO.NET", ((T41 - L41)), "Moneda no soportada")))</f>
        <v>-700.0036727317439</v>
      </c>
      <c r="X41" s="32">
        <f ca="1">IF(G41 = "BTC", (((D41 - J41) / J41)),IF(G41 = "ETH", ((E41 - J41) / J41), IF(G41 = "IO.NET", ((F41 - J41) / J41), "Moneda no soportada")))</f>
        <v>0.47830637341664994</v>
      </c>
      <c r="Y41" s="2" t="str">
        <f>IF(U41=0,"VENDIDA","ACTIVA")</f>
        <v>ACTIVA</v>
      </c>
    </row>
    <row r="42" spans="2:25">
      <c r="B42" s="1">
        <f ca="1">TODAY()</f>
        <v>45635</v>
      </c>
      <c r="C42" s="2">
        <f ca="1">VLOOKUP(B42,Tabla4[],2,FALSE)</f>
        <v>4426</v>
      </c>
      <c r="D42" s="3">
        <f ca="1">VLOOKUP(B42,Tabla4[],3,FALSE)</f>
        <v>98015.98</v>
      </c>
      <c r="E42" s="2">
        <f ca="1">VLOOKUP(B42,Tabla4[],5,FALSE)</f>
        <v>3842</v>
      </c>
      <c r="F42" s="2">
        <f ca="1">VLOOKUP(B42,Tabla4[],4,FALSE)</f>
        <v>3.23</v>
      </c>
      <c r="G42" t="s">
        <v>14</v>
      </c>
      <c r="H42" s="1">
        <v>45460</v>
      </c>
      <c r="I42" s="3">
        <f>VLOOKUP(H42,Tabla4[],2,FALSE)</f>
        <v>4129.43</v>
      </c>
      <c r="J42" s="3">
        <v>66469.899999999994</v>
      </c>
      <c r="K42" s="11">
        <v>2.6299999999999998E-6</v>
      </c>
      <c r="L42" s="7">
        <f>Tabla6[[#This Row],[precio de compra]]*Tabla6[[#This Row],[cantidad]]*Tabla6[[#This Row],[PRECIO DEL DÓLAR, DIA COMPRA]]</f>
        <v>721.88976178291</v>
      </c>
      <c r="M42" s="13">
        <f ca="1" xml:space="preserve"> K42 * (IF(G42="BTC", D42, IF(G42="ETH", E42, IF(G42="IO.NET", F42, 0)))) * C42</f>
        <v>1140.9432532723997</v>
      </c>
      <c r="N42" s="32">
        <f ca="1">IF(G42 = "BTC", (D42 - J42) / J42,
 IF(G42 = "ETH", (E42 - J42) / J42,
 IF(G42 = "IO.NET", (F42 - J42) / J42,
 "Moneda no soportada")))</f>
        <v>0.47459195816452265</v>
      </c>
      <c r="O42" s="9">
        <v>0.25</v>
      </c>
      <c r="P42" s="9">
        <v>0.5</v>
      </c>
      <c r="Q42" t="str">
        <f ca="1">IF(N42 &lt; O42, "MANTENER", IF(N42 &lt; P42, "VENTA PARCIAL", "VENDER"))</f>
        <v>VENTA PARCIAL</v>
      </c>
      <c r="T42" s="2"/>
      <c r="U42" s="14">
        <f>Tabla6[[#This Row],[cantidad]]-Tabla6[[#This Row],[CANTIDAD VENDIDA]]</f>
        <v>2.6299999999999998E-6</v>
      </c>
      <c r="V42" s="2">
        <f ca="1">IF(G42="BTC", D42 * U42 * C42, IF(G42="ETH", E42 * U42 * C42, IF(G42="IO.NET", F42 * U42 * C42, 0)))</f>
        <v>1140.9432532723997</v>
      </c>
      <c r="W42" s="2">
        <f>IF(G42 = "BTC", ((T42 - L42)), IF(G42 = "ETH", ((T42 - L42)), IF(G42 = "IO.NET", ((T42 - L42)), "Moneda no soportada")))</f>
        <v>-721.88976178291</v>
      </c>
      <c r="X42" s="9">
        <f ca="1">IF(G42 = "BTC", (((D42 - J42) / J42)),IF(G42 = "ETH", ((E42 - J42) / J42), IF(G42 = "IO.NET", ((F42 - J42) / J42), "Moneda no soportada")))</f>
        <v>0.47459195816452265</v>
      </c>
      <c r="Y42" s="2" t="str">
        <f>IF(U42=0,"VENDIDA","ACTIVA")</f>
        <v>ACTIVA</v>
      </c>
    </row>
    <row r="43" spans="2:25">
      <c r="B43" s="1">
        <f ca="1">TODAY()</f>
        <v>45635</v>
      </c>
      <c r="C43" s="2">
        <f ca="1">VLOOKUP(B43,Tabla4[],2,FALSE)</f>
        <v>4426</v>
      </c>
      <c r="D43" s="3">
        <f ca="1">VLOOKUP(B43,Tabla4[],3,FALSE)</f>
        <v>98015.98</v>
      </c>
      <c r="E43" s="2">
        <f ca="1">VLOOKUP(B43,Tabla4[],5,FALSE)</f>
        <v>3842</v>
      </c>
      <c r="F43" s="2">
        <f ca="1">VLOOKUP(B43,Tabla4[],4,FALSE)</f>
        <v>3.23</v>
      </c>
      <c r="G43" t="s">
        <v>14</v>
      </c>
      <c r="H43" s="1">
        <v>45495</v>
      </c>
      <c r="I43" s="3">
        <f>VLOOKUP(H43,Tabla4[],2,FALSE)</f>
        <v>4041.33</v>
      </c>
      <c r="J43" s="3">
        <v>66795.14</v>
      </c>
      <c r="K43" s="11">
        <v>2.5900000000000002E-6</v>
      </c>
      <c r="L43" s="7">
        <f>Tabla6[[#This Row],[precio de compra]]*Tabla6[[#This Row],[cantidad]]*Tabla6[[#This Row],[PRECIO DEL DÓLAR, DIA COMPRA]]</f>
        <v>699.14771612275808</v>
      </c>
      <c r="M43" s="13">
        <f ca="1" xml:space="preserve"> K43 * (IF(G43="BTC", D43, IF(G43="ETH", E43, IF(G43="IO.NET", F43, 0)))) * C43</f>
        <v>1123.5905041731999</v>
      </c>
      <c r="N43" s="32">
        <f ca="1">IF(G43 = "BTC", (D43 - J43) / J43,
 IF(G43 = "ETH", (E43 - J43) / J43,
 IF(G43 = "IO.NET", (F43 - J43) / J43,
 "Moneda no soportada")))</f>
        <v>0.46741185062266499</v>
      </c>
      <c r="O43" s="9">
        <v>0.25</v>
      </c>
      <c r="P43" s="9">
        <v>0.5</v>
      </c>
      <c r="Q43" t="str">
        <f ca="1">IF(N43 &lt; O43, "MANTENER", IF(N43 &lt; P43, "VENTA PARCIAL", "VENDER"))</f>
        <v>VENTA PARCIAL</v>
      </c>
      <c r="T43" s="2"/>
      <c r="U43" s="14">
        <f>Tabla6[[#This Row],[cantidad]]-Tabla6[[#This Row],[CANTIDAD VENDIDA]]</f>
        <v>2.5900000000000002E-6</v>
      </c>
      <c r="V43" s="2">
        <f ca="1">IF(G43="BTC", D43 * U43 * C43, IF(G43="ETH", E43 * U43 * C43, IF(G43="IO.NET", F43 * U43 * C43, 0)))</f>
        <v>1123.5905041731999</v>
      </c>
      <c r="W43" s="2">
        <f>IF(G43 = "BTC", ((T43 - L43)), IF(G43 = "ETH", ((T43 - L43)), IF(G43 = "IO.NET", ((T43 - L43)), "Moneda no soportada")))</f>
        <v>-699.14771612275808</v>
      </c>
      <c r="X43" s="9">
        <f ca="1">IF(G43 = "BTC", (((D43 - J43) / J43)),IF(G43 = "ETH", ((E43 - J43) / J43), IF(G43 = "IO.NET", ((F43 - J43) / J43), "Moneda no soportada")))</f>
        <v>0.46741185062266499</v>
      </c>
      <c r="Y43" s="2" t="str">
        <f>IF(U43=0,"VENDIDA","ACTIVA")</f>
        <v>ACTIVA</v>
      </c>
    </row>
    <row r="44" spans="2:25">
      <c r="B44" s="1">
        <f ca="1">TODAY()</f>
        <v>45635</v>
      </c>
      <c r="C44" s="2">
        <f ca="1">VLOOKUP(B44,Tabla4[],2,FALSE)</f>
        <v>4426</v>
      </c>
      <c r="D44" s="3">
        <f ca="1">VLOOKUP(B44,Tabla4[],3,FALSE)</f>
        <v>98015.98</v>
      </c>
      <c r="E44" s="2">
        <f ca="1">VLOOKUP(B44,Tabla4[],5,FALSE)</f>
        <v>3842</v>
      </c>
      <c r="F44" s="2">
        <f ca="1">VLOOKUP(B44,Tabla4[],4,FALSE)</f>
        <v>3.23</v>
      </c>
      <c r="G44" t="s">
        <v>15</v>
      </c>
      <c r="H44" s="1">
        <v>45565</v>
      </c>
      <c r="I44" s="3">
        <v>4000</v>
      </c>
      <c r="J44" s="3">
        <v>2622.5</v>
      </c>
      <c r="K44" s="25">
        <v>6.6730000000000007E-5</v>
      </c>
      <c r="L44" s="29">
        <f>Tabla6[[#This Row],[precio de compra]]*Tabla6[[#This Row],[cantidad]]*Tabla6[[#This Row],[PRECIO DEL DÓLAR, DIA COMPRA]]</f>
        <v>699.99770000000001</v>
      </c>
      <c r="M44" s="26">
        <f ca="1" xml:space="preserve"> K44 * (IF(G44="BTC", D44, IF(G44="ETH", E44, IF(G44="IO.NET", F44, 0)))) * C44</f>
        <v>1134.7230971600002</v>
      </c>
      <c r="N44" s="41">
        <f ca="1">IF(G44 = "BTC", (D44 - J44) / J44,
 IF(G44 = "ETH", (E44 - J44) / J44,
 IF(G44 = "IO.NET", (F44 - J44) / J44,
 "Moneda no soportada")))</f>
        <v>0.46501429933269783</v>
      </c>
      <c r="O44" s="28">
        <v>0.25</v>
      </c>
      <c r="P44" s="28">
        <v>0.5</v>
      </c>
      <c r="Q44" s="31" t="str">
        <f ca="1">IF(N44 &lt; O44, "MANTENER", IF(N44 &lt; P44, "VENTA PARCIAL", "VENDER"))</f>
        <v>VENTA PARCIAL</v>
      </c>
      <c r="T44" s="2"/>
      <c r="U44" s="14">
        <f>Tabla6[[#This Row],[cantidad]]-Tabla6[[#This Row],[CANTIDAD VENDIDA]]</f>
        <v>6.6730000000000007E-5</v>
      </c>
      <c r="V44" s="2">
        <f ca="1">IF(G44="BTC", D44 * U44 * C44, IF(G44="ETH", E44 * U44 * C44, IF(G44="IO.NET", F44 * U44 * C44, 0)))</f>
        <v>1134.7230971600002</v>
      </c>
      <c r="W44" s="2">
        <f>IF(G44 = "BTC", ((T44 - L44)), IF(G44 = "ETH", ((T44 - L44)), IF(G44 = "IO.NET", ((T44 - L44)), "Moneda no soportada")))</f>
        <v>-699.99770000000001</v>
      </c>
      <c r="X44" s="32">
        <f ca="1">IF(G44 = "BTC", (((D44 - J44) / J44)),IF(G44 = "ETH", ((E44 - J44) / J44), IF(G44 = "IO.NET", ((F44 - J44) / J44), "Moneda no soportada")))</f>
        <v>0.46501429933269783</v>
      </c>
      <c r="Y44" s="2" t="str">
        <f>IF(U44=0,"VENDIDA","ACTIVA")</f>
        <v>ACTIVA</v>
      </c>
    </row>
    <row r="45" spans="2:25">
      <c r="B45" s="1">
        <f ca="1">TODAY()</f>
        <v>45635</v>
      </c>
      <c r="C45" s="2">
        <f ca="1">VLOOKUP(B45,Tabla4[],2,FALSE)</f>
        <v>4426</v>
      </c>
      <c r="D45" s="3">
        <f ca="1">VLOOKUP(B45,Tabla4[],3,FALSE)</f>
        <v>98015.98</v>
      </c>
      <c r="E45" s="2">
        <f ca="1">VLOOKUP(B45,Tabla4[],5,FALSE)</f>
        <v>3842</v>
      </c>
      <c r="F45" s="2">
        <f ca="1">VLOOKUP(B45,Tabla4[],4,FALSE)</f>
        <v>3.23</v>
      </c>
      <c r="G45" t="s">
        <v>14</v>
      </c>
      <c r="H45" s="1">
        <v>45586</v>
      </c>
      <c r="I45" s="3">
        <f>VLOOKUP(H45,Tabla4[],2,FALSE)</f>
        <v>4270</v>
      </c>
      <c r="J45" s="3">
        <v>67463</v>
      </c>
      <c r="K45" s="25">
        <v>2.43E-6</v>
      </c>
      <c r="L45" s="29">
        <f>Tabla6[[#This Row],[precio de compra]]*Tabla6[[#This Row],[cantidad]]*Tabla6[[#This Row],[PRECIO DEL DÓLAR, DIA COMPRA]]</f>
        <v>700.00283430000002</v>
      </c>
      <c r="M45" s="26">
        <f ca="1" xml:space="preserve"> K45 * (IF(G45="BTC", D45, IF(G45="ETH", E45, IF(G45="IO.NET", F45, 0)))) * C45</f>
        <v>1054.1795077764</v>
      </c>
      <c r="N45" s="41">
        <f ca="1">IF(G45 = "BTC", (D45 - J45) / J45,
 IF(G45 = "ETH", (E45 - J45) / J45,
 IF(G45 = "IO.NET", (F45 - J45) / J45,
 "Moneda no soportada")))</f>
        <v>0.45288498880868028</v>
      </c>
      <c r="O45" s="28">
        <v>0.25</v>
      </c>
      <c r="P45" s="28">
        <v>0.5</v>
      </c>
      <c r="Q45" s="31" t="str">
        <f ca="1">IF(N45 &lt; O45, "MANTENER", IF(N45 &lt; P45, "VENTA PARCIAL", "VENDER"))</f>
        <v>VENTA PARCIAL</v>
      </c>
      <c r="T45" s="2"/>
      <c r="U45" s="14">
        <f>Tabla6[[#This Row],[cantidad]]-Tabla6[[#This Row],[CANTIDAD VENDIDA]]</f>
        <v>2.43E-6</v>
      </c>
      <c r="V45" s="2">
        <f ca="1">IF(G45="BTC", D45 * U45 * C45, IF(G45="ETH", E45 * U45 * C45, IF(G45="IO.NET", F45 * U45 * C45, 0)))</f>
        <v>1054.1795077764</v>
      </c>
      <c r="W45" s="2">
        <f>IF(G45 = "BTC", ((T45 - L45)), IF(G45 = "ETH", ((T45 - L45)), IF(G45 = "IO.NET", ((T45 - L45)), "Moneda no soportada")))</f>
        <v>-700.00283430000002</v>
      </c>
      <c r="X45" s="32">
        <f ca="1">IF(G45 = "BTC", (((D45 - J45) / J45)),IF(G45 = "ETH", ((E45 - J45) / J45), IF(G45 = "IO.NET", ((F45 - J45) / J45), "Moneda no soportada")))</f>
        <v>0.45288498880868028</v>
      </c>
      <c r="Y45" s="2" t="str">
        <f>IF(U45=0,"VENDIDA","ACTIVA")</f>
        <v>ACTIVA</v>
      </c>
    </row>
    <row r="46" spans="2:25">
      <c r="B46" s="1">
        <f ca="1">TODAY()</f>
        <v>45635</v>
      </c>
      <c r="C46" s="2">
        <f ca="1">VLOOKUP(B46,Tabla4[],2,FALSE)</f>
        <v>4426</v>
      </c>
      <c r="D46" s="3">
        <f ca="1">VLOOKUP(B46,Tabla4[],3,FALSE)</f>
        <v>98015.98</v>
      </c>
      <c r="E46" s="2">
        <f ca="1">VLOOKUP(B46,Tabla4[],5,FALSE)</f>
        <v>3842</v>
      </c>
      <c r="F46" s="2">
        <f ca="1">VLOOKUP(B46,Tabla4[],4,FALSE)</f>
        <v>3.23</v>
      </c>
      <c r="G46" t="s">
        <v>15</v>
      </c>
      <c r="H46" s="1">
        <v>45516</v>
      </c>
      <c r="I46" s="3">
        <f>VLOOKUP(H46,Tabla4[],2,FALSE)</f>
        <v>4073.83</v>
      </c>
      <c r="J46" s="3">
        <v>2645.2</v>
      </c>
      <c r="K46" s="11">
        <v>6.4960000000000001E-5</v>
      </c>
      <c r="L46" s="29">
        <f>Tabla6[[#This Row],[precio de compra]]*Tabla6[[#This Row],[cantidad]]*Tabla6[[#This Row],[PRECIO DEL DÓLAR, DIA COMPRA]]</f>
        <v>700.01513873535998</v>
      </c>
      <c r="M46" s="26">
        <f ca="1" xml:space="preserve"> K46 * (IF(G46="BTC", D46, IF(G46="ETH", E46, IF(G46="IO.NET", F46, 0)))) * C46</f>
        <v>1104.6247923200001</v>
      </c>
      <c r="N46" s="41">
        <f ca="1">IF(G46 = "BTC", (D46 - J46) / J46,
 IF(G46 = "ETH", (E46 - J46) / J46,
 IF(G46 = "IO.NET", (F46 - J46) / J46,
 "Moneda no soportada")))</f>
        <v>0.4524421593830335</v>
      </c>
      <c r="O46" s="28">
        <v>0.25</v>
      </c>
      <c r="P46" s="28">
        <v>0.5</v>
      </c>
      <c r="Q46" t="str">
        <f ca="1">IF(N46 &lt; O46, "MANTENER", IF(N46 &lt; P46, "VENTA PARCIAL", "VENDER"))</f>
        <v>VENTA PARCIAL</v>
      </c>
      <c r="T46" s="2"/>
      <c r="U46" s="14">
        <f>Tabla6[[#This Row],[cantidad]]-Tabla6[[#This Row],[CANTIDAD VENDIDA]]</f>
        <v>6.4960000000000001E-5</v>
      </c>
      <c r="V46" s="2">
        <f ca="1">IF(G46="BTC", D46 * U46 * C46, IF(G46="ETH", E46 * U46 * C46, IF(G46="IO.NET", F46 * U46 * C46, 0)))</f>
        <v>1104.6247923200001</v>
      </c>
      <c r="W46" s="2">
        <f>IF(G46 = "BTC", ((T46 - L46)), IF(G46 = "ETH", ((T46 - L46)), IF(G46 = "IO.NET", ((T46 - L46)), "Moneda no soportada")))</f>
        <v>-700.01513873535998</v>
      </c>
      <c r="X46" s="9">
        <f ca="1">IF(G46 = "BTC", (((D46 - J46) / J46)),IF(G46 = "ETH", ((E46 - J46) / J46), IF(G46 = "IO.NET", ((F46 - J46) / J46), "Moneda no soportada")))</f>
        <v>0.4524421593830335</v>
      </c>
      <c r="Y46" s="2" t="str">
        <f>IF(U46=0,"VENDIDA","ACTIVA")</f>
        <v>ACTIVA</v>
      </c>
    </row>
    <row r="47" spans="2:25">
      <c r="B47" s="1">
        <f ca="1">TODAY()</f>
        <v>45635</v>
      </c>
      <c r="C47" s="2">
        <f ca="1">VLOOKUP(B47,Tabla4[],2,FALSE)</f>
        <v>4426</v>
      </c>
      <c r="D47" s="3">
        <f ca="1">VLOOKUP(B47,Tabla4[],3,FALSE)</f>
        <v>98015.98</v>
      </c>
      <c r="E47" s="2">
        <f ca="1">VLOOKUP(B47,Tabla4[],5,FALSE)</f>
        <v>3842</v>
      </c>
      <c r="F47" s="2">
        <f ca="1">VLOOKUP(B47,Tabla4[],4,FALSE)</f>
        <v>3.23</v>
      </c>
      <c r="G47" t="s">
        <v>15</v>
      </c>
      <c r="H47" s="1">
        <v>45586</v>
      </c>
      <c r="I47" s="3">
        <f>VLOOKUP(H47,Tabla4[],2,FALSE)</f>
        <v>4270</v>
      </c>
      <c r="J47" s="3">
        <v>2663</v>
      </c>
      <c r="K47" s="25">
        <v>6.156E-5</v>
      </c>
      <c r="L47" s="29">
        <f>Tabla6[[#This Row],[precio de compra]]*Tabla6[[#This Row],[cantidad]]*Tabla6[[#This Row],[PRECIO DEL DÓLAR, DIA COMPRA]]</f>
        <v>699.99937559999989</v>
      </c>
      <c r="M47" s="26">
        <f ca="1" xml:space="preserve"> K47 * (IF(G47="BTC", D47, IF(G47="ETH", E47, IF(G47="IO.NET", F47, 0)))) * C47</f>
        <v>1046.80883952</v>
      </c>
      <c r="N47" s="41">
        <f ca="1">IF(G47 = "BTC", (D47 - J47) / J47,
 IF(G47 = "ETH", (E47 - J47) / J47,
 IF(G47 = "IO.NET", (F47 - J47) / J47,
 "Moneda no soportada")))</f>
        <v>0.44273375891851297</v>
      </c>
      <c r="O47" s="28">
        <v>0.25</v>
      </c>
      <c r="P47" s="28">
        <v>0.5</v>
      </c>
      <c r="Q47" s="31" t="str">
        <f ca="1">IF(N47 &lt; O47, "MANTENER", IF(N47 &lt; P47, "VENTA PARCIAL", "VENDER"))</f>
        <v>VENTA PARCIAL</v>
      </c>
      <c r="T47" s="2"/>
      <c r="U47" s="14">
        <f>Tabla6[[#This Row],[cantidad]]-Tabla6[[#This Row],[CANTIDAD VENDIDA]]</f>
        <v>6.156E-5</v>
      </c>
      <c r="V47" s="2">
        <f ca="1">IF(G47="BTC", D47 * U47 * C47, IF(G47="ETH", E47 * U47 * C47, IF(G47="IO.NET", F47 * U47 * C47, 0)))</f>
        <v>1046.80883952</v>
      </c>
      <c r="W47" s="2">
        <f>IF(G47 = "BTC", ((T47 - L47)), IF(G47 = "ETH", ((T47 - L47)), IF(G47 = "IO.NET", ((T47 - L47)), "Moneda no soportada")))</f>
        <v>-699.99937559999989</v>
      </c>
      <c r="X47" s="32">
        <f ca="1">IF(G47 = "BTC", (((D47 - J47) / J47)),IF(G47 = "ETH", ((E47 - J47) / J47), IF(G47 = "IO.NET", ((F47 - J47) / J47), "Moneda no soportada")))</f>
        <v>0.44273375891851297</v>
      </c>
      <c r="Y47" s="2" t="str">
        <f>IF(U47=0,"VENDIDA","ACTIVA")</f>
        <v>ACTIVA</v>
      </c>
    </row>
    <row r="48" spans="2:25">
      <c r="B48" s="1">
        <f ca="1">TODAY()</f>
        <v>45635</v>
      </c>
      <c r="C48" s="2">
        <f ca="1">VLOOKUP(B48,Tabla4[],2,FALSE)</f>
        <v>4426</v>
      </c>
      <c r="D48" s="3">
        <f ca="1">VLOOKUP(B48,Tabla4[],3,FALSE)</f>
        <v>98015.98</v>
      </c>
      <c r="E48" s="2">
        <f ca="1">VLOOKUP(B48,Tabla4[],5,FALSE)</f>
        <v>3842</v>
      </c>
      <c r="F48" s="2">
        <f ca="1">VLOOKUP(B48,Tabla4[],4,FALSE)</f>
        <v>3.23</v>
      </c>
      <c r="G48" t="s">
        <v>15</v>
      </c>
      <c r="H48" s="1">
        <v>45530</v>
      </c>
      <c r="I48" s="3">
        <f>VLOOKUP(H48,Tabla4[],2,FALSE)</f>
        <v>4029.75</v>
      </c>
      <c r="J48" s="3">
        <v>2670.79</v>
      </c>
      <c r="K48" s="25">
        <v>6.5040000000000001E-5</v>
      </c>
      <c r="L48" s="29">
        <f>Tabla6[[#This Row],[precio de compra]]*Tabla6[[#This Row],[cantidad]]*Tabla6[[#This Row],[PRECIO DEL DÓLAR, DIA COMPRA]]</f>
        <v>700.00054480260007</v>
      </c>
      <c r="M48" s="26">
        <f ca="1" xml:space="preserve"> K48 * (IF(G48="BTC", D48, IF(G48="ETH", E48, IF(G48="IO.NET", F48, 0)))) * C48</f>
        <v>1105.9851676799999</v>
      </c>
      <c r="N48" s="41">
        <f ca="1">IF(G48 = "BTC", (D48 - J48) / J48,
 IF(G48 = "ETH", (E48 - J48) / J48,
 IF(G48 = "IO.NET", (F48 - J48) / J48,
 "Moneda no soportada")))</f>
        <v>0.43852567966781364</v>
      </c>
      <c r="O48" s="28">
        <v>0.25</v>
      </c>
      <c r="P48" s="28">
        <v>0.5</v>
      </c>
      <c r="Q48" t="str">
        <f ca="1">IF(N48 &lt; O48, "MANTENER", IF(N48 &lt; P48, "VENTA PARCIAL", "VENDER"))</f>
        <v>VENTA PARCIAL</v>
      </c>
      <c r="T48" s="2"/>
      <c r="U48" s="14">
        <f>Tabla6[[#This Row],[cantidad]]-Tabla6[[#This Row],[CANTIDAD VENDIDA]]</f>
        <v>6.5040000000000001E-5</v>
      </c>
      <c r="V48" s="2">
        <f ca="1">IF(G48="BTC", D48 * U48 * C48, IF(G48="ETH", E48 * U48 * C48, IF(G48="IO.NET", F48 * U48 * C48, 0)))</f>
        <v>1105.9851676799999</v>
      </c>
      <c r="W48" s="2">
        <f>IF(G48 = "BTC", ((T48 - L48)), IF(G48 = "ETH", ((T48 - L48)), IF(G48 = "IO.NET", ((T48 - L48)), "Moneda no soportada")))</f>
        <v>-700.00054480260007</v>
      </c>
      <c r="X48" s="9">
        <f ca="1">IF(G48 = "BTC", (((D48 - J48) / J48)),IF(G48 = "ETH", ((E48 - J48) / J48), IF(G48 = "IO.NET", ((F48 - J48) / J48), "Moneda no soportada")))</f>
        <v>0.43852567966781364</v>
      </c>
      <c r="Y48" s="2" t="str">
        <f>IF(U48=0,"VENDIDA","ACTIVA")</f>
        <v>ACTIVA</v>
      </c>
    </row>
    <row r="49" spans="2:25">
      <c r="B49" s="1">
        <f ca="1">TODAY()</f>
        <v>45635</v>
      </c>
      <c r="C49" s="2">
        <f ca="1">VLOOKUP(B49,Tabla4[],2,FALSE)</f>
        <v>4426</v>
      </c>
      <c r="D49" s="3">
        <f ca="1">VLOOKUP(B49,Tabla4[],3,FALSE)</f>
        <v>98015.98</v>
      </c>
      <c r="E49" s="2">
        <f ca="1">VLOOKUP(B49,Tabla4[],5,FALSE)</f>
        <v>3842</v>
      </c>
      <c r="F49" s="2">
        <f ca="1">VLOOKUP(B49,Tabla4[],4,FALSE)</f>
        <v>3.23</v>
      </c>
      <c r="G49" t="s">
        <v>14</v>
      </c>
      <c r="H49" s="1">
        <v>45502</v>
      </c>
      <c r="I49" s="3">
        <f>VLOOKUP(H49,Tabla4[],2,FALSE)</f>
        <v>4030.02</v>
      </c>
      <c r="J49" s="3">
        <v>68680.2</v>
      </c>
      <c r="K49" s="11">
        <v>2.5299999999999999E-6</v>
      </c>
      <c r="L49" s="7">
        <f>Tabla6[[#This Row],[precio de compra]]*Tabla6[[#This Row],[cantidad]]*Tabla6[[#This Row],[PRECIO DEL DÓLAR, DIA COMPRA]]</f>
        <v>700.25992639812</v>
      </c>
      <c r="M49" s="13">
        <f ca="1" xml:space="preserve"> K49 * (IF(G49="BTC", D49, IF(G49="ETH", E49, IF(G49="IO.NET", F49, 0)))) * C49</f>
        <v>1097.5613805244</v>
      </c>
      <c r="N49" s="32">
        <f ca="1">IF(G49 = "BTC", (D49 - J49) / J49,
 IF(G49 = "ETH", (E49 - J49) / J49,
 IF(G49 = "IO.NET", (F49 - J49) / J49,
 "Moneda no soportada")))</f>
        <v>0.42713591398976708</v>
      </c>
      <c r="O49" s="9">
        <v>0.25</v>
      </c>
      <c r="P49" s="9">
        <v>0.5</v>
      </c>
      <c r="Q49" t="str">
        <f ca="1">IF(N49 &lt; O49, "MANTENER", IF(N49 &lt; P49, "VENTA PARCIAL", "VENDER"))</f>
        <v>VENTA PARCIAL</v>
      </c>
      <c r="T49" s="2"/>
      <c r="U49" s="14">
        <f>Tabla6[[#This Row],[cantidad]]-Tabla6[[#This Row],[CANTIDAD VENDIDA]]</f>
        <v>2.5299999999999999E-6</v>
      </c>
      <c r="V49" s="2">
        <f ca="1">IF(G49="BTC", D49 * U49 * C49, IF(G49="ETH", E49 * U49 * C49, IF(G49="IO.NET", F49 * U49 * C49, 0)))</f>
        <v>1097.5613805244</v>
      </c>
      <c r="W49" s="2">
        <f>IF(G49 = "BTC", ((T49 - L49)), IF(G49 = "ETH", ((T49 - L49)), IF(G49 = "IO.NET", ((T49 - L49)), "Moneda no soportada")))</f>
        <v>-700.25992639812</v>
      </c>
      <c r="X49" s="9">
        <f ca="1">IF(G49 = "BTC", (((D49 - J49) / J49)),IF(G49 = "ETH", ((E49 - J49) / J49), IF(G49 = "IO.NET", ((F49 - J49) / J49), "Moneda no soportada")))</f>
        <v>0.42713591398976708</v>
      </c>
      <c r="Y49" s="2" t="str">
        <f>IF(U49=0,"VENDIDA","ACTIVA")</f>
        <v>ACTIVA</v>
      </c>
    </row>
    <row r="50" spans="2:25">
      <c r="B50" s="1">
        <f ca="1">TODAY()</f>
        <v>45635</v>
      </c>
      <c r="C50" s="2">
        <f ca="1">VLOOKUP(B50,Tabla4[],2,FALSE)</f>
        <v>4426</v>
      </c>
      <c r="D50" s="3">
        <f ca="1">VLOOKUP(B50,Tabla4[],3,FALSE)</f>
        <v>98015.98</v>
      </c>
      <c r="E50" s="2">
        <f ca="1">VLOOKUP(B50,Tabla4[],5,FALSE)</f>
        <v>3842</v>
      </c>
      <c r="F50" s="2">
        <f ca="1">VLOOKUP(B50,Tabla4[],4,FALSE)</f>
        <v>3.23</v>
      </c>
      <c r="G50" t="s">
        <v>41</v>
      </c>
      <c r="H50" s="1">
        <v>45614</v>
      </c>
      <c r="I50" s="3">
        <v>4378.71</v>
      </c>
      <c r="J50" s="3">
        <v>2.26328</v>
      </c>
      <c r="K50" s="25">
        <v>3.5317420000000002E-2</v>
      </c>
      <c r="L50" s="29">
        <f>Tabla6[[#This Row],[precio de compra]]*Tabla6[[#This Row],[cantidad]]*Tabla6[[#This Row],[PRECIO DEL DÓLAR, DIA COMPRA]]</f>
        <v>350.00434743735252</v>
      </c>
      <c r="M50" s="26">
        <f ca="1" xml:space="preserve"> K50 * (IF(G50="BTC", D50, IF(G50="ETH", E50, IF(G50="IO.NET", F50, 0)))) * C50</f>
        <v>504.89712997160001</v>
      </c>
      <c r="N50" s="41">
        <f ca="1">IF(G50 = "BTC", (D50 - J50) / J50,
 IF(G50 = "ETH", (E50 - J50) / J50,
 IF(G50 = "IO.NET", (F50 - J50) / J50,
 "Moneda no soportada")))</f>
        <v>0.42713230355943588</v>
      </c>
      <c r="O50" s="28">
        <v>0.1</v>
      </c>
      <c r="P50" s="28">
        <v>0.3</v>
      </c>
      <c r="Q50" s="31" t="str">
        <f ca="1">IF(N50 &lt; O50, "MANTENER", IF(N50 &lt; P50, "VENTA PARCIAL", "VENDER"))</f>
        <v>VENDER</v>
      </c>
      <c r="T50" s="2"/>
      <c r="U50" s="14">
        <f>Tabla6[[#This Row],[cantidad]]-Tabla6[[#This Row],[CANTIDAD VENDIDA]]</f>
        <v>3.5317420000000002E-2</v>
      </c>
      <c r="V50" s="2">
        <f ca="1">IF(G50="BTC", D50 * U50 * C50, IF(G50="ETH", E50 * U50 * C50, IF(G50="IO.NET", F50 * U50 * C50, 0)))</f>
        <v>504.89712997160001</v>
      </c>
      <c r="W50" s="2">
        <f>IF(G50 = "BTC", ((T50 - L50)), IF(G50 = "ETH", ((T50 - L50)), IF(G50 = "IO.NET", ((T50 - L50)), "Moneda no soportada")))</f>
        <v>-350.00434743735252</v>
      </c>
      <c r="X50" s="32">
        <f ca="1">IF(G50 = "BTC", (((D50 - J50) / J50)),IF(G50 = "ETH", ((E50 - J50) / J50), IF(G50 = "IO.NET", ((F50 - J50) / J50), "Moneda no soportada")))</f>
        <v>0.42713230355943588</v>
      </c>
      <c r="Y50" s="2" t="str">
        <f>IF(U50=0,"VENDIDA","ACTIVA")</f>
        <v>ACTIVA</v>
      </c>
    </row>
    <row r="51" spans="2:25">
      <c r="B51" s="1">
        <f ca="1">TODAY()</f>
        <v>45635</v>
      </c>
      <c r="C51" s="2">
        <f ca="1">VLOOKUP(B51,Tabla4[],2,FALSE)</f>
        <v>4426</v>
      </c>
      <c r="D51" s="3">
        <f ca="1">VLOOKUP(B51,Tabla4[],3,FALSE)</f>
        <v>98015.98</v>
      </c>
      <c r="E51" s="2">
        <f ca="1">VLOOKUP(B51,Tabla4[],5,FALSE)</f>
        <v>3842</v>
      </c>
      <c r="F51" s="2">
        <f ca="1">VLOOKUP(B51,Tabla4[],4,FALSE)</f>
        <v>3.23</v>
      </c>
      <c r="G51" t="s">
        <v>14</v>
      </c>
      <c r="H51" s="1">
        <v>45600</v>
      </c>
      <c r="I51" s="3">
        <v>4370.66</v>
      </c>
      <c r="J51" s="3">
        <v>68738</v>
      </c>
      <c r="K51" s="25">
        <v>2.3300000000000001E-6</v>
      </c>
      <c r="L51" s="29">
        <f>Tabla6[[#This Row],[precio de compra]]*Tabla6[[#This Row],[cantidad]]*Tabla6[[#This Row],[PRECIO DEL DÓLAR, DIA COMPRA]]</f>
        <v>700.00289509640004</v>
      </c>
      <c r="M51" s="26">
        <f ca="1" xml:space="preserve"> K51 * (IF(G51="BTC", D51, IF(G51="ETH", E51, IF(G51="IO.NET", F51, 0)))) * C51</f>
        <v>1010.7976350284</v>
      </c>
      <c r="N51" s="41">
        <f ca="1">IF(G51 = "BTC", (D51 - J51) / J51,
 IF(G51 = "ETH", (E51 - J51) / J51,
 IF(G51 = "IO.NET", (F51 - J51) / J51,
 "Moneda no soportada")))</f>
        <v>0.42593587244319003</v>
      </c>
      <c r="O51" s="28">
        <v>0.25</v>
      </c>
      <c r="P51" s="28">
        <v>0.5</v>
      </c>
      <c r="Q51" s="31" t="str">
        <f ca="1">IF(N51 &lt; O51, "MANTENER", IF(N51 &lt; P51, "VENTA PARCIAL", "VENDER"))</f>
        <v>VENTA PARCIAL</v>
      </c>
      <c r="T51" s="2"/>
      <c r="U51" s="14">
        <f>Tabla6[[#This Row],[cantidad]]-Tabla6[[#This Row],[CANTIDAD VENDIDA]]</f>
        <v>2.3300000000000001E-6</v>
      </c>
      <c r="V51" s="2">
        <f ca="1">IF(G51="BTC", D51 * U51 * C51, IF(G51="ETH", E51 * U51 * C51, IF(G51="IO.NET", F51 * U51 * C51, 0)))</f>
        <v>1010.7976350284</v>
      </c>
      <c r="W51" s="2">
        <f>IF(G51 = "BTC", ((T51 - L51)), IF(G51 = "ETH", ((T51 - L51)), IF(G51 = "IO.NET", ((T51 - L51)), "Moneda no soportada")))</f>
        <v>-700.00289509640004</v>
      </c>
      <c r="X51" s="32">
        <f ca="1">IF(G51 = "BTC", (((D51 - J51) / J51)),IF(G51 = "ETH", ((E51 - J51) / J51), IF(G51 = "IO.NET", ((F51 - J51) / J51), "Moneda no soportada")))</f>
        <v>0.42593587244319003</v>
      </c>
      <c r="Y51" s="2" t="str">
        <f>IF(U51=0,"VENDIDA","ACTIVA")</f>
        <v>ACTIVA</v>
      </c>
    </row>
    <row r="52" spans="2:25">
      <c r="B52" s="1">
        <f ca="1">TODAY()</f>
        <v>45635</v>
      </c>
      <c r="C52" s="2">
        <f ca="1">VLOOKUP(B52,Tabla4[],2,FALSE)</f>
        <v>4426</v>
      </c>
      <c r="D52" s="3">
        <f ca="1">VLOOKUP(B52,Tabla4[],3,FALSE)</f>
        <v>98015.98</v>
      </c>
      <c r="E52" s="2">
        <f ca="1">VLOOKUP(B52,Tabla4[],5,FALSE)</f>
        <v>3842</v>
      </c>
      <c r="F52" s="2">
        <f ca="1">VLOOKUP(B52,Tabla4[],4,FALSE)</f>
        <v>3.23</v>
      </c>
      <c r="G52" t="s">
        <v>14</v>
      </c>
      <c r="H52" s="1">
        <v>45593</v>
      </c>
      <c r="I52" s="3">
        <v>4241.6000000000004</v>
      </c>
      <c r="J52" s="3">
        <v>68763</v>
      </c>
      <c r="K52" s="25">
        <v>2.3999999999999999E-6</v>
      </c>
      <c r="L52" s="29">
        <f>Tabla6[[#This Row],[precio de compra]]*Tabla6[[#This Row],[cantidad]]*Tabla6[[#This Row],[PRECIO DEL DÓLAR, DIA COMPRA]]</f>
        <v>699.99633791999997</v>
      </c>
      <c r="M52" s="26">
        <f ca="1" xml:space="preserve"> K52 * (IF(G52="BTC", D52, IF(G52="ETH", E52, IF(G52="IO.NET", F52, 0)))) * C52</f>
        <v>1041.1649459519999</v>
      </c>
      <c r="N52" s="41">
        <f ca="1">IF(G52 = "BTC", (D52 - J52) / J52,
 IF(G52 = "ETH", (E52 - J52) / J52,
 IF(G52 = "IO.NET", (F52 - J52) / J52,
 "Moneda no soportada")))</f>
        <v>0.42541744833704165</v>
      </c>
      <c r="O52" s="28">
        <v>0.25</v>
      </c>
      <c r="P52" s="28">
        <v>0.5</v>
      </c>
      <c r="Q52" s="31" t="str">
        <f ca="1">IF(N52 &lt; O52, "MANTENER", IF(N52 &lt; P52, "VENTA PARCIAL", "VENDER"))</f>
        <v>VENTA PARCIAL</v>
      </c>
      <c r="T52" s="2"/>
      <c r="U52" s="14">
        <f>Tabla6[[#This Row],[cantidad]]-Tabla6[[#This Row],[CANTIDAD VENDIDA]]</f>
        <v>2.3999999999999999E-6</v>
      </c>
      <c r="V52" s="2">
        <f ca="1">IF(G52="BTC", D52 * U52 * C52, IF(G52="ETH", E52 * U52 * C52, IF(G52="IO.NET", F52 * U52 * C52, 0)))</f>
        <v>1041.1649459519999</v>
      </c>
      <c r="W52" s="2">
        <f>IF(G52 = "BTC", ((T52 - L52)), IF(G52 = "ETH", ((T52 - L52)), IF(G52 = "IO.NET", ((T52 - L52)), "Moneda no soportada")))</f>
        <v>-699.99633791999997</v>
      </c>
      <c r="X52" s="32">
        <f ca="1">IF(G52 = "BTC", (((D52 - J52) / J52)),IF(G52 = "ETH", ((E52 - J52) / J52), IF(G52 = "IO.NET", ((F52 - J52) / J52), "Moneda no soportada")))</f>
        <v>0.42541744833704165</v>
      </c>
      <c r="Y52" s="2" t="str">
        <f>IF(U52=0,"VENDIDA","ACTIVA")</f>
        <v>ACTIVA</v>
      </c>
    </row>
    <row r="53" spans="2:25">
      <c r="B53" s="1">
        <f ca="1">TODAY()</f>
        <v>45635</v>
      </c>
      <c r="C53" s="2">
        <f ca="1">VLOOKUP(B53,Tabla4[],2,FALSE)</f>
        <v>4426</v>
      </c>
      <c r="D53" s="3">
        <f ca="1">VLOOKUP(B53,Tabla4[],3,FALSE)</f>
        <v>98015.98</v>
      </c>
      <c r="E53" s="2">
        <f ca="1">VLOOKUP(B53,Tabla4[],5,FALSE)</f>
        <v>3842</v>
      </c>
      <c r="F53" s="2">
        <f ca="1">VLOOKUP(B53,Tabla4[],4,FALSE)</f>
        <v>3.23</v>
      </c>
      <c r="G53" t="s">
        <v>14</v>
      </c>
      <c r="H53" s="1">
        <v>45453</v>
      </c>
      <c r="I53" s="3">
        <f>VLOOKUP(H53,Tabla4[],2,FALSE)</f>
        <v>3995.66</v>
      </c>
      <c r="J53" s="3">
        <v>69276</v>
      </c>
      <c r="K53" s="11">
        <v>2.57E-6</v>
      </c>
      <c r="L53" s="7">
        <f>Tabla6[[#This Row],[precio de compra]]*Tabla6[[#This Row],[cantidad]]*Tabla6[[#This Row],[PRECIO DEL DÓLAR, DIA COMPRA]]</f>
        <v>711.38458935120002</v>
      </c>
      <c r="M53" s="13">
        <f ca="1" xml:space="preserve"> K53 * (IF(G53="BTC", D53, IF(G53="ETH", E53, IF(G53="IO.NET", F53, 0)))) * C53</f>
        <v>1114.9141296236</v>
      </c>
      <c r="N53" s="32">
        <f ca="1">IF(G53 = "BTC", (D53 - J53) / J53,
 IF(G53 = "ETH", (E53 - J53) / J53,
 IF(G53 = "IO.NET", (F53 - J53) / J53,
 "Moneda no soportada")))</f>
        <v>0.41486200127028111</v>
      </c>
      <c r="O53" s="9">
        <v>0.25</v>
      </c>
      <c r="P53" s="9">
        <v>0.5</v>
      </c>
      <c r="Q53" t="str">
        <f ca="1">IF(N53 &lt; O53, "MANTENER", IF(N53 &lt; P53, "VENTA PARCIAL", "VENDER"))</f>
        <v>VENTA PARCIAL</v>
      </c>
      <c r="T53" s="2"/>
      <c r="U53" s="14">
        <f>Tabla6[[#This Row],[cantidad]]-Tabla6[[#This Row],[CANTIDAD VENDIDA]]</f>
        <v>2.57E-6</v>
      </c>
      <c r="V53" s="2">
        <f ca="1">IF(G53="BTC", D53 * U53 * C53, IF(G53="ETH", E53 * U53 * C53, IF(G53="IO.NET", F53 * U53 * C53, 0)))</f>
        <v>1114.9141296236</v>
      </c>
      <c r="W53" s="2">
        <f>IF(G53 = "BTC", ((T53 - L53)), IF(G53 = "ETH", ((T53 - L53)), IF(G53 = "IO.NET", ((T53 - L53)), "Moneda no soportada")))</f>
        <v>-711.38458935120002</v>
      </c>
      <c r="X53" s="9">
        <f ca="1">IF(G53 = "BTC", (((D53 - J53) / J53)),IF(G53 = "ETH", ((E53 - J53) / J53), IF(G53 = "IO.NET", ((F53 - J53) / J53), "Moneda no soportada")))</f>
        <v>0.41486200127028111</v>
      </c>
      <c r="Y53" s="2" t="str">
        <f>IF(U53=0,"VENDIDA","ACTIVA")</f>
        <v>ACTIVA</v>
      </c>
    </row>
    <row r="54" spans="2:25">
      <c r="B54" s="1">
        <f ca="1">TODAY()</f>
        <v>45635</v>
      </c>
      <c r="C54" s="2">
        <f ca="1">VLOOKUP(B54,Tabla4[],2,FALSE)</f>
        <v>4426</v>
      </c>
      <c r="D54" s="3">
        <f ca="1">VLOOKUP(B54,Tabla4[],3,FALSE)</f>
        <v>98015.98</v>
      </c>
      <c r="E54" s="2">
        <f ca="1">VLOOKUP(B54,Tabla4[],5,FALSE)</f>
        <v>3842</v>
      </c>
      <c r="F54" s="2">
        <f ca="1">VLOOKUP(B54,Tabla4[],4,FALSE)</f>
        <v>3.23</v>
      </c>
      <c r="G54" t="s">
        <v>41</v>
      </c>
      <c r="H54" s="1">
        <v>45481</v>
      </c>
      <c r="I54" s="3">
        <f>VLOOKUP(H54,Tabla4[],2,FALSE)</f>
        <v>4078.65</v>
      </c>
      <c r="J54" s="3">
        <v>2.29</v>
      </c>
      <c r="K54" s="11">
        <v>3.8638079999999998E-2</v>
      </c>
      <c r="L54" s="7">
        <f>Tabla6[[#This Row],[precio de compra]]*Tabla6[[#This Row],[cantidad]]*Tabla6[[#This Row],[PRECIO DEL DÓLAR, DIA COMPRA]]</f>
        <v>360.88385943167998</v>
      </c>
      <c r="M54" s="13">
        <f ca="1" xml:space="preserve"> K54 * (IF(G54="BTC", D54, IF(G54="ETH", E54, IF(G54="IO.NET", F54, 0)))) * C54</f>
        <v>552.36921891839995</v>
      </c>
      <c r="N54" s="32">
        <f ca="1">IF(G54 = "BTC", (D54 - J54) / J54,
 IF(G54 = "ETH", (E54 - J54) / J54,
 IF(G54 = "IO.NET", (F54 - J54) / J54,
 "Moneda no soportada")))</f>
        <v>0.41048034934497812</v>
      </c>
      <c r="O54" s="9">
        <v>0.1</v>
      </c>
      <c r="P54" s="9">
        <v>0.3</v>
      </c>
      <c r="Q54" t="str">
        <f ca="1">IF(N54 &lt; O54, "MANTENER", IF(N54 &lt; P54, "VENTA PARCIAL", "VENDER"))</f>
        <v>VENDER</v>
      </c>
      <c r="S54">
        <v>3.8638079999999998E-2</v>
      </c>
      <c r="T54" s="2">
        <v>415</v>
      </c>
      <c r="U54" s="14">
        <f>Tabla6[[#This Row],[cantidad]]-Tabla6[[#This Row],[CANTIDAD VENDIDA]]</f>
        <v>0</v>
      </c>
      <c r="V54" s="2">
        <f ca="1">IF(G54="BTC", D54 * U54 * C54, IF(G54="ETH", E54 * U54 * C54, IF(G54="IO.NET", F54 * U54 * C54, 0)))</f>
        <v>0</v>
      </c>
      <c r="W54" s="2">
        <f>IF(G54 = "BTC", ((T54 - L54)), IF(G54 = "ETH", ((T54 - L54)), IF(G54 = "IO.NET", ((T54 - L54)), "Moneda no soportada")))</f>
        <v>54.11614056832002</v>
      </c>
      <c r="X54" s="9">
        <f ca="1">IF(G54 = "BTC", (((D54 - J54) / J54)),IF(G54 = "ETH", ((E54 - J54) / J54), IF(G54 = "IO.NET", ((F54 - J54) / J54), "Moneda no soportada")))</f>
        <v>0.41048034934497812</v>
      </c>
      <c r="Y54" s="2" t="str">
        <f>IF(U54=0,"VENDIDA","ACTIVA")</f>
        <v>VENDIDA</v>
      </c>
    </row>
    <row r="55" spans="2:25">
      <c r="B55" s="1">
        <f ca="1">TODAY()</f>
        <v>45635</v>
      </c>
      <c r="C55" s="2">
        <f ca="1">VLOOKUP(B55,Tabla4[],2,FALSE)</f>
        <v>4426</v>
      </c>
      <c r="D55" s="3">
        <f ca="1">VLOOKUP(B55,Tabla4[],3,FALSE)</f>
        <v>98015.98</v>
      </c>
      <c r="E55" s="2">
        <f ca="1">VLOOKUP(B55,Tabla4[],5,FALSE)</f>
        <v>3842</v>
      </c>
      <c r="F55" s="2">
        <f ca="1">VLOOKUP(B55,Tabla4[],4,FALSE)</f>
        <v>3.23</v>
      </c>
      <c r="G55" t="s">
        <v>14</v>
      </c>
      <c r="H55" s="1">
        <v>45449</v>
      </c>
      <c r="I55" s="3">
        <f>VLOOKUP(H55,Tabla4[],2,FALSE)</f>
        <v>3931.5</v>
      </c>
      <c r="J55" s="3">
        <v>70947</v>
      </c>
      <c r="K55" s="11">
        <v>2.52E-6</v>
      </c>
      <c r="L55" s="13">
        <f>Tabla6[[#This Row],[precio de compra]]*Tabla6[[#This Row],[cantidad]]*Tabla6[[#This Row],[PRECIO DEL DÓLAR, DIA COMPRA]]</f>
        <v>702.89888885999994</v>
      </c>
      <c r="M55" s="13">
        <f ca="1" xml:space="preserve"> K55 * (IF(G55="BTC", D55, IF(G55="ETH", E55, IF(G55="IO.NET", F55, 0)))) * C55</f>
        <v>1093.2231932495999</v>
      </c>
      <c r="N55" s="32">
        <f ca="1">IF(G55 = "BTC", (D55 - J55) / J55,
 IF(G55 = "ETH", (E55 - J55) / J55,
 IF(G55 = "IO.NET", (F55 - J55) / J55,
 "Moneda no soportada")))</f>
        <v>0.38153804952993076</v>
      </c>
      <c r="O55" s="9">
        <v>0.25</v>
      </c>
      <c r="P55" s="9">
        <v>0.5</v>
      </c>
      <c r="Q55" t="str">
        <f ca="1">IF(N55 &lt; O55, "MANTENER", IF(N55 &lt; P55, "VENTA PARCIAL", "VENDER"))</f>
        <v>VENTA PARCIAL</v>
      </c>
      <c r="T55" s="2"/>
      <c r="U55" s="14">
        <f>Tabla6[[#This Row],[cantidad]]-Tabla6[[#This Row],[CANTIDAD VENDIDA]]</f>
        <v>2.52E-6</v>
      </c>
      <c r="V55" s="2">
        <f ca="1">IF(G55="BTC", D55 * U55 * C55, IF(G55="ETH", E55 * U55 * C55, IF(G55="IO.NET", F55 * U55 * C55, 0)))</f>
        <v>1093.2231932495999</v>
      </c>
      <c r="W55" s="2">
        <f>IF(G55 = "BTC", ((T55 - L55)), IF(G55 = "ETH", ((T55 - L55)), IF(G55 = "IO.NET", ((T55 - L55)), "Moneda no soportada")))</f>
        <v>-702.89888885999994</v>
      </c>
      <c r="X55" s="9">
        <f ca="1">IF(G55 = "BTC", (((D55 - J55) / J55)),IF(G55 = "ETH", ((E55 - J55) / J55), IF(G55 = "IO.NET", ((F55 - J55) / J55), "Moneda no soportada")))</f>
        <v>0.38153804952993076</v>
      </c>
      <c r="Y55" s="2" t="str">
        <f>IF(U55=0,"VENDIDA","ACTIVA")</f>
        <v>ACTIVA</v>
      </c>
    </row>
    <row r="56" spans="2:25">
      <c r="B56" s="1">
        <f ca="1">TODAY()</f>
        <v>45635</v>
      </c>
      <c r="C56" s="2">
        <f ca="1">VLOOKUP(B56,Tabla4[],2,FALSE)</f>
        <v>4426</v>
      </c>
      <c r="D56" s="3">
        <f ca="1">VLOOKUP(B56,Tabla4[],3,FALSE)</f>
        <v>98015.98</v>
      </c>
      <c r="E56" s="2">
        <f ca="1">VLOOKUP(B56,Tabla4[],5,FALSE)</f>
        <v>3842</v>
      </c>
      <c r="F56" s="2">
        <f ca="1">VLOOKUP(B56,Tabla4[],4,FALSE)</f>
        <v>3.23</v>
      </c>
      <c r="G56" t="s">
        <v>41</v>
      </c>
      <c r="H56" s="1">
        <v>45607</v>
      </c>
      <c r="I56" s="3">
        <v>4314.76</v>
      </c>
      <c r="J56" s="3">
        <v>2.3915999999999999</v>
      </c>
      <c r="K56" s="25">
        <v>3.3917910000000003E-2</v>
      </c>
      <c r="L56" s="44">
        <f>Tabla6[[#This Row],[precio de compra]]*Tabla6[[#This Row],[cantidad]]*Tabla6[[#This Row],[PRECIO DEL DÓLAR, DIA COMPRA]]</f>
        <v>350.00501905648662</v>
      </c>
      <c r="M56" s="26">
        <f ca="1" xml:space="preserve"> K56 * (IF(G56="BTC", D56, IF(G56="ETH", E56, IF(G56="IO.NET", F56, 0)))) * C56</f>
        <v>484.88976300180002</v>
      </c>
      <c r="N56" s="41">
        <f ca="1">IF(G56 = "BTC", (D56 - J56) / J56,
 IF(G56 = "ETH", (E56 - J56) / J56,
 IF(G56 = "IO.NET", (F56 - J56) / J56,
 "Moneda no soportada")))</f>
        <v>0.35056029436360597</v>
      </c>
      <c r="O56" s="28">
        <v>0.1</v>
      </c>
      <c r="P56" s="28">
        <v>0.3</v>
      </c>
      <c r="Q56" s="31" t="str">
        <f ca="1">IF(N56 &lt; O56, "MANTENER", IF(N56 &lt; P56, "VENTA PARCIAL", "VENDER"))</f>
        <v>VENDER</v>
      </c>
      <c r="T56" s="2"/>
      <c r="U56" s="14">
        <f>Tabla6[[#This Row],[cantidad]]-Tabla6[[#This Row],[CANTIDAD VENDIDA]]</f>
        <v>3.3917910000000003E-2</v>
      </c>
      <c r="V56" s="2">
        <f ca="1">IF(G56="BTC", D56 * U56 * C56, IF(G56="ETH", E56 * U56 * C56, IF(G56="IO.NET", F56 * U56 * C56, 0)))</f>
        <v>484.88976300180002</v>
      </c>
      <c r="W56" s="2">
        <f>IF(G56 = "BTC", ((T56 - L56)), IF(G56 = "ETH", ((T56 - L56)), IF(G56 = "IO.NET", ((T56 - L56)), "Moneda no soportada")))</f>
        <v>-350.00501905648662</v>
      </c>
      <c r="X56" s="32">
        <f ca="1">IF(G56 = "BTC", (((D56 - J56) / J56)),IF(G56 = "ETH", ((E56 - J56) / J56), IF(G56 = "IO.NET", ((F56 - J56) / J56), "Moneda no soportada")))</f>
        <v>0.35056029436360597</v>
      </c>
      <c r="Y56" s="2" t="str">
        <f>IF(U56=0,"VENDIDA","ACTIVA")</f>
        <v>ACTIVA</v>
      </c>
    </row>
    <row r="57" spans="2:25">
      <c r="B57" s="1">
        <f ca="1">TODAY()</f>
        <v>45635</v>
      </c>
      <c r="C57" s="2">
        <f ca="1">VLOOKUP(B57,Tabla4[],2,FALSE)</f>
        <v>4426</v>
      </c>
      <c r="D57" s="3">
        <f ca="1">VLOOKUP(B57,Tabla4[],3,FALSE)</f>
        <v>98015.98</v>
      </c>
      <c r="E57" s="2">
        <f ca="1">VLOOKUP(B57,Tabla4[],5,FALSE)</f>
        <v>3842</v>
      </c>
      <c r="F57" s="2">
        <f ca="1">VLOOKUP(B57,Tabla4[],4,FALSE)</f>
        <v>3.23</v>
      </c>
      <c r="G57" t="s">
        <v>15</v>
      </c>
      <c r="H57" s="1">
        <v>45481</v>
      </c>
      <c r="I57" s="3">
        <f>VLOOKUP(H57,Tabla4[],2,FALSE)</f>
        <v>4078.65</v>
      </c>
      <c r="J57" s="3">
        <v>3055</v>
      </c>
      <c r="K57" s="11">
        <v>5.6839999999999998E-5</v>
      </c>
      <c r="L57" s="7">
        <f>Tabla6[[#This Row],[precio de compra]]*Tabla6[[#This Row],[cantidad]]*Tabla6[[#This Row],[PRECIO DEL DÓLAR, DIA COMPRA]]</f>
        <v>708.24207363000005</v>
      </c>
      <c r="M57" s="13">
        <f ca="1" xml:space="preserve"> K57 * (IF(G57="BTC", D57, IF(G57="ETH", E57, IF(G57="IO.NET", F57, 0)))) * C57</f>
        <v>966.54669327999989</v>
      </c>
      <c r="N57" s="32">
        <f ca="1">IF(G57 = "BTC", (D57 - J57) / J57,
 IF(G57 = "ETH", (E57 - J57) / J57,
 IF(G57 = "IO.NET", (F57 - J57) / J57,
 "Moneda no soportada")))</f>
        <v>0.25761047463175124</v>
      </c>
      <c r="O57" s="9">
        <v>0.25</v>
      </c>
      <c r="P57" s="9">
        <v>0.5</v>
      </c>
      <c r="Q57" t="str">
        <f ca="1">IF(N57 &lt; O57, "MANTENER", IF(N57 &lt; P57, "VENTA PARCIAL", "VENDER"))</f>
        <v>VENTA PARCIAL</v>
      </c>
      <c r="T57" s="2"/>
      <c r="U57" s="14">
        <f>Tabla6[[#This Row],[cantidad]]-Tabla6[[#This Row],[CANTIDAD VENDIDA]]</f>
        <v>5.6839999999999998E-5</v>
      </c>
      <c r="V57" s="2">
        <f ca="1">IF(G57="BTC", D57 * U57 * C57, IF(G57="ETH", E57 * U57 * C57, IF(G57="IO.NET", F57 * U57 * C57, 0)))</f>
        <v>966.54669327999989</v>
      </c>
      <c r="W57" s="2">
        <f>IF(G57 = "BTC", ((T57 - L57)), IF(G57 = "ETH", ((T57 - L57)), IF(G57 = "IO.NET", ((T57 - L57)), "Moneda no soportada")))</f>
        <v>-708.24207363000005</v>
      </c>
      <c r="X57" s="9">
        <f ca="1">IF(G57 = "BTC", (((D57 - J57) / J57)),IF(G57 = "ETH", ((E57 - J57) / J57), IF(G57 = "IO.NET", ((F57 - J57) / J57), "Moneda no soportada")))</f>
        <v>0.25761047463175124</v>
      </c>
      <c r="Y57" s="2" t="str">
        <f>IF(U57=0,"VENDIDA","ACTIVA")</f>
        <v>ACTIVA</v>
      </c>
    </row>
    <row r="58" spans="2:25">
      <c r="B58" s="1">
        <f ca="1">TODAY()</f>
        <v>45635</v>
      </c>
      <c r="C58" s="2">
        <f ca="1">VLOOKUP(B58,Tabla4[],2,FALSE)</f>
        <v>4426</v>
      </c>
      <c r="D58" s="3">
        <f ca="1">VLOOKUP(B58,Tabla4[],3,FALSE)</f>
        <v>98015.98</v>
      </c>
      <c r="E58" s="2">
        <f ca="1">VLOOKUP(B58,Tabla4[],5,FALSE)</f>
        <v>3842</v>
      </c>
      <c r="F58" s="2">
        <f ca="1">VLOOKUP(B58,Tabla4[],4,FALSE)</f>
        <v>3.23</v>
      </c>
      <c r="G58" t="s">
        <v>15</v>
      </c>
      <c r="H58" s="1">
        <v>45614</v>
      </c>
      <c r="I58" s="3">
        <v>4378.71</v>
      </c>
      <c r="J58" s="3">
        <v>3056.7</v>
      </c>
      <c r="K58" s="25">
        <v>5.2299999999999997E-5</v>
      </c>
      <c r="L58" s="29">
        <f>Tabla6[[#This Row],[precio de compra]]*Tabla6[[#This Row],[cantidad]]*Tabla6[[#This Row],[PRECIO DEL DÓLAR, DIA COMPRA]]</f>
        <v>700.00426942109993</v>
      </c>
      <c r="M58" s="26">
        <f ca="1" xml:space="preserve"> K58 * (IF(G58="BTC", D58, IF(G58="ETH", E58, IF(G58="IO.NET", F58, 0)))) * C58</f>
        <v>889.34539159999997</v>
      </c>
      <c r="N58" s="41">
        <f ca="1">IF(G58 = "BTC", (D58 - J58) / J58,
 IF(G58 = "ETH", (E58 - J58) / J58,
 IF(G58 = "IO.NET", (F58 - J58) / J58,
 "Moneda no soportada")))</f>
        <v>0.25691104786207353</v>
      </c>
      <c r="O58" s="28">
        <v>0.25</v>
      </c>
      <c r="P58" s="28">
        <v>0.5</v>
      </c>
      <c r="Q58" s="31" t="str">
        <f ca="1">IF(N58 &lt; O58, "MANTENER", IF(N58 &lt; P58, "VENTA PARCIAL", "VENDER"))</f>
        <v>VENTA PARCIAL</v>
      </c>
      <c r="T58" s="2"/>
      <c r="U58" s="14">
        <f>Tabla6[[#This Row],[cantidad]]-Tabla6[[#This Row],[CANTIDAD VENDIDA]]</f>
        <v>5.2299999999999997E-5</v>
      </c>
      <c r="V58" s="2">
        <f ca="1">IF(G58="BTC", D58 * U58 * C58, IF(G58="ETH", E58 * U58 * C58, IF(G58="IO.NET", F58 * U58 * C58, 0)))</f>
        <v>889.34539159999997</v>
      </c>
      <c r="W58" s="2">
        <f>IF(G58 = "BTC", ((T58 - L58)), IF(G58 = "ETH", ((T58 - L58)), IF(G58 = "IO.NET", ((T58 - L58)), "Moneda no soportada")))</f>
        <v>-700.00426942109993</v>
      </c>
      <c r="X58" s="32">
        <f ca="1">IF(G58 = "BTC", (((D58 - J58) / J58)),IF(G58 = "ETH", ((E58 - J58) / J58), IF(G58 = "IO.NET", ((F58 - J58) / J58), "Moneda no soportada")))</f>
        <v>0.25691104786207353</v>
      </c>
      <c r="Y58" s="2" t="str">
        <f>IF(U58=0,"VENDIDA","ACTIVA")</f>
        <v>ACTIVA</v>
      </c>
    </row>
    <row r="59" spans="2:25">
      <c r="B59" s="1">
        <f ca="1">TODAY()</f>
        <v>45635</v>
      </c>
      <c r="C59" s="2">
        <f ca="1">VLOOKUP(B59,Tabla4[],2,FALSE)</f>
        <v>4426</v>
      </c>
      <c r="D59" s="3">
        <f ca="1">VLOOKUP(B59,Tabla4[],3,FALSE)</f>
        <v>98015.98</v>
      </c>
      <c r="E59" s="2">
        <f ca="1">VLOOKUP(B59,Tabla4[],5,FALSE)</f>
        <v>3842</v>
      </c>
      <c r="F59" s="2">
        <f ca="1">VLOOKUP(B59,Tabla4[],4,FALSE)</f>
        <v>3.23</v>
      </c>
      <c r="G59" t="s">
        <v>41</v>
      </c>
      <c r="H59" s="1">
        <v>45488</v>
      </c>
      <c r="I59" s="3">
        <f>VLOOKUP(H59,Tabla4[],2,FALSE)</f>
        <v>3993.09</v>
      </c>
      <c r="J59" s="3">
        <v>2.62</v>
      </c>
      <c r="K59" s="11">
        <v>3.7119899999999997E-2</v>
      </c>
      <c r="L59" s="7">
        <f>Tabla6[[#This Row],[precio de compra]]*Tabla6[[#This Row],[cantidad]]*Tabla6[[#This Row],[PRECIO DEL DÓLAR, DIA COMPRA]]</f>
        <v>388.34452590642002</v>
      </c>
      <c r="M59" s="13">
        <f ca="1" xml:space="preserve"> K59 * (IF(G59="BTC", D59, IF(G59="ETH", E59, IF(G59="IO.NET", F59, 0)))) * C59</f>
        <v>530.66534800199997</v>
      </c>
      <c r="N59" s="32">
        <f ca="1">IF(G59 = "BTC", (D59 - J59) / J59,
 IF(G59 = "ETH", (E59 - J59) / J59,
 IF(G59 = "IO.NET", (F59 - J59) / J59,
 "Moneda no soportada")))</f>
        <v>0.23282442748091597</v>
      </c>
      <c r="O59" s="9">
        <v>0.1</v>
      </c>
      <c r="P59" s="9">
        <v>0.3</v>
      </c>
      <c r="Q59" t="str">
        <f ca="1">IF(N59 &lt; O59, "MANTENER", IF(N59 &lt; P59, "VENTA PARCIAL", "VENDER"))</f>
        <v>VENTA PARCIAL</v>
      </c>
      <c r="S59">
        <v>3.7119899999999997E-2</v>
      </c>
      <c r="T59" s="2">
        <v>425</v>
      </c>
      <c r="U59" s="14">
        <f>Tabla6[[#This Row],[cantidad]]-Tabla6[[#This Row],[CANTIDAD VENDIDA]]</f>
        <v>0</v>
      </c>
      <c r="V59" s="2">
        <f ca="1">IF(G59="BTC", D59 * U59 * C59, IF(G59="ETH", E59 * U59 * C59, IF(G59="IO.NET", F59 * U59 * C59, 0)))</f>
        <v>0</v>
      </c>
      <c r="W59" s="2">
        <f>IF(G59 = "BTC", ((T59 - L59)), IF(G59 = "ETH", ((T59 - L59)), IF(G59 = "IO.NET", ((T59 - L59)), "Moneda no soportada")))</f>
        <v>36.655474093579983</v>
      </c>
      <c r="X59" s="9">
        <f ca="1">IF(G59 = "BTC", (((D59 - J59) / J59)),IF(G59 = "ETH", ((E59 - J59) / J59), IF(G59 = "IO.NET", ((F59 - J59) / J59), "Moneda no soportada")))</f>
        <v>0.23282442748091597</v>
      </c>
      <c r="Y59" s="2" t="str">
        <f>IF(U59=0,"VENDIDA","ACTIVA")</f>
        <v>VENDIDA</v>
      </c>
    </row>
    <row r="60" spans="2:25">
      <c r="B60" s="1">
        <f ca="1">TODAY()</f>
        <v>45635</v>
      </c>
      <c r="C60" s="2">
        <f ca="1">VLOOKUP(B60,Tabla4[],2,FALSE)</f>
        <v>4426</v>
      </c>
      <c r="D60" s="3">
        <f ca="1">VLOOKUP(B60,Tabla4[],3,FALSE)</f>
        <v>98015.98</v>
      </c>
      <c r="E60" s="2">
        <f ca="1">VLOOKUP(B60,Tabla4[],5,FALSE)</f>
        <v>3842</v>
      </c>
      <c r="F60" s="2">
        <f ca="1">VLOOKUP(B60,Tabla4[],4,FALSE)</f>
        <v>3.23</v>
      </c>
      <c r="G60" t="s">
        <v>15</v>
      </c>
      <c r="H60" s="1">
        <v>45607</v>
      </c>
      <c r="I60" s="3">
        <v>4314.76</v>
      </c>
      <c r="J60" s="3">
        <v>3146.5</v>
      </c>
      <c r="K60" s="25">
        <v>5.1560000000000001E-5</v>
      </c>
      <c r="L60" s="44">
        <f>Tabla6[[#This Row],[precio de compra]]*Tabla6[[#This Row],[cantidad]]*Tabla6[[#This Row],[PRECIO DEL DÓLAR, DIA COMPRA]]</f>
        <v>699.99878905040009</v>
      </c>
      <c r="M60" s="26">
        <f ca="1" xml:space="preserve"> K60 * (IF(G60="BTC", D60, IF(G60="ETH", E60, IF(G60="IO.NET", F60, 0)))) * C60</f>
        <v>876.76191951999999</v>
      </c>
      <c r="N60" s="41">
        <f ca="1">IF(G60 = "BTC", (D60 - J60) / J60,
 IF(G60 = "ETH", (E60 - J60) / J60,
 IF(G60 = "IO.NET", (F60 - J60) / J60,
 "Moneda no soportada")))</f>
        <v>0.22103924996027333</v>
      </c>
      <c r="O60" s="28">
        <v>0.25</v>
      </c>
      <c r="P60" s="28">
        <v>0.5</v>
      </c>
      <c r="Q60" s="31" t="str">
        <f ca="1">IF(N60 &lt; O60, "MANTENER", IF(N60 &lt; P60, "VENTA PARCIAL", "VENDER"))</f>
        <v>MANTENER</v>
      </c>
      <c r="T60" s="2"/>
      <c r="U60" s="14">
        <f>Tabla6[[#This Row],[cantidad]]-Tabla6[[#This Row],[CANTIDAD VENDIDA]]</f>
        <v>5.1560000000000001E-5</v>
      </c>
      <c r="V60" s="2">
        <f ca="1">IF(G60="BTC", D60 * U60 * C60, IF(G60="ETH", E60 * U60 * C60, IF(G60="IO.NET", F60 * U60 * C60, 0)))</f>
        <v>876.76191951999999</v>
      </c>
      <c r="W60" s="2">
        <f>IF(G60 = "BTC", ((T60 - L60)), IF(G60 = "ETH", ((T60 - L60)), IF(G60 = "IO.NET", ((T60 - L60)), "Moneda no soportada")))</f>
        <v>-699.99878905040009</v>
      </c>
      <c r="X60" s="32">
        <f ca="1">IF(G60 = "BTC", (((D60 - J60) / J60)),IF(G60 = "ETH", ((E60 - J60) / J60), IF(G60 = "IO.NET", ((F60 - J60) / J60), "Moneda no soportada")))</f>
        <v>0.22103924996027333</v>
      </c>
      <c r="Y60" s="2" t="str">
        <f>IF(U60=0,"VENDIDA","ACTIVA")</f>
        <v>ACTIVA</v>
      </c>
    </row>
    <row r="61" spans="2:25">
      <c r="B61" s="1">
        <f ca="1">TODAY()</f>
        <v>45635</v>
      </c>
      <c r="C61" s="2">
        <f ca="1">VLOOKUP(B61,Tabla4[],2,FALSE)</f>
        <v>4426</v>
      </c>
      <c r="D61" s="3">
        <f ca="1">VLOOKUP(B61,Tabla4[],3,FALSE)</f>
        <v>98015.98</v>
      </c>
      <c r="E61" s="2">
        <f ca="1">VLOOKUP(B61,Tabla4[],5,FALSE)</f>
        <v>3842</v>
      </c>
      <c r="F61" s="2">
        <f ca="1">VLOOKUP(B61,Tabla4[],4,FALSE)</f>
        <v>3.23</v>
      </c>
      <c r="G61" t="s">
        <v>41</v>
      </c>
      <c r="H61" s="1">
        <v>45489</v>
      </c>
      <c r="I61" s="3">
        <f>VLOOKUP(H61,Tabla4[],2,FALSE)</f>
        <v>3953.88</v>
      </c>
      <c r="J61" s="3">
        <v>2.69</v>
      </c>
      <c r="K61" s="11">
        <v>3.8065349999999998E-2</v>
      </c>
      <c r="L61" s="7">
        <f>Tabla6[[#This Row],[precio de compra]]*Tabla6[[#This Row],[cantidad]]*Tabla6[[#This Row],[PRECIO DEL DÓLAR, DIA COMPRA]]</f>
        <v>404.86067209601998</v>
      </c>
      <c r="M61" s="13">
        <f ca="1" xml:space="preserve"> K61 * (IF(G61="BTC", D61, IF(G61="ETH", E61, IF(G61="IO.NET", F61, 0)))) * C61</f>
        <v>544.18148229299993</v>
      </c>
      <c r="N61" s="32">
        <f ca="1">IF(G61 = "BTC", (D61 - J61) / J61,
 IF(G61 = "ETH", (E61 - J61) / J61,
 IF(G61 = "IO.NET", (F61 - J61) / J61,
 "Moneda no soportada")))</f>
        <v>0.20074349442379183</v>
      </c>
      <c r="O61" s="9">
        <v>0.1</v>
      </c>
      <c r="P61" s="9">
        <v>0.3</v>
      </c>
      <c r="Q61" t="str">
        <f ca="1">IF(N61 &lt; O61, "MANTENER", IF(N61 &lt; P61, "VENTA PARCIAL", "VENDER"))</f>
        <v>VENTA PARCIAL</v>
      </c>
      <c r="S61">
        <v>3.7999999999999999E-2</v>
      </c>
      <c r="T61" s="2">
        <v>415</v>
      </c>
      <c r="U61" s="14">
        <f>Tabla6[[#This Row],[cantidad]]-Tabla6[[#This Row],[CANTIDAD VENDIDA]]</f>
        <v>6.5349999999998742E-5</v>
      </c>
      <c r="V61" s="2">
        <f ca="1">IF(G61="BTC", D61 * U61 * C61, IF(G61="ETH", E61 * U61 * C61, IF(G61="IO.NET", F61 * U61 * C61, 0)))</f>
        <v>0.93424229299998196</v>
      </c>
      <c r="W61" s="2">
        <f>IF(G61 = "BTC", ((T61 - L61)), IF(G61 = "ETH", ((T61 - L61)), IF(G61 = "IO.NET", ((T61 - L61)), "Moneda no soportada")))</f>
        <v>10.139327903980018</v>
      </c>
      <c r="X61" s="9">
        <f ca="1">IF(G61 = "BTC", (((D61 - J61) / J61)),IF(G61 = "ETH", ((E61 - J61) / J61), IF(G61 = "IO.NET", ((F61 - J61) / J61), "Moneda no soportada")))</f>
        <v>0.20074349442379183</v>
      </c>
      <c r="Y61" s="2" t="str">
        <f>IF(U61=0,"VENDIDA","ACTIVA")</f>
        <v>ACTIVA</v>
      </c>
    </row>
    <row r="62" spans="2:25">
      <c r="B62" s="1">
        <f ca="1">TODAY()</f>
        <v>45635</v>
      </c>
      <c r="C62" s="2">
        <f ca="1">VLOOKUP(B62,Tabla4[],2,FALSE)</f>
        <v>4426</v>
      </c>
      <c r="D62" s="3">
        <f ca="1">VLOOKUP(B62,Tabla4[],3,FALSE)</f>
        <v>98015.98</v>
      </c>
      <c r="E62" s="2">
        <f ca="1">VLOOKUP(B62,Tabla4[],5,FALSE)</f>
        <v>3842</v>
      </c>
      <c r="F62" s="2">
        <f ca="1">VLOOKUP(B62,Tabla4[],4,FALSE)</f>
        <v>3.23</v>
      </c>
      <c r="G62" t="s">
        <v>14</v>
      </c>
      <c r="H62" s="1">
        <v>45607</v>
      </c>
      <c r="I62" s="42">
        <v>4314.76</v>
      </c>
      <c r="J62" s="3">
        <v>82352</v>
      </c>
      <c r="K62" s="25">
        <v>1.9700000000000002E-6</v>
      </c>
      <c r="L62" s="43">
        <f>Tabla6[[#This Row],[precio de compra]]*Tabla6[[#This Row],[cantidad]]*Tabla6[[#This Row],[PRECIO DEL DÓLAR, DIA COMPRA]]</f>
        <v>699.99835757440007</v>
      </c>
      <c r="M62" s="26">
        <f ca="1" xml:space="preserve"> K62 * (IF(G62="BTC", D62, IF(G62="ETH", E62, IF(G62="IO.NET", F62, 0)))) * C62</f>
        <v>854.62289313560007</v>
      </c>
      <c r="N62" s="41">
        <f ca="1">IF(G62 = "BTC", (D62 - J62) / J62,
 IF(G62 = "ETH", (E62 - J62) / J62,
 IF(G62 = "IO.NET", (F62 - J62) / J62,
 "Moneda no soportada")))</f>
        <v>0.19020764523023115</v>
      </c>
      <c r="O62" s="28">
        <v>0.25</v>
      </c>
      <c r="P62" s="28">
        <v>0.5</v>
      </c>
      <c r="Q62" s="31" t="str">
        <f ca="1">IF(N62 &lt; O62, "MANTENER", IF(N62 &lt; P62, "VENTA PARCIAL", "VENDER"))</f>
        <v>MANTENER</v>
      </c>
      <c r="T62" s="2"/>
      <c r="U62" s="14">
        <f>Tabla6[[#This Row],[cantidad]]-Tabla6[[#This Row],[CANTIDAD VENDIDA]]</f>
        <v>1.9700000000000002E-6</v>
      </c>
      <c r="V62" s="2">
        <f ca="1">IF(G62="BTC", D62 * U62 * C62, IF(G62="ETH", E62 * U62 * C62, IF(G62="IO.NET", F62 * U62 * C62, 0)))</f>
        <v>854.62289313560007</v>
      </c>
      <c r="W62" s="2">
        <f>IF(G62 = "BTC", ((T62 - L62)), IF(G62 = "ETH", ((T62 - L62)), IF(G62 = "IO.NET", ((T62 - L62)), "Moneda no soportada")))</f>
        <v>-699.99835757440007</v>
      </c>
      <c r="X62" s="32">
        <f ca="1">IF(G62 = "BTC", (((D62 - J62) / J62)),IF(G62 = "ETH", ((E62 - J62) / J62), IF(G62 = "IO.NET", ((F62 - J62) / J62), "Moneda no soportada")))</f>
        <v>0.19020764523023115</v>
      </c>
      <c r="Y62" s="2" t="str">
        <f>IF(U62=0,"VENDIDA","ACTIVA")</f>
        <v>ACTIVA</v>
      </c>
    </row>
    <row r="63" spans="2:25">
      <c r="B63" s="1">
        <f ca="1">TODAY()</f>
        <v>45635</v>
      </c>
      <c r="C63" s="2">
        <f ca="1">VLOOKUP(B63,Tabla4[],2,FALSE)</f>
        <v>4426</v>
      </c>
      <c r="D63" s="3">
        <f ca="1">VLOOKUP(B63,Tabla4[],3,FALSE)</f>
        <v>98015.98</v>
      </c>
      <c r="E63" s="2">
        <f ca="1">VLOOKUP(B63,Tabla4[],5,FALSE)</f>
        <v>3842</v>
      </c>
      <c r="F63" s="2">
        <f ca="1">VLOOKUP(B63,Tabla4[],4,FALSE)</f>
        <v>3.23</v>
      </c>
      <c r="G63" t="s">
        <v>41</v>
      </c>
      <c r="H63" s="1">
        <v>45490</v>
      </c>
      <c r="I63" s="3">
        <f>VLOOKUP(H63,Tabla4[],2,FALSE)</f>
        <v>3972.87</v>
      </c>
      <c r="J63" s="3">
        <v>2.72</v>
      </c>
      <c r="K63" s="11">
        <v>3.8326069999999997E-2</v>
      </c>
      <c r="L63" s="7">
        <f>Tabla6[[#This Row],[precio de compra]]*Tabla6[[#This Row],[cantidad]]*Tabla6[[#This Row],[PRECIO DEL DÓLAR, DIA COMPRA]]</f>
        <v>414.15942292084799</v>
      </c>
      <c r="M63" s="13">
        <f ca="1" xml:space="preserve"> K63 * (IF(G63="BTC", D63, IF(G63="ETH", E63, IF(G63="IO.NET", F63, 0)))) * C63</f>
        <v>547.90873019859998</v>
      </c>
      <c r="N63" s="32">
        <f ca="1">IF(G63 = "BTC", (D63 - J63) / J63,
 IF(G63 = "ETH", (E63 - J63) / J63,
 IF(G63 = "IO.NET", (F63 - J63) / J63,
 "Moneda no soportada")))</f>
        <v>0.18749999999999992</v>
      </c>
      <c r="O63" s="9">
        <v>0.1</v>
      </c>
      <c r="P63" s="9">
        <v>0.3</v>
      </c>
      <c r="Q63" t="str">
        <f ca="1">IF(N63 &lt; O63, "MANTENER", IF(N63 &lt; P63, "VENTA PARCIAL", "VENDER"))</f>
        <v>VENTA PARCIAL</v>
      </c>
      <c r="S63">
        <v>3.7999999999999999E-2</v>
      </c>
      <c r="T63" s="2">
        <v>426</v>
      </c>
      <c r="U63" s="14">
        <f>Tabla6[[#This Row],[cantidad]]-Tabla6[[#This Row],[CANTIDAD VENDIDA]]</f>
        <v>3.2606999999999775E-4</v>
      </c>
      <c r="V63" s="2">
        <f ca="1">IF(G63="BTC", D63 * U63 * C63, IF(G63="ETH", E63 * U63 * C63, IF(G63="IO.NET", F63 * U63 * C63, 0)))</f>
        <v>4.6614901985999682</v>
      </c>
      <c r="W63" s="2">
        <f>IF(G63 = "BTC", ((T63 - L63)), IF(G63 = "ETH", ((T63 - L63)), IF(G63 = "IO.NET", ((T63 - L63)), "Moneda no soportada")))</f>
        <v>11.840577079152013</v>
      </c>
      <c r="X63" s="9">
        <f ca="1">IF(G63 = "BTC", (((D63 - J63) / J63)),IF(G63 = "ETH", ((E63 - J63) / J63), IF(G63 = "IO.NET", ((F63 - J63) / J63), "Moneda no soportada")))</f>
        <v>0.18749999999999992</v>
      </c>
      <c r="Y63" s="2" t="str">
        <f>IF(U63=0,"VENDIDA","ACTIVA")</f>
        <v>ACTIVA</v>
      </c>
    </row>
    <row r="64" spans="2:25">
      <c r="B64" s="1">
        <f ca="1">TODAY()</f>
        <v>45635</v>
      </c>
      <c r="C64" s="2">
        <f ca="1">VLOOKUP(B64,Tabla4[],2,FALSE)</f>
        <v>4426</v>
      </c>
      <c r="D64" s="3">
        <f ca="1">VLOOKUP(B64,Tabla4[],3,FALSE)</f>
        <v>98015.98</v>
      </c>
      <c r="E64" s="2">
        <f ca="1">VLOOKUP(B64,Tabla4[],5,FALSE)</f>
        <v>3842</v>
      </c>
      <c r="F64" s="2">
        <f ca="1">VLOOKUP(B64,Tabla4[],4,FALSE)</f>
        <v>3.23</v>
      </c>
      <c r="G64" t="s">
        <v>41</v>
      </c>
      <c r="H64" s="1">
        <v>45621</v>
      </c>
      <c r="I64" s="3">
        <v>4366.6499999999996</v>
      </c>
      <c r="J64" s="3">
        <v>2.7389999999999999</v>
      </c>
      <c r="K64" s="25">
        <v>2.9263239999999999E-2</v>
      </c>
      <c r="L64" s="29">
        <f>Tabla6[[#This Row],[precio de compra]]*Tabla6[[#This Row],[cantidad]]*Tabla6[[#This Row],[PRECIO DEL DÓLAR, DIA COMPRA]]</f>
        <v>349.99579350509396</v>
      </c>
      <c r="M64" s="26">
        <f ca="1" xml:space="preserve"> K64 * (IF(G64="BTC", D64, IF(G64="ETH", E64, IF(G64="IO.NET", F64, 0)))) * C64</f>
        <v>418.34669377519998</v>
      </c>
      <c r="N64" s="41">
        <f ca="1">IF(G64 = "BTC", (D64 - J64) / J64,
 IF(G64 = "ETH", (E64 - J64) / J64,
 IF(G64 = "IO.NET", (F64 - J64) / J64,
 "Moneda no soportada")))</f>
        <v>0.17926250456370943</v>
      </c>
      <c r="O64" s="28">
        <v>0.1</v>
      </c>
      <c r="P64" s="28">
        <v>0.3</v>
      </c>
      <c r="Q64" s="31" t="str">
        <f ca="1">IF(N64 &lt; O64, "MANTENER", IF(N64 &lt; P64, "VENTA PARCIAL", "VENDER"))</f>
        <v>VENTA PARCIAL</v>
      </c>
      <c r="T64" s="2"/>
      <c r="U64" s="14">
        <f>Tabla6[[#This Row],[cantidad]]-Tabla6[[#This Row],[CANTIDAD VENDIDA]]</f>
        <v>2.9263239999999999E-2</v>
      </c>
      <c r="V64" s="2">
        <f ca="1">IF(G64="BTC", D64 * U64 * C64, IF(G64="ETH", E64 * U64 * C64, IF(G64="IO.NET", F64 * U64 * C64, 0)))</f>
        <v>418.34669377519998</v>
      </c>
      <c r="W64" s="2">
        <f>IF(G64 = "BTC", ((T64 - L64)), IF(G64 = "ETH", ((T64 - L64)), IF(G64 = "IO.NET", ((T64 - L64)), "Moneda no soportada")))</f>
        <v>-349.99579350509396</v>
      </c>
      <c r="X64" s="32">
        <f ca="1">IF(G64 = "BTC", (((D64 - J64) / J64)),IF(G64 = "ETH", ((E64 - J64) / J64), IF(G64 = "IO.NET", ((F64 - J64) / J64), "Moneda no soportada")))</f>
        <v>0.17926250456370943</v>
      </c>
      <c r="Y64" s="2" t="str">
        <f>IF(U64=0,"VENDIDA","ACTIVA")</f>
        <v>ACTIVA</v>
      </c>
    </row>
    <row r="65" spans="2:25">
      <c r="B65" s="1">
        <f ca="1">TODAY()</f>
        <v>45635</v>
      </c>
      <c r="C65" s="2">
        <f ca="1">VLOOKUP(B65,Tabla4[],2,FALSE)</f>
        <v>4426</v>
      </c>
      <c r="D65" s="3">
        <f ca="1">VLOOKUP(B65,Tabla4[],3,FALSE)</f>
        <v>98015.98</v>
      </c>
      <c r="E65" s="2">
        <f ca="1">VLOOKUP(B65,Tabla4[],5,FALSE)</f>
        <v>3842</v>
      </c>
      <c r="F65" s="2">
        <f ca="1">VLOOKUP(B65,Tabla4[],4,FALSE)</f>
        <v>3.23</v>
      </c>
      <c r="G65" t="s">
        <v>41</v>
      </c>
      <c r="H65" s="1">
        <v>45490</v>
      </c>
      <c r="I65" s="3">
        <f>VLOOKUP(H65,Tabla4[],2,FALSE)</f>
        <v>3972.87</v>
      </c>
      <c r="J65" s="3">
        <v>2.76</v>
      </c>
      <c r="K65" s="11">
        <v>3.8865179999999999E-2</v>
      </c>
      <c r="L65" s="7">
        <f>Tabla6[[#This Row],[precio de compra]]*Tabla6[[#This Row],[cantidad]]*Tabla6[[#This Row],[PRECIO DEL DÓLAR, DIA COMPRA]]</f>
        <v>426.16140915981595</v>
      </c>
      <c r="M65" s="13">
        <f ca="1" xml:space="preserve"> K65 * (IF(G65="BTC", D65, IF(G65="ETH", E65, IF(G65="IO.NET", F65, 0)))) * C65</f>
        <v>555.61583597640004</v>
      </c>
      <c r="N65" s="32">
        <f ca="1">IF(G65 = "BTC", (D65 - J65) / J65,
 IF(G65 = "ETH", (E65 - J65) / J65,
 IF(G65 = "IO.NET", (F65 - J65) / J65,
 "Moneda no soportada")))</f>
        <v>0.17028985507246386</v>
      </c>
      <c r="O65" s="9">
        <v>0.1</v>
      </c>
      <c r="P65" s="9">
        <v>0.3</v>
      </c>
      <c r="Q65" t="str">
        <f ca="1">IF(N65 &lt; O65, "MANTENER", IF(N65 &lt; P65, "VENTA PARCIAL", "VENDER"))</f>
        <v>VENTA PARCIAL</v>
      </c>
      <c r="S65">
        <v>3.7757979999999997E-2</v>
      </c>
      <c r="T65" s="2">
        <v>435</v>
      </c>
      <c r="U65" s="14">
        <f>Tabla6[[#This Row],[cantidad]]-Tabla6[[#This Row],[CANTIDAD VENDIDA]]</f>
        <v>1.1072000000000026E-3</v>
      </c>
      <c r="V65" s="2">
        <f ca="1">IF(G65="BTC", D65 * U65 * C65, IF(G65="ETH", E65 * U65 * C65, IF(G65="IO.NET", F65 * U65 * C65, 0)))</f>
        <v>15.828509056000037</v>
      </c>
      <c r="W65" s="2">
        <f>IF(G65 = "BTC", ((T65 - L65)), IF(G65 = "ETH", ((T65 - L65)), IF(G65 = "IO.NET", ((T65 - L65)), "Moneda no soportada")))</f>
        <v>8.8385908401840538</v>
      </c>
      <c r="X65" s="9">
        <f ca="1">IF(G65 = "BTC", (((D65 - J65) / J65)),IF(G65 = "ETH", ((E65 - J65) / J65), IF(G65 = "IO.NET", ((F65 - J65) / J65), "Moneda no soportada")))</f>
        <v>0.17028985507246386</v>
      </c>
      <c r="Y65" s="2" t="str">
        <f>IF(U65=0,"VENDIDA","ACTIVA")</f>
        <v>ACTIVA</v>
      </c>
    </row>
    <row r="66" spans="2:25">
      <c r="B66" s="1">
        <f ca="1">TODAY()</f>
        <v>45635</v>
      </c>
      <c r="C66" s="2">
        <f ca="1">VLOOKUP(B66,Tabla4[],2,FALSE)</f>
        <v>4426</v>
      </c>
      <c r="D66" s="3">
        <f ca="1">VLOOKUP(B66,Tabla4[],3,FALSE)</f>
        <v>98015.98</v>
      </c>
      <c r="E66" s="2">
        <f ca="1">VLOOKUP(B66,Tabla4[],5,FALSE)</f>
        <v>3842</v>
      </c>
      <c r="F66" s="2">
        <f ca="1">VLOOKUP(B66,Tabla4[],4,FALSE)</f>
        <v>3.23</v>
      </c>
      <c r="G66" t="s">
        <v>15</v>
      </c>
      <c r="H66" s="1">
        <v>45502</v>
      </c>
      <c r="I66" s="3">
        <f>VLOOKUP(H66,Tabla4[],2,FALSE)</f>
        <v>4030.02</v>
      </c>
      <c r="J66" s="7">
        <v>3315.5</v>
      </c>
      <c r="K66" s="11">
        <v>5.2389999999999998E-5</v>
      </c>
      <c r="L66" s="7">
        <f>Tabla6[[#This Row],[precio de compra]]*Tabla6[[#This Row],[cantidad]]*Tabla6[[#This Row],[PRECIO DEL DÓLAR, DIA COMPRA]]</f>
        <v>700.01062533089998</v>
      </c>
      <c r="M66" s="13">
        <f ca="1" xml:space="preserve"> K66 * (IF(G66="BTC", D66, IF(G66="ETH", E66, IF(G66="IO.NET", F66, 0)))) * C66</f>
        <v>890.8758138799999</v>
      </c>
      <c r="N66" s="32">
        <f ca="1">IF(G66 = "BTC", (D66 - J66) / J66,
 IF(G66 = "ETH", (E66 - J66) / J66,
 IF(G66 = "IO.NET", (F66 - J66) / J66,
 "Moneda no soportada")))</f>
        <v>0.15879957774091388</v>
      </c>
      <c r="O66" s="9">
        <v>0.25</v>
      </c>
      <c r="P66" s="9">
        <v>0.5</v>
      </c>
      <c r="Q66" t="str">
        <f ca="1">IF(N66 &lt; O66, "MANTENER", IF(N66 &lt; P66, "VENTA PARCIAL", "VENDER"))</f>
        <v>MANTENER</v>
      </c>
      <c r="T66" s="2"/>
      <c r="U66" s="14">
        <f>Tabla6[[#This Row],[cantidad]]-Tabla6[[#This Row],[CANTIDAD VENDIDA]]</f>
        <v>5.2389999999999998E-5</v>
      </c>
      <c r="V66" s="2">
        <f ca="1">IF(G66="BTC", D66 * U66 * C66, IF(G66="ETH", E66 * U66 * C66, IF(G66="IO.NET", F66 * U66 * C66, 0)))</f>
        <v>890.8758138799999</v>
      </c>
      <c r="W66" s="2">
        <f>IF(G66 = "BTC", ((T66 - L66)), IF(G66 = "ETH", ((T66 - L66)), IF(G66 = "IO.NET", ((T66 - L66)), "Moneda no soportada")))</f>
        <v>-700.01062533089998</v>
      </c>
      <c r="X66" s="9">
        <f ca="1">IF(G66 = "BTC", (((D66 - J66) / J66)),IF(G66 = "ETH", ((E66 - J66) / J66), IF(G66 = "IO.NET", ((F66 - J66) / J66), "Moneda no soportada")))</f>
        <v>0.15879957774091388</v>
      </c>
      <c r="Y66" s="2" t="str">
        <f>IF(U66=0,"VENDIDA","ACTIVA")</f>
        <v>ACTIVA</v>
      </c>
    </row>
    <row r="67" spans="2:25">
      <c r="B67" s="1">
        <f ca="1">TODAY()</f>
        <v>45635</v>
      </c>
      <c r="C67" s="2">
        <f ca="1">VLOOKUP(B67,Tabla4[],2,FALSE)</f>
        <v>4426</v>
      </c>
      <c r="D67" s="3">
        <f ca="1">VLOOKUP(B67,Tabla4[],3,FALSE)</f>
        <v>98015.98</v>
      </c>
      <c r="E67" s="2">
        <f ca="1">VLOOKUP(B67,Tabla4[],5,FALSE)</f>
        <v>3842</v>
      </c>
      <c r="F67" s="2">
        <f ca="1">VLOOKUP(B67,Tabla4[],4,FALSE)</f>
        <v>3.23</v>
      </c>
      <c r="G67" t="s">
        <v>41</v>
      </c>
      <c r="H67" s="1">
        <v>45492</v>
      </c>
      <c r="I67" s="3">
        <f>VLOOKUP(H67,Tabla4[],2,FALSE)</f>
        <v>4047.22</v>
      </c>
      <c r="J67" s="3">
        <v>2.81</v>
      </c>
      <c r="K67" s="11">
        <v>3.821041E-2</v>
      </c>
      <c r="L67" s="7">
        <f>Tabla6[[#This Row],[precio de compra]]*Tabla6[[#This Row],[cantidad]]*Tabla6[[#This Row],[PRECIO DEL DÓLAR, DIA COMPRA]]</f>
        <v>434.55507892416199</v>
      </c>
      <c r="M67" s="13">
        <f ca="1" xml:space="preserve"> K67 * (IF(G67="BTC", D67, IF(G67="ETH", E67, IF(G67="IO.NET", F67, 0)))) * C67</f>
        <v>546.25525715180004</v>
      </c>
      <c r="N67" s="32">
        <f ca="1">IF(G67 = "BTC", (D67 - J67) / J67,
 IF(G67 = "ETH", (E67 - J67) / J67,
 IF(G67 = "IO.NET", (F67 - J67) / J67,
 "Moneda no soportada")))</f>
        <v>0.14946619217081847</v>
      </c>
      <c r="O67" s="9">
        <v>0.1</v>
      </c>
      <c r="P67" s="9">
        <v>0.3</v>
      </c>
      <c r="Q67" t="str">
        <f ca="1">IF(N67 &lt; O67, "MANTENER", IF(N67 &lt; P67, "VENTA PARCIAL", "VENDER"))</f>
        <v>VENTA PARCIAL</v>
      </c>
      <c r="S67">
        <v>3.7999999999999999E-2</v>
      </c>
      <c r="T67" s="2">
        <v>475</v>
      </c>
      <c r="U67" s="14">
        <f>Tabla6[[#This Row],[cantidad]]-Tabla6[[#This Row],[CANTIDAD VENDIDA]]</f>
        <v>2.1041000000000115E-4</v>
      </c>
      <c r="V67" s="2">
        <f ca="1">IF(G67="BTC", D67 * U67 * C67, IF(G67="ETH", E67 * U67 * C67, IF(G67="IO.NET", F67 * U67 * C67, 0)))</f>
        <v>3.0080171518000163</v>
      </c>
      <c r="W67" s="2">
        <f>IF(G67 = "BTC", ((T67 - L67)), IF(G67 = "ETH", ((T67 - L67)), IF(G67 = "IO.NET", ((T67 - L67)), "Moneda no soportada")))</f>
        <v>40.44492107583801</v>
      </c>
      <c r="X67" s="9">
        <f ca="1">IF(G67 = "BTC", (((D67 - J67) / J67)),IF(G67 = "ETH", ((E67 - J67) / J67), IF(G67 = "IO.NET", ((F67 - J67) / J67), "Moneda no soportada")))</f>
        <v>0.14946619217081847</v>
      </c>
      <c r="Y67" s="2" t="str">
        <f>IF(U67=0,"VENDIDA","ACTIVA")</f>
        <v>ACTIVA</v>
      </c>
    </row>
    <row r="68" spans="2:25">
      <c r="B68" s="1">
        <f ca="1">TODAY()</f>
        <v>45635</v>
      </c>
      <c r="C68" s="2">
        <f ca="1">VLOOKUP(B68,Tabla4[],2,FALSE)</f>
        <v>4426</v>
      </c>
      <c r="D68" s="3">
        <f ca="1">VLOOKUP(B68,Tabla4[],3,FALSE)</f>
        <v>98015.98</v>
      </c>
      <c r="E68" s="2">
        <f ca="1">VLOOKUP(B68,Tabla4[],5,FALSE)</f>
        <v>3842</v>
      </c>
      <c r="F68" s="2">
        <f ca="1">VLOOKUP(B68,Tabla4[],4,FALSE)</f>
        <v>3.23</v>
      </c>
      <c r="G68" t="s">
        <v>15</v>
      </c>
      <c r="H68" s="1">
        <v>45475</v>
      </c>
      <c r="I68" s="3">
        <f>VLOOKUP(H68,Tabla4[],2,FALSE)</f>
        <v>4129.08</v>
      </c>
      <c r="J68" s="3">
        <v>3359.03</v>
      </c>
      <c r="K68" s="11">
        <v>4.9339999999999999E-5</v>
      </c>
      <c r="L68" s="7">
        <f>Tabla6[[#This Row],[precio de compra]]*Tabla6[[#This Row],[cantidad]]*Tabla6[[#This Row],[PRECIO DEL DÓLAR, DIA COMPRA]]</f>
        <v>684.33117524901604</v>
      </c>
      <c r="M68" s="13">
        <f ca="1" xml:space="preserve"> K68 * (IF(G68="BTC", D68, IF(G68="ETH", E68, IF(G68="IO.NET", F68, 0)))) * C68</f>
        <v>839.01150328000006</v>
      </c>
      <c r="N68" s="32">
        <f ca="1">IF(G68 = "BTC", (D68 - J68) / J68,
 IF(G68 = "ETH", (E68 - J68) / J68,
 IF(G68 = "IO.NET", (F68 - J68) / J68,
 "Moneda no soportada")))</f>
        <v>0.14378258009008546</v>
      </c>
      <c r="O68" s="9">
        <v>0.25</v>
      </c>
      <c r="P68" s="9">
        <v>0.5</v>
      </c>
      <c r="Q68" t="str">
        <f ca="1">IF(N68 &lt; O68, "MANTENER", IF(N68 &lt; P68, "VENTA PARCIAL", "VENDER"))</f>
        <v>MANTENER</v>
      </c>
      <c r="T68" s="2"/>
      <c r="U68" s="14">
        <f>Tabla6[[#This Row],[cantidad]]-Tabla6[[#This Row],[CANTIDAD VENDIDA]]</f>
        <v>4.9339999999999999E-5</v>
      </c>
      <c r="V68" s="2">
        <f ca="1">IF(G68="BTC", D68 * U68 * C68, IF(G68="ETH", E68 * U68 * C68, IF(G68="IO.NET", F68 * U68 * C68, 0)))</f>
        <v>839.01150328000006</v>
      </c>
      <c r="W68" s="2">
        <f>IF(G68 = "BTC", ((T68 - L68)), IF(G68 = "ETH", ((T68 - L68)), IF(G68 = "IO.NET", ((T68 - L68)), "Moneda no soportada")))</f>
        <v>-684.33117524901604</v>
      </c>
      <c r="X68" s="9">
        <f ca="1">IF(G68 = "BTC", (((D68 - J68) / J68)),IF(G68 = "ETH", ((E68 - J68) / J68), IF(G68 = "IO.NET", ((F68 - J68) / J68), "Moneda no soportada")))</f>
        <v>0.14378258009008546</v>
      </c>
      <c r="Y68" s="2" t="str">
        <f>IF(U68=0,"VENDIDA","ACTIVA")</f>
        <v>ACTIVA</v>
      </c>
    </row>
    <row r="69" spans="2:25">
      <c r="B69" s="1">
        <f ca="1">TODAY()</f>
        <v>45635</v>
      </c>
      <c r="C69" s="2">
        <f ca="1">VLOOKUP(B69,Tabla4[],2,FALSE)</f>
        <v>4426</v>
      </c>
      <c r="D69" s="3">
        <f ca="1">VLOOKUP(B69,Tabla4[],3,FALSE)</f>
        <v>98015.98</v>
      </c>
      <c r="E69" s="2">
        <f ca="1">VLOOKUP(B69,Tabla4[],5,FALSE)</f>
        <v>3842</v>
      </c>
      <c r="F69" s="2">
        <f ca="1">VLOOKUP(B69,Tabla4[],4,FALSE)</f>
        <v>3.23</v>
      </c>
      <c r="G69" t="s">
        <v>41</v>
      </c>
      <c r="H69" s="1">
        <v>45475</v>
      </c>
      <c r="I69" s="3">
        <f>VLOOKUP(H69,Tabla4[],2,FALSE)</f>
        <v>4129.08</v>
      </c>
      <c r="J69" s="3">
        <v>2.83</v>
      </c>
      <c r="K69" s="11">
        <v>2.7487640000000001E-2</v>
      </c>
      <c r="L69" s="7">
        <f>Tabla6[[#This Row],[precio de compra]]*Tabla6[[#This Row],[cantidad]]*Tabla6[[#This Row],[PRECIO DEL DÓLAR, DIA COMPRA]]</f>
        <v>321.201220736496</v>
      </c>
      <c r="M69" s="13">
        <f ca="1" xml:space="preserve"> K69 * (IF(G69="BTC", D69, IF(G69="ETH", E69, IF(G69="IO.NET", F69, 0)))) * C69</f>
        <v>392.96275168720001</v>
      </c>
      <c r="N69" s="32">
        <f ca="1">IF(G69 = "BTC", (D69 - J69) / J69,
 IF(G69 = "ETH", (E69 - J69) / J69,
 IF(G69 = "IO.NET", (F69 - J69) / J69,
 "Moneda no soportada")))</f>
        <v>0.14134275618374556</v>
      </c>
      <c r="O69" s="9">
        <v>0.1</v>
      </c>
      <c r="P69" s="9">
        <v>0.3</v>
      </c>
      <c r="Q69" t="str">
        <f ca="1">IF(N69 &lt; O69, "MANTENER", IF(N69 &lt; P69, "VENTA PARCIAL", "VENDER"))</f>
        <v>VENTA PARCIAL</v>
      </c>
      <c r="T69" s="2"/>
      <c r="U69" s="14">
        <f>Tabla6[[#This Row],[cantidad]]-Tabla6[[#This Row],[CANTIDAD VENDIDA]]</f>
        <v>2.7487640000000001E-2</v>
      </c>
      <c r="V69" s="2">
        <f ca="1">IF(G69="BTC", D69 * U69 * C69, IF(G69="ETH", E69 * U69 * C69, IF(G69="IO.NET", F69 * U69 * C69, 0)))</f>
        <v>392.96275168720001</v>
      </c>
      <c r="W69" s="2">
        <f>IF(G69 = "BTC", ((T69 - L69)), IF(G69 = "ETH", ((T69 - L69)), IF(G69 = "IO.NET", ((T69 - L69)), "Moneda no soportada")))</f>
        <v>-321.201220736496</v>
      </c>
      <c r="X69" s="9">
        <f ca="1">IF(G69 = "BTC", (((D69 - J69) / J69)),IF(G69 = "ETH", ((E69 - J69) / J69), IF(G69 = "IO.NET", ((F69 - J69) / J69), "Moneda no soportada")))</f>
        <v>0.14134275618374556</v>
      </c>
      <c r="Y69" s="2" t="str">
        <f>IF(U69=0,"VENDIDA","ACTIVA")</f>
        <v>ACTIVA</v>
      </c>
    </row>
    <row r="70" spans="2:25">
      <c r="B70" s="1">
        <f ca="1">TODAY()</f>
        <v>45635</v>
      </c>
      <c r="C70" s="2">
        <f ca="1">VLOOKUP(B70,Tabla4[],2,FALSE)</f>
        <v>4426</v>
      </c>
      <c r="D70" s="3">
        <f ca="1">VLOOKUP(B70,Tabla4[],3,FALSE)</f>
        <v>98015.98</v>
      </c>
      <c r="E70" s="2">
        <f ca="1">VLOOKUP(B70,Tabla4[],5,FALSE)</f>
        <v>3842</v>
      </c>
      <c r="F70" s="2">
        <f ca="1">VLOOKUP(B70,Tabla4[],4,FALSE)</f>
        <v>3.23</v>
      </c>
      <c r="G70" t="s">
        <v>15</v>
      </c>
      <c r="H70" s="1">
        <v>45467</v>
      </c>
      <c r="I70" s="3">
        <f>VLOOKUP(H70,Tabla4[],2,FALSE)</f>
        <v>4144.4799999999996</v>
      </c>
      <c r="J70" s="3">
        <v>3377.81</v>
      </c>
      <c r="K70" s="11">
        <v>5.0609999999999998E-5</v>
      </c>
      <c r="L70" s="15">
        <f>Tabla6[[#This Row],[precio de compra]]*Tabla6[[#This Row],[cantidad]]*Tabla6[[#This Row],[PRECIO DEL DÓLAR, DIA COMPRA]]</f>
        <v>708.50285169316794</v>
      </c>
      <c r="M70" s="13">
        <f ca="1" xml:space="preserve"> K70 * (IF(G70="BTC", D70, IF(G70="ETH", E70, IF(G70="IO.NET", F70, 0)))) * C70</f>
        <v>860.60746211999992</v>
      </c>
      <c r="N70" s="32">
        <f ca="1">IF(G70 = "BTC", (D70 - J70) / J70,
 IF(G70 = "ETH", (E70 - J70) / J70,
 IF(G70 = "IO.NET", (F70 - J70) / J70,
 "Moneda no soportada")))</f>
        <v>0.13742336010610426</v>
      </c>
      <c r="O70" s="9">
        <v>0.25</v>
      </c>
      <c r="P70" s="9">
        <v>0.5</v>
      </c>
      <c r="Q70" t="str">
        <f ca="1">IF(N70 &lt; O70, "MANTENER", IF(N70 &lt; P70, "VENTA PARCIAL", "VENDER"))</f>
        <v>MANTENER</v>
      </c>
      <c r="T70" s="2"/>
      <c r="U70" s="14">
        <f>Tabla6[[#This Row],[cantidad]]-Tabla6[[#This Row],[CANTIDAD VENDIDA]]</f>
        <v>5.0609999999999998E-5</v>
      </c>
      <c r="V70" s="2">
        <f ca="1">IF(G70="BTC", D70 * U70 * C70, IF(G70="ETH", E70 * U70 * C70, IF(G70="IO.NET", F70 * U70 * C70, 0)))</f>
        <v>860.60746211999992</v>
      </c>
      <c r="W70" s="2">
        <f>IF(G70 = "BTC", ((T70 - L70)), IF(G70 = "ETH", ((T70 - L70)), IF(G70 = "IO.NET", ((T70 - L70)), "Moneda no soportada")))</f>
        <v>-708.50285169316794</v>
      </c>
      <c r="X70" s="9">
        <f ca="1">IF(G70 = "BTC", (((D70 - J70) / J70)),IF(G70 = "ETH", ((E70 - J70) / J70), IF(G70 = "IO.NET", ((F70 - J70) / J70), "Moneda no soportada")))</f>
        <v>0.13742336010610426</v>
      </c>
      <c r="Y70" s="2" t="str">
        <f>IF(U70=0,"VENDIDA","ACTIVA")</f>
        <v>ACTIVA</v>
      </c>
    </row>
    <row r="71" spans="2:25">
      <c r="B71" s="1">
        <f ca="1">TODAY()</f>
        <v>45635</v>
      </c>
      <c r="C71" s="2">
        <f ca="1">VLOOKUP(B71,Tabla4[],2,FALSE)</f>
        <v>4426</v>
      </c>
      <c r="D71" s="3">
        <f ca="1">VLOOKUP(B71,Tabla4[],3,FALSE)</f>
        <v>98015.98</v>
      </c>
      <c r="E71" s="2">
        <f ca="1">VLOOKUP(B71,Tabla4[],5,FALSE)</f>
        <v>3842</v>
      </c>
      <c r="F71" s="2">
        <f ca="1">VLOOKUP(B71,Tabla4[],4,FALSE)</f>
        <v>3.23</v>
      </c>
      <c r="G71" t="s">
        <v>41</v>
      </c>
      <c r="H71" s="1">
        <v>45502</v>
      </c>
      <c r="I71" s="3">
        <f>VLOOKUP(H71,Tabla4[],2,FALSE)</f>
        <v>4030.02</v>
      </c>
      <c r="J71" s="3">
        <v>2.9</v>
      </c>
      <c r="K71" s="11">
        <v>2.9957709999999999E-2</v>
      </c>
      <c r="L71" s="7">
        <f>Tabla6[[#This Row],[precio de compra]]*Tabla6[[#This Row],[cantidad]]*Tabla6[[#This Row],[PRECIO DEL DÓLAR, DIA COMPRA]]</f>
        <v>350.11749431717993</v>
      </c>
      <c r="M71" s="13">
        <f ca="1" xml:space="preserve"> K71 * (IF(G71="BTC", D71, IF(G71="ETH", E71, IF(G71="IO.NET", F71, 0)))) * C71</f>
        <v>428.27482300579999</v>
      </c>
      <c r="N71" s="32">
        <f ca="1">IF(G71 = "BTC", (D71 - J71) / J71,
 IF(G71 = "ETH", (E71 - J71) / J71,
 IF(G71 = "IO.NET", (F71 - J71) / J71,
 "Moneda no soportada")))</f>
        <v>0.1137931034482759</v>
      </c>
      <c r="O71" s="9">
        <v>0.1</v>
      </c>
      <c r="P71" s="9">
        <v>0.3</v>
      </c>
      <c r="Q71" t="str">
        <f ca="1">IF(N71 &lt; O71, "MANTENER", IF(N71 &lt; P71, "VENTA PARCIAL", "VENDER"))</f>
        <v>VENTA PARCIAL</v>
      </c>
      <c r="T71" s="2"/>
      <c r="U71" s="14">
        <f>Tabla6[[#This Row],[cantidad]]-Tabla6[[#This Row],[CANTIDAD VENDIDA]]</f>
        <v>2.9957709999999999E-2</v>
      </c>
      <c r="V71" s="2">
        <f ca="1">IF(G71="BTC", D71 * U71 * C71, IF(G71="ETH", E71 * U71 * C71, IF(G71="IO.NET", F71 * U71 * C71, 0)))</f>
        <v>428.27482300579999</v>
      </c>
      <c r="W71" s="2">
        <f>IF(G71 = "BTC", ((T71 - L71)), IF(G71 = "ETH", ((T71 - L71)), IF(G71 = "IO.NET", ((T71 - L71)), "Moneda no soportada")))</f>
        <v>-350.11749431717993</v>
      </c>
      <c r="X71" s="9">
        <f ca="1">IF(G71 = "BTC", (((D71 - J71) / J71)),IF(G71 = "ETH", ((E71 - J71) / J71), IF(G71 = "IO.NET", ((F71 - J71) / J71), "Moneda no soportada")))</f>
        <v>0.1137931034482759</v>
      </c>
      <c r="Y71" s="2" t="str">
        <f>IF(U71=0,"VENDIDA","ACTIVA")</f>
        <v>ACTIVA</v>
      </c>
    </row>
    <row r="72" spans="2:25">
      <c r="B72" s="1">
        <f ca="1">TODAY()</f>
        <v>45635</v>
      </c>
      <c r="C72" s="2">
        <f ca="1">VLOOKUP(B72,Tabla4[],2,FALSE)</f>
        <v>4426</v>
      </c>
      <c r="D72" s="3">
        <f ca="1">VLOOKUP(B72,Tabla4[],3,FALSE)</f>
        <v>98015.98</v>
      </c>
      <c r="E72" s="2">
        <f ca="1">VLOOKUP(B72,Tabla4[],5,FALSE)</f>
        <v>3842</v>
      </c>
      <c r="F72" s="2">
        <f ca="1">VLOOKUP(B72,Tabla4[],4,FALSE)</f>
        <v>3.23</v>
      </c>
      <c r="G72" t="s">
        <v>15</v>
      </c>
      <c r="H72" s="1">
        <v>45495</v>
      </c>
      <c r="I72" s="3">
        <f>VLOOKUP(H72,Tabla4[],2,FALSE)</f>
        <v>4041.33</v>
      </c>
      <c r="J72" s="3">
        <v>3457.1</v>
      </c>
      <c r="K72" s="11">
        <v>5.0149999999999999E-5</v>
      </c>
      <c r="L72" s="7">
        <f>Tabla6[[#This Row],[precio de compra]]*Tabla6[[#This Row],[cantidad]]*Tabla6[[#This Row],[PRECIO DEL DÓLAR, DIA COMPRA]]</f>
        <v>700.6597894414499</v>
      </c>
      <c r="M72" s="13">
        <f ca="1" xml:space="preserve"> K72 * (IF(G72="BTC", D72, IF(G72="ETH", E72, IF(G72="IO.NET", F72, 0)))) * C72</f>
        <v>852.78530379999995</v>
      </c>
      <c r="N72" s="32">
        <f ca="1">IF(G72 = "BTC", (D72 - J72) / J72,
 IF(G72 = "ETH", (E72 - J72) / J72,
 IF(G72 = "IO.NET", (F72 - J72) / J72,
 "Moneda no soportada")))</f>
        <v>0.11133609094327619</v>
      </c>
      <c r="O72" s="9">
        <v>0.25</v>
      </c>
      <c r="P72" s="9">
        <v>0.5</v>
      </c>
      <c r="Q72" t="str">
        <f ca="1">IF(N72 &lt; O72, "MANTENER", IF(N72 &lt; P72, "VENTA PARCIAL", "VENDER"))</f>
        <v>MANTENER</v>
      </c>
      <c r="T72" s="2"/>
      <c r="U72" s="14">
        <f>Tabla6[[#This Row],[cantidad]]-Tabla6[[#This Row],[CANTIDAD VENDIDA]]</f>
        <v>5.0149999999999999E-5</v>
      </c>
      <c r="V72" s="2">
        <f ca="1">IF(G72="BTC", D72 * U72 * C72, IF(G72="ETH", E72 * U72 * C72, IF(G72="IO.NET", F72 * U72 * C72, 0)))</f>
        <v>852.78530379999995</v>
      </c>
      <c r="W72" s="2">
        <f>IF(G72 = "BTC", ((T72 - L72)), IF(G72 = "ETH", ((T72 - L72)), IF(G72 = "IO.NET", ((T72 - L72)), "Moneda no soportada")))</f>
        <v>-700.6597894414499</v>
      </c>
      <c r="X72" s="9">
        <f ca="1">IF(G72 = "BTC", (((D72 - J72) / J72)),IF(G72 = "ETH", ((E72 - J72) / J72), IF(G72 = "IO.NET", ((F72 - J72) / J72), "Moneda no soportada")))</f>
        <v>0.11133609094327619</v>
      </c>
      <c r="Y72" s="2" t="str">
        <f>IF(U72=0,"VENDIDA","ACTIVA")</f>
        <v>ACTIVA</v>
      </c>
    </row>
    <row r="73" spans="2:25">
      <c r="B73" s="1">
        <f ca="1">TODAY()</f>
        <v>45635</v>
      </c>
      <c r="C73" s="2">
        <f ca="1">VLOOKUP(B73,Tabla4[],2,FALSE)</f>
        <v>4426</v>
      </c>
      <c r="D73" s="3">
        <f ca="1">VLOOKUP(B73,Tabla4[],3,FALSE)</f>
        <v>98015.98</v>
      </c>
      <c r="E73" s="2">
        <f ca="1">VLOOKUP(B73,Tabla4[],5,FALSE)</f>
        <v>3842</v>
      </c>
      <c r="F73" s="2">
        <f ca="1">VLOOKUP(B73,Tabla4[],4,FALSE)</f>
        <v>3.23</v>
      </c>
      <c r="G73" t="s">
        <v>15</v>
      </c>
      <c r="H73" s="1">
        <v>45488</v>
      </c>
      <c r="I73" s="3">
        <f>VLOOKUP(H73,Tabla4[],2,FALSE)</f>
        <v>3993.09</v>
      </c>
      <c r="J73" s="3">
        <v>3458.1</v>
      </c>
      <c r="K73" s="11">
        <v>5.2599999999999998E-5</v>
      </c>
      <c r="L73" s="7">
        <f>Tabla6[[#This Row],[precio de compra]]*Tabla6[[#This Row],[cantidad]]*Tabla6[[#This Row],[PRECIO DEL DÓLAR, DIA COMPRA]]</f>
        <v>726.32733822540001</v>
      </c>
      <c r="M73" s="13">
        <f ca="1" xml:space="preserve"> K73 * (IF(G73="BTC", D73, IF(G73="ETH", E73, IF(G73="IO.NET", F73, 0)))) * C73</f>
        <v>894.44679919999999</v>
      </c>
      <c r="N73" s="32">
        <f ca="1">IF(G73 = "BTC", (D73 - J73) / J73,
 IF(G73 = "ETH", (E73 - J73) / J73,
 IF(G73 = "IO.NET", (F73 - J73) / J73,
 "Moneda no soportada")))</f>
        <v>0.11101471906538275</v>
      </c>
      <c r="O73" s="9">
        <v>0.25</v>
      </c>
      <c r="P73" s="9">
        <v>0.5</v>
      </c>
      <c r="Q73" t="str">
        <f ca="1">IF(N73 &lt; O73, "MANTENER", IF(N73 &lt; P73, "VENTA PARCIAL", "VENDER"))</f>
        <v>MANTENER</v>
      </c>
      <c r="T73" s="2"/>
      <c r="U73" s="14">
        <f>Tabla6[[#This Row],[cantidad]]-Tabla6[[#This Row],[CANTIDAD VENDIDA]]</f>
        <v>5.2599999999999998E-5</v>
      </c>
      <c r="V73" s="2">
        <f ca="1">IF(G73="BTC", D73 * U73 * C73, IF(G73="ETH", E73 * U73 * C73, IF(G73="IO.NET", F73 * U73 * C73, 0)))</f>
        <v>894.44679919999999</v>
      </c>
      <c r="W73" s="2">
        <f>IF(G73 = "BTC", ((T73 - L73)), IF(G73 = "ETH", ((T73 - L73)), IF(G73 = "IO.NET", ((T73 - L73)), "Moneda no soportada")))</f>
        <v>-726.32733822540001</v>
      </c>
      <c r="X73" s="9">
        <f ca="1">IF(G73 = "BTC", (((D73 - J73) / J73)),IF(G73 = "ETH", ((E73 - J73) / J73), IF(G73 = "IO.NET", ((F73 - J73) / J73), "Moneda no soportada")))</f>
        <v>0.11101471906538275</v>
      </c>
      <c r="Y73" s="2" t="str">
        <f>IF(U73=0,"VENDIDA","ACTIVA")</f>
        <v>ACTIVA</v>
      </c>
    </row>
    <row r="74" spans="2:25">
      <c r="B74" s="1">
        <f ca="1">TODAY()</f>
        <v>45635</v>
      </c>
      <c r="C74" s="2">
        <f ca="1">VLOOKUP(B74,Tabla4[],2,FALSE)</f>
        <v>4426</v>
      </c>
      <c r="D74" s="3">
        <f ca="1">VLOOKUP(B74,Tabla4[],3,FALSE)</f>
        <v>98015.98</v>
      </c>
      <c r="E74" s="2">
        <f ca="1">VLOOKUP(B74,Tabla4[],5,FALSE)</f>
        <v>3842</v>
      </c>
      <c r="F74" s="2">
        <f ca="1">VLOOKUP(B74,Tabla4[],4,FALSE)</f>
        <v>3.23</v>
      </c>
      <c r="G74" t="s">
        <v>15</v>
      </c>
      <c r="H74" s="1">
        <v>45621</v>
      </c>
      <c r="I74" s="3">
        <v>4366.6499999999996</v>
      </c>
      <c r="J74" s="47">
        <v>3463.1</v>
      </c>
      <c r="K74" s="25">
        <v>4.6289999999999999E-5</v>
      </c>
      <c r="L74" s="29">
        <f>Tabla6[[#This Row],[precio de compra]]*Tabla6[[#This Row],[cantidad]]*Tabla6[[#This Row],[PRECIO DEL DÓLAR, DIA COMPRA]]</f>
        <v>700.00412051834996</v>
      </c>
      <c r="M74" s="26">
        <f ca="1" xml:space="preserve"> K74 * (IF(G74="BTC", D74, IF(G74="ETH", E74, IF(G74="IO.NET", F74, 0)))) * C74</f>
        <v>787.14719267999999</v>
      </c>
      <c r="N74" s="41">
        <f ca="1">IF(G74 = "BTC", (D74 - J74) / J74,
 IF(G74 = "ETH", (E74 - J74) / J74,
 IF(G74 = "IO.NET", (F74 - J74) / J74,
 "Moneda no soportada")))</f>
        <v>0.10941064364297887</v>
      </c>
      <c r="O74" s="28">
        <v>0.25</v>
      </c>
      <c r="P74" s="28">
        <v>0.5</v>
      </c>
      <c r="Q74" s="31" t="str">
        <f ca="1">IF(N74 &lt; O74, "MANTENER", IF(N74 &lt; P74, "VENTA PARCIAL", "VENDER"))</f>
        <v>MANTENER</v>
      </c>
      <c r="T74" s="2"/>
      <c r="U74" s="14">
        <f>Tabla6[[#This Row],[cantidad]]-Tabla6[[#This Row],[CANTIDAD VENDIDA]]</f>
        <v>4.6289999999999999E-5</v>
      </c>
      <c r="V74" s="2">
        <f ca="1">IF(G74="BTC", D74 * U74 * C74, IF(G74="ETH", E74 * U74 * C74, IF(G74="IO.NET", F74 * U74 * C74, 0)))</f>
        <v>787.14719267999999</v>
      </c>
      <c r="W74" s="2">
        <f>IF(G74 = "BTC", ((T74 - L74)), IF(G74 = "ETH", ((T74 - L74)), IF(G74 = "IO.NET", ((T74 - L74)), "Moneda no soportada")))</f>
        <v>-700.00412051834996</v>
      </c>
      <c r="X74" s="32">
        <f ca="1">IF(G74 = "BTC", (((D74 - J74) / J74)),IF(G74 = "ETH", ((E74 - J74) / J74), IF(G74 = "IO.NET", ((F74 - J74) / J74), "Moneda no soportada")))</f>
        <v>0.10941064364297887</v>
      </c>
      <c r="Y74" s="2" t="str">
        <f>IF(U74=0,"VENDIDA","ACTIVA")</f>
        <v>ACTIVA</v>
      </c>
    </row>
    <row r="75" spans="2:25">
      <c r="B75" s="1">
        <f ca="1">TODAY()</f>
        <v>45635</v>
      </c>
      <c r="C75" s="2">
        <f ca="1">VLOOKUP(B75,Tabla4[],2,FALSE)</f>
        <v>4426</v>
      </c>
      <c r="D75" s="3">
        <f ca="1">VLOOKUP(B75,Tabla4[],3,FALSE)</f>
        <v>98015.98</v>
      </c>
      <c r="E75" s="2">
        <f ca="1">VLOOKUP(B75,Tabla4[],5,FALSE)</f>
        <v>3842</v>
      </c>
      <c r="F75" s="2">
        <f ca="1">VLOOKUP(B75,Tabla4[],4,FALSE)</f>
        <v>3.23</v>
      </c>
      <c r="G75" t="s">
        <v>41</v>
      </c>
      <c r="H75" s="1">
        <v>45495</v>
      </c>
      <c r="I75" s="3">
        <f>VLOOKUP(H75,Tabla4[],2,FALSE)</f>
        <v>4041.33</v>
      </c>
      <c r="J75" s="3">
        <v>2.92</v>
      </c>
      <c r="K75" s="11">
        <v>2.970859E-2</v>
      </c>
      <c r="L75" s="7">
        <f>Tabla6[[#This Row],[precio de compra]]*Tabla6[[#This Row],[cantidad]]*Tabla6[[#This Row],[PRECIO DEL DÓLAR, DIA COMPRA]]</f>
        <v>350.58167079212399</v>
      </c>
      <c r="M75" s="13">
        <f ca="1" xml:space="preserve"> K75 * (IF(G75="BTC", D75, IF(G75="ETH", E75, IF(G75="IO.NET", F75, 0)))) * C75</f>
        <v>424.71340846819999</v>
      </c>
      <c r="N75" s="32">
        <f ca="1">IF(G75 = "BTC", (D75 - J75) / J75,
 IF(G75 = "ETH", (E75 - J75) / J75,
 IF(G75 = "IO.NET", (F75 - J75) / J75,
 "Moneda no soportada")))</f>
        <v>0.10616438356164386</v>
      </c>
      <c r="O75" s="9">
        <v>0.1</v>
      </c>
      <c r="P75" s="9">
        <v>0.3</v>
      </c>
      <c r="Q75" t="str">
        <f ca="1">IF(N75 &lt; O75, "MANTENER", IF(N75 &lt; P75, "VENTA PARCIAL", "VENDER"))</f>
        <v>VENTA PARCIAL</v>
      </c>
      <c r="T75" s="2"/>
      <c r="U75" s="14">
        <f>Tabla6[[#This Row],[cantidad]]-Tabla6[[#This Row],[CANTIDAD VENDIDA]]</f>
        <v>2.970859E-2</v>
      </c>
      <c r="V75" s="2">
        <f ca="1">IF(G75="BTC", D75 * U75 * C75, IF(G75="ETH", E75 * U75 * C75, IF(G75="IO.NET", F75 * U75 * C75, 0)))</f>
        <v>424.71340846819999</v>
      </c>
      <c r="W75" s="2">
        <f>IF(G75 = "BTC", ((T75 - L75)), IF(G75 = "ETH", ((T75 - L75)), IF(G75 = "IO.NET", ((T75 - L75)), "Moneda no soportada")))</f>
        <v>-350.58167079212399</v>
      </c>
      <c r="X75" s="9">
        <f ca="1">IF(G75 = "BTC", (((D75 - J75) / J75)),IF(G75 = "ETH", ((E75 - J75) / J75), IF(G75 = "IO.NET", ((F75 - J75) / J75), "Moneda no soportada")))</f>
        <v>0.10616438356164386</v>
      </c>
      <c r="Y75" s="2" t="str">
        <f>IF(U75=0,"VENDIDA","ACTIVA")</f>
        <v>ACTIVA</v>
      </c>
    </row>
    <row r="76" spans="2:25">
      <c r="B76" s="1">
        <f ca="1">TODAY()</f>
        <v>45635</v>
      </c>
      <c r="C76" s="2">
        <f ca="1">VLOOKUP(B76,Tabla4[],2,FALSE)</f>
        <v>4426</v>
      </c>
      <c r="D76" s="3">
        <f ca="1">VLOOKUP(B76,Tabla4[],3,FALSE)</f>
        <v>98015.98</v>
      </c>
      <c r="E76" s="2">
        <f ca="1">VLOOKUP(B76,Tabla4[],5,FALSE)</f>
        <v>3842</v>
      </c>
      <c r="F76" s="2">
        <f ca="1">VLOOKUP(B76,Tabla4[],4,FALSE)</f>
        <v>3.23</v>
      </c>
      <c r="G76" t="s">
        <v>15</v>
      </c>
      <c r="H76" s="1">
        <v>45460</v>
      </c>
      <c r="I76" s="3">
        <f>VLOOKUP(H76,Tabla4[],2,FALSE)</f>
        <v>4129.43</v>
      </c>
      <c r="J76" s="3">
        <v>3505.79</v>
      </c>
      <c r="K76" s="11">
        <v>4.9200000000000003E-5</v>
      </c>
      <c r="L76" s="7">
        <f>Tabla6[[#This Row],[precio de compra]]*Tabla6[[#This Row],[cantidad]]*Tabla6[[#This Row],[PRECIO DEL DÓLAR, DIA COMPRA]]</f>
        <v>712.26418846524007</v>
      </c>
      <c r="M76" s="13">
        <f ca="1" xml:space="preserve"> K76 * (IF(G76="BTC", D76, IF(G76="ETH", E76, IF(G76="IO.NET", F76, 0)))) * C76</f>
        <v>836.6308464</v>
      </c>
      <c r="N76" s="32">
        <f ca="1">IF(G76 = "BTC", (D76 - J76) / J76,
 IF(G76 = "ETH", (E76 - J76) / J76,
 IF(G76 = "IO.NET", (F76 - J76) / J76,
 "Moneda no soportada")))</f>
        <v>9.590135176379648E-2</v>
      </c>
      <c r="O76" s="9">
        <v>0.25</v>
      </c>
      <c r="P76" s="9">
        <v>0.5</v>
      </c>
      <c r="Q76" t="str">
        <f ca="1">IF(N76 &lt; O76, "MANTENER", IF(N76 &lt; P76, "VENTA PARCIAL", "VENDER"))</f>
        <v>MANTENER</v>
      </c>
      <c r="T76" s="2"/>
      <c r="U76" s="14">
        <f>Tabla6[[#This Row],[cantidad]]-Tabla6[[#This Row],[CANTIDAD VENDIDA]]</f>
        <v>4.9200000000000003E-5</v>
      </c>
      <c r="V76" s="2">
        <f ca="1">IF(G76="BTC", D76 * U76 * C76, IF(G76="ETH", E76 * U76 * C76, IF(G76="IO.NET", F76 * U76 * C76, 0)))</f>
        <v>836.6308464</v>
      </c>
      <c r="W76" s="2">
        <f>IF(G76 = "BTC", ((T76 - L76)), IF(G76 = "ETH", ((T76 - L76)), IF(G76 = "IO.NET", ((T76 - L76)), "Moneda no soportada")))</f>
        <v>-712.26418846524007</v>
      </c>
      <c r="X76" s="9">
        <f ca="1">IF(G76 = "BTC", (((D76 - J76) / J76)),IF(G76 = "ETH", ((E76 - J76) / J76), IF(G76 = "IO.NET", ((F76 - J76) / J76), "Moneda no soportada")))</f>
        <v>9.590135176379648E-2</v>
      </c>
      <c r="Y76" s="2" t="str">
        <f>IF(U76=0,"VENDIDA","ACTIVA")</f>
        <v>ACTIVA</v>
      </c>
    </row>
    <row r="77" spans="2:25">
      <c r="B77" s="1">
        <f ca="1">TODAY()</f>
        <v>45635</v>
      </c>
      <c r="C77" s="2">
        <f ca="1">VLOOKUP(B77,Tabla4[],2,FALSE)</f>
        <v>4426</v>
      </c>
      <c r="D77" s="3">
        <f ca="1">VLOOKUP(B77,Tabla4[],3,FALSE)</f>
        <v>98015.98</v>
      </c>
      <c r="E77" s="2">
        <f ca="1">VLOOKUP(B77,Tabla4[],5,FALSE)</f>
        <v>3842</v>
      </c>
      <c r="F77" s="2">
        <f ca="1">VLOOKUP(B77,Tabla4[],4,FALSE)</f>
        <v>3.23</v>
      </c>
      <c r="G77" t="s">
        <v>14</v>
      </c>
      <c r="H77" s="1">
        <v>45614</v>
      </c>
      <c r="I77" s="3">
        <v>4378.71</v>
      </c>
      <c r="J77" s="3">
        <v>90319</v>
      </c>
      <c r="K77" s="25">
        <v>1.77E-6</v>
      </c>
      <c r="L77" s="29">
        <f>Tabla6[[#This Row],[precio de compra]]*Tabla6[[#This Row],[cantidad]]*Tabla6[[#This Row],[PRECIO DEL DÓLAR, DIA COMPRA]]</f>
        <v>700.00085402730008</v>
      </c>
      <c r="M77" s="26">
        <f ca="1" xml:space="preserve"> K77 * (IF(G77="BTC", D77, IF(G77="ETH", E77, IF(G77="IO.NET", F77, 0)))) * C77</f>
        <v>767.8591476396</v>
      </c>
      <c r="N77" s="41">
        <f ca="1">IF(G77 = "BTC", (D77 - J77) / J77,
 IF(G77 = "ETH", (E77 - J77) / J77,
 IF(G77 = "IO.NET", (F77 - J77) / J77,
 "Moneda no soportada")))</f>
        <v>8.5219942647726352E-2</v>
      </c>
      <c r="O77" s="28">
        <v>0.25</v>
      </c>
      <c r="P77" s="28">
        <v>0.5</v>
      </c>
      <c r="Q77" s="31" t="str">
        <f ca="1">IF(N77 &lt; O77, "MANTENER", IF(N77 &lt; P77, "VENTA PARCIAL", "VENDER"))</f>
        <v>MANTENER</v>
      </c>
      <c r="T77" s="2"/>
      <c r="U77" s="14">
        <f>Tabla6[[#This Row],[cantidad]]-Tabla6[[#This Row],[CANTIDAD VENDIDA]]</f>
        <v>1.77E-6</v>
      </c>
      <c r="V77" s="2">
        <f ca="1">IF(G77="BTC", D77 * U77 * C77, IF(G77="ETH", E77 * U77 * C77, IF(G77="IO.NET", F77 * U77 * C77, 0)))</f>
        <v>767.8591476396</v>
      </c>
      <c r="W77" s="2">
        <f>IF(G77 = "BTC", ((T77 - L77)), IF(G77 = "ETH", ((T77 - L77)), IF(G77 = "IO.NET", ((T77 - L77)), "Moneda no soportada")))</f>
        <v>-700.00085402730008</v>
      </c>
      <c r="X77" s="32">
        <f ca="1">IF(G77 = "BTC", (((D77 - J77) / J77)),IF(G77 = "ETH", ((E77 - J77) / J77), IF(G77 = "IO.NET", ((F77 - J77) / J77), "Moneda no soportada")))</f>
        <v>8.5219942647726352E-2</v>
      </c>
      <c r="Y77" s="2" t="str">
        <f>IF(U77=0,"VENDIDA","ACTIVA")</f>
        <v>ACTIVA</v>
      </c>
    </row>
    <row r="78" spans="2:25">
      <c r="B78" s="1">
        <f ca="1">TODAY()</f>
        <v>45635</v>
      </c>
      <c r="C78" s="2">
        <f ca="1">VLOOKUP(B78,Tabla4[],2,FALSE)</f>
        <v>4426</v>
      </c>
      <c r="D78" s="3">
        <f ca="1">VLOOKUP(B78,Tabla4[],3,FALSE)</f>
        <v>98015.98</v>
      </c>
      <c r="E78" s="2">
        <f ca="1">VLOOKUP(B78,Tabla4[],5,FALSE)</f>
        <v>3842</v>
      </c>
      <c r="F78" s="2">
        <f ca="1">VLOOKUP(B78,Tabla4[],4,FALSE)</f>
        <v>3.23</v>
      </c>
      <c r="G78" t="s">
        <v>15</v>
      </c>
      <c r="H78" s="1">
        <v>45628</v>
      </c>
      <c r="I78" s="3">
        <v>4403.26</v>
      </c>
      <c r="J78" s="3">
        <v>3558.82</v>
      </c>
      <c r="K78" s="25">
        <v>4.4669999999999998E-5</v>
      </c>
      <c r="L78" s="29">
        <f>Tabla6[[#This Row],[precio de compra]]*Tabla6[[#This Row],[cantidad]]*Tabla6[[#This Row],[PRECIO DEL DÓLAR, DIA COMPRA]]</f>
        <v>699.99720367544398</v>
      </c>
      <c r="M78" s="26">
        <f ca="1" xml:space="preserve"> K78 * (IF(G78="BTC", D78, IF(G78="ETH", E78, IF(G78="IO.NET", F78, 0)))) * C78</f>
        <v>759.59959163999986</v>
      </c>
      <c r="N78" s="27">
        <f ca="1">IF(G78 = "BTC", (D78 - J78) / J78,
 IF(G78 = "ETH", (E78 - J78) / J78,
 IF(G78 = "IO.NET", (F78 - J78) / J78,
 "Moneda no soportada")))</f>
        <v>7.9571318583125814E-2</v>
      </c>
      <c r="O78" s="28">
        <v>0.25</v>
      </c>
      <c r="P78" s="28">
        <v>0.5</v>
      </c>
      <c r="Q78" s="31" t="str">
        <f ca="1">IF(N78 &lt; O78, "MANTENER", IF(N78 &lt; P78, "VENTA PARCIAL", "VENDER"))</f>
        <v>MANTENER</v>
      </c>
      <c r="T78" s="2"/>
      <c r="U78" s="14">
        <f>Tabla6[[#This Row],[cantidad]]-Tabla6[[#This Row],[CANTIDAD VENDIDA]]</f>
        <v>4.4669999999999998E-5</v>
      </c>
      <c r="V78" s="2">
        <f ca="1">IF(G78="BTC", D78 * U78 * C78, IF(G78="ETH", E78 * U78 * C78, IF(G78="IO.NET", F78 * U78 * C78, 0)))</f>
        <v>759.59959163999986</v>
      </c>
      <c r="W78" s="2">
        <f>IF(G78 = "BTC", ((T78 - L78)), IF(G78 = "ETH", ((T78 - L78)), IF(G78 = "IO.NET", ((T78 - L78)), "Moneda no soportada")))</f>
        <v>-699.99720367544398</v>
      </c>
      <c r="X78" s="32">
        <f ca="1">IF(G78 = "BTC", (((D78 - J78) / J78)),IF(G78 = "ETH", ((E78 - J78) / J78), IF(G78 = "IO.NET", ((F78 - J78) / J78), "Moneda no soportada")))</f>
        <v>7.9571318583125814E-2</v>
      </c>
      <c r="Y78" s="2" t="str">
        <f>IF(U78=0,"VENDIDA","ACTIVA")</f>
        <v>ACTIVA</v>
      </c>
    </row>
    <row r="79" spans="2:25">
      <c r="B79" s="1">
        <f ca="1">TODAY()</f>
        <v>45635</v>
      </c>
      <c r="C79" s="2">
        <f ca="1">VLOOKUP(B79,Tabla4[],2,FALSE)</f>
        <v>4426</v>
      </c>
      <c r="D79" s="3">
        <f ca="1">VLOOKUP(B79,Tabla4[],3,FALSE)</f>
        <v>98015.98</v>
      </c>
      <c r="E79" s="2">
        <f ca="1">VLOOKUP(B79,Tabla4[],5,FALSE)</f>
        <v>3842</v>
      </c>
      <c r="F79" s="2">
        <f ca="1">VLOOKUP(B79,Tabla4[],4,FALSE)</f>
        <v>3.23</v>
      </c>
      <c r="G79" t="s">
        <v>41</v>
      </c>
      <c r="H79" s="1">
        <v>45494</v>
      </c>
      <c r="I79" s="3">
        <v>4046.27</v>
      </c>
      <c r="J79" s="3">
        <v>3.04434</v>
      </c>
      <c r="K79" s="11">
        <v>3.856043E-2</v>
      </c>
      <c r="L79" s="7">
        <f>Tabla6[[#This Row],[precio de compra]]*Tabla6[[#This Row],[cantidad]]*Tabla6[[#This Row],[PRECIO DEL DÓLAR, DIA COMPRA]]</f>
        <v>474.99592218630107</v>
      </c>
      <c r="M79" s="13">
        <f ca="1" xml:space="preserve"> K79 * (IF(G79="BTC", D79, IF(G79="ETH", E79, IF(G79="IO.NET", F79, 0)))) * C79</f>
        <v>551.25913607140001</v>
      </c>
      <c r="N79" s="32">
        <f ca="1">IF(G79 = "BTC", (D79 - J79) / J79,
 IF(G79 = "ETH", (E79 - J79) / J79,
 IF(G79 = "IO.NET", (F79 - J79) / J79,
 "Moneda no soportada")))</f>
        <v>6.0985303875388405E-2</v>
      </c>
      <c r="O79" s="9">
        <v>0.1</v>
      </c>
      <c r="P79" s="9">
        <v>0.3</v>
      </c>
      <c r="Q79" t="str">
        <f ca="1">IF(N79 &lt; O79, "MANTENER", IF(N79 &lt; P79, "VENTA PARCIAL", "VENDER"))</f>
        <v>MANTENER</v>
      </c>
      <c r="T79" s="2"/>
      <c r="U79" s="14">
        <f>Tabla6[[#This Row],[cantidad]]-Tabla6[[#This Row],[CANTIDAD VENDIDA]]</f>
        <v>3.856043E-2</v>
      </c>
      <c r="V79" s="2">
        <f ca="1">IF(G79="BTC", D79 * U79 * C79, IF(G79="ETH", E79 * U79 * C79, IF(G79="IO.NET", F79 * U79 * C79, 0)))</f>
        <v>551.25913607140001</v>
      </c>
      <c r="W79" s="2">
        <f>IF(G79 = "BTC", ((T79 - L79)), IF(G79 = "ETH", ((T79 - L79)), IF(G79 = "IO.NET", ((T79 - L79)), "Moneda no soportada")))</f>
        <v>-474.99592218630107</v>
      </c>
      <c r="X79" s="9">
        <f ca="1">IF(G79 = "BTC", (((D79 - J79) / J79)),IF(G79 = "ETH", ((E79 - J79) / J79), IF(G79 = "IO.NET", ((F79 - J79) / J79), "Moneda no soportada")))</f>
        <v>6.0985303875388405E-2</v>
      </c>
      <c r="Y79" s="2" t="str">
        <f>IF(U79=0,"VENDIDA","ACTIVA")</f>
        <v>ACTIVA</v>
      </c>
    </row>
    <row r="80" spans="2:25">
      <c r="B80" s="1">
        <f ca="1">TODAY()</f>
        <v>45635</v>
      </c>
      <c r="C80" s="2">
        <f ca="1">VLOOKUP(B80,Tabla4[],2,FALSE)</f>
        <v>4426</v>
      </c>
      <c r="D80" s="3">
        <f ca="1">VLOOKUP(B80,Tabla4[],3,FALSE)</f>
        <v>98015.98</v>
      </c>
      <c r="E80" s="2">
        <f ca="1">VLOOKUP(B80,Tabla4[],5,FALSE)</f>
        <v>3842</v>
      </c>
      <c r="F80" s="2">
        <f ca="1">VLOOKUP(B80,Tabla4[],4,FALSE)</f>
        <v>3.23</v>
      </c>
      <c r="G80" t="s">
        <v>15</v>
      </c>
      <c r="H80" s="1">
        <v>45453</v>
      </c>
      <c r="I80" s="3">
        <f>VLOOKUP(H80,Tabla4[],2,FALSE)</f>
        <v>3995.66</v>
      </c>
      <c r="J80" s="3">
        <v>3669.68</v>
      </c>
      <c r="K80" s="11">
        <v>4.867E-5</v>
      </c>
      <c r="L80" s="7">
        <f>Tabla6[[#This Row],[precio de compra]]*Tabla6[[#This Row],[cantidad]]*Tabla6[[#This Row],[PRECIO DEL DÓLAR, DIA COMPRA]]</f>
        <v>713.63816396689595</v>
      </c>
      <c r="M80" s="13">
        <f ca="1" xml:space="preserve"> K80 * (IF(G80="BTC", D80, IF(G80="ETH", E80, IF(G80="IO.NET", F80, 0)))) * C80</f>
        <v>827.61835963999999</v>
      </c>
      <c r="N80" s="32">
        <f ca="1">IF(G80 = "BTC", (D80 - J80) / J80,
 IF(G80 = "ETH", (E80 - J80) / J80,
 IF(G80 = "IO.NET", (F80 - J80) / J80,
 "Moneda no soportada")))</f>
        <v>4.6957772884829239E-2</v>
      </c>
      <c r="O80" s="9">
        <v>0.25</v>
      </c>
      <c r="P80" s="9">
        <v>0.5</v>
      </c>
      <c r="Q80" t="str">
        <f ca="1">IF(N80 &lt; O80, "MANTENER", IF(N80 &lt; P80, "VENTA PARCIAL", "VENDER"))</f>
        <v>MANTENER</v>
      </c>
      <c r="T80" s="2"/>
      <c r="U80" s="14">
        <f>Tabla6[[#This Row],[cantidad]]-Tabla6[[#This Row],[CANTIDAD VENDIDA]]</f>
        <v>4.867E-5</v>
      </c>
      <c r="V80" s="2">
        <f ca="1">IF(G80="BTC", D80 * U80 * C80, IF(G80="ETH", E80 * U80 * C80, IF(G80="IO.NET", F80 * U80 * C80, 0)))</f>
        <v>827.61835963999999</v>
      </c>
      <c r="W80" s="2">
        <f>IF(G80 = "BTC", ((T80 - L80)), IF(G80 = "ETH", ((T80 - L80)), IF(G80 = "IO.NET", ((T80 - L80)), "Moneda no soportada")))</f>
        <v>-713.63816396689595</v>
      </c>
      <c r="X80" s="9">
        <f ca="1">IF(G80 = "BTC", (((D80 - J80) / J80)),IF(G80 = "ETH", ((E80 - J80) / J80), IF(G80 = "IO.NET", ((F80 - J80) / J80), "Moneda no soportada")))</f>
        <v>4.6957772884829239E-2</v>
      </c>
      <c r="Y80" s="2" t="str">
        <f>IF(U80=0,"VENDIDA","ACTIVA")</f>
        <v>ACTIVA</v>
      </c>
    </row>
    <row r="81" spans="2:25">
      <c r="B81" s="1">
        <f ca="1">TODAY()</f>
        <v>45635</v>
      </c>
      <c r="C81" s="2">
        <f ca="1">VLOOKUP(B81,Tabla4[],2,FALSE)</f>
        <v>4426</v>
      </c>
      <c r="D81" s="3">
        <f ca="1">VLOOKUP(B81,Tabla4[],3,FALSE)</f>
        <v>98015.98</v>
      </c>
      <c r="E81" s="2">
        <f ca="1">VLOOKUP(B81,Tabla4[],5,FALSE)</f>
        <v>3842</v>
      </c>
      <c r="F81" s="2">
        <f ca="1">VLOOKUP(B81,Tabla4[],4,FALSE)</f>
        <v>3.23</v>
      </c>
      <c r="G81" t="s">
        <v>14</v>
      </c>
      <c r="H81" s="1">
        <v>45628</v>
      </c>
      <c r="I81" s="3">
        <v>4403.26</v>
      </c>
      <c r="J81" s="3">
        <v>94627</v>
      </c>
      <c r="K81" s="25">
        <v>1.68E-6</v>
      </c>
      <c r="L81" s="29">
        <f>Tabla6[[#This Row],[precio de compra]]*Tabla6[[#This Row],[cantidad]]*Tabla6[[#This Row],[PRECIO DEL DÓLAR, DIA COMPRA]]</f>
        <v>700.00103715360012</v>
      </c>
      <c r="M81" s="26">
        <f ca="1" xml:space="preserve"> K81 * (IF(G81="BTC", D81, IF(G81="ETH", E81, IF(G81="IO.NET", F81, 0)))) * C81</f>
        <v>728.81546216639993</v>
      </c>
      <c r="N81" s="27">
        <f ca="1">IF(G81 = "BTC", (D81 - J81) / J81,
 IF(G81 = "ETH", (E81 - J81) / J81,
 IF(G81 = "IO.NET", (F81 - J81) / J81,
 "Moneda no soportada")))</f>
        <v>3.581409111564348E-2</v>
      </c>
      <c r="O81" s="28">
        <v>0.25</v>
      </c>
      <c r="P81" s="28">
        <v>0.5</v>
      </c>
      <c r="Q81" s="31" t="str">
        <f ca="1">IF(N81 &lt; O81, "MANTENER", IF(N81 &lt; P81, "VENTA PARCIAL", "VENDER"))</f>
        <v>MANTENER</v>
      </c>
      <c r="T81" s="2"/>
      <c r="U81" s="14">
        <f>Tabla6[[#This Row],[cantidad]]-Tabla6[[#This Row],[CANTIDAD VENDIDA]]</f>
        <v>1.68E-6</v>
      </c>
      <c r="V81" s="2">
        <f ca="1">IF(G81="BTC", D81 * U81 * C81, IF(G81="ETH", E81 * U81 * C81, IF(G81="IO.NET", F81 * U81 * C81, 0)))</f>
        <v>728.81546216639993</v>
      </c>
      <c r="W81" s="2">
        <f>IF(G81 = "BTC", ((T81 - L81)), IF(G81 = "ETH", ((T81 - L81)), IF(G81 = "IO.NET", ((T81 - L81)), "Moneda no soportada")))</f>
        <v>-700.00103715360012</v>
      </c>
      <c r="X81" s="32">
        <f ca="1">IF(G81 = "BTC", (((D81 - J81) / J81)),IF(G81 = "ETH", ((E81 - J81) / J81), IF(G81 = "IO.NET", ((F81 - J81) / J81), "Moneda no soportada")))</f>
        <v>3.581409111564348E-2</v>
      </c>
      <c r="Y81" s="2" t="str">
        <f>IF(U81=0,"VENDIDA","ACTIVA")</f>
        <v>ACTIVA</v>
      </c>
    </row>
    <row r="82" spans="2:25">
      <c r="B82" s="1">
        <f ca="1">TODAY()</f>
        <v>45635</v>
      </c>
      <c r="C82" s="2">
        <f ca="1">VLOOKUP(B82,Tabla4[],2,FALSE)</f>
        <v>4426</v>
      </c>
      <c r="D82" s="3">
        <f ca="1">VLOOKUP(B82,Tabla4[],3,FALSE)</f>
        <v>98015.98</v>
      </c>
      <c r="E82" s="2">
        <f ca="1">VLOOKUP(B82,Tabla4[],5,FALSE)</f>
        <v>3842</v>
      </c>
      <c r="F82" s="2">
        <f ca="1">VLOOKUP(B82,Tabla4[],4,FALSE)</f>
        <v>3.23</v>
      </c>
      <c r="G82" t="s">
        <v>14</v>
      </c>
      <c r="H82" s="1">
        <v>45621</v>
      </c>
      <c r="I82" s="3">
        <v>4366.6499999999996</v>
      </c>
      <c r="J82" s="3">
        <v>95420</v>
      </c>
      <c r="K82" s="25">
        <v>1.68E-6</v>
      </c>
      <c r="L82" s="29">
        <f>Tabla6[[#This Row],[precio de compra]]*Tabla6[[#This Row],[cantidad]]*Tabla6[[#This Row],[PRECIO DEL DÓLAR, DIA COMPRA]]</f>
        <v>699.9984482399999</v>
      </c>
      <c r="M82" s="26">
        <f ca="1" xml:space="preserve"> K82 * (IF(G82="BTC", D82, IF(G82="ETH", E82, IF(G82="IO.NET", F82, 0)))) * C82</f>
        <v>728.81546216639993</v>
      </c>
      <c r="N82" s="41">
        <f ca="1">IF(G82 = "BTC", (D82 - J82) / J82,
 IF(G82 = "ETH", (E82 - J82) / J82,
 IF(G82 = "IO.NET", (F82 - J82) / J82,
 "Moneda no soportada")))</f>
        <v>2.7205826870676963E-2</v>
      </c>
      <c r="O82" s="28">
        <v>0.25</v>
      </c>
      <c r="P82" s="28">
        <v>0.5</v>
      </c>
      <c r="Q82" s="31" t="str">
        <f ca="1">IF(N82 &lt; O82, "MANTENER", IF(N82 &lt; P82, "VENTA PARCIAL", "VENDER"))</f>
        <v>MANTENER</v>
      </c>
      <c r="T82" s="2"/>
      <c r="U82" s="14">
        <f>Tabla6[[#This Row],[cantidad]]-Tabla6[[#This Row],[CANTIDAD VENDIDA]]</f>
        <v>1.68E-6</v>
      </c>
      <c r="V82" s="2">
        <f ca="1">IF(G82="BTC", D82 * U82 * C82, IF(G82="ETH", E82 * U82 * C82, IF(G82="IO.NET", F82 * U82 * C82, 0)))</f>
        <v>728.81546216639993</v>
      </c>
      <c r="W82" s="2">
        <f>IF(G82 = "BTC", ((T82 - L82)), IF(G82 = "ETH", ((T82 - L82)), IF(G82 = "IO.NET", ((T82 - L82)), "Moneda no soportada")))</f>
        <v>-699.9984482399999</v>
      </c>
      <c r="X82" s="32">
        <f ca="1">IF(G82 = "BTC", (((D82 - J82) / J82)),IF(G82 = "ETH", ((E82 - J82) / J82), IF(G82 = "IO.NET", ((F82 - J82) / J82), "Moneda no soportada")))</f>
        <v>2.7205826870676963E-2</v>
      </c>
      <c r="Y82" s="2" t="str">
        <f>IF(U82=0,"VENDIDA","ACTIVA")</f>
        <v>ACTIVA</v>
      </c>
    </row>
    <row r="83" spans="2:25">
      <c r="B83" s="1">
        <f ca="1">TODAY()</f>
        <v>45635</v>
      </c>
      <c r="C83" s="2">
        <f ca="1">VLOOKUP(B83,Tabla4[],2,FALSE)</f>
        <v>4426</v>
      </c>
      <c r="D83" s="3">
        <f ca="1">VLOOKUP(B83,Tabla4[],3,FALSE)</f>
        <v>98015.98</v>
      </c>
      <c r="E83" s="2">
        <f ca="1">VLOOKUP(B83,Tabla4[],5,FALSE)</f>
        <v>3842</v>
      </c>
      <c r="F83" s="2">
        <f ca="1">VLOOKUP(B83,Tabla4[],4,FALSE)</f>
        <v>3.23</v>
      </c>
      <c r="G83" t="s">
        <v>41</v>
      </c>
      <c r="H83" s="1">
        <v>45628</v>
      </c>
      <c r="I83" s="3">
        <v>4403.26</v>
      </c>
      <c r="J83" s="3">
        <v>3.1627999999999998</v>
      </c>
      <c r="K83" s="25">
        <v>2.5131379999999998E-2</v>
      </c>
      <c r="L83" s="29">
        <f>Tabla6[[#This Row],[precio de compra]]*Tabla6[[#This Row],[cantidad]]*Tabla6[[#This Row],[PRECIO DEL DÓLAR, DIA COMPRA]]</f>
        <v>349.99544894504464</v>
      </c>
      <c r="M83" s="26">
        <f ca="1" xml:space="preserve"> K83 * (IF(G83="BTC", D83, IF(G83="ETH", E83, IF(G83="IO.NET", F83, 0)))) * C83</f>
        <v>359.27770585239995</v>
      </c>
      <c r="N83" s="27">
        <f ca="1">IF(G83 = "BTC", (D83 - J83) / J83,
 IF(G83 = "ETH", (E83 - J83) / J83,
 IF(G83 = "IO.NET", (F83 - J83) / J83,
 "Moneda no soportada")))</f>
        <v>2.1246996332363776E-2</v>
      </c>
      <c r="O83" s="28">
        <v>0.1</v>
      </c>
      <c r="P83" s="28">
        <v>0.3</v>
      </c>
      <c r="Q83" s="31" t="str">
        <f ca="1">IF(N83 &lt; O83, "MANTENER", IF(N83 &lt; P83, "VENTA PARCIAL", "VENDER"))</f>
        <v>MANTENER</v>
      </c>
      <c r="T83" s="2"/>
      <c r="U83" s="14">
        <f>Tabla6[[#This Row],[cantidad]]-Tabla6[[#This Row],[CANTIDAD VENDIDA]]</f>
        <v>2.5131379999999998E-2</v>
      </c>
      <c r="V83" s="2">
        <f ca="1">IF(G83="BTC", D83 * U83 * C83, IF(G83="ETH", E83 * U83 * C83, IF(G83="IO.NET", F83 * U83 * C83, 0)))</f>
        <v>359.27770585239995</v>
      </c>
      <c r="W83" s="2">
        <f>IF(G83 = "BTC", ((T83 - L83)), IF(G83 = "ETH", ((T83 - L83)), IF(G83 = "IO.NET", ((T83 - L83)), "Moneda no soportada")))</f>
        <v>-349.99544894504464</v>
      </c>
      <c r="X83" s="32">
        <f ca="1">IF(G83 = "BTC", (((D83 - J83) / J83)),IF(G83 = "ETH", ((E83 - J83) / J83), IF(G83 = "IO.NET", ((F83 - J83) / J83), "Moneda no soportada")))</f>
        <v>2.1246996332363776E-2</v>
      </c>
      <c r="Y83" s="2" t="str">
        <f>IF(U83=0,"VENDIDA","ACTIVA")</f>
        <v>ACTIVA</v>
      </c>
    </row>
    <row r="84" spans="2:25">
      <c r="B84" s="1">
        <f ca="1">TODAY()</f>
        <v>45635</v>
      </c>
      <c r="C84" s="2">
        <f ca="1">VLOOKUP(B84,Tabla4[],2,FALSE)</f>
        <v>4426</v>
      </c>
      <c r="D84" s="3">
        <f ca="1">VLOOKUP(B84,Tabla4[],3,FALSE)</f>
        <v>98015.98</v>
      </c>
      <c r="E84" s="2">
        <f ca="1">VLOOKUP(B84,Tabla4[],5,FALSE)</f>
        <v>3842</v>
      </c>
      <c r="F84" s="2">
        <f ca="1">VLOOKUP(B84,Tabla4[],4,FALSE)</f>
        <v>3.23</v>
      </c>
      <c r="G84" t="s">
        <v>15</v>
      </c>
      <c r="H84" s="1">
        <v>45449</v>
      </c>
      <c r="I84" s="3">
        <f>VLOOKUP(H84,Tabla4[],2,FALSE)</f>
        <v>3931.5</v>
      </c>
      <c r="J84" s="3">
        <v>3801.31</v>
      </c>
      <c r="K84" s="11">
        <v>4.7200000000000002E-5</v>
      </c>
      <c r="L84" s="7">
        <f>Tabla6[[#This Row],[precio de compra]]*Tabla6[[#This Row],[cantidad]]*Tabla6[[#This Row],[PRECIO DEL DÓLAR, DIA COMPRA]]</f>
        <v>705.39693250799996</v>
      </c>
      <c r="M84" s="13">
        <f ca="1" xml:space="preserve"> K84 * (IF(G84="BTC", D84, IF(G84="ETH", E84, IF(G84="IO.NET", F84, 0)))) * C84</f>
        <v>802.62146240000004</v>
      </c>
      <c r="N84" s="32">
        <f ca="1">IF(G84 = "BTC", (D84 - J84) / J84,
 IF(G84 = "ETH", (E84 - J84) / J84,
 IF(G84 = "IO.NET", (F84 - J84) / J84,
 "Moneda no soportada")))</f>
        <v>1.0704204603149981E-2</v>
      </c>
      <c r="O84" s="9">
        <v>0.25</v>
      </c>
      <c r="P84" s="9">
        <v>0.5</v>
      </c>
      <c r="Q84" t="str">
        <f ca="1">IF(N84 &lt; O84, "MANTENER", IF(N84 &lt; P84, "VENTA PARCIAL", "VENDER"))</f>
        <v>MANTENER</v>
      </c>
      <c r="T84" s="2"/>
      <c r="U84" s="14">
        <f>Tabla6[[#This Row],[cantidad]]-Tabla6[[#This Row],[CANTIDAD VENDIDA]]</f>
        <v>4.7200000000000002E-5</v>
      </c>
      <c r="V84" s="2">
        <f ca="1">IF(G84="BTC", D84 * U84 * C84, IF(G84="ETH", E84 * U84 * C84, IF(G84="IO.NET", F84 * U84 * C84, 0)))</f>
        <v>802.62146240000004</v>
      </c>
      <c r="W84" s="2">
        <f>IF(G84 = "BTC", ((T84 - L84)), IF(G84 = "ETH", ((T84 - L84)), IF(G84 = "IO.NET", ((T84 - L84)), "Moneda no soportada")))</f>
        <v>-705.39693250799996</v>
      </c>
      <c r="X84" s="9">
        <f ca="1">IF(G84 = "BTC", (((D84 - J84) / J84)),IF(G84 = "ETH", ((E84 - J84) / J84), IF(G84 = "IO.NET", ((F84 - J84) / J84), "Moneda no soportada")))</f>
        <v>1.0704204603149981E-2</v>
      </c>
      <c r="Y84" s="2" t="str">
        <f>IF(U84=0,"VENDIDA","ACTIVA")</f>
        <v>ACTIVA</v>
      </c>
    </row>
    <row r="85" spans="2:25">
      <c r="B85" s="1">
        <f ca="1">TODAY()</f>
        <v>45635</v>
      </c>
      <c r="C85" s="2">
        <f ca="1">VLOOKUP(B85,Tabla4[],2,FALSE)</f>
        <v>4426</v>
      </c>
      <c r="D85" s="3">
        <f ca="1">VLOOKUP(B85,Tabla4[],3,FALSE)</f>
        <v>98015.98</v>
      </c>
      <c r="E85" s="2">
        <f ca="1">VLOOKUP(B85,Tabla4[],5,FALSE)</f>
        <v>3842</v>
      </c>
      <c r="F85" s="2">
        <f ca="1">VLOOKUP(B85,Tabla4[],4,FALSE)</f>
        <v>3.23</v>
      </c>
      <c r="G85" t="s">
        <v>15</v>
      </c>
      <c r="H85" s="1">
        <v>45635</v>
      </c>
      <c r="I85" s="3">
        <v>4437.6899999999996</v>
      </c>
      <c r="J85" s="3">
        <v>3824.9</v>
      </c>
      <c r="K85" s="25">
        <v>4.1239999999999998E-5</v>
      </c>
      <c r="L85" s="29">
        <f>Tabla6[[#This Row],[precio de compra]]*Tabla6[[#This Row],[cantidad]]*Tabla6[[#This Row],[PRECIO DEL DÓLAR, DIA COMPRA]]</f>
        <v>699.99623263643991</v>
      </c>
      <c r="M85" s="26">
        <f ca="1" xml:space="preserve"> K85 * (IF(G85="BTC", D85, IF(G85="ETH", E85, IF(G85="IO.NET", F85, 0)))) * C85</f>
        <v>701.27349807999997</v>
      </c>
      <c r="N85" s="27">
        <f ca="1">IF(G85 = "BTC", (D85 - J85) / J85,
 IF(G85 = "ETH", (E85 - J85) / J85,
 IF(G85 = "IO.NET", (F85 - J85) / J85,
 "Moneda no soportada")))</f>
        <v>4.4707051164736096E-3</v>
      </c>
      <c r="O85" s="28">
        <v>0.25</v>
      </c>
      <c r="P85" s="28">
        <v>0.5</v>
      </c>
      <c r="Q85" s="31" t="str">
        <f ca="1">IF(N85 &lt; O85, "MANTENER", IF(N85 &lt; P85, "VENTA PARCIAL", "VENDER"))</f>
        <v>MANTENER</v>
      </c>
      <c r="T85" s="2"/>
      <c r="U85" s="14">
        <f>Tabla6[[#This Row],[cantidad]]-Tabla6[[#This Row],[CANTIDAD VENDIDA]]</f>
        <v>4.1239999999999998E-5</v>
      </c>
      <c r="V85" s="2">
        <f ca="1">IF(G85="BTC", D85 * U85 * C85, IF(G85="ETH", E85 * U85 * C85, IF(G85="IO.NET", F85 * U85 * C85, 0)))</f>
        <v>701.27349807999997</v>
      </c>
      <c r="W85" s="2">
        <f>IF(G85 = "BTC", ((T85 - L85)), IF(G85 = "ETH", ((T85 - L85)), IF(G85 = "IO.NET", ((T85 - L85)), "Moneda no soportada")))</f>
        <v>-699.99623263643991</v>
      </c>
      <c r="X85" s="32">
        <f ca="1">IF(G85 = "BTC", (((D85 - J85) / J85)),IF(G85 = "ETH", ((E85 - J85) / J85), IF(G85 = "IO.NET", ((F85 - J85) / J85), "Moneda no soportada")))</f>
        <v>4.4707051164736096E-3</v>
      </c>
      <c r="Y85" s="2" t="str">
        <f>IF(U85=0,"VENDIDA","ACTIVA")</f>
        <v>ACTIVA</v>
      </c>
    </row>
    <row r="86" spans="2:25">
      <c r="B86" s="1">
        <f ca="1">TODAY()</f>
        <v>45635</v>
      </c>
      <c r="C86" s="2">
        <f ca="1">VLOOKUP(B86,Tabla4[],2,FALSE)</f>
        <v>4426</v>
      </c>
      <c r="D86" s="3">
        <f ca="1">VLOOKUP(B86,Tabla4[],3,FALSE)</f>
        <v>98015.98</v>
      </c>
      <c r="E86" s="2">
        <f ca="1">VLOOKUP(B86,Tabla4[],5,FALSE)</f>
        <v>3842</v>
      </c>
      <c r="F86" s="2">
        <f ca="1">VLOOKUP(B86,Tabla4[],4,FALSE)</f>
        <v>3.23</v>
      </c>
      <c r="G86" t="s">
        <v>14</v>
      </c>
      <c r="H86" s="1">
        <v>45635</v>
      </c>
      <c r="I86" s="3">
        <v>4376.6899999999996</v>
      </c>
      <c r="J86" s="3">
        <v>98728</v>
      </c>
      <c r="K86" s="25">
        <v>1.6199999999999999E-6</v>
      </c>
      <c r="L86" s="29">
        <f>Tabla6[[#This Row],[precio de compra]]*Tabla6[[#This Row],[cantidad]]*Tabla6[[#This Row],[PRECIO DEL DÓLAR, DIA COMPRA]]</f>
        <v>700.00499751839993</v>
      </c>
      <c r="M86" s="26">
        <f ca="1" xml:space="preserve"> K86 * (IF(G86="BTC", D86, IF(G86="ETH", E86, IF(G86="IO.NET", F86, 0)))) * C86</f>
        <v>702.78633851759992</v>
      </c>
      <c r="N86" s="27">
        <f ca="1">IF(G86 = "BTC", (D86 - J86) / J86,
 IF(G86 = "ETH", (E86 - J86) / J86,
 IF(G86 = "IO.NET", (F86 - J86) / J86,
 "Moneda no soportada")))</f>
        <v>-7.211935823677215E-3</v>
      </c>
      <c r="O86" s="28">
        <v>0.25</v>
      </c>
      <c r="P86" s="28">
        <v>0.5</v>
      </c>
      <c r="Q86" s="31" t="str">
        <f ca="1">IF(N86 &lt; O86, "MANTENER", IF(N86 &lt; P86, "VENTA PARCIAL", "VENDER"))</f>
        <v>MANTENER</v>
      </c>
      <c r="T86" s="2"/>
      <c r="U86" s="14">
        <f>Tabla6[[#This Row],[cantidad]]-Tabla6[[#This Row],[CANTIDAD VENDIDA]]</f>
        <v>1.6199999999999999E-6</v>
      </c>
      <c r="V86" s="2">
        <f ca="1">IF(G86="BTC", D86 * U86 * C86, IF(G86="ETH", E86 * U86 * C86, IF(G86="IO.NET", F86 * U86 * C86, 0)))</f>
        <v>702.78633851759992</v>
      </c>
      <c r="W86" s="2">
        <f>IF(G86 = "BTC", ((T86 - L86)), IF(G86 = "ETH", ((T86 - L86)), IF(G86 = "IO.NET", ((T86 - L86)), "Moneda no soportada")))</f>
        <v>-700.00499751839993</v>
      </c>
      <c r="X86" s="32">
        <f ca="1">IF(G86 = "BTC", (((D86 - J86) / J86)),IF(G86 = "ETH", ((E86 - J86) / J86), IF(G86 = "IO.NET", ((F86 - J86) / J86), "Moneda no soportada")))</f>
        <v>-7.211935823677215E-3</v>
      </c>
      <c r="Y86" s="2" t="str">
        <f>IF(U86=0,"VENDIDA","ACTIVA")</f>
        <v>ACTIVA</v>
      </c>
    </row>
    <row r="87" spans="2:25">
      <c r="B87" s="1">
        <f ca="1">TODAY()</f>
        <v>45635</v>
      </c>
      <c r="C87" s="2">
        <f ca="1">VLOOKUP(B87,Tabla4[],2,FALSE)</f>
        <v>4426</v>
      </c>
      <c r="D87" s="3">
        <f ca="1">VLOOKUP(B87,Tabla4[],3,FALSE)</f>
        <v>98015.98</v>
      </c>
      <c r="E87" s="2">
        <f ca="1">VLOOKUP(B87,Tabla4[],5,FALSE)</f>
        <v>3842</v>
      </c>
      <c r="F87" s="2">
        <f ca="1">VLOOKUP(B87,Tabla4[],4,FALSE)</f>
        <v>3.23</v>
      </c>
      <c r="G87" t="s">
        <v>41</v>
      </c>
      <c r="H87" s="1">
        <v>45635</v>
      </c>
      <c r="I87" s="3">
        <v>4437.6899999999996</v>
      </c>
      <c r="J87" s="3">
        <v>3.2555000000000001</v>
      </c>
      <c r="K87" s="25">
        <v>2.422641E-2</v>
      </c>
      <c r="L87" s="29">
        <f>Tabla6[[#This Row],[precio de compra]]*Tabla6[[#This Row],[cantidad]]*Tabla6[[#This Row],[PRECIO DEL DÓLAR, DIA COMPRA]]</f>
        <v>349.99651766258592</v>
      </c>
      <c r="M87" s="26">
        <f ca="1" xml:space="preserve"> K87 * (IF(G87="BTC", D87, IF(G87="ETH", E87, IF(G87="IO.NET", F87, 0)))) * C87</f>
        <v>346.34027283180001</v>
      </c>
      <c r="N87" s="27">
        <f ca="1">IF(G87 = "BTC", (D87 - J87) / J87,
 IF(G87 = "ETH", (E87 - J87) / J87,
 IF(G87 = "IO.NET", (F87 - J87) / J87,
 "Moneda no soportada")))</f>
        <v>-7.8328981723237833E-3</v>
      </c>
      <c r="O87" s="28">
        <v>0.1</v>
      </c>
      <c r="P87" s="28">
        <v>0.3</v>
      </c>
      <c r="Q87" s="31" t="str">
        <f ca="1">IF(N87 &lt; O87, "MANTENER", IF(N87 &lt; P87, "VENTA PARCIAL", "VENDER"))</f>
        <v>MANTENER</v>
      </c>
      <c r="T87" s="2"/>
      <c r="U87" s="14">
        <f>Tabla6[[#This Row],[cantidad]]-Tabla6[[#This Row],[CANTIDAD VENDIDA]]</f>
        <v>2.422641E-2</v>
      </c>
      <c r="V87" s="2">
        <f ca="1">IF(G87="BTC", D87 * U87 * C87, IF(G87="ETH", E87 * U87 * C87, IF(G87="IO.NET", F87 * U87 * C87, 0)))</f>
        <v>346.34027283180001</v>
      </c>
      <c r="W87" s="2">
        <f>IF(G87 = "BTC", ((T87 - L87)), IF(G87 = "ETH", ((T87 - L87)), IF(G87 = "IO.NET", ((T87 - L87)), "Moneda no soportada")))</f>
        <v>-349.99651766258592</v>
      </c>
      <c r="X87" s="32">
        <f ca="1">IF(G87 = "BTC", (((D87 - J87) / J87)),IF(G87 = "ETH", ((E87 - J87) / J87), IF(G87 = "IO.NET", ((F87 - J87) / J87), "Moneda no soportada")))</f>
        <v>-7.8328981723237833E-3</v>
      </c>
      <c r="Y87" s="2" t="str">
        <f>IF(U87=0,"VENDIDA","ACTIVA")</f>
        <v>ACTIVA</v>
      </c>
    </row>
    <row r="88" spans="2:25">
      <c r="B88" s="1">
        <f ca="1">TODAY()</f>
        <v>45635</v>
      </c>
      <c r="C88" s="2">
        <f ca="1">VLOOKUP(B88,Tabla4[],2,FALSE)</f>
        <v>4426</v>
      </c>
      <c r="D88" s="3">
        <f ca="1">VLOOKUP(B88,Tabla4[],3,FALSE)</f>
        <v>98015.98</v>
      </c>
      <c r="E88" s="2">
        <f ca="1">VLOOKUP(B88,Tabla4[],5,FALSE)</f>
        <v>3842</v>
      </c>
      <c r="F88" s="2">
        <f ca="1">VLOOKUP(B88,Tabla4[],4,FALSE)</f>
        <v>3.23</v>
      </c>
      <c r="G88" t="s">
        <v>41</v>
      </c>
      <c r="H88" s="1">
        <v>45467</v>
      </c>
      <c r="I88" s="3">
        <f>VLOOKUP(H88,Tabla4[],2,FALSE)</f>
        <v>4144.4799999999996</v>
      </c>
      <c r="J88" s="3">
        <v>3.4</v>
      </c>
      <c r="K88" s="11">
        <v>5.2726009999999997E-2</v>
      </c>
      <c r="L88" s="7">
        <f>Tabla6[[#This Row],[precio de compra]]*Tabla6[[#This Row],[cantidad]]*Tabla6[[#This Row],[PRECIO DEL DÓLAR, DIA COMPRA]]</f>
        <v>742.97443934431988</v>
      </c>
      <c r="M88" s="13">
        <f ca="1" xml:space="preserve"> K88 * (IF(G88="BTC", D88, IF(G88="ETH", E88, IF(G88="IO.NET", F88, 0)))) * C88</f>
        <v>753.76998443979994</v>
      </c>
      <c r="N88" s="32">
        <f ca="1">IF(G88 = "BTC", (D88 - J88) / J88,
 IF(G88 = "ETH", (E88 - J88) / J88,
 IF(G88 = "IO.NET", (F88 - J88) / J88,
 "Moneda no soportada")))</f>
        <v>-4.9999999999999982E-2</v>
      </c>
      <c r="O88" s="9">
        <v>0.1</v>
      </c>
      <c r="P88" s="9">
        <v>0.3</v>
      </c>
      <c r="Q88" t="str">
        <f ca="1">IF(N88 &lt; O88, "MANTENER", IF(N88 &lt; P88, "VENTA PARCIAL", "VENDER"))</f>
        <v>MANTENER</v>
      </c>
      <c r="T88" s="2"/>
      <c r="U88" s="14">
        <f>Tabla6[[#This Row],[cantidad]]-Tabla6[[#This Row],[CANTIDAD VENDIDA]]</f>
        <v>5.2726009999999997E-2</v>
      </c>
      <c r="V88" s="2">
        <f ca="1">IF(G88="BTC", D88 * U88 * C88, IF(G88="ETH", E88 * U88 * C88, IF(G88="IO.NET", F88 * U88 * C88, 0)))</f>
        <v>753.76998443979994</v>
      </c>
      <c r="W88" s="2">
        <f>IF(G88 = "BTC", ((T88 - L88)), IF(G88 = "ETH", ((T88 - L88)), IF(G88 = "IO.NET", ((T88 - L88)), "Moneda no soportada")))</f>
        <v>-742.97443934431988</v>
      </c>
      <c r="X88" s="9">
        <f ca="1">IF(G88 = "BTC", (((D88 - J88) / J88)),IF(G88 = "ETH", ((E88 - J88) / J88), IF(G88 = "IO.NET", ((F88 - J88) / J88), "Moneda no soportada")))</f>
        <v>-4.9999999999999982E-2</v>
      </c>
      <c r="Y88" s="2" t="str">
        <f>IF(U88=0,"VENDIDA","ACTIVA")</f>
        <v>ACTIVA</v>
      </c>
    </row>
    <row r="89" spans="2:25">
      <c r="B89" s="1">
        <f ca="1">TODAY()</f>
        <v>45635</v>
      </c>
      <c r="C89" s="2">
        <f ca="1">VLOOKUP(B89,Tabla4[],2,FALSE)</f>
        <v>4426</v>
      </c>
      <c r="D89" s="3">
        <f ca="1">VLOOKUP(B89,Tabla4[],3,FALSE)</f>
        <v>98015.98</v>
      </c>
      <c r="E89" s="2">
        <f ca="1">VLOOKUP(B89,Tabla4[],5,FALSE)</f>
        <v>3842</v>
      </c>
      <c r="F89" s="2">
        <f ca="1">VLOOKUP(B89,Tabla4[],4,FALSE)</f>
        <v>3.23</v>
      </c>
      <c r="G89" t="s">
        <v>41</v>
      </c>
      <c r="H89" s="1">
        <v>45460</v>
      </c>
      <c r="I89" s="3">
        <f>VLOOKUP(H89,Tabla4[],2,FALSE)</f>
        <v>4129.43</v>
      </c>
      <c r="J89" s="3">
        <v>4.2300000000000004</v>
      </c>
      <c r="K89" s="11">
        <v>3.8710769999999999E-2</v>
      </c>
      <c r="L89" s="7">
        <f>Tabla6[[#This Row],[precio de compra]]*Tabla6[[#This Row],[cantidad]]*Tabla6[[#This Row],[PRECIO DEL DÓLAR, DIA COMPRA]]</f>
        <v>676.17994528545319</v>
      </c>
      <c r="M89" s="13">
        <f ca="1" xml:space="preserve"> K89 * (IF(G89="BTC", D89, IF(G89="ETH", E89, IF(G89="IO.NET", F89, 0)))) * C89</f>
        <v>553.40839370459992</v>
      </c>
      <c r="N89" s="32">
        <f ca="1">IF(G89 = "BTC", (D89 - J89) / J89,
 IF(G89 = "ETH", (E89 - J89) / J89,
 IF(G89 = "IO.NET", (F89 - J89) / J89,
 "Moneda no soportada")))</f>
        <v>-0.23640661938534288</v>
      </c>
      <c r="O89" s="9">
        <v>0.25</v>
      </c>
      <c r="P89" s="9">
        <v>0.5</v>
      </c>
      <c r="Q89" t="str">
        <f ca="1">IF(N89 &lt; O89, "MANTENER", IF(N89 &lt; P89, "VENTA PARCIAL", "VENDER"))</f>
        <v>MANTENER</v>
      </c>
      <c r="T89" s="2"/>
      <c r="U89" s="14">
        <f>Tabla6[[#This Row],[cantidad]]-Tabla6[[#This Row],[CANTIDAD VENDIDA]]</f>
        <v>3.8710769999999999E-2</v>
      </c>
      <c r="V89" s="2">
        <f ca="1">IF(G89="BTC", D89 * U89 * C89, IF(G89="ETH", E89 * U89 * C89, IF(G89="IO.NET", F89 * U89 * C89, 0)))</f>
        <v>553.40839370459992</v>
      </c>
      <c r="W89" s="2">
        <f>IF(G89 = "BTC", ((T89 - L89)), IF(G89 = "ETH", ((T89 - L89)), IF(G89 = "IO.NET", ((T89 - L89)), "Moneda no soportada")))</f>
        <v>-676.17994528545319</v>
      </c>
      <c r="X89" s="9">
        <f ca="1">IF(G89 = "BTC", (((D89 - J89) / J89)),IF(G89 = "ETH", ((E89 - J89) / J89), IF(G89 = "IO.NET", ((F89 - J89) / J89), "Moneda no soportada")))</f>
        <v>-0.23640661938534288</v>
      </c>
      <c r="Y89" s="2" t="str">
        <f>IF(U89=0,"VENDIDA","ACTIVA")</f>
        <v>ACTIVA</v>
      </c>
    </row>
  </sheetData>
  <conditionalFormatting sqref="B3:Z89">
    <cfRule type="expression" dxfId="87" priority="1">
      <formula>$Y:$Y="VENDIDA"</formula>
    </cfRule>
  </conditionalFormatting>
  <conditionalFormatting sqref="Q1:Q1048576">
    <cfRule type="containsText" dxfId="86" priority="9" operator="containsText" text="VENTA PARCIAL">
      <formula>NOT(ISERROR(SEARCH("VENTA PARCIAL",Q1)))</formula>
    </cfRule>
    <cfRule type="containsText" dxfId="85" priority="10" operator="containsText" text="MANTENER">
      <formula>NOT(ISERROR(SEARCH("MANTENER",Q1)))</formula>
    </cfRule>
  </conditionalFormatting>
  <conditionalFormatting sqref="Q3:Q89">
    <cfRule type="containsText" dxfId="84" priority="8" operator="containsText" text="VENDER">
      <formula>NOT(ISERROR(SEARCH("VENDER",Q3)))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opLeftCell="E4" workbookViewId="0">
      <selection activeCell="D24" sqref="D24"/>
    </sheetView>
  </sheetViews>
  <sheetFormatPr baseColWidth="10" defaultRowHeight="14.25"/>
  <cols>
    <col min="4" max="4" width="30.625" customWidth="1"/>
    <col min="5" max="5" width="22.125" customWidth="1"/>
    <col min="6" max="6" width="17.25" customWidth="1"/>
    <col min="7" max="7" width="24" customWidth="1"/>
    <col min="8" max="8" width="22.875" customWidth="1"/>
    <col min="9" max="9" width="24" customWidth="1"/>
    <col min="10" max="11" width="23" customWidth="1"/>
    <col min="12" max="12" width="16.375" customWidth="1"/>
    <col min="13" max="13" width="12" customWidth="1"/>
  </cols>
  <sheetData>
    <row r="2" spans="2:13">
      <c r="B2" t="s">
        <v>79</v>
      </c>
      <c r="C2" t="s">
        <v>39</v>
      </c>
      <c r="D2" t="s">
        <v>45</v>
      </c>
      <c r="E2" t="s">
        <v>43</v>
      </c>
      <c r="F2" t="s">
        <v>44</v>
      </c>
      <c r="G2" t="s">
        <v>48</v>
      </c>
      <c r="H2" t="s">
        <v>49</v>
      </c>
      <c r="I2" t="s">
        <v>46</v>
      </c>
      <c r="J2" t="s">
        <v>51</v>
      </c>
      <c r="K2" t="s">
        <v>119</v>
      </c>
      <c r="L2" t="s">
        <v>47</v>
      </c>
      <c r="M2" t="s">
        <v>50</v>
      </c>
    </row>
    <row r="3" spans="2:13">
      <c r="B3" s="1">
        <f t="shared" ref="B3:B4" ca="1" si="0">TODAY()</f>
        <v>45635</v>
      </c>
      <c r="C3" s="1">
        <v>45495</v>
      </c>
      <c r="D3" s="7">
        <v>3983.46</v>
      </c>
      <c r="E3" s="14">
        <v>0.17572713000000001</v>
      </c>
      <c r="F3" s="7">
        <f t="shared" ref="F3:F8" si="1">D3*E3</f>
        <v>700.0019932698001</v>
      </c>
      <c r="G3" s="14">
        <f>E3</f>
        <v>0.17572713000000001</v>
      </c>
      <c r="H3" s="7">
        <f ca="1">VLOOKUP(B3,Tabla4[],6,FALSE)</f>
        <v>4333</v>
      </c>
      <c r="I3" s="7">
        <f t="shared" ref="I3:I8" ca="1" si="2">G3*H3</f>
        <v>761.42565429000001</v>
      </c>
      <c r="J3" s="7">
        <f>F3</f>
        <v>700.0019932698001</v>
      </c>
      <c r="K3" s="7">
        <f ca="1">Tabla5[[#This Row],[VALOR ACTUAL EN COP]]-Tabla5[[#This Row],[COSTO TOTAL EN COP]]</f>
        <v>61.423661020199916</v>
      </c>
      <c r="L3" s="10">
        <f t="shared" ref="L3:L8" ca="1" si="3">((I3-J3)/J3)</f>
        <v>8.7747837307265417E-2</v>
      </c>
      <c r="M3" s="7">
        <f>D3*1.1</f>
        <v>4381.8060000000005</v>
      </c>
    </row>
    <row r="4" spans="2:13">
      <c r="B4" s="1">
        <f t="shared" ca="1" si="0"/>
        <v>45635</v>
      </c>
      <c r="C4" s="1">
        <v>45496</v>
      </c>
      <c r="D4" s="7">
        <v>3969.77</v>
      </c>
      <c r="E4">
        <v>2.5190379999999998E-2</v>
      </c>
      <c r="F4" s="7">
        <f t="shared" si="1"/>
        <v>100.0000148126</v>
      </c>
      <c r="G4" s="14">
        <f t="shared" ref="G4:G9" si="4">G3+E4</f>
        <v>0.20091751000000002</v>
      </c>
      <c r="H4" s="7">
        <f ca="1">VLOOKUP(B4,Tabla4[],6,FALSE)</f>
        <v>4333</v>
      </c>
      <c r="I4" s="7">
        <f t="shared" ca="1" si="2"/>
        <v>870.57557083000006</v>
      </c>
      <c r="J4" s="7">
        <f t="shared" ref="J4:J9" si="5">F4+J3</f>
        <v>800.00200808240015</v>
      </c>
      <c r="K4" s="7">
        <f ca="1">Tabla5[[#This Row],[VALOR ACTUAL EN COP]]-Tabla5[[#This Row],[COSTO TOTAL EN COP]]</f>
        <v>70.573562747599908</v>
      </c>
      <c r="L4" s="10">
        <f t="shared" ca="1" si="3"/>
        <v>8.821673200141622E-2</v>
      </c>
      <c r="M4" s="7">
        <f t="shared" ref="M4:M6" si="6">D4*1.1</f>
        <v>4366.7470000000003</v>
      </c>
    </row>
    <row r="5" spans="2:13">
      <c r="B5" s="1">
        <f t="shared" ref="B5:B10" ca="1" si="7">TODAY()</f>
        <v>45635</v>
      </c>
      <c r="C5" s="1">
        <v>45502</v>
      </c>
      <c r="D5" s="7">
        <v>4013.7</v>
      </c>
      <c r="E5">
        <v>0.17440263</v>
      </c>
      <c r="F5" s="7">
        <f t="shared" si="1"/>
        <v>699.99983603099997</v>
      </c>
      <c r="G5" s="14">
        <f t="shared" si="4"/>
        <v>0.37532014000000002</v>
      </c>
      <c r="H5" s="7">
        <f ca="1">VLOOKUP(B5,Tabla4[],6,FALSE)</f>
        <v>4333</v>
      </c>
      <c r="I5" s="22">
        <f t="shared" ca="1" si="2"/>
        <v>1626.26216662</v>
      </c>
      <c r="J5" s="8">
        <f t="shared" si="5"/>
        <v>1500.0018441134002</v>
      </c>
      <c r="K5" s="8">
        <f ca="1">Tabla5[[#This Row],[VALOR ACTUAL EN COP]]-Tabla5[[#This Row],[COSTO TOTAL EN COP]]</f>
        <v>126.26032250659978</v>
      </c>
      <c r="L5" s="10">
        <f t="shared" ca="1" si="3"/>
        <v>8.4173444854148113E-2</v>
      </c>
      <c r="M5" s="7">
        <f t="shared" si="6"/>
        <v>4415.07</v>
      </c>
    </row>
    <row r="6" spans="2:13">
      <c r="B6" s="1">
        <f t="shared" ca="1" si="7"/>
        <v>45635</v>
      </c>
      <c r="C6" s="1">
        <v>45509</v>
      </c>
      <c r="D6" s="7">
        <v>4203.8900000000003</v>
      </c>
      <c r="E6" s="14">
        <v>0.16651260000000001</v>
      </c>
      <c r="F6" s="22">
        <f t="shared" si="1"/>
        <v>700.00065401400013</v>
      </c>
      <c r="G6" s="14">
        <f t="shared" si="4"/>
        <v>0.54183274000000003</v>
      </c>
      <c r="H6" s="7">
        <f ca="1">VLOOKUP(B6,Tabla4[],6,FALSE)</f>
        <v>4333</v>
      </c>
      <c r="I6" s="22">
        <f t="shared" ca="1" si="2"/>
        <v>2347.7612624200001</v>
      </c>
      <c r="J6" s="8">
        <f t="shared" si="5"/>
        <v>2200.0024981274005</v>
      </c>
      <c r="K6" s="8">
        <f ca="1">Tabla5[[#This Row],[VALOR ACTUAL EN COP]]-Tabla5[[#This Row],[COSTO TOTAL EN COP]]</f>
        <v>147.75876429259961</v>
      </c>
      <c r="L6" s="10">
        <f t="shared" ca="1" si="3"/>
        <v>6.716299841403317E-2</v>
      </c>
      <c r="M6" s="7">
        <f t="shared" si="6"/>
        <v>4624.2790000000005</v>
      </c>
    </row>
    <row r="7" spans="2:13">
      <c r="B7" s="1">
        <f t="shared" ca="1" si="7"/>
        <v>45635</v>
      </c>
      <c r="C7" s="1">
        <v>45516</v>
      </c>
      <c r="D7" s="7">
        <v>4043.31</v>
      </c>
      <c r="E7">
        <v>0.17312537</v>
      </c>
      <c r="F7" s="7">
        <f t="shared" si="1"/>
        <v>699.9995397747</v>
      </c>
      <c r="G7" s="14">
        <f t="shared" si="4"/>
        <v>0.71495810999999998</v>
      </c>
      <c r="H7" s="7">
        <f ca="1">VLOOKUP(B7,Tabla4[],6,FALSE)</f>
        <v>4333</v>
      </c>
      <c r="I7" s="22">
        <f t="shared" ca="1" si="2"/>
        <v>3097.9134906300001</v>
      </c>
      <c r="J7" s="8">
        <f t="shared" si="5"/>
        <v>2900.0020379021007</v>
      </c>
      <c r="K7" s="8">
        <f ca="1">Tabla5[[#This Row],[VALOR ACTUAL EN COP]]-Tabla5[[#This Row],[COSTO TOTAL EN COP]]</f>
        <v>197.91145272789936</v>
      </c>
      <c r="L7" s="30">
        <f t="shared" ca="1" si="3"/>
        <v>6.8245280569206451E-2</v>
      </c>
      <c r="M7" s="8">
        <f t="shared" ref="M7:M12" si="8">D7*1.1</f>
        <v>4447.6410000000005</v>
      </c>
    </row>
    <row r="8" spans="2:13">
      <c r="B8" s="1">
        <f t="shared" ca="1" si="7"/>
        <v>45635</v>
      </c>
      <c r="C8" s="1">
        <v>45523</v>
      </c>
      <c r="D8" s="7">
        <v>3958.06</v>
      </c>
      <c r="E8">
        <v>0.17685443000000001</v>
      </c>
      <c r="F8" s="7">
        <f t="shared" si="1"/>
        <v>700.00044520580002</v>
      </c>
      <c r="G8" s="14">
        <f t="shared" si="4"/>
        <v>0.89181253999999999</v>
      </c>
      <c r="H8" s="7">
        <f ca="1">VLOOKUP(B8,Tabla4[],6,FALSE)</f>
        <v>4333</v>
      </c>
      <c r="I8" s="22">
        <f t="shared" ca="1" si="2"/>
        <v>3864.22373582</v>
      </c>
      <c r="J8" s="8">
        <f t="shared" si="5"/>
        <v>3600.0024831079008</v>
      </c>
      <c r="K8" s="8">
        <f ca="1">Tabla5[[#This Row],[VALOR ACTUAL EN COP]]-Tabla5[[#This Row],[COSTO TOTAL EN COP]]</f>
        <v>264.22125271209916</v>
      </c>
      <c r="L8" s="30">
        <f t="shared" ca="1" si="3"/>
        <v>7.3394741795843307E-2</v>
      </c>
      <c r="M8" s="8">
        <f t="shared" si="8"/>
        <v>4353.866</v>
      </c>
    </row>
    <row r="9" spans="2:13">
      <c r="B9" s="1">
        <f t="shared" ca="1" si="7"/>
        <v>45635</v>
      </c>
      <c r="C9" s="1">
        <v>45530</v>
      </c>
      <c r="D9" s="7">
        <v>3966.68</v>
      </c>
      <c r="E9">
        <v>0.17646977</v>
      </c>
      <c r="F9" s="7">
        <f t="shared" ref="F9:F14" si="9">D9*E9</f>
        <v>699.99910726359997</v>
      </c>
      <c r="G9" s="14">
        <f t="shared" si="4"/>
        <v>1.0682823100000001</v>
      </c>
      <c r="H9" s="7">
        <f ca="1">VLOOKUP(B9,Tabla4[],6,FALSE)</f>
        <v>4333</v>
      </c>
      <c r="I9" s="22">
        <f t="shared" ref="I9:I14" ca="1" si="10">G9*H9</f>
        <v>4628.8672492300002</v>
      </c>
      <c r="J9" s="8">
        <f t="shared" si="5"/>
        <v>4300.0015903715012</v>
      </c>
      <c r="K9" s="8">
        <f ca="1">Tabla5[[#This Row],[VALOR ACTUAL EN COP]]-Tabla5[[#This Row],[COSTO TOTAL EN COP]]</f>
        <v>328.86565885849905</v>
      </c>
      <c r="L9" s="30">
        <f t="shared" ref="L9:L14" ca="1" si="11">((I9-J9)/J9)</f>
        <v>7.6480357494492585E-2</v>
      </c>
      <c r="M9" s="8">
        <f t="shared" si="8"/>
        <v>4363.348</v>
      </c>
    </row>
    <row r="10" spans="2:13">
      <c r="B10" s="1">
        <f t="shared" ca="1" si="7"/>
        <v>45635</v>
      </c>
      <c r="C10" s="1">
        <v>45537</v>
      </c>
      <c r="D10" s="7">
        <v>3995.06</v>
      </c>
      <c r="E10">
        <v>0.17521656999999999</v>
      </c>
      <c r="F10" s="7">
        <f t="shared" si="9"/>
        <v>700.00071014419996</v>
      </c>
      <c r="G10" s="14">
        <f t="shared" ref="G10:G15" si="12">G9+E10</f>
        <v>1.24349888</v>
      </c>
      <c r="H10" s="7">
        <f ca="1">VLOOKUP(B10,Tabla4[],6,FALSE)</f>
        <v>4333</v>
      </c>
      <c r="I10" s="22">
        <f t="shared" ca="1" si="10"/>
        <v>5388.0806470400003</v>
      </c>
      <c r="J10" s="8">
        <f t="shared" ref="J10:J15" si="13">F10+J9</f>
        <v>5000.0023005157009</v>
      </c>
      <c r="K10" s="8">
        <f ca="1">Tabla5[[#This Row],[VALOR ACTUAL EN COP]]-Tabla5[[#This Row],[COSTO TOTAL EN COP]]</f>
        <v>388.07834652429938</v>
      </c>
      <c r="L10" s="30">
        <f t="shared" ca="1" si="11"/>
        <v>7.7615633593663136E-2</v>
      </c>
      <c r="M10" s="8">
        <f t="shared" si="8"/>
        <v>4394.5660000000007</v>
      </c>
    </row>
    <row r="11" spans="2:13">
      <c r="B11" s="1">
        <f t="shared" ref="B11:B16" ca="1" si="14">TODAY()</f>
        <v>45635</v>
      </c>
      <c r="C11" s="1">
        <v>45544</v>
      </c>
      <c r="D11" s="7">
        <v>4082.04</v>
      </c>
      <c r="E11" s="14">
        <v>0.17148269999999999</v>
      </c>
      <c r="F11" s="7">
        <f t="shared" si="9"/>
        <v>699.99924070799989</v>
      </c>
      <c r="G11" s="14">
        <f t="shared" si="12"/>
        <v>1.4149815800000001</v>
      </c>
      <c r="H11" s="7">
        <f ca="1">VLOOKUP(B11,Tabla4[],6,FALSE)</f>
        <v>4333</v>
      </c>
      <c r="I11" s="22">
        <f t="shared" ca="1" si="10"/>
        <v>6131.1151861400003</v>
      </c>
      <c r="J11" s="8">
        <f t="shared" si="13"/>
        <v>5700.0015412237008</v>
      </c>
      <c r="K11" s="8">
        <f ca="1">Tabla5[[#This Row],[VALOR ACTUAL EN COP]]-Tabla5[[#This Row],[COSTO TOTAL EN COP]]</f>
        <v>431.11364491629956</v>
      </c>
      <c r="L11" s="30">
        <f t="shared" ca="1" si="11"/>
        <v>7.563395234165958E-2</v>
      </c>
      <c r="M11" s="8">
        <f t="shared" si="8"/>
        <v>4490.2440000000006</v>
      </c>
    </row>
    <row r="12" spans="2:13">
      <c r="B12" s="1">
        <f t="shared" ca="1" si="14"/>
        <v>45635</v>
      </c>
      <c r="C12" s="1">
        <v>45551</v>
      </c>
      <c r="D12" s="7">
        <v>4134.71</v>
      </c>
      <c r="E12" s="14">
        <v>0.16929839999999999</v>
      </c>
      <c r="F12" s="22">
        <f t="shared" si="9"/>
        <v>699.99978746399995</v>
      </c>
      <c r="G12" s="14">
        <f t="shared" si="12"/>
        <v>1.58427998</v>
      </c>
      <c r="H12" s="8">
        <f ca="1">VLOOKUP(B12,Tabla4[],6,FALSE)</f>
        <v>4333</v>
      </c>
      <c r="I12" s="22">
        <f t="shared" ca="1" si="10"/>
        <v>6864.6851533400004</v>
      </c>
      <c r="J12" s="8">
        <f t="shared" si="13"/>
        <v>6400.0013286877011</v>
      </c>
      <c r="K12" s="8">
        <f ca="1">Tabla5[[#This Row],[VALOR ACTUAL EN COP]]-Tabla5[[#This Row],[COSTO TOTAL EN COP]]</f>
        <v>464.68382465229934</v>
      </c>
      <c r="L12" s="30">
        <f t="shared" ca="1" si="11"/>
        <v>7.2606832528202173E-2</v>
      </c>
      <c r="M12" s="8">
        <f t="shared" si="8"/>
        <v>4548.1810000000005</v>
      </c>
    </row>
    <row r="13" spans="2:13">
      <c r="B13" s="1">
        <f t="shared" ca="1" si="14"/>
        <v>45635</v>
      </c>
      <c r="C13" s="1">
        <v>45558</v>
      </c>
      <c r="D13" s="7">
        <v>4086.07</v>
      </c>
      <c r="E13" s="14">
        <v>0.17131356</v>
      </c>
      <c r="F13" s="7">
        <f t="shared" si="9"/>
        <v>699.99919810920005</v>
      </c>
      <c r="G13" s="14">
        <f t="shared" si="12"/>
        <v>1.75559354</v>
      </c>
      <c r="H13" s="7">
        <f ca="1">VLOOKUP(B13,Tabla4[],6,FALSE)</f>
        <v>4333</v>
      </c>
      <c r="I13" s="22">
        <f t="shared" ca="1" si="10"/>
        <v>7606.9868088200001</v>
      </c>
      <c r="J13" s="8">
        <f t="shared" si="13"/>
        <v>7100.0005267969009</v>
      </c>
      <c r="K13" s="8">
        <f ca="1">Tabla5[[#This Row],[VALOR ACTUAL EN COP]]-Tabla5[[#This Row],[COSTO TOTAL EN COP]]</f>
        <v>506.98628202309919</v>
      </c>
      <c r="L13" s="30">
        <f t="shared" ca="1" si="11"/>
        <v>7.1406513296671734E-2</v>
      </c>
      <c r="M13" s="8">
        <f t="shared" ref="M13:M18" si="15">D13*1.1</f>
        <v>4494.6770000000006</v>
      </c>
    </row>
    <row r="14" spans="2:13">
      <c r="B14" s="1">
        <f t="shared" ca="1" si="14"/>
        <v>45635</v>
      </c>
      <c r="C14" s="1">
        <v>45565</v>
      </c>
      <c r="D14" s="7">
        <v>4044.33</v>
      </c>
      <c r="E14">
        <v>0.17308166</v>
      </c>
      <c r="F14" s="22">
        <f t="shared" si="9"/>
        <v>699.99934998779997</v>
      </c>
      <c r="G14" s="14">
        <f t="shared" si="12"/>
        <v>1.9286752</v>
      </c>
      <c r="H14" s="7">
        <f ca="1">VLOOKUP(B14,Tabla4[],6,FALSE)</f>
        <v>4333</v>
      </c>
      <c r="I14" s="22">
        <f t="shared" ca="1" si="10"/>
        <v>8356.9496416000002</v>
      </c>
      <c r="J14" s="8">
        <f t="shared" si="13"/>
        <v>7799.999876784701</v>
      </c>
      <c r="K14" s="8">
        <f ca="1">Tabla5[[#This Row],[VALOR ACTUAL EN COP]]-Tabla5[[#This Row],[COSTO TOTAL EN COP]]</f>
        <v>556.9497648152992</v>
      </c>
      <c r="L14" s="30">
        <f t="shared" ca="1" si="11"/>
        <v>7.1403817129915628E-2</v>
      </c>
      <c r="M14" s="8">
        <f t="shared" si="15"/>
        <v>4448.7629999999999</v>
      </c>
    </row>
    <row r="15" spans="2:13">
      <c r="B15" s="1">
        <f t="shared" ca="1" si="14"/>
        <v>45635</v>
      </c>
      <c r="C15" s="1">
        <v>45572</v>
      </c>
      <c r="D15" s="7">
        <v>4036.67</v>
      </c>
      <c r="E15">
        <v>0.17341017</v>
      </c>
      <c r="F15" s="7">
        <f t="shared" ref="F15:F20" si="16">D15*E15</f>
        <v>699.99963093389999</v>
      </c>
      <c r="G15" s="14">
        <f t="shared" si="12"/>
        <v>2.1020853700000002</v>
      </c>
      <c r="H15" s="7">
        <f ca="1">VLOOKUP(B15,Tabla4[],6,FALSE)</f>
        <v>4333</v>
      </c>
      <c r="I15" s="22">
        <f t="shared" ref="I15:I20" ca="1" si="17">G15*H15</f>
        <v>9108.3359082100014</v>
      </c>
      <c r="J15" s="8">
        <f t="shared" si="13"/>
        <v>8499.9995077186013</v>
      </c>
      <c r="K15" s="8">
        <f ca="1">Tabla5[[#This Row],[VALOR ACTUAL EN COP]]-Tabla5[[#This Row],[COSTO TOTAL EN COP]]</f>
        <v>608.33640049140013</v>
      </c>
      <c r="L15" s="30">
        <f t="shared" ref="L15:L20" ca="1" si="18">((I15-J15)/J15)</f>
        <v>7.1568992438056922E-2</v>
      </c>
      <c r="M15" s="8">
        <f t="shared" si="15"/>
        <v>4440.3370000000004</v>
      </c>
    </row>
    <row r="16" spans="2:13">
      <c r="B16" s="1">
        <f t="shared" ca="1" si="14"/>
        <v>45635</v>
      </c>
      <c r="C16" s="1">
        <v>45580</v>
      </c>
      <c r="D16" s="7">
        <v>4101.22</v>
      </c>
      <c r="E16">
        <v>0.17068098000000001</v>
      </c>
      <c r="F16" s="7">
        <f t="shared" si="16"/>
        <v>700.0002487956001</v>
      </c>
      <c r="G16" s="14">
        <f t="shared" ref="G16:G21" si="19">G15+E16</f>
        <v>2.2727663500000004</v>
      </c>
      <c r="H16" s="7">
        <f ca="1">VLOOKUP(B16,Tabla4[],6,FALSE)</f>
        <v>4333</v>
      </c>
      <c r="I16" s="22">
        <f t="shared" ca="1" si="17"/>
        <v>9847.8965945500022</v>
      </c>
      <c r="J16" s="8">
        <f t="shared" ref="J16:J21" si="20">F16+J15</f>
        <v>9199.9997565142021</v>
      </c>
      <c r="K16" s="8">
        <f ca="1">Tabla5[[#This Row],[VALOR ACTUAL EN COP]]-Tabla5[[#This Row],[COSTO TOTAL EN COP]]</f>
        <v>647.8968380358001</v>
      </c>
      <c r="L16" s="30">
        <f t="shared" ca="1" si="18"/>
        <v>7.0423571215536912E-2</v>
      </c>
      <c r="M16" s="8">
        <f t="shared" si="15"/>
        <v>4511.3420000000006</v>
      </c>
    </row>
    <row r="17" spans="2:13">
      <c r="B17" s="1">
        <f t="shared" ref="B17:B22" ca="1" si="21">TODAY()</f>
        <v>45635</v>
      </c>
      <c r="C17" s="1">
        <v>45586</v>
      </c>
      <c r="D17" s="7">
        <v>4209.08</v>
      </c>
      <c r="E17">
        <v>0.16630713</v>
      </c>
      <c r="F17" s="22">
        <f t="shared" si="16"/>
        <v>700.00001474039993</v>
      </c>
      <c r="G17" s="14">
        <f t="shared" si="19"/>
        <v>2.4390734800000002</v>
      </c>
      <c r="H17" s="7">
        <f ca="1">VLOOKUP(B17,Tabla4[],6,FALSE)</f>
        <v>4333</v>
      </c>
      <c r="I17" s="22">
        <f t="shared" ca="1" si="17"/>
        <v>10568.505388840002</v>
      </c>
      <c r="J17" s="8">
        <f t="shared" si="20"/>
        <v>9899.9997712546028</v>
      </c>
      <c r="K17" s="8">
        <f ca="1">Tabla5[[#This Row],[VALOR ACTUAL EN COP]]-Tabla5[[#This Row],[COSTO TOTAL EN COP]]</f>
        <v>668.5056175853988</v>
      </c>
      <c r="L17" s="30">
        <f t="shared" ca="1" si="18"/>
        <v>6.7525821518345422E-2</v>
      </c>
      <c r="M17" s="8">
        <f t="shared" si="15"/>
        <v>4629.9880000000003</v>
      </c>
    </row>
    <row r="18" spans="2:13">
      <c r="B18" s="1">
        <f t="shared" ca="1" si="21"/>
        <v>45635</v>
      </c>
      <c r="C18" s="1">
        <v>45593</v>
      </c>
      <c r="D18" s="7">
        <v>4241.6000000000004</v>
      </c>
      <c r="E18">
        <v>0.16503193999999999</v>
      </c>
      <c r="F18" s="22">
        <f t="shared" si="16"/>
        <v>699.99947670400002</v>
      </c>
      <c r="G18" s="14">
        <f t="shared" si="19"/>
        <v>2.6041054200000002</v>
      </c>
      <c r="H18" s="7">
        <f ca="1">VLOOKUP(B18,Tabla4[],6,FALSE)</f>
        <v>4333</v>
      </c>
      <c r="I18" s="22">
        <f t="shared" ca="1" si="17"/>
        <v>11283.588784860001</v>
      </c>
      <c r="J18" s="8">
        <f t="shared" si="20"/>
        <v>10599.999247958604</v>
      </c>
      <c r="K18" s="8">
        <f ca="1">Tabla5[[#This Row],[VALOR ACTUAL EN COP]]-Tabla5[[#This Row],[COSTO TOTAL EN COP]]</f>
        <v>683.58953690139788</v>
      </c>
      <c r="L18" s="30">
        <f t="shared" ca="1" si="18"/>
        <v>6.4489583528323999E-2</v>
      </c>
      <c r="M18" s="8">
        <f t="shared" si="15"/>
        <v>4665.7600000000011</v>
      </c>
    </row>
    <row r="19" spans="2:13">
      <c r="B19" s="1">
        <f t="shared" ca="1" si="21"/>
        <v>45635</v>
      </c>
      <c r="C19" s="1">
        <v>45600</v>
      </c>
      <c r="D19" s="7">
        <v>4370.66</v>
      </c>
      <c r="E19">
        <v>0.16015905999999999</v>
      </c>
      <c r="F19" s="22">
        <f t="shared" si="16"/>
        <v>700.00079717959989</v>
      </c>
      <c r="G19" s="14">
        <f t="shared" si="19"/>
        <v>2.76426448</v>
      </c>
      <c r="H19" s="7">
        <f ca="1">VLOOKUP(B19,Tabla4[],6,FALSE)</f>
        <v>4333</v>
      </c>
      <c r="I19" s="22">
        <f t="shared" ca="1" si="17"/>
        <v>11977.55799184</v>
      </c>
      <c r="J19" s="8">
        <f t="shared" si="20"/>
        <v>11300.000045138204</v>
      </c>
      <c r="K19" s="8">
        <f ca="1">Tabla5[[#This Row],[VALOR ACTUAL EN COP]]-Tabla5[[#This Row],[COSTO TOTAL EN COP]]</f>
        <v>677.55794670179603</v>
      </c>
      <c r="L19" s="30">
        <f t="shared" ca="1" si="18"/>
        <v>5.9960879999581378E-2</v>
      </c>
      <c r="M19" s="8">
        <f>D19*1.1</f>
        <v>4807.7260000000006</v>
      </c>
    </row>
    <row r="20" spans="2:13">
      <c r="B20" s="1">
        <f t="shared" ca="1" si="21"/>
        <v>45635</v>
      </c>
      <c r="C20" s="1">
        <v>45607</v>
      </c>
      <c r="D20" s="42">
        <v>4314.76</v>
      </c>
      <c r="E20">
        <v>0.16223373999999999</v>
      </c>
      <c r="F20" s="22">
        <f t="shared" si="16"/>
        <v>699.99965200240001</v>
      </c>
      <c r="G20" s="14">
        <f t="shared" si="19"/>
        <v>2.92649822</v>
      </c>
      <c r="H20" s="42">
        <f ca="1">VLOOKUP(B20,Tabla4[],6,FALSE)</f>
        <v>4333</v>
      </c>
      <c r="I20" s="22">
        <f t="shared" ca="1" si="17"/>
        <v>12680.51678726</v>
      </c>
      <c r="J20" s="8">
        <f t="shared" si="20"/>
        <v>11999.999697140604</v>
      </c>
      <c r="K20" s="8">
        <f ca="1">Tabla5[[#This Row],[VALOR ACTUAL EN COP]]-Tabla5[[#This Row],[COSTO TOTAL EN COP]]</f>
        <v>680.51709011939602</v>
      </c>
      <c r="L20" s="30">
        <f t="shared" ca="1" si="18"/>
        <v>5.6709758941206619E-2</v>
      </c>
      <c r="M20" s="8">
        <f>D20*1.1</f>
        <v>4746.2360000000008</v>
      </c>
    </row>
    <row r="21" spans="2:13">
      <c r="B21" s="1">
        <f t="shared" ca="1" si="21"/>
        <v>45635</v>
      </c>
      <c r="C21" s="1">
        <v>45614</v>
      </c>
      <c r="D21" s="7">
        <v>4378.71</v>
      </c>
      <c r="E21">
        <v>0.15986450999999999</v>
      </c>
      <c r="F21" s="22">
        <f>D21*E21</f>
        <v>700.0003285821</v>
      </c>
      <c r="G21" s="14">
        <f t="shared" si="19"/>
        <v>3.0863627299999998</v>
      </c>
      <c r="H21" s="7">
        <f ca="1">VLOOKUP(B21,Tabla4[],6,FALSE)</f>
        <v>4333</v>
      </c>
      <c r="I21" s="22">
        <f ca="1">G21*H21</f>
        <v>13373.209709089999</v>
      </c>
      <c r="J21" s="8">
        <f t="shared" si="20"/>
        <v>12700.000025722704</v>
      </c>
      <c r="K21" s="8">
        <f ca="1">Tabla5[[#This Row],[VALOR ACTUAL EN COP]]-Tabla5[[#This Row],[COSTO TOTAL EN COP]]</f>
        <v>673.20968336729493</v>
      </c>
      <c r="L21" s="30">
        <f ca="1">((I21-J21)/J21)</f>
        <v>5.3008636378249561E-2</v>
      </c>
      <c r="M21" s="8">
        <f>D21*1.1</f>
        <v>4816.5810000000001</v>
      </c>
    </row>
    <row r="22" spans="2:13">
      <c r="B22" s="1">
        <f t="shared" ca="1" si="21"/>
        <v>45635</v>
      </c>
      <c r="C22" s="1">
        <v>45621</v>
      </c>
      <c r="D22" s="7">
        <v>4366.6499999999996</v>
      </c>
      <c r="E22">
        <v>0.16030583000000001</v>
      </c>
      <c r="F22" s="22">
        <f>D22*E22</f>
        <v>699.99945256950002</v>
      </c>
      <c r="G22" s="14">
        <f>G21+E22</f>
        <v>3.2466685599999998</v>
      </c>
      <c r="H22" s="7">
        <f ca="1">VLOOKUP(B22,Tabla4[],6,FALSE)</f>
        <v>4333</v>
      </c>
      <c r="I22" s="22">
        <f ca="1">G22*H22</f>
        <v>14067.814870479999</v>
      </c>
      <c r="J22" s="8">
        <f>F22+J21</f>
        <v>13399.999478292204</v>
      </c>
      <c r="K22" s="8">
        <f ca="1">Tabla5[[#This Row],[VALOR ACTUAL EN COP]]-Tabla5[[#This Row],[COSTO TOTAL EN COP]]</f>
        <v>667.81539218779471</v>
      </c>
      <c r="L22" s="30">
        <f ca="1">((I22-J22)/J22)</f>
        <v>4.9836971506576962E-2</v>
      </c>
      <c r="M22" s="8">
        <f>D22*1.1</f>
        <v>4803.3149999999996</v>
      </c>
    </row>
    <row r="23" spans="2:13">
      <c r="B23" s="1">
        <f ca="1">TODAY()</f>
        <v>45635</v>
      </c>
      <c r="C23" s="1">
        <v>45628</v>
      </c>
      <c r="D23" s="7">
        <v>4403.26</v>
      </c>
      <c r="E23">
        <v>0.15897328999999999</v>
      </c>
      <c r="F23" s="22">
        <f>D23*E23</f>
        <v>700.00072892540004</v>
      </c>
      <c r="G23" s="14">
        <f>G22+E23</f>
        <v>3.4056418499999999</v>
      </c>
      <c r="H23" s="7">
        <f ca="1">VLOOKUP(B23,Tabla4[],6,FALSE)</f>
        <v>4333</v>
      </c>
      <c r="I23" s="22">
        <f ca="1">G23*H23</f>
        <v>14756.64613605</v>
      </c>
      <c r="J23" s="8">
        <f>F23+J22</f>
        <v>14100.000207217605</v>
      </c>
      <c r="K23" s="8">
        <f ca="1">Tabla5[[#This Row],[VALOR ACTUAL EN COP]]-Tabla5[[#This Row],[COSTO TOTAL EN COP]]</f>
        <v>656.64592883239493</v>
      </c>
      <c r="L23" s="30">
        <f ca="1">((I23-J23)/J23)</f>
        <v>4.6570632566109223E-2</v>
      </c>
      <c r="M23" s="8">
        <f>D23*1.1</f>
        <v>4843.5860000000002</v>
      </c>
    </row>
    <row r="24" spans="2:13">
      <c r="B24" s="1">
        <f ca="1">TODAY()</f>
        <v>45635</v>
      </c>
      <c r="C24" s="1">
        <v>45635</v>
      </c>
      <c r="D24" s="7">
        <v>4376.6899999999996</v>
      </c>
      <c r="E24">
        <v>0.15993824000000001</v>
      </c>
      <c r="F24" s="22">
        <f>D24*E24</f>
        <v>700.00009562560001</v>
      </c>
      <c r="G24" s="14">
        <f>G23+E24</f>
        <v>3.5655800900000001</v>
      </c>
      <c r="H24" s="7">
        <f ca="1">VLOOKUP(B24,Tabla4[],6,FALSE)</f>
        <v>4333</v>
      </c>
      <c r="I24" s="22">
        <f ca="1">G24*H24</f>
        <v>15449.65852997</v>
      </c>
      <c r="J24" s="8">
        <f>F24+J23</f>
        <v>14800.000302843206</v>
      </c>
      <c r="K24" s="8">
        <f ca="1">Tabla5[[#This Row],[VALOR ACTUAL EN COP]]-Tabla5[[#This Row],[COSTO TOTAL EN COP]]</f>
        <v>649.65822712679437</v>
      </c>
      <c r="L24" s="30">
        <f ca="1">((I24-J24)/J24)</f>
        <v>4.3895825259002832E-2</v>
      </c>
      <c r="M24" s="8">
        <f>D24*1.1</f>
        <v>4814.3590000000004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"/>
  <sheetViews>
    <sheetView topLeftCell="E3" workbookViewId="0">
      <selection activeCell="G26" sqref="G26"/>
    </sheetView>
  </sheetViews>
  <sheetFormatPr baseColWidth="10" defaultRowHeight="14.25"/>
  <cols>
    <col min="2" max="2" width="12.625" bestFit="1" customWidth="1"/>
    <col min="3" max="3" width="18.125" customWidth="1"/>
    <col min="4" max="4" width="19.875" customWidth="1"/>
    <col min="5" max="5" width="24" customWidth="1"/>
    <col min="6" max="6" width="21.625" customWidth="1"/>
    <col min="7" max="7" width="23.75" customWidth="1"/>
    <col min="8" max="8" width="25" customWidth="1"/>
    <col min="9" max="9" width="22.375" customWidth="1"/>
    <col min="10" max="10" width="27.75" customWidth="1"/>
    <col min="11" max="11" width="21.125" customWidth="1"/>
    <col min="12" max="12" width="27.25" customWidth="1"/>
    <col min="13" max="13" width="24.75" customWidth="1"/>
    <col min="14" max="14" width="34.75" customWidth="1"/>
    <col min="15" max="15" width="16.375" customWidth="1"/>
  </cols>
  <sheetData>
    <row r="2" spans="2:15">
      <c r="B2" t="s">
        <v>52</v>
      </c>
      <c r="C2" t="s">
        <v>53</v>
      </c>
      <c r="D2" t="s">
        <v>54</v>
      </c>
      <c r="E2" t="s">
        <v>65</v>
      </c>
      <c r="F2" t="s">
        <v>55</v>
      </c>
      <c r="G2" t="s">
        <v>56</v>
      </c>
      <c r="H2" t="s">
        <v>57</v>
      </c>
      <c r="I2" t="s">
        <v>66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47</v>
      </c>
    </row>
    <row r="3" spans="2:15">
      <c r="B3" s="17" t="s">
        <v>64</v>
      </c>
      <c r="C3" t="s">
        <v>14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4045.51</v>
      </c>
      <c r="J3" s="7">
        <v>64080</v>
      </c>
      <c r="K3" s="7">
        <f>H3*J3*I3</f>
        <v>6786.8058313440006</v>
      </c>
      <c r="L3">
        <f>H3-D3</f>
        <v>5.1199999999999984E-6</v>
      </c>
      <c r="M3" s="7">
        <f t="shared" ref="M3:M22" si="0">J3-F3</f>
        <v>-3261.1900000000023</v>
      </c>
      <c r="N3" s="7">
        <f>L3*J3*I3</f>
        <v>1327.2897576959997</v>
      </c>
      <c r="O3" s="9">
        <f>(K3-G3)/G3</f>
        <v>0.18269132636695476</v>
      </c>
    </row>
    <row r="4" spans="2:15">
      <c r="B4" s="17" t="s">
        <v>64</v>
      </c>
      <c r="C4" t="s">
        <v>15</v>
      </c>
      <c r="D4">
        <v>2.0707000000000001E-4</v>
      </c>
      <c r="E4" s="7">
        <v>4046.27</v>
      </c>
      <c r="F4" s="7">
        <v>3513.1</v>
      </c>
      <c r="G4" s="7">
        <f t="shared" ref="G4:G5" si="1">D4*F4*E4</f>
        <v>2943.48993193859</v>
      </c>
      <c r="H4">
        <v>3.0967000000000001E-4</v>
      </c>
      <c r="I4" s="7">
        <v>4045.51</v>
      </c>
      <c r="J4" s="7">
        <v>3150.45</v>
      </c>
      <c r="K4" s="7">
        <f t="shared" ref="K4:K6" si="2">H4*J4*I4</f>
        <v>3946.7989552417648</v>
      </c>
      <c r="L4">
        <f t="shared" ref="L4:L6" si="3">H4-D4</f>
        <v>1.026E-4</v>
      </c>
      <c r="M4" s="7">
        <f t="shared" si="0"/>
        <v>-362.65000000000009</v>
      </c>
      <c r="N4" s="7">
        <f t="shared" ref="N4:N6" si="4">L4*J4*I4</f>
        <v>1307.6551580967</v>
      </c>
      <c r="O4" s="9">
        <f t="shared" ref="O4:O6" si="5">(K4-G4)/G4</f>
        <v>0.34085695772786045</v>
      </c>
    </row>
    <row r="5" spans="2:15">
      <c r="B5" s="17" t="s">
        <v>64</v>
      </c>
      <c r="C5" t="s">
        <v>41</v>
      </c>
      <c r="D5">
        <v>0.22405046000000001</v>
      </c>
      <c r="E5" s="7">
        <v>4046.27</v>
      </c>
      <c r="F5" s="7">
        <v>3.01</v>
      </c>
      <c r="G5" s="7">
        <f t="shared" si="1"/>
        <v>2728.7716509004417</v>
      </c>
      <c r="H5">
        <v>0.28387364999999998</v>
      </c>
      <c r="I5" s="7">
        <v>4045.51</v>
      </c>
      <c r="J5" s="7">
        <v>2.21</v>
      </c>
      <c r="K5" s="7">
        <f t="shared" si="2"/>
        <v>2537.9942544834148</v>
      </c>
      <c r="L5">
        <f t="shared" si="3"/>
        <v>5.9823189999999971E-2</v>
      </c>
      <c r="M5" s="7">
        <f t="shared" si="0"/>
        <v>-0.79999999999999982</v>
      </c>
      <c r="N5" s="7">
        <f t="shared" si="4"/>
        <v>534.85384256294878</v>
      </c>
      <c r="O5" s="9">
        <f t="shared" si="5"/>
        <v>-6.9913287304224997E-2</v>
      </c>
    </row>
    <row r="6" spans="2:15">
      <c r="B6" s="17" t="s">
        <v>64</v>
      </c>
      <c r="C6" t="s">
        <v>63</v>
      </c>
      <c r="D6">
        <v>0.17572713000000001</v>
      </c>
      <c r="E6" s="7">
        <v>3983.45</v>
      </c>
      <c r="F6" s="7">
        <v>1</v>
      </c>
      <c r="G6" s="7">
        <f t="shared" ref="G6:G14" si="6">D6*F6*E6</f>
        <v>700.00023599849999</v>
      </c>
      <c r="H6">
        <v>0.37613443000000002</v>
      </c>
      <c r="I6" s="7">
        <v>4004</v>
      </c>
      <c r="J6" s="7">
        <v>1</v>
      </c>
      <c r="K6" s="7">
        <f t="shared" si="2"/>
        <v>1506.0422577200002</v>
      </c>
      <c r="L6" s="14">
        <f t="shared" si="3"/>
        <v>0.20040730000000001</v>
      </c>
      <c r="M6" s="7">
        <f t="shared" si="0"/>
        <v>0</v>
      </c>
      <c r="N6" s="7">
        <f t="shared" si="4"/>
        <v>802.43082920000006</v>
      </c>
      <c r="O6" s="9">
        <f t="shared" si="5"/>
        <v>1.151488214245727</v>
      </c>
    </row>
    <row r="7" spans="2:15">
      <c r="B7" s="17" t="s">
        <v>85</v>
      </c>
      <c r="C7" t="s">
        <v>14</v>
      </c>
      <c r="D7" s="16">
        <v>2.618E-5</v>
      </c>
      <c r="E7" s="7">
        <v>4041.51</v>
      </c>
      <c r="F7" s="7">
        <v>64080</v>
      </c>
      <c r="G7" s="7">
        <f t="shared" si="6"/>
        <v>6780.0953737440004</v>
      </c>
      <c r="H7">
        <v>4.1100000000000003E-5</v>
      </c>
      <c r="I7" s="7">
        <v>4160.3100000000004</v>
      </c>
      <c r="J7" s="3">
        <v>57304</v>
      </c>
      <c r="K7" s="7">
        <f t="shared" ref="K7:K14" si="7">H7*J7*I7</f>
        <v>9798.3388142640015</v>
      </c>
      <c r="L7" s="14">
        <f t="shared" ref="L7:L13" si="8">H7-D7</f>
        <v>1.4920000000000003E-5</v>
      </c>
      <c r="M7" s="8">
        <f t="shared" si="0"/>
        <v>-6776</v>
      </c>
      <c r="N7" s="7">
        <f t="shared" ref="N7:N14" si="9">L7*J7*I7</f>
        <v>3556.9638712608007</v>
      </c>
      <c r="O7" s="9">
        <f t="shared" ref="O7:O14" si="10">(K7-G7)/G7</f>
        <v>0.44516238697882993</v>
      </c>
    </row>
    <row r="8" spans="2:15">
      <c r="B8" s="17" t="s">
        <v>85</v>
      </c>
      <c r="C8" t="s">
        <v>15</v>
      </c>
      <c r="D8">
        <v>3.0967000000000001E-4</v>
      </c>
      <c r="E8" s="7">
        <v>4041.51</v>
      </c>
      <c r="F8" s="7">
        <v>3150.45</v>
      </c>
      <c r="G8" s="7">
        <f t="shared" si="6"/>
        <v>3942.896555835765</v>
      </c>
      <c r="H8">
        <v>6.5094000000000003E-4</v>
      </c>
      <c r="I8" s="7">
        <v>4160.3100000000004</v>
      </c>
      <c r="J8" s="3">
        <v>2425.9</v>
      </c>
      <c r="K8" s="7">
        <f t="shared" si="7"/>
        <v>6569.6093651172605</v>
      </c>
      <c r="L8" s="14">
        <f t="shared" si="8"/>
        <v>3.4127000000000002E-4</v>
      </c>
      <c r="M8" s="8">
        <f t="shared" si="0"/>
        <v>-724.54999999999973</v>
      </c>
      <c r="N8" s="7">
        <f t="shared" si="9"/>
        <v>3444.2661198168307</v>
      </c>
      <c r="O8" s="9">
        <f t="shared" si="10"/>
        <v>0.666188618464711</v>
      </c>
    </row>
    <row r="9" spans="2:15">
      <c r="B9" s="17" t="s">
        <v>85</v>
      </c>
      <c r="C9" t="s">
        <v>41</v>
      </c>
      <c r="D9">
        <v>0.28387364999999998</v>
      </c>
      <c r="E9" s="7">
        <v>4041.51</v>
      </c>
      <c r="F9" s="7">
        <v>2.21</v>
      </c>
      <c r="G9" s="7">
        <f t="shared" si="6"/>
        <v>2535.4848114174151</v>
      </c>
      <c r="H9">
        <v>0.55124218999999997</v>
      </c>
      <c r="I9" s="7">
        <v>4160.3100000000004</v>
      </c>
      <c r="J9" s="7">
        <v>1.39</v>
      </c>
      <c r="K9" s="7">
        <f t="shared" si="7"/>
        <v>3187.7403697156706</v>
      </c>
      <c r="L9" s="14">
        <f t="shared" si="8"/>
        <v>0.26736853999999999</v>
      </c>
      <c r="M9" s="8">
        <f t="shared" si="0"/>
        <v>-0.82000000000000006</v>
      </c>
      <c r="N9" s="7">
        <f t="shared" si="9"/>
        <v>1546.1470547998858</v>
      </c>
      <c r="O9" s="9">
        <f t="shared" si="10"/>
        <v>0.25725082452125764</v>
      </c>
    </row>
    <row r="10" spans="2:15">
      <c r="B10" s="17" t="s">
        <v>85</v>
      </c>
      <c r="C10" t="s">
        <v>63</v>
      </c>
      <c r="D10">
        <v>0.37613443000000002</v>
      </c>
      <c r="E10" s="7">
        <v>4004</v>
      </c>
      <c r="F10" s="7">
        <v>1</v>
      </c>
      <c r="G10" s="7">
        <f t="shared" si="6"/>
        <v>1506.0422577200002</v>
      </c>
      <c r="H10">
        <v>1.24686349</v>
      </c>
      <c r="I10" s="7">
        <v>4005</v>
      </c>
      <c r="J10" s="7">
        <v>1</v>
      </c>
      <c r="K10" s="7">
        <f t="shared" si="7"/>
        <v>4993.68827745</v>
      </c>
      <c r="L10" s="14">
        <f t="shared" si="8"/>
        <v>0.87072905999999994</v>
      </c>
      <c r="M10" s="8">
        <f t="shared" si="0"/>
        <v>0</v>
      </c>
      <c r="N10" s="7">
        <f t="shared" si="9"/>
        <v>3487.2698852999997</v>
      </c>
      <c r="O10" s="9">
        <f t="shared" si="10"/>
        <v>2.3157690309500034</v>
      </c>
    </row>
    <row r="11" spans="2:15">
      <c r="B11" s="17" t="s">
        <v>108</v>
      </c>
      <c r="C11" t="s">
        <v>14</v>
      </c>
      <c r="D11" s="14">
        <v>4.1100000000000003E-5</v>
      </c>
      <c r="E11" s="7">
        <v>4160.3100000000004</v>
      </c>
      <c r="F11" s="3">
        <v>57304</v>
      </c>
      <c r="G11" s="7">
        <f t="shared" si="6"/>
        <v>9798.3388142640015</v>
      </c>
      <c r="H11">
        <v>5.253E-5</v>
      </c>
      <c r="I11" s="7">
        <v>4199.12</v>
      </c>
      <c r="J11" s="3">
        <v>63785.8</v>
      </c>
      <c r="K11" s="7">
        <f>H11*J11*I11</f>
        <v>14069.857322894881</v>
      </c>
      <c r="L11" s="14">
        <f t="shared" si="8"/>
        <v>1.1429999999999997E-5</v>
      </c>
      <c r="M11" s="8">
        <f t="shared" si="0"/>
        <v>6481.8000000000029</v>
      </c>
      <c r="N11" s="7">
        <f t="shared" si="9"/>
        <v>3061.459531709279</v>
      </c>
      <c r="O11" s="8">
        <f t="shared" si="10"/>
        <v>0.43594313174929061</v>
      </c>
    </row>
    <row r="12" spans="2:15">
      <c r="B12" s="17" t="s">
        <v>108</v>
      </c>
      <c r="C12" t="s">
        <v>15</v>
      </c>
      <c r="D12">
        <v>6.5094000000000003E-4</v>
      </c>
      <c r="E12" s="7">
        <v>4160.3100000000004</v>
      </c>
      <c r="F12" s="3">
        <v>2425.9</v>
      </c>
      <c r="G12" s="7">
        <f t="shared" si="6"/>
        <v>6569.6093651172605</v>
      </c>
      <c r="H12">
        <v>1.02962E-3</v>
      </c>
      <c r="I12" s="7">
        <v>4199.12</v>
      </c>
      <c r="J12" s="3">
        <v>2630.6</v>
      </c>
      <c r="K12" s="7">
        <f t="shared" si="7"/>
        <v>11373.39366623264</v>
      </c>
      <c r="L12" s="14">
        <f t="shared" si="8"/>
        <v>3.7867999999999995E-4</v>
      </c>
      <c r="M12" s="8">
        <f t="shared" si="0"/>
        <v>204.69999999999982</v>
      </c>
      <c r="N12" s="7">
        <f t="shared" si="9"/>
        <v>4182.9769366649589</v>
      </c>
      <c r="O12" s="8">
        <f t="shared" si="10"/>
        <v>0.73121308043398969</v>
      </c>
    </row>
    <row r="13" spans="2:15">
      <c r="B13" s="17" t="s">
        <v>108</v>
      </c>
      <c r="C13" t="s">
        <v>41</v>
      </c>
      <c r="D13">
        <v>0.55124218999999997</v>
      </c>
      <c r="E13" s="7">
        <v>4160.3100000000004</v>
      </c>
      <c r="F13" s="7">
        <v>1.39</v>
      </c>
      <c r="G13" s="7">
        <f t="shared" si="6"/>
        <v>3187.7403697156706</v>
      </c>
      <c r="H13">
        <v>0.73703222999999995</v>
      </c>
      <c r="I13" s="7">
        <v>4199.12</v>
      </c>
      <c r="J13" s="3">
        <v>2.06</v>
      </c>
      <c r="K13" s="7">
        <f t="shared" si="7"/>
        <v>6375.4667619334559</v>
      </c>
      <c r="L13" s="14">
        <f t="shared" si="8"/>
        <v>0.18579003999999999</v>
      </c>
      <c r="M13" s="8">
        <f t="shared" si="0"/>
        <v>0.67000000000000015</v>
      </c>
      <c r="N13" s="7">
        <f t="shared" si="9"/>
        <v>1607.1186258954879</v>
      </c>
      <c r="O13" s="8">
        <f t="shared" si="10"/>
        <v>0.99999561523327996</v>
      </c>
    </row>
    <row r="14" spans="2:15">
      <c r="B14" s="17" t="s">
        <v>108</v>
      </c>
      <c r="C14" t="s">
        <v>63</v>
      </c>
      <c r="D14">
        <v>1.24686349</v>
      </c>
      <c r="E14" s="7">
        <v>4005</v>
      </c>
      <c r="F14" s="7">
        <v>1</v>
      </c>
      <c r="G14" s="7">
        <f t="shared" si="6"/>
        <v>4993.68827745</v>
      </c>
      <c r="H14">
        <v>1.93366572</v>
      </c>
      <c r="I14" s="7">
        <v>4199.12</v>
      </c>
      <c r="J14" s="7">
        <v>1</v>
      </c>
      <c r="K14" s="7">
        <f t="shared" si="7"/>
        <v>8119.6943981663999</v>
      </c>
      <c r="L14" s="14">
        <f t="shared" ref="L14:L22" si="11">H14-D14</f>
        <v>0.68680223000000007</v>
      </c>
      <c r="M14" s="8">
        <f t="shared" si="0"/>
        <v>0</v>
      </c>
      <c r="N14" s="7">
        <f t="shared" si="9"/>
        <v>2883.9649800376001</v>
      </c>
      <c r="O14" s="8">
        <f t="shared" si="10"/>
        <v>0.625991441002136</v>
      </c>
    </row>
    <row r="15" spans="2:15">
      <c r="B15" s="17" t="s">
        <v>120</v>
      </c>
      <c r="C15" t="s">
        <v>14</v>
      </c>
      <c r="D15">
        <v>5.253E-5</v>
      </c>
      <c r="E15" s="7">
        <v>4199.12</v>
      </c>
      <c r="F15" s="3">
        <v>63785.8</v>
      </c>
      <c r="G15" s="7">
        <f t="shared" ref="G15:G22" si="12">D15*F15*E15</f>
        <v>14069.857322894881</v>
      </c>
      <c r="H15">
        <v>6.2749999999999994E-5</v>
      </c>
      <c r="I15" s="7">
        <v>4374.1000000000004</v>
      </c>
      <c r="J15" s="7">
        <v>72074</v>
      </c>
      <c r="K15" s="7">
        <f t="shared" ref="K15:K22" si="13">H15*J15*I15</f>
        <v>19782.494933349997</v>
      </c>
      <c r="L15" s="14">
        <f t="shared" si="11"/>
        <v>1.0219999999999994E-5</v>
      </c>
      <c r="M15" s="8">
        <f t="shared" si="0"/>
        <v>8288.1999999999971</v>
      </c>
      <c r="N15" s="7">
        <f t="shared" ref="N15:N22" si="14">L15*J15*I15</f>
        <v>3221.9457883479981</v>
      </c>
      <c r="O15" s="8">
        <f t="shared" ref="O15:O22" si="15">(K15-G15)/G15</f>
        <v>0.40601958352195555</v>
      </c>
    </row>
    <row r="16" spans="2:15">
      <c r="B16" s="17" t="s">
        <v>120</v>
      </c>
      <c r="C16" t="s">
        <v>15</v>
      </c>
      <c r="D16">
        <v>1.02962E-3</v>
      </c>
      <c r="E16" s="7">
        <v>4199.12</v>
      </c>
      <c r="F16" s="3">
        <v>2630.6</v>
      </c>
      <c r="G16" s="7">
        <f t="shared" si="12"/>
        <v>11373.39366623264</v>
      </c>
      <c r="H16">
        <v>1.28396E-3</v>
      </c>
      <c r="I16" s="7">
        <v>4374.1000000000004</v>
      </c>
      <c r="J16" s="7">
        <v>2630</v>
      </c>
      <c r="K16" s="7">
        <f t="shared" si="13"/>
        <v>14770.525616680001</v>
      </c>
      <c r="L16" s="14">
        <f t="shared" si="11"/>
        <v>2.5434000000000003E-4</v>
      </c>
      <c r="M16" s="8">
        <f t="shared" si="0"/>
        <v>-0.59999999999990905</v>
      </c>
      <c r="N16" s="7">
        <f t="shared" si="14"/>
        <v>2925.8976022200009</v>
      </c>
      <c r="O16" s="8">
        <f t="shared" si="15"/>
        <v>0.29869114269150576</v>
      </c>
    </row>
    <row r="17" spans="2:15">
      <c r="B17" s="17" t="s">
        <v>111</v>
      </c>
      <c r="C17" t="s">
        <v>41</v>
      </c>
      <c r="D17">
        <v>0.73703222999999995</v>
      </c>
      <c r="E17" s="7">
        <v>4199.12</v>
      </c>
      <c r="F17" s="3">
        <v>2.06</v>
      </c>
      <c r="G17" s="7">
        <f t="shared" si="12"/>
        <v>6375.4667619334559</v>
      </c>
      <c r="H17">
        <v>0.91954166000000004</v>
      </c>
      <c r="I17" s="7">
        <v>4374.1000000000004</v>
      </c>
      <c r="J17" s="7">
        <v>1.68</v>
      </c>
      <c r="K17" s="7">
        <f t="shared" si="13"/>
        <v>6757.2408540100814</v>
      </c>
      <c r="L17" s="14">
        <f t="shared" si="11"/>
        <v>0.18250943000000008</v>
      </c>
      <c r="M17" s="8">
        <f t="shared" si="0"/>
        <v>-0.38000000000000012</v>
      </c>
      <c r="N17" s="7">
        <f t="shared" si="14"/>
        <v>1341.1683562418407</v>
      </c>
      <c r="O17" s="8">
        <f t="shared" si="15"/>
        <v>5.9881747695104723E-2</v>
      </c>
    </row>
    <row r="18" spans="2:15">
      <c r="B18" s="17" t="s">
        <v>111</v>
      </c>
      <c r="C18" t="s">
        <v>63</v>
      </c>
      <c r="D18">
        <v>1.93366572</v>
      </c>
      <c r="E18" s="7">
        <v>4199.12</v>
      </c>
      <c r="F18" s="7">
        <v>1</v>
      </c>
      <c r="G18" s="7">
        <f t="shared" si="12"/>
        <v>8119.6943981663999</v>
      </c>
      <c r="H18">
        <v>2.63210867</v>
      </c>
      <c r="I18" s="7">
        <v>4374.1000000000004</v>
      </c>
      <c r="J18" s="7">
        <v>1</v>
      </c>
      <c r="K18" s="7">
        <f t="shared" si="13"/>
        <v>11513.106533447</v>
      </c>
      <c r="L18" s="14">
        <f t="shared" si="11"/>
        <v>0.69844295000000001</v>
      </c>
      <c r="M18" s="8">
        <f t="shared" si="0"/>
        <v>0</v>
      </c>
      <c r="N18" s="7">
        <f t="shared" si="14"/>
        <v>3055.0593075950001</v>
      </c>
      <c r="O18" s="8">
        <f t="shared" si="15"/>
        <v>0.41792362727923671</v>
      </c>
    </row>
    <row r="19" spans="2:15">
      <c r="B19" s="17" t="s">
        <v>112</v>
      </c>
      <c r="C19" t="s">
        <v>14</v>
      </c>
      <c r="D19">
        <v>6.2749999999999994E-5</v>
      </c>
      <c r="E19" s="7">
        <v>4418.63</v>
      </c>
      <c r="F19" s="7">
        <v>69923.17</v>
      </c>
      <c r="G19" s="7">
        <f t="shared" si="12"/>
        <v>19387.529695233025</v>
      </c>
      <c r="H19">
        <v>7.0530000000000004E-5</v>
      </c>
      <c r="I19" s="7">
        <v>4419.5600000000004</v>
      </c>
      <c r="J19" s="7">
        <v>96407.99</v>
      </c>
      <c r="K19" s="7">
        <f t="shared" si="13"/>
        <v>30051.485614938741</v>
      </c>
      <c r="L19" s="14">
        <f t="shared" si="11"/>
        <v>7.7800000000000102E-6</v>
      </c>
      <c r="M19" s="8">
        <f t="shared" si="0"/>
        <v>26484.820000000007</v>
      </c>
      <c r="N19" s="7">
        <f t="shared" si="14"/>
        <v>3314.9093730926365</v>
      </c>
      <c r="O19" s="8">
        <f t="shared" si="15"/>
        <v>0.55004201604538372</v>
      </c>
    </row>
    <row r="20" spans="2:15">
      <c r="B20" s="17" t="s">
        <v>112</v>
      </c>
      <c r="C20" t="s">
        <v>15</v>
      </c>
      <c r="D20">
        <v>1.28396E-3</v>
      </c>
      <c r="E20" s="7">
        <v>4418.63</v>
      </c>
      <c r="F20" s="7">
        <v>2517.8000000000002</v>
      </c>
      <c r="G20" s="7">
        <f t="shared" si="12"/>
        <v>14284.345963311442</v>
      </c>
      <c r="H20">
        <v>1.49322E-3</v>
      </c>
      <c r="I20" s="7">
        <v>4419.5600000000004</v>
      </c>
      <c r="J20" s="7">
        <v>3706.3</v>
      </c>
      <c r="K20" s="7">
        <f t="shared" si="13"/>
        <v>24459.264982754161</v>
      </c>
      <c r="L20" s="14">
        <f t="shared" si="11"/>
        <v>2.0925999999999996E-4</v>
      </c>
      <c r="M20" s="8">
        <f t="shared" si="0"/>
        <v>1188.5</v>
      </c>
      <c r="N20" s="7">
        <f t="shared" si="14"/>
        <v>3427.7238386112799</v>
      </c>
      <c r="O20" s="8">
        <f t="shared" si="15"/>
        <v>0.71231255848720276</v>
      </c>
    </row>
    <row r="21" spans="2:15">
      <c r="B21" s="17" t="s">
        <v>112</v>
      </c>
      <c r="C21" t="s">
        <v>41</v>
      </c>
      <c r="D21">
        <v>0.91954166000000004</v>
      </c>
      <c r="E21" s="7">
        <v>4418.63</v>
      </c>
      <c r="F21" s="7">
        <v>1.61</v>
      </c>
      <c r="G21" s="7">
        <f t="shared" si="12"/>
        <v>6541.6141278525392</v>
      </c>
      <c r="H21">
        <v>1.0718466600000001</v>
      </c>
      <c r="I21" s="7">
        <v>4419.5600000000004</v>
      </c>
      <c r="J21" s="7">
        <v>3.46</v>
      </c>
      <c r="K21" s="7">
        <f t="shared" si="13"/>
        <v>16390.33356135682</v>
      </c>
      <c r="L21" s="14">
        <f t="shared" si="11"/>
        <v>0.15230500000000002</v>
      </c>
      <c r="M21" s="8">
        <f t="shared" si="0"/>
        <v>1.8499999999999999</v>
      </c>
      <c r="N21" s="7">
        <f t="shared" si="14"/>
        <v>2328.9989568680003</v>
      </c>
      <c r="O21" s="8">
        <f t="shared" si="15"/>
        <v>1.5055488203700249</v>
      </c>
    </row>
    <row r="22" spans="2:15">
      <c r="B22" s="17" t="s">
        <v>112</v>
      </c>
      <c r="C22" t="s">
        <v>63</v>
      </c>
      <c r="D22">
        <v>2.63210867</v>
      </c>
      <c r="E22" s="7">
        <v>4418.63</v>
      </c>
      <c r="F22" s="7">
        <v>1</v>
      </c>
      <c r="G22" s="7">
        <f t="shared" si="12"/>
        <v>11630.314332522101</v>
      </c>
      <c r="H22">
        <v>3.2466685599999998</v>
      </c>
      <c r="I22" s="7">
        <v>4419.5600000000004</v>
      </c>
      <c r="J22" s="7">
        <v>1</v>
      </c>
      <c r="K22" s="7">
        <f t="shared" si="13"/>
        <v>14348.8465010336</v>
      </c>
      <c r="L22" s="14">
        <f t="shared" si="11"/>
        <v>0.61455988999999978</v>
      </c>
      <c r="M22" s="8">
        <f t="shared" si="0"/>
        <v>0</v>
      </c>
      <c r="N22" s="7">
        <f t="shared" si="14"/>
        <v>2716.0843074483992</v>
      </c>
      <c r="O22" s="8">
        <f t="shared" si="15"/>
        <v>0.23374537358028311</v>
      </c>
    </row>
    <row r="23" spans="2:15">
      <c r="B23" s="17" t="s">
        <v>113</v>
      </c>
      <c r="C23" t="s">
        <v>14</v>
      </c>
      <c r="D23">
        <v>7.0530000000000004E-5</v>
      </c>
      <c r="E23" s="7">
        <v>4419.5600000000004</v>
      </c>
      <c r="F23" s="7">
        <v>96407.99</v>
      </c>
      <c r="G23" s="7">
        <f>D23*F23*E23</f>
        <v>30051.485614938741</v>
      </c>
      <c r="K23">
        <f>H23*J23*I23</f>
        <v>0</v>
      </c>
      <c r="L23" s="14">
        <f>H23-D23</f>
        <v>-7.0530000000000004E-5</v>
      </c>
      <c r="M23" s="8">
        <f>J23-F23</f>
        <v>-96407.99</v>
      </c>
      <c r="N23">
        <f>L23*J23*I23</f>
        <v>0</v>
      </c>
      <c r="O23" s="8">
        <f>(K23-G23)/G23</f>
        <v>-1</v>
      </c>
    </row>
    <row r="24" spans="2:15">
      <c r="B24" s="17" t="s">
        <v>113</v>
      </c>
      <c r="C24" t="s">
        <v>15</v>
      </c>
      <c r="D24">
        <v>1.49322E-3</v>
      </c>
      <c r="E24" s="7">
        <v>4419.5600000000004</v>
      </c>
      <c r="F24" s="7">
        <v>3706.3</v>
      </c>
      <c r="G24" s="7">
        <f>D24*F24*E24</f>
        <v>24459.264982754161</v>
      </c>
      <c r="K24">
        <f>H24*J24*I24</f>
        <v>0</v>
      </c>
      <c r="L24" s="14">
        <f>H24-D24</f>
        <v>-1.49322E-3</v>
      </c>
      <c r="M24" s="8">
        <f>J24-F24</f>
        <v>-3706.3</v>
      </c>
      <c r="N24">
        <f>L24*J24*I24</f>
        <v>0</v>
      </c>
      <c r="O24" s="8">
        <f>(K24-G24)/G24</f>
        <v>-1</v>
      </c>
    </row>
    <row r="25" spans="2:15">
      <c r="B25" s="17" t="s">
        <v>113</v>
      </c>
      <c r="C25" t="s">
        <v>41</v>
      </c>
      <c r="D25">
        <v>1.0718466600000001</v>
      </c>
      <c r="E25" s="7">
        <v>4419.5600000000004</v>
      </c>
      <c r="F25" s="7">
        <v>3.46</v>
      </c>
      <c r="G25" s="7">
        <f>D25*F25*E25</f>
        <v>16390.33356135682</v>
      </c>
      <c r="K25">
        <f>H25*J25*I25</f>
        <v>0</v>
      </c>
      <c r="L25" s="14">
        <f>H25-D25</f>
        <v>-1.0718466600000001</v>
      </c>
      <c r="M25" s="8">
        <f>J25-F25</f>
        <v>-3.46</v>
      </c>
      <c r="N25">
        <f>L25*J25*I25</f>
        <v>0</v>
      </c>
      <c r="O25" s="8">
        <f>(K25-G25)/G25</f>
        <v>-1</v>
      </c>
    </row>
    <row r="26" spans="2:15">
      <c r="B26" s="17"/>
      <c r="C26" t="s">
        <v>63</v>
      </c>
      <c r="D26">
        <v>3.2466685599999998</v>
      </c>
      <c r="E26">
        <v>4419.5600000000004</v>
      </c>
      <c r="F26" s="7">
        <v>1</v>
      </c>
      <c r="G26" s="7">
        <f>D26*F26*E26</f>
        <v>14348.8465010336</v>
      </c>
      <c r="K26">
        <f>H26*J26*I26</f>
        <v>0</v>
      </c>
      <c r="L26" s="14">
        <f>H26-D26</f>
        <v>-3.2466685599999998</v>
      </c>
      <c r="M26" s="8">
        <f>J26-F26</f>
        <v>-1</v>
      </c>
      <c r="N26">
        <f>L26*J26*I26</f>
        <v>0</v>
      </c>
      <c r="O26" s="8">
        <f>(K26-G26)/G26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0"/>
  <sheetViews>
    <sheetView tabSelected="1" topLeftCell="AA1" workbookViewId="0">
      <selection activeCell="P110" sqref="P110"/>
    </sheetView>
  </sheetViews>
  <sheetFormatPr baseColWidth="10" defaultRowHeight="14.25"/>
  <cols>
    <col min="5" max="5" width="12" bestFit="1" customWidth="1"/>
    <col min="6" max="6" width="12" customWidth="1"/>
    <col min="7" max="7" width="22.375" bestFit="1" customWidth="1"/>
    <col min="8" max="8" width="22.375" customWidth="1"/>
    <col min="9" max="9" width="12.25" bestFit="1" customWidth="1"/>
    <col min="10" max="10" width="18" bestFit="1" customWidth="1"/>
    <col min="11" max="11" width="21.5" bestFit="1" customWidth="1"/>
    <col min="12" max="12" width="12.25" bestFit="1" customWidth="1"/>
    <col min="13" max="13" width="18" bestFit="1" customWidth="1"/>
    <col min="14" max="14" width="18" customWidth="1"/>
    <col min="15" max="15" width="12.25" bestFit="1" customWidth="1"/>
    <col min="16" max="16" width="18" bestFit="1" customWidth="1"/>
  </cols>
  <sheetData>
    <row r="2" spans="2:16">
      <c r="B2" t="s">
        <v>0</v>
      </c>
      <c r="C2" t="s">
        <v>105</v>
      </c>
      <c r="D2" t="s">
        <v>13</v>
      </c>
      <c r="E2" t="s">
        <v>106</v>
      </c>
      <c r="F2" t="s">
        <v>42</v>
      </c>
      <c r="G2" t="s">
        <v>107</v>
      </c>
      <c r="H2" t="s">
        <v>116</v>
      </c>
      <c r="I2" t="s">
        <v>117</v>
      </c>
      <c r="J2" t="s">
        <v>118</v>
      </c>
      <c r="K2" t="s">
        <v>121</v>
      </c>
      <c r="L2" t="s">
        <v>123</v>
      </c>
      <c r="M2" t="s">
        <v>122</v>
      </c>
      <c r="N2" t="s">
        <v>124</v>
      </c>
      <c r="O2" t="s">
        <v>125</v>
      </c>
      <c r="P2" t="s">
        <v>126</v>
      </c>
    </row>
    <row r="3" spans="2:16">
      <c r="B3" s="1">
        <v>45478</v>
      </c>
      <c r="C3" s="8">
        <f>VLOOKUP(B3,Tabla4[],2,FALSE)</f>
        <v>4090.5</v>
      </c>
      <c r="D3" s="6">
        <v>507.08</v>
      </c>
      <c r="E3" s="39">
        <f>0.01518 * D3</f>
        <v>7.6974743999999999</v>
      </c>
      <c r="F3" s="39">
        <f>Tabla2[[#This Row],[VALOR INVERSION 1]]-7.7</f>
        <v>-2.5256000000002388E-3</v>
      </c>
      <c r="G3" s="39">
        <f>Tabla2[[#This Row],[VALOR INVERSION 1]]*Tabla2[[#This Row],[PRECIO DEL DÓLAR]]</f>
        <v>31486.519033199998</v>
      </c>
      <c r="H3" s="8">
        <f>Tabla2[[#This Row],[VOO]]*0.01527</f>
        <v>7.7431115999999998</v>
      </c>
      <c r="I3" s="8">
        <f>Tabla2[[#This Row],[VALOR INVERSION 2]]-7.9</f>
        <v>-0.15688840000000059</v>
      </c>
      <c r="J3" s="8">
        <f>Tabla2[[#This Row],[VALOR INVERSION 2]]*Tabla2[[#This Row],[PRECIO DEL DÓLAR]]</f>
        <v>31673.197999799999</v>
      </c>
      <c r="K3" s="8">
        <f>Tabla2[[#This Row],[VOO]]*0.01284</f>
        <v>6.5109072000000001</v>
      </c>
      <c r="L3" s="8">
        <f>Tabla2[[#This Row],[VALOR INVERSION 3]]-6.9</f>
        <v>-0.38909280000000024</v>
      </c>
      <c r="M3" s="8">
        <f>Tabla2[[#This Row],[VALOR INVERSION 3]]*Tabla2[[#This Row],[PRECIO DEL DÓLAR]]</f>
        <v>26632.865901600002</v>
      </c>
      <c r="N3" s="8">
        <f>Tabla2[[#This Row],[VOO]]*0.01226</f>
        <v>6.2168007999999997</v>
      </c>
      <c r="O3" s="8">
        <f>Tabla2[[#This Row],[VALOR INVERSION 4]]-6.6</f>
        <v>-0.38319919999999996</v>
      </c>
      <c r="P3" s="8">
        <f>Tabla2[[#This Row],[VALOR INVERSION 4]]*Tabla2[[#This Row],[PRECIO DEL DÓLAR]]</f>
        <v>25429.823672399998</v>
      </c>
    </row>
    <row r="4" spans="2:16">
      <c r="B4" s="1">
        <v>45481</v>
      </c>
      <c r="C4" s="8">
        <f>VLOOKUP(B4,Tabla4[],2,FALSE)</f>
        <v>4078.65</v>
      </c>
      <c r="D4" s="6">
        <v>510.33</v>
      </c>
      <c r="E4" s="8">
        <f t="shared" ref="E4:E15" si="0">0.01518 * D4</f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  <c r="H4" s="8">
        <f>Tabla2[[#This Row],[VOO]]*0.01527</f>
        <v>7.7927391000000004</v>
      </c>
      <c r="I4" s="8">
        <f>Tabla2[[#This Row],[VALOR INVERSION 2]]-7.9</f>
        <v>-0.10726089999999999</v>
      </c>
      <c r="J4" s="8">
        <f>Tabla2[[#This Row],[VALOR INVERSION 2]]*Tabla2[[#This Row],[PRECIO DEL DÓLAR]]</f>
        <v>31783.855330215003</v>
      </c>
      <c r="K4" s="8">
        <f>Tabla2[[#This Row],[VOO]]*0.01284</f>
        <v>6.5526372000000004</v>
      </c>
      <c r="L4" s="8">
        <f>Tabla2[[#This Row],[VALOR INVERSION 3]]-6.9</f>
        <v>-0.34736279999999997</v>
      </c>
      <c r="M4" s="8">
        <f>Tabla2[[#This Row],[VALOR INVERSION 3]]*Tabla2[[#This Row],[PRECIO DEL DÓLAR]]</f>
        <v>26725.913715780003</v>
      </c>
      <c r="N4" s="8">
        <f>Tabla2[[#This Row],[VOO]]*0.01226</f>
        <v>6.2566458000000003</v>
      </c>
      <c r="O4" s="8">
        <f>Tabla2[[#This Row],[VALOR INVERSION 4]]-6.6</f>
        <v>-0.34335419999999939</v>
      </c>
      <c r="P4" s="8">
        <f>Tabla2[[#This Row],[VALOR INVERSION 4]]*Tabla2[[#This Row],[PRECIO DEL DÓLAR]]</f>
        <v>25518.668392170002</v>
      </c>
    </row>
    <row r="5" spans="2:16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  <c r="H5" s="8">
        <f>Tabla2[[#This Row],[VOO]]*0.01527</f>
        <v>7.8012902999999998</v>
      </c>
      <c r="I5" s="8">
        <f>Tabla2[[#This Row],[VALOR INVERSION 2]]-7.9</f>
        <v>-9.8709700000000566E-2</v>
      </c>
      <c r="J5" s="8">
        <f>Tabla2[[#This Row],[VALOR INVERSION 2]]*Tabla2[[#This Row],[PRECIO DEL DÓLAR]]</f>
        <v>31589.530773080998</v>
      </c>
      <c r="K5" s="8">
        <f>Tabla2[[#This Row],[VOO]]*0.01284</f>
        <v>6.5598276000000002</v>
      </c>
      <c r="L5" s="8">
        <f>Tabla2[[#This Row],[VALOR INVERSION 3]]-6.9</f>
        <v>-0.34017240000000015</v>
      </c>
      <c r="M5" s="8">
        <f>Tabla2[[#This Row],[VALOR INVERSION 3]]*Tabla2[[#This Row],[PRECIO DEL DÓLAR]]</f>
        <v>26562.513105852002</v>
      </c>
      <c r="N5" s="8">
        <f>Tabla2[[#This Row],[VOO]]*0.01226</f>
        <v>6.2635113999999996</v>
      </c>
      <c r="O5" s="8">
        <f>Tabla2[[#This Row],[VALOR INVERSION 4]]-6.6</f>
        <v>-0.33648860000000003</v>
      </c>
      <c r="P5" s="8">
        <f>Tabla2[[#This Row],[VALOR INVERSION 4]]*Tabla2[[#This Row],[PRECIO DEL DÓLAR]]</f>
        <v>25362.648806677997</v>
      </c>
    </row>
    <row r="6" spans="2:16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  <c r="H6" s="8">
        <f>Tabla2[[#This Row],[VOO]]*0.01527</f>
        <v>7.8548879999999999</v>
      </c>
      <c r="I6" s="8">
        <f>Tabla2[[#This Row],[VALOR INVERSION 2]]-7.9</f>
        <v>-4.5112000000000485E-2</v>
      </c>
      <c r="J6" s="8">
        <f>Tabla2[[#This Row],[VALOR INVERSION 2]]*Tabla2[[#This Row],[PRECIO DEL DÓLAR]]</f>
        <v>31497.393940079997</v>
      </c>
      <c r="K6" s="8">
        <f>Tabla2[[#This Row],[VOO]]*0.01284</f>
        <v>6.6048960000000001</v>
      </c>
      <c r="L6" s="8">
        <f>Tabla2[[#This Row],[VALOR INVERSION 3]]-6.9</f>
        <v>-0.29510400000000025</v>
      </c>
      <c r="M6" s="8">
        <f>Tabla2[[#This Row],[VALOR INVERSION 3]]*Tabla2[[#This Row],[PRECIO DEL DÓLAR]]</f>
        <v>26485.038519359998</v>
      </c>
      <c r="N6" s="8">
        <f>Tabla2[[#This Row],[VOO]]*0.01226</f>
        <v>6.3065439999999997</v>
      </c>
      <c r="O6" s="8">
        <f>Tabla2[[#This Row],[VALOR INVERSION 4]]-6.6</f>
        <v>-0.29345599999999994</v>
      </c>
      <c r="P6" s="8">
        <f>Tabla2[[#This Row],[VALOR INVERSION 4]]*Tabla2[[#This Row],[PRECIO DEL DÓLAR]]</f>
        <v>25288.673851039999</v>
      </c>
    </row>
    <row r="7" spans="2:16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  <c r="H7" s="8">
        <f>Tabla2[[#This Row],[VOO]]*0.01527</f>
        <v>7.8089253000000003</v>
      </c>
      <c r="I7" s="8">
        <f>Tabla2[[#This Row],[VALOR INVERSION 2]]-7.9</f>
        <v>-9.1074700000000064E-2</v>
      </c>
      <c r="J7" s="8">
        <f>Tabla2[[#This Row],[VALOR INVERSION 2]]*Tabla2[[#This Row],[PRECIO DEL DÓLAR]]</f>
        <v>30885.939435813001</v>
      </c>
      <c r="K7" s="8">
        <f>Tabla2[[#This Row],[VOO]]*0.01284</f>
        <v>6.5662476000000005</v>
      </c>
      <c r="L7" s="8">
        <f>Tabla2[[#This Row],[VALOR INVERSION 3]]-6.9</f>
        <v>-0.33375239999999984</v>
      </c>
      <c r="M7" s="8">
        <f>Tabla2[[#This Row],[VALOR INVERSION 3]]*Tabla2[[#This Row],[PRECIO DEL DÓLAR]]</f>
        <v>25970.888169996004</v>
      </c>
      <c r="N7" s="8">
        <f>Tabla2[[#This Row],[VOO]]*0.01226</f>
        <v>6.2696414000000003</v>
      </c>
      <c r="O7" s="8">
        <f>Tabla2[[#This Row],[VALOR INVERSION 4]]-6.6</f>
        <v>-0.33035859999999939</v>
      </c>
      <c r="P7" s="8">
        <f>Tabla2[[#This Row],[VALOR INVERSION 4]]*Tabla2[[#This Row],[PRECIO DEL DÓLAR]]</f>
        <v>24797.748361694001</v>
      </c>
    </row>
    <row r="8" spans="2:16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  <c r="H8" s="8">
        <f>Tabla2[[#This Row],[VOO]]*0.01527</f>
        <v>7.8571784999999998</v>
      </c>
      <c r="I8" s="8">
        <f>Tabla2[[#This Row],[VALOR INVERSION 2]]-7.9</f>
        <v>-4.2821500000000512E-2</v>
      </c>
      <c r="J8" s="8">
        <f>Tabla2[[#This Row],[VALOR INVERSION 2]]*Tabla2[[#This Row],[PRECIO DEL DÓLAR]]</f>
        <v>31234.248832124998</v>
      </c>
      <c r="K8" s="8">
        <f>Tabla2[[#This Row],[VOO]]*0.01284</f>
        <v>6.6068220000000002</v>
      </c>
      <c r="L8" s="8">
        <f>Tabla2[[#This Row],[VALOR INVERSION 3]]-6.9</f>
        <v>-0.29317800000000016</v>
      </c>
      <c r="M8" s="8">
        <f>Tabla2[[#This Row],[VALOR INVERSION 3]]*Tabla2[[#This Row],[PRECIO DEL DÓLAR]]</f>
        <v>26263.769155500002</v>
      </c>
      <c r="N8" s="8">
        <f>Tabla2[[#This Row],[VOO]]*0.01226</f>
        <v>6.3083829999999992</v>
      </c>
      <c r="O8" s="8">
        <f>Tabla2[[#This Row],[VALOR INVERSION 4]]-6.6</f>
        <v>-0.29161700000000046</v>
      </c>
      <c r="P8" s="8">
        <f>Tabla2[[#This Row],[VALOR INVERSION 4]]*Tabla2[[#This Row],[PRECIO DEL DÓLAR]]</f>
        <v>25077.399520749997</v>
      </c>
    </row>
    <row r="9" spans="2:16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  <c r="H9" s="8">
        <f>Tabla2[[#This Row],[VOO]]*0.01527</f>
        <v>7.8809997000000003</v>
      </c>
      <c r="I9" s="8">
        <f>Tabla2[[#This Row],[VALOR INVERSION 2]]-7.9</f>
        <v>-1.9000300000000081E-2</v>
      </c>
      <c r="J9" s="8">
        <f>Tabla2[[#This Row],[VALOR INVERSION 2]]*Tabla2[[#This Row],[PRECIO DEL DÓLAR]]</f>
        <v>31469.541092073003</v>
      </c>
      <c r="K9" s="8">
        <f>Tabla2[[#This Row],[VOO]]*0.01284</f>
        <v>6.6268524000000006</v>
      </c>
      <c r="L9" s="8">
        <f>Tabla2[[#This Row],[VALOR INVERSION 3]]-6.9</f>
        <v>-0.27314759999999971</v>
      </c>
      <c r="M9" s="8">
        <f>Tabla2[[#This Row],[VALOR INVERSION 3]]*Tabla2[[#This Row],[PRECIO DEL DÓLAR]]</f>
        <v>26461.618049916004</v>
      </c>
      <c r="N9" s="8">
        <f>Tabla2[[#This Row],[VOO]]*0.01226</f>
        <v>6.3275085999999998</v>
      </c>
      <c r="O9" s="8">
        <f>Tabla2[[#This Row],[VALOR INVERSION 4]]-6.6</f>
        <v>-0.27249139999999983</v>
      </c>
      <c r="P9" s="8">
        <f>Tabla2[[#This Row],[VALOR INVERSION 4]]*Tabla2[[#This Row],[PRECIO DEL DÓLAR]]</f>
        <v>25266.311315573999</v>
      </c>
    </row>
    <row r="10" spans="2:16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  <c r="H10" s="8">
        <f>Tabla2[[#This Row],[VOO]]*0.01527</f>
        <v>7.9257407999999998</v>
      </c>
      <c r="I10" s="8">
        <f>Tabla2[[#This Row],[VALOR INVERSION 2]]-7.9</f>
        <v>2.5740799999999453E-2</v>
      </c>
      <c r="J10" s="8">
        <f>Tabla2[[#This Row],[VALOR INVERSION 2]]*Tabla2[[#This Row],[PRECIO DEL DÓLAR]]</f>
        <v>31337.428034304001</v>
      </c>
      <c r="K10" s="8">
        <f>Tabla2[[#This Row],[VOO]]*0.01284</f>
        <v>6.6644736</v>
      </c>
      <c r="L10" s="8">
        <f>Tabla2[[#This Row],[VALOR INVERSION 3]]-6.9</f>
        <v>-0.23552640000000036</v>
      </c>
      <c r="M10" s="8">
        <f>Tabla2[[#This Row],[VALOR INVERSION 3]]*Tabla2[[#This Row],[PRECIO DEL DÓLAR]]</f>
        <v>26350.528877568002</v>
      </c>
      <c r="N10" s="8">
        <f>Tabla2[[#This Row],[VOO]]*0.01226</f>
        <v>6.3634303999999995</v>
      </c>
      <c r="O10" s="8">
        <f>Tabla2[[#This Row],[VALOR INVERSION 4]]-6.6</f>
        <v>-0.23656960000000016</v>
      </c>
      <c r="P10" s="8">
        <f>Tabla2[[#This Row],[VALOR INVERSION 4]]*Tabla2[[#This Row],[PRECIO DEL DÓLAR]]</f>
        <v>25160.240189951997</v>
      </c>
    </row>
    <row r="11" spans="2:16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  <c r="H11" s="8">
        <f>Tabla2[[#This Row],[VOO]]*0.01527</f>
        <v>7.8150333000000005</v>
      </c>
      <c r="I11" s="8">
        <f>Tabla2[[#This Row],[VALOR INVERSION 2]]-7.9</f>
        <v>-8.496669999999984E-2</v>
      </c>
      <c r="J11" s="8">
        <f>Tabla2[[#This Row],[VALOR INVERSION 2]]*Tabla2[[#This Row],[PRECIO DEL DÓLAR]]</f>
        <v>31048.111346571</v>
      </c>
      <c r="K11" s="8">
        <f>Tabla2[[#This Row],[VOO]]*0.01284</f>
        <v>6.5713836000000008</v>
      </c>
      <c r="L11" s="8">
        <f>Tabla2[[#This Row],[VALOR INVERSION 3]]-6.9</f>
        <v>-0.32861639999999959</v>
      </c>
      <c r="M11" s="8">
        <f>Tabla2[[#This Row],[VALOR INVERSION 3]]*Tabla2[[#This Row],[PRECIO DEL DÓLAR]]</f>
        <v>26107.252762932003</v>
      </c>
      <c r="N11" s="8">
        <f>Tabla2[[#This Row],[VOO]]*0.01226</f>
        <v>6.2745454000000001</v>
      </c>
      <c r="O11" s="8">
        <f>Tabla2[[#This Row],[VALOR INVERSION 4]]-6.6</f>
        <v>-0.32545459999999959</v>
      </c>
      <c r="P11" s="8">
        <f>Tabla2[[#This Row],[VALOR INVERSION 4]]*Tabla2[[#This Row],[PRECIO DEL DÓLAR]]</f>
        <v>24927.953183297999</v>
      </c>
    </row>
    <row r="12" spans="2:16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  <c r="H12" s="8">
        <f>Tabla2[[#This Row],[VOO]]*0.01527</f>
        <v>7.7562438</v>
      </c>
      <c r="I12" s="8">
        <f>Tabla2[[#This Row],[VALOR INVERSION 2]]-7.9</f>
        <v>-0.14375620000000033</v>
      </c>
      <c r="J12" s="8">
        <f>Tabla2[[#This Row],[VALOR INVERSION 2]]*Tabla2[[#This Row],[PRECIO DEL DÓLAR]]</f>
        <v>31019.158017149999</v>
      </c>
      <c r="K12" s="8">
        <f>Tabla2[[#This Row],[VOO]]*0.01284</f>
        <v>6.5219496000000001</v>
      </c>
      <c r="L12" s="8">
        <f>Tabla2[[#This Row],[VALOR INVERSION 3]]-6.9</f>
        <v>-0.37805040000000023</v>
      </c>
      <c r="M12" s="8">
        <f>Tabla2[[#This Row],[VALOR INVERSION 3]]*Tabla2[[#This Row],[PRECIO DEL DÓLAR]]</f>
        <v>26082.906937800002</v>
      </c>
      <c r="N12" s="8">
        <f>Tabla2[[#This Row],[VOO]]*0.01226</f>
        <v>6.2273443999999998</v>
      </c>
      <c r="O12" s="8">
        <f>Tabla2[[#This Row],[VALOR INVERSION 4]]-6.6</f>
        <v>-0.37265559999999986</v>
      </c>
      <c r="P12" s="8">
        <f>Tabla2[[#This Row],[VALOR INVERSION 4]]*Tabla2[[#This Row],[PRECIO DEL DÓLAR]]</f>
        <v>24904.707091699998</v>
      </c>
    </row>
    <row r="13" spans="2:16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  <c r="H13" s="8">
        <f>Tabla2[[#This Row],[VOO]]*0.01527</f>
        <v>7.7044785000000005</v>
      </c>
      <c r="I13" s="8">
        <f>Tabla2[[#This Row],[VALOR INVERSION 2]]-7.9</f>
        <v>-0.1955214999999999</v>
      </c>
      <c r="J13" s="8">
        <f>Tabla2[[#This Row],[VALOR INVERSION 2]]*Tabla2[[#This Row],[PRECIO DEL DÓLAR]]</f>
        <v>31181.719474770001</v>
      </c>
      <c r="K13" s="8">
        <f>Tabla2[[#This Row],[VOO]]*0.01284</f>
        <v>6.4784220000000001</v>
      </c>
      <c r="L13" s="8">
        <f>Tabla2[[#This Row],[VALOR INVERSION 3]]-6.9</f>
        <v>-0.42157800000000023</v>
      </c>
      <c r="M13" s="8">
        <f>Tabla2[[#This Row],[VALOR INVERSION 3]]*Tabla2[[#This Row],[PRECIO DEL DÓLAR]]</f>
        <v>26219.59908684</v>
      </c>
      <c r="N13" s="8">
        <f>Tabla2[[#This Row],[VOO]]*0.01226</f>
        <v>6.1857829999999998</v>
      </c>
      <c r="O13" s="8">
        <f>Tabla2[[#This Row],[VALOR INVERSION 4]]-6.6</f>
        <v>-0.41421699999999984</v>
      </c>
      <c r="P13" s="8">
        <f>Tabla2[[#This Row],[VALOR INVERSION 4]]*Tabla2[[#This Row],[PRECIO DEL DÓLAR]]</f>
        <v>25035.22467326</v>
      </c>
    </row>
    <row r="14" spans="2:16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  <c r="H14" s="8">
        <f>Tabla2[[#This Row],[VOO]]*0.01527</f>
        <v>7.7844933000000003</v>
      </c>
      <c r="I14" s="8">
        <f>Tabla2[[#This Row],[VALOR INVERSION 2]]-7.9</f>
        <v>-0.11550670000000007</v>
      </c>
      <c r="J14" s="8">
        <f>Tabla2[[#This Row],[VALOR INVERSION 2]]*Tabla2[[#This Row],[PRECIO DEL DÓLAR]]</f>
        <v>31459.706308089</v>
      </c>
      <c r="K14" s="8">
        <f>Tabla2[[#This Row],[VOO]]*0.01284</f>
        <v>6.5457036000000004</v>
      </c>
      <c r="L14" s="8">
        <f>Tabla2[[#This Row],[VALOR INVERSION 3]]-6.9</f>
        <v>-0.35429639999999996</v>
      </c>
      <c r="M14" s="8">
        <f>Tabla2[[#This Row],[VALOR INVERSION 3]]*Tabla2[[#This Row],[PRECIO DEL DÓLAR]]</f>
        <v>26453.348329788001</v>
      </c>
      <c r="N14" s="8">
        <f>Tabla2[[#This Row],[VOO]]*0.01226</f>
        <v>6.2500254000000002</v>
      </c>
      <c r="O14" s="8">
        <f>Tabla2[[#This Row],[VALOR INVERSION 4]]-6.6</f>
        <v>-0.34997459999999947</v>
      </c>
      <c r="P14" s="8">
        <f>Tabla2[[#This Row],[VALOR INVERSION 4]]*Tabla2[[#This Row],[PRECIO DEL DÓLAR]]</f>
        <v>25258.415149781998</v>
      </c>
    </row>
    <row r="15" spans="2:16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  <c r="H15" s="8">
        <f>Tabla2[[#This Row],[VOO]]*0.01527</f>
        <v>7.7715138000000001</v>
      </c>
      <c r="I15" s="8">
        <f>Tabla2[[#This Row],[VALOR INVERSION 2]]-7.9</f>
        <v>-0.12848620000000022</v>
      </c>
      <c r="J15" s="8">
        <f>Tabla2[[#This Row],[VALOR INVERSION 2]]*Tabla2[[#This Row],[PRECIO DEL DÓLAR]]</f>
        <v>31047.275346138002</v>
      </c>
      <c r="K15" s="8">
        <f>Tabla2[[#This Row],[VOO]]*0.01284</f>
        <v>6.5347896000000008</v>
      </c>
      <c r="L15" s="8">
        <f>Tabla2[[#This Row],[VALOR INVERSION 3]]-6.9</f>
        <v>-0.3652103999999996</v>
      </c>
      <c r="M15" s="8">
        <f>Tabla2[[#This Row],[VALOR INVERSION 3]]*Tabla2[[#This Row],[PRECIO DEL DÓLAR]]</f>
        <v>26106.549799896005</v>
      </c>
      <c r="N15" s="8">
        <f>Tabla2[[#This Row],[VOO]]*0.01226</f>
        <v>6.2396044000000002</v>
      </c>
      <c r="O15" s="8">
        <f>Tabla2[[#This Row],[VALOR INVERSION 4]]-6.6</f>
        <v>-0.36039559999999948</v>
      </c>
      <c r="P15" s="8">
        <f>Tabla2[[#This Row],[VALOR INVERSION 4]]*Tabla2[[#This Row],[PRECIO DEL DÓLAR]]</f>
        <v>24927.281974044003</v>
      </c>
    </row>
    <row r="16" spans="2:16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  <c r="H16" s="8">
        <f>Tabla2[[#This Row],[VOO]]*0.01527</f>
        <v>7.593618300000001</v>
      </c>
      <c r="I16" s="8">
        <f>Tabla2[[#This Row],[VALOR INVERSION 2]]-7.9</f>
        <v>-0.30638169999999931</v>
      </c>
      <c r="J16" s="8">
        <f>Tabla2[[#This Row],[VALOR INVERSION 2]]*Tabla2[[#This Row],[PRECIO DEL DÓLAR]]</f>
        <v>30481.391345664004</v>
      </c>
      <c r="K16" s="8">
        <f>Tabla2[[#This Row],[VOO]]*0.01284</f>
        <v>6.3852036000000005</v>
      </c>
      <c r="L16" s="8">
        <f>Tabla2[[#This Row],[VALOR INVERSION 3]]-6.9</f>
        <v>-0.51479639999999982</v>
      </c>
      <c r="M16" s="8">
        <f>Tabla2[[#This Row],[VALOR INVERSION 3]]*Tabla2[[#This Row],[PRECIO DEL DÓLAR]]</f>
        <v>25630.718066688001</v>
      </c>
      <c r="N16" s="8">
        <f>Tabla2[[#This Row],[VOO]]*0.01226</f>
        <v>6.0967754000000003</v>
      </c>
      <c r="O16" s="8">
        <f>Tabla2[[#This Row],[VALOR INVERSION 4]]-6.6</f>
        <v>-0.50322459999999936</v>
      </c>
      <c r="P16" s="8">
        <f>Tabla2[[#This Row],[VALOR INVERSION 4]]*Tabla2[[#This Row],[PRECIO DEL DÓLAR]]</f>
        <v>24472.944197632001</v>
      </c>
    </row>
    <row r="17" spans="2:16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  <c r="H17" s="8">
        <f>Tabla2[[#This Row],[VOO]]*0.01527</f>
        <v>7.5552906000000002</v>
      </c>
      <c r="I17" s="8">
        <f>Tabla2[[#This Row],[VALOR INVERSION 2]]-7.9</f>
        <v>-0.34470940000000017</v>
      </c>
      <c r="J17" s="8">
        <f>Tabla2[[#This Row],[VALOR INVERSION 2]]*Tabla2[[#This Row],[PRECIO DEL DÓLAR]]</f>
        <v>30555.030691614</v>
      </c>
      <c r="K17" s="8">
        <f>Tabla2[[#This Row],[VOO]]*0.01284</f>
        <v>6.3529752000000004</v>
      </c>
      <c r="L17" s="8">
        <f>Tabla2[[#This Row],[VALOR INVERSION 3]]-6.9</f>
        <v>-0.54702479999999998</v>
      </c>
      <c r="M17" s="8">
        <f>Tabla2[[#This Row],[VALOR INVERSION 3]]*Tabla2[[#This Row],[PRECIO DEL DÓLAR]]</f>
        <v>25692.638774088002</v>
      </c>
      <c r="N17" s="8">
        <f>Tabla2[[#This Row],[VOO]]*0.01226</f>
        <v>6.0660027999999997</v>
      </c>
      <c r="O17" s="8">
        <f>Tabla2[[#This Row],[VALOR INVERSION 4]]-6.6</f>
        <v>-0.53399719999999995</v>
      </c>
      <c r="P17" s="8">
        <f>Tabla2[[#This Row],[VALOR INVERSION 4]]*Tabla2[[#This Row],[PRECIO DEL DÓLAR]]</f>
        <v>24532.067863731998</v>
      </c>
    </row>
    <row r="18" spans="2:16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  <c r="H18" s="8">
        <f>Tabla2[[#This Row],[VOO]]*0.01527</f>
        <v>7.6400391000000001</v>
      </c>
      <c r="I18" s="8">
        <f>Tabla2[[#This Row],[VALOR INVERSION 2]]-7.9</f>
        <v>-0.25996090000000027</v>
      </c>
      <c r="J18" s="8">
        <f>Tabla2[[#This Row],[VALOR INVERSION 2]]*Tabla2[[#This Row],[PRECIO DEL DÓLAR]]</f>
        <v>30883.406454321001</v>
      </c>
      <c r="K18" s="8">
        <f>Tabla2[[#This Row],[VOO]]*0.01284</f>
        <v>6.4242372000000003</v>
      </c>
      <c r="L18" s="8">
        <f>Tabla2[[#This Row],[VALOR INVERSION 3]]-6.9</f>
        <v>-0.47576280000000004</v>
      </c>
      <c r="M18" s="8">
        <f>Tabla2[[#This Row],[VALOR INVERSION 3]]*Tabla2[[#This Row],[PRECIO DEL DÓLAR]]</f>
        <v>25968.758275931999</v>
      </c>
      <c r="N18" s="8">
        <f>Tabla2[[#This Row],[VOO]]*0.01226</f>
        <v>6.1340458</v>
      </c>
      <c r="O18" s="8">
        <f>Tabla2[[#This Row],[VALOR INVERSION 4]]-6.6</f>
        <v>-0.46595419999999965</v>
      </c>
      <c r="P18" s="8">
        <f>Tabla2[[#This Row],[VALOR INVERSION 4]]*Tabla2[[#This Row],[PRECIO DEL DÓLAR]]</f>
        <v>24795.714677797998</v>
      </c>
    </row>
    <row r="19" spans="2:16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  <c r="H19" s="8">
        <f>Tabla2[[#This Row],[VOO]]*0.01527</f>
        <v>7.645689</v>
      </c>
      <c r="I19" s="8">
        <f>Tabla2[[#This Row],[VALOR INVERSION 2]]-7.9</f>
        <v>-0.2543110000000004</v>
      </c>
      <c r="J19" s="8">
        <f>Tabla2[[#This Row],[VALOR INVERSION 2]]*Tabla2[[#This Row],[PRECIO DEL DÓLAR]]</f>
        <v>30812.27958378</v>
      </c>
      <c r="K19" s="8">
        <f>Tabla2[[#This Row],[VOO]]*0.01284</f>
        <v>6.4289880000000004</v>
      </c>
      <c r="L19" s="8">
        <f>Tabla2[[#This Row],[VALOR INVERSION 3]]-6.9</f>
        <v>-0.47101199999999999</v>
      </c>
      <c r="M19" s="8">
        <f>Tabla2[[#This Row],[VALOR INVERSION 3]]*Tabla2[[#This Row],[PRECIO DEL DÓLAR]]</f>
        <v>25908.950219760001</v>
      </c>
      <c r="N19" s="8">
        <f>Tabla2[[#This Row],[VOO]]*0.01226</f>
        <v>6.1385819999999995</v>
      </c>
      <c r="O19" s="8">
        <f>Tabla2[[#This Row],[VALOR INVERSION 4]]-6.6</f>
        <v>-0.46141800000000011</v>
      </c>
      <c r="P19" s="8">
        <f>Tabla2[[#This Row],[VALOR INVERSION 4]]*Tabla2[[#This Row],[PRECIO DEL DÓLAR]]</f>
        <v>24738.608231639999</v>
      </c>
    </row>
    <row r="20" spans="2:16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  <c r="H20" s="8">
        <f>Tabla2[[#This Row],[VOO]]*0.01527</f>
        <v>7.6056816000000005</v>
      </c>
      <c r="I20" s="8">
        <f>Tabla2[[#This Row],[VALOR INVERSION 2]]-7.9</f>
        <v>-0.29431839999999987</v>
      </c>
      <c r="J20" s="8">
        <f>Tabla2[[#This Row],[VALOR INVERSION 2]]*Tabla2[[#This Row],[PRECIO DEL DÓLAR]]</f>
        <v>31008.972337728002</v>
      </c>
      <c r="K20" s="8">
        <f>Tabla2[[#This Row],[VOO]]*0.01284</f>
        <v>6.3953471999999998</v>
      </c>
      <c r="L20" s="8">
        <f>Tabla2[[#This Row],[VALOR INVERSION 3]]-6.9</f>
        <v>-0.50465280000000057</v>
      </c>
      <c r="M20" s="8">
        <f>Tabla2[[#This Row],[VALOR INVERSION 3]]*Tabla2[[#This Row],[PRECIO DEL DÓLAR]]</f>
        <v>26074.342162175999</v>
      </c>
      <c r="N20" s="8">
        <f>Tabla2[[#This Row],[VOO]]*0.01226</f>
        <v>6.1064607999999998</v>
      </c>
      <c r="O20" s="8">
        <f>Tabla2[[#This Row],[VALOR INVERSION 4]]-6.6</f>
        <v>-0.49353919999999984</v>
      </c>
      <c r="P20" s="8">
        <f>Tabla2[[#This Row],[VALOR INVERSION 4]]*Tabla2[[#This Row],[PRECIO DEL DÓLAR]]</f>
        <v>24896.529198463999</v>
      </c>
    </row>
    <row r="21" spans="2:16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  <c r="H21" s="8">
        <f>Tabla2[[#This Row],[VOO]]*0.01527</f>
        <v>7.7255511000000006</v>
      </c>
      <c r="I21" s="8">
        <f>Tabla2[[#This Row],[VALOR INVERSION 2]]-7.9</f>
        <v>-0.1744488999999998</v>
      </c>
      <c r="J21" s="8">
        <f>Tabla2[[#This Row],[VALOR INVERSION 2]]*Tabla2[[#This Row],[PRECIO DEL DÓLAR]]</f>
        <v>31497.612623277004</v>
      </c>
      <c r="K21" s="8">
        <f>Tabla2[[#This Row],[VOO]]*0.01284</f>
        <v>6.4961412000000003</v>
      </c>
      <c r="L21" s="8">
        <f>Tabla2[[#This Row],[VALOR INVERSION 3]]-6.9</f>
        <v>-0.40385880000000007</v>
      </c>
      <c r="M21" s="8">
        <f>Tabla2[[#This Row],[VALOR INVERSION 3]]*Tabla2[[#This Row],[PRECIO DEL DÓLAR]]</f>
        <v>26485.222402284002</v>
      </c>
      <c r="N21" s="8">
        <f>Tabla2[[#This Row],[VOO]]*0.01226</f>
        <v>6.2027017999999998</v>
      </c>
      <c r="O21" s="8">
        <f>Tabla2[[#This Row],[VALOR INVERSION 4]]-6.6</f>
        <v>-0.39729819999999982</v>
      </c>
      <c r="P21" s="8">
        <f>Tabla2[[#This Row],[VALOR INVERSION 4]]*Tabla2[[#This Row],[PRECIO DEL DÓLAR]]</f>
        <v>25288.849427726</v>
      </c>
    </row>
    <row r="22" spans="2:16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  <c r="H22" s="8">
        <f>Tabla2[[#This Row],[VOO]]*0.01527</f>
        <v>7.6201881</v>
      </c>
      <c r="I22" s="8">
        <f>Tabla2[[#This Row],[VALOR INVERSION 2]]-7.9</f>
        <v>-0.27981190000000034</v>
      </c>
      <c r="J22" s="8">
        <f>Tabla2[[#This Row],[VALOR INVERSION 2]]*Tabla2[[#This Row],[PRECIO DEL DÓLAR]]</f>
        <v>30827.547160431001</v>
      </c>
      <c r="K22" s="8">
        <f>Tabla2[[#This Row],[VOO]]*0.01284</f>
        <v>6.4075452000000004</v>
      </c>
      <c r="L22" s="8">
        <f>Tabla2[[#This Row],[VALOR INVERSION 3]]-6.9</f>
        <v>-0.49245479999999997</v>
      </c>
      <c r="M22" s="8">
        <f>Tabla2[[#This Row],[VALOR INVERSION 3]]*Tabla2[[#This Row],[PRECIO DEL DÓLAR]]</f>
        <v>25921.788182052002</v>
      </c>
      <c r="N22" s="8">
        <f>Tabla2[[#This Row],[VOO]]*0.01226</f>
        <v>6.1181077999999998</v>
      </c>
      <c r="O22" s="8">
        <f>Tabla2[[#This Row],[VALOR INVERSION 4]]-6.6</f>
        <v>-0.48189219999999988</v>
      </c>
      <c r="P22" s="8">
        <f>Tabla2[[#This Row],[VALOR INVERSION 4]]*Tabla2[[#This Row],[PRECIO DEL DÓLAR]]</f>
        <v>24750.866285978002</v>
      </c>
    </row>
    <row r="23" spans="2:16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  <c r="H23" s="8">
        <f>Tabla2[[#This Row],[VOO]]*0.01527</f>
        <v>7.4809257000000002</v>
      </c>
      <c r="I23" s="8">
        <f>Tabla2[[#This Row],[VALOR INVERSION 2]]-7.9</f>
        <v>-0.41907430000000012</v>
      </c>
      <c r="J23" s="8">
        <f>Tabla2[[#This Row],[VALOR INVERSION 2]]*Tabla2[[#This Row],[PRECIO DEL DÓLAR]]</f>
        <v>30403.005709599001</v>
      </c>
      <c r="K23" s="8">
        <f>Tabla2[[#This Row],[VOO]]*0.01284</f>
        <v>6.290444400000001</v>
      </c>
      <c r="L23" s="8">
        <f>Tabla2[[#This Row],[VALOR INVERSION 3]]-6.9</f>
        <v>-0.60955559999999931</v>
      </c>
      <c r="M23" s="8">
        <f>Tabla2[[#This Row],[VALOR INVERSION 3]]*Tabla2[[#This Row],[PRECIO DEL DÓLAR]]</f>
        <v>25564.806372708004</v>
      </c>
      <c r="N23" s="8">
        <f>Tabla2[[#This Row],[VOO]]*0.01226</f>
        <v>6.0062966000000007</v>
      </c>
      <c r="O23" s="8">
        <f>Tabla2[[#This Row],[VALOR INVERSION 4]]-6.6</f>
        <v>-0.59370339999999899</v>
      </c>
      <c r="P23" s="8">
        <f>Tabla2[[#This Row],[VALOR INVERSION 4]]*Tabla2[[#This Row],[PRECIO DEL DÓLAR]]</f>
        <v>24410.009823162003</v>
      </c>
    </row>
    <row r="24" spans="2:16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  <c r="H24" s="8">
        <f>Tabla2[[#This Row],[VOO]]*0.01527</f>
        <v>7.2563040000000001</v>
      </c>
      <c r="I24" s="8">
        <f>Tabla2[[#This Row],[VALOR INVERSION 2]]-7.9</f>
        <v>-0.64369600000000027</v>
      </c>
      <c r="J24" s="8">
        <f>Tabla2[[#This Row],[VALOR INVERSION 2]]*Tabla2[[#This Row],[PRECIO DEL DÓLAR]]</f>
        <v>28485.637234559999</v>
      </c>
      <c r="K24" s="8">
        <f>Tabla2[[#This Row],[VOO]]*0.01284</f>
        <v>6.1015680000000003</v>
      </c>
      <c r="L24" s="8">
        <f>Tabla2[[#This Row],[VALOR INVERSION 3]]-6.9</f>
        <v>-0.79843200000000003</v>
      </c>
      <c r="M24" s="8">
        <f>Tabla2[[#This Row],[VALOR INVERSION 3]]*Tabla2[[#This Row],[PRECIO DEL DÓLAR]]</f>
        <v>23952.559403520001</v>
      </c>
      <c r="N24" s="8">
        <f>Tabla2[[#This Row],[VOO]]*0.01226</f>
        <v>5.825952</v>
      </c>
      <c r="O24" s="8">
        <f>Tabla2[[#This Row],[VALOR INVERSION 4]]-6.6</f>
        <v>-0.77404799999999963</v>
      </c>
      <c r="P24" s="8">
        <f>Tabla2[[#This Row],[VALOR INVERSION 4]]*Tabla2[[#This Row],[PRECIO DEL DÓLAR]]</f>
        <v>22870.590209279999</v>
      </c>
    </row>
    <row r="25" spans="2:16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  <c r="H25" s="8">
        <f>Tabla2[[#This Row],[VOO]]*0.01527</f>
        <v>7.3286838000000003</v>
      </c>
      <c r="I25" s="8">
        <f>Tabla2[[#This Row],[VALOR INVERSION 2]]-7.9</f>
        <v>-0.57131620000000005</v>
      </c>
      <c r="J25" s="8">
        <f>Tabla2[[#This Row],[VALOR INVERSION 2]]*Tabla2[[#This Row],[PRECIO DEL DÓLAR]]</f>
        <v>30452.953080978004</v>
      </c>
      <c r="K25" s="8">
        <f>Tabla2[[#This Row],[VOO]]*0.01284</f>
        <v>6.1624296000000003</v>
      </c>
      <c r="L25" s="8">
        <f>Tabla2[[#This Row],[VALOR INVERSION 3]]-6.9</f>
        <v>-0.73757040000000007</v>
      </c>
      <c r="M25" s="8">
        <f>Tabla2[[#This Row],[VALOR INVERSION 3]]*Tabla2[[#This Row],[PRECIO DEL DÓLAR]]</f>
        <v>25606.805341176005</v>
      </c>
      <c r="N25" s="8">
        <f>Tabla2[[#This Row],[VOO]]*0.01226</f>
        <v>5.8840643999999998</v>
      </c>
      <c r="O25" s="8">
        <f>Tabla2[[#This Row],[VALOR INVERSION 4]]-6.6</f>
        <v>-0.71593559999999989</v>
      </c>
      <c r="P25" s="8">
        <f>Tabla2[[#This Row],[VALOR INVERSION 4]]*Tabla2[[#This Row],[PRECIO DEL DÓLAR]]</f>
        <v>24450.111641964002</v>
      </c>
    </row>
    <row r="26" spans="2:16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  <c r="H26" s="8">
        <f>Tabla2[[#This Row],[VOO]]*0.01527</f>
        <v>7.2778347000000005</v>
      </c>
      <c r="I26" s="8">
        <f>Tabla2[[#This Row],[VALOR INVERSION 2]]-7.9</f>
        <v>-0.62216529999999981</v>
      </c>
      <c r="J26" s="8">
        <f>Tabla2[[#This Row],[VALOR INVERSION 2]]*Tabla2[[#This Row],[PRECIO DEL DÓLAR]]</f>
        <v>30130.890663123002</v>
      </c>
      <c r="K26" s="8">
        <f>Tabla2[[#This Row],[VOO]]*0.01284</f>
        <v>6.1196724000000007</v>
      </c>
      <c r="L26" s="8">
        <f>Tabla2[[#This Row],[VALOR INVERSION 3]]-6.9</f>
        <v>-0.78032759999999968</v>
      </c>
      <c r="M26" s="8">
        <f>Tabla2[[#This Row],[VALOR INVERSION 3]]*Tabla2[[#This Row],[PRECIO DEL DÓLAR]]</f>
        <v>25335.994506516003</v>
      </c>
      <c r="N26" s="8">
        <f>Tabla2[[#This Row],[VOO]]*0.01226</f>
        <v>5.8432386000000003</v>
      </c>
      <c r="O26" s="8">
        <f>Tabla2[[#This Row],[VALOR INVERSION 4]]-6.6</f>
        <v>-0.75676139999999936</v>
      </c>
      <c r="P26" s="8">
        <f>Tabla2[[#This Row],[VALOR INVERSION 4]]*Tabla2[[#This Row],[PRECIO DEL DÓLAR]]</f>
        <v>24191.533695474001</v>
      </c>
    </row>
    <row r="27" spans="2:16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  <c r="H27" s="8">
        <f>Tabla2[[#This Row],[VOO]]*0.01527</f>
        <v>7.4476371000000006</v>
      </c>
      <c r="I27" s="8">
        <f>Tabla2[[#This Row],[VALOR INVERSION 2]]-7.9</f>
        <v>-0.45236289999999979</v>
      </c>
      <c r="J27" s="8">
        <f>Tabla2[[#This Row],[VALOR INVERSION 2]]*Tabla2[[#This Row],[PRECIO DEL DÓLAR]]</f>
        <v>30894.586123704001</v>
      </c>
      <c r="K27" s="8">
        <f>Tabla2[[#This Row],[VOO]]*0.01284</f>
        <v>6.2624532000000004</v>
      </c>
      <c r="L27" s="8">
        <f>Tabla2[[#This Row],[VALOR INVERSION 3]]-6.9</f>
        <v>-0.63754679999999997</v>
      </c>
      <c r="M27" s="8">
        <f>Tabla2[[#This Row],[VALOR INVERSION 3]]*Tabla2[[#This Row],[PRECIO DEL DÓLAR]]</f>
        <v>25978.158862368</v>
      </c>
      <c r="N27" s="8">
        <f>Tabla2[[#This Row],[VOO]]*0.01226</f>
        <v>5.9795698000000002</v>
      </c>
      <c r="O27" s="8">
        <f>Tabla2[[#This Row],[VALOR INVERSION 4]]-6.6</f>
        <v>-0.62043019999999949</v>
      </c>
      <c r="P27" s="8">
        <f>Tabla2[[#This Row],[VALOR INVERSION 4]]*Tabla2[[#This Row],[PRECIO DEL DÓLAR]]</f>
        <v>24804.690627151998</v>
      </c>
    </row>
    <row r="28" spans="2:16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  <c r="H28" s="8">
        <f>Tabla2[[#This Row],[VOO]]*0.01527</f>
        <v>7.4795514000000001</v>
      </c>
      <c r="I28" s="8">
        <f>Tabla2[[#This Row],[VALOR INVERSION 2]]-7.9</f>
        <v>-0.42044860000000028</v>
      </c>
      <c r="J28" s="8">
        <f>Tabla2[[#This Row],[VALOR INVERSION 2]]*Tabla2[[#This Row],[PRECIO DEL DÓLAR]]</f>
        <v>30391.810794648001</v>
      </c>
      <c r="K28" s="8">
        <f>Tabla2[[#This Row],[VOO]]*0.01284</f>
        <v>6.2892888000000005</v>
      </c>
      <c r="L28" s="8">
        <f>Tabla2[[#This Row],[VALOR INVERSION 3]]-6.9</f>
        <v>-0.6107111999999999</v>
      </c>
      <c r="M28" s="8">
        <f>Tabla2[[#This Row],[VALOR INVERSION 3]]*Tabla2[[#This Row],[PRECIO DEL DÓLAR]]</f>
        <v>25555.392966816002</v>
      </c>
      <c r="N28" s="8">
        <f>Tabla2[[#This Row],[VOO]]*0.01226</f>
        <v>6.0051931999999999</v>
      </c>
      <c r="O28" s="8">
        <f>Tabla2[[#This Row],[VALOR INVERSION 4]]-6.6</f>
        <v>-0.59480679999999975</v>
      </c>
      <c r="P28" s="8">
        <f>Tabla2[[#This Row],[VALOR INVERSION 4]]*Tabla2[[#This Row],[PRECIO DEL DÓLAR]]</f>
        <v>24401.021633423999</v>
      </c>
    </row>
    <row r="29" spans="2:16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  <c r="H29" s="8">
        <f>Tabla2[[#This Row],[VOO]]*0.01527</f>
        <v>7.4795514000000001</v>
      </c>
      <c r="I29" s="8">
        <f>Tabla2[[#This Row],[VALOR INVERSION 2]]-7.9</f>
        <v>-0.42044860000000028</v>
      </c>
      <c r="J29" s="8">
        <f>Tabla2[[#This Row],[VALOR INVERSION 2]]*Tabla2[[#This Row],[PRECIO DEL DÓLAR]]</f>
        <v>30348.65378307</v>
      </c>
      <c r="K29" s="8">
        <f>Tabla2[[#This Row],[VOO]]*0.01284</f>
        <v>6.2892888000000005</v>
      </c>
      <c r="L29" s="8">
        <f>Tabla2[[#This Row],[VALOR INVERSION 3]]-6.9</f>
        <v>-0.6107111999999999</v>
      </c>
      <c r="M29" s="8">
        <f>Tabla2[[#This Row],[VALOR INVERSION 3]]*Tabla2[[#This Row],[PRECIO DEL DÓLAR]]</f>
        <v>25519.103770440004</v>
      </c>
      <c r="N29" s="8">
        <f>Tabla2[[#This Row],[VOO]]*0.01226</f>
        <v>6.0051931999999999</v>
      </c>
      <c r="O29" s="8">
        <f>Tabla2[[#This Row],[VALOR INVERSION 4]]-6.6</f>
        <v>-0.59480679999999975</v>
      </c>
      <c r="P29" s="8">
        <f>Tabla2[[#This Row],[VALOR INVERSION 4]]*Tabla2[[#This Row],[PRECIO DEL DÓLAR]]</f>
        <v>24366.371668660002</v>
      </c>
    </row>
    <row r="30" spans="2:16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  <c r="H30" s="8">
        <f>Tabla2[[#This Row],[VOO]]*0.01527</f>
        <v>7.4833689000000003</v>
      </c>
      <c r="I30" s="8">
        <f>Tabla2[[#This Row],[VALOR INVERSION 2]]-7.9</f>
        <v>-0.41663110000000003</v>
      </c>
      <c r="J30" s="8">
        <f>Tabla2[[#This Row],[VALOR INVERSION 2]]*Tabla2[[#This Row],[PRECIO DEL DÓLAR]]</f>
        <v>30485.972725887001</v>
      </c>
      <c r="K30" s="8">
        <f>Tabla2[[#This Row],[VOO]]*0.01284</f>
        <v>6.2924988000000006</v>
      </c>
      <c r="L30" s="8">
        <f>Tabla2[[#This Row],[VALOR INVERSION 3]]-6.9</f>
        <v>-0.60750119999999974</v>
      </c>
      <c r="M30" s="8">
        <f>Tabla2[[#This Row],[VALOR INVERSION 3]]*Tabla2[[#This Row],[PRECIO DEL DÓLAR]]</f>
        <v>25634.570386404001</v>
      </c>
      <c r="N30" s="8">
        <f>Tabla2[[#This Row],[VOO]]*0.01226</f>
        <v>6.0082582000000002</v>
      </c>
      <c r="O30" s="8">
        <f>Tabla2[[#This Row],[VALOR INVERSION 4]]-6.6</f>
        <v>-0.59174179999999943</v>
      </c>
      <c r="P30" s="8">
        <f>Tabla2[[#This Row],[VALOR INVERSION 4]]*Tabla2[[#This Row],[PRECIO DEL DÓLAR]]</f>
        <v>24476.622502906001</v>
      </c>
    </row>
    <row r="31" spans="2:16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  <c r="H31" s="8">
        <f>Tabla2[[#This Row],[VOO]]*0.01527</f>
        <v>7.6076667000000002</v>
      </c>
      <c r="I31" s="8">
        <f>Tabla2[[#This Row],[VALOR INVERSION 2]]-7.9</f>
        <v>-0.29233330000000013</v>
      </c>
      <c r="J31" s="8">
        <f>Tabla2[[#This Row],[VALOR INVERSION 2]]*Tabla2[[#This Row],[PRECIO DEL DÓLAR]]</f>
        <v>30787.922828232</v>
      </c>
      <c r="K31" s="8">
        <f>Tabla2[[#This Row],[VOO]]*0.01284</f>
        <v>6.3970164</v>
      </c>
      <c r="L31" s="8">
        <f>Tabla2[[#This Row],[VALOR INVERSION 3]]-6.9</f>
        <v>-0.50298360000000031</v>
      </c>
      <c r="M31" s="8">
        <f>Tabla2[[#This Row],[VALOR INVERSION 3]]*Tabla2[[#This Row],[PRECIO DEL DÓLAR]]</f>
        <v>25888.469490144002</v>
      </c>
      <c r="N31" s="8">
        <f>Tabla2[[#This Row],[VOO]]*0.01226</f>
        <v>6.1080546</v>
      </c>
      <c r="O31" s="8">
        <f>Tabla2[[#This Row],[VALOR INVERSION 4]]-6.6</f>
        <v>-0.49194539999999964</v>
      </c>
      <c r="P31" s="8">
        <f>Tabla2[[#This Row],[VALOR INVERSION 4]]*Tabla2[[#This Row],[PRECIO DEL DÓLAR]]</f>
        <v>24719.052644015999</v>
      </c>
    </row>
    <row r="32" spans="2:16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  <c r="H32" s="8">
        <f>Tabla2[[#This Row],[VOO]]*0.01527</f>
        <v>7.6319460000000001</v>
      </c>
      <c r="I32" s="8">
        <f>Tabla2[[#This Row],[VALOR INVERSION 2]]-7.9</f>
        <v>-0.26805400000000024</v>
      </c>
      <c r="J32" s="8">
        <f>Tabla2[[#This Row],[VALOR INVERSION 2]]*Tabla2[[#This Row],[PRECIO DEL DÓLAR]]</f>
        <v>30821.308643160002</v>
      </c>
      <c r="K32" s="8">
        <f>Tabla2[[#This Row],[VOO]]*0.01284</f>
        <v>6.4174320000000007</v>
      </c>
      <c r="L32" s="8">
        <f>Tabla2[[#This Row],[VALOR INVERSION 3]]-6.9</f>
        <v>-0.48256799999999966</v>
      </c>
      <c r="M32" s="8">
        <f>Tabla2[[#This Row],[VALOR INVERSION 3]]*Tabla2[[#This Row],[PRECIO DEL DÓLAR]]</f>
        <v>25916.542434720002</v>
      </c>
      <c r="N32" s="8">
        <f>Tabla2[[#This Row],[VOO]]*0.01226</f>
        <v>6.127548</v>
      </c>
      <c r="O32" s="8">
        <f>Tabla2[[#This Row],[VALOR INVERSION 4]]-6.6</f>
        <v>-0.47245199999999965</v>
      </c>
      <c r="P32" s="8">
        <f>Tabla2[[#This Row],[VALOR INVERSION 4]]*Tabla2[[#This Row],[PRECIO DEL DÓLAR]]</f>
        <v>24745.85749608</v>
      </c>
    </row>
    <row r="33" spans="2:16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  <c r="H33" s="8">
        <f>Tabla2[[#This Row],[VOO]]*0.01527</f>
        <v>7.7629625999999998</v>
      </c>
      <c r="I33" s="8">
        <f>Tabla2[[#This Row],[VALOR INVERSION 2]]-7.9</f>
        <v>-0.13703740000000053</v>
      </c>
      <c r="J33" s="8">
        <f>Tabla2[[#This Row],[VALOR INVERSION 2]]*Tabla2[[#This Row],[PRECIO DEL DÓLAR]]</f>
        <v>31340.322090215999</v>
      </c>
      <c r="K33" s="8">
        <f>Tabla2[[#This Row],[VOO]]*0.01284</f>
        <v>6.5275992</v>
      </c>
      <c r="L33" s="8">
        <f>Tabla2[[#This Row],[VALOR INVERSION 3]]-6.9</f>
        <v>-0.37240080000000031</v>
      </c>
      <c r="M33" s="8">
        <f>Tabla2[[#This Row],[VALOR INVERSION 3]]*Tabla2[[#This Row],[PRECIO DEL DÓLAR]]</f>
        <v>26352.962386272</v>
      </c>
      <c r="N33" s="8">
        <f>Tabla2[[#This Row],[VOO]]*0.01226</f>
        <v>6.2327387999999999</v>
      </c>
      <c r="O33" s="8">
        <f>Tabla2[[#This Row],[VALOR INVERSION 4]]-6.6</f>
        <v>-0.36726119999999973</v>
      </c>
      <c r="P33" s="8">
        <f>Tabla2[[#This Row],[VALOR INVERSION 4]]*Tabla2[[#This Row],[PRECIO DEL DÓLAR]]</f>
        <v>25162.563773808</v>
      </c>
    </row>
    <row r="34" spans="2:16">
      <c r="B34" s="1">
        <v>45520</v>
      </c>
      <c r="C34" s="8">
        <f>VLOOKUP(B34,Tabla4[],2,FALSE)</f>
        <v>4014.8</v>
      </c>
      <c r="D34" s="6">
        <v>509.45</v>
      </c>
      <c r="E34" s="8">
        <f t="shared" ref="E34:E39" si="4"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  <c r="H34" s="8">
        <f>Tabla2[[#This Row],[VOO]]*0.01527</f>
        <v>7.7793014999999999</v>
      </c>
      <c r="I34" s="8">
        <f>Tabla2[[#This Row],[VALOR INVERSION 2]]-7.9</f>
        <v>-0.12069850000000049</v>
      </c>
      <c r="J34" s="8">
        <f>Tabla2[[#This Row],[VALOR INVERSION 2]]*Tabla2[[#This Row],[PRECIO DEL DÓLAR]]</f>
        <v>31232.3396622</v>
      </c>
      <c r="K34" s="8">
        <f>Tabla2[[#This Row],[VOO]]*0.01284</f>
        <v>6.5413380000000005</v>
      </c>
      <c r="L34" s="8">
        <f>Tabla2[[#This Row],[VALOR INVERSION 3]]-6.9</f>
        <v>-0.35866199999999981</v>
      </c>
      <c r="M34" s="8">
        <f>Tabla2[[#This Row],[VALOR INVERSION 3]]*Tabla2[[#This Row],[PRECIO DEL DÓLAR]]</f>
        <v>26262.163802400002</v>
      </c>
      <c r="N34" s="8">
        <f>Tabla2[[#This Row],[VOO]]*0.01226</f>
        <v>6.245857</v>
      </c>
      <c r="O34" s="8">
        <f>Tabla2[[#This Row],[VALOR INVERSION 4]]-6.6</f>
        <v>-0.35414299999999965</v>
      </c>
      <c r="P34" s="8">
        <f>Tabla2[[#This Row],[VALOR INVERSION 4]]*Tabla2[[#This Row],[PRECIO DEL DÓLAR]]</f>
        <v>25075.866683600001</v>
      </c>
    </row>
    <row r="35" spans="2:16">
      <c r="B35" s="1">
        <v>45523</v>
      </c>
      <c r="C35" s="8">
        <f>VLOOKUP(B35,Tabla4[],2,FALSE)</f>
        <v>4030.16</v>
      </c>
      <c r="D35" s="24">
        <v>514.35</v>
      </c>
      <c r="E35" s="8">
        <f t="shared" si="4"/>
        <v>7.8078330000000005</v>
      </c>
      <c r="F35" s="8">
        <f>Tabla2[[#This Row],[VALOR INVERSION 1]]-7.7</f>
        <v>0.10783300000000029</v>
      </c>
      <c r="G35" s="8">
        <f>Tabla2[[#This Row],[VALOR INVERSION 1]]*Tabla2[[#This Row],[PRECIO DEL DÓLAR]]</f>
        <v>31466.816243280002</v>
      </c>
      <c r="H35" s="8">
        <f>Tabla2[[#This Row],[VOO]]*0.01527</f>
        <v>7.8541245000000011</v>
      </c>
      <c r="I35" s="8">
        <f>Tabla2[[#This Row],[VALOR INVERSION 2]]-7.9</f>
        <v>-4.5875499999999292E-2</v>
      </c>
      <c r="J35" s="8">
        <f>Tabla2[[#This Row],[VALOR INVERSION 2]]*Tabla2[[#This Row],[PRECIO DEL DÓLAR]]</f>
        <v>31653.378394920004</v>
      </c>
      <c r="K35" s="8">
        <f>Tabla2[[#This Row],[VOO]]*0.01284</f>
        <v>6.604254000000001</v>
      </c>
      <c r="L35" s="8">
        <f>Tabla2[[#This Row],[VALOR INVERSION 3]]-6.9</f>
        <v>-0.2957459999999994</v>
      </c>
      <c r="M35" s="8">
        <f>Tabla2[[#This Row],[VALOR INVERSION 3]]*Tabla2[[#This Row],[PRECIO DEL DÓLAR]]</f>
        <v>26616.200300640005</v>
      </c>
      <c r="N35" s="8">
        <f>Tabla2[[#This Row],[VOO]]*0.01226</f>
        <v>6.3059310000000002</v>
      </c>
      <c r="O35" s="8">
        <f>Tabla2[[#This Row],[VALOR INVERSION 4]]-6.6</f>
        <v>-0.29406899999999947</v>
      </c>
      <c r="P35" s="8">
        <f>Tabla2[[#This Row],[VALOR INVERSION 4]]*Tabla2[[#This Row],[PRECIO DEL DÓLAR]]</f>
        <v>25413.91087896</v>
      </c>
    </row>
    <row r="36" spans="2:16">
      <c r="B36" s="1">
        <v>45524</v>
      </c>
      <c r="C36" s="8">
        <f>VLOOKUP(B36,Tabla4[],2,FALSE)</f>
        <v>4023.02</v>
      </c>
      <c r="D36" s="24">
        <v>513.5</v>
      </c>
      <c r="E36" s="8">
        <f t="shared" si="4"/>
        <v>7.7949300000000008</v>
      </c>
      <c r="F36" s="8">
        <f>Tabla2[[#This Row],[VALOR INVERSION 1]]-7.7</f>
        <v>9.4930000000000625E-2</v>
      </c>
      <c r="G36" s="8">
        <f>Tabla2[[#This Row],[VALOR INVERSION 1]]*Tabla2[[#This Row],[PRECIO DEL DÓLAR]]</f>
        <v>31359.159288600003</v>
      </c>
      <c r="H36" s="8">
        <f>Tabla2[[#This Row],[VOO]]*0.01527</f>
        <v>7.841145</v>
      </c>
      <c r="I36" s="8">
        <f>Tabla2[[#This Row],[VALOR INVERSION 2]]-7.9</f>
        <v>-5.8855000000000324E-2</v>
      </c>
      <c r="J36" s="8">
        <f>Tabla2[[#This Row],[VALOR INVERSION 2]]*Tabla2[[#This Row],[PRECIO DEL DÓLAR]]</f>
        <v>31545.083157900001</v>
      </c>
      <c r="K36" s="8">
        <f>Tabla2[[#This Row],[VOO]]*0.01284</f>
        <v>6.5933400000000004</v>
      </c>
      <c r="L36" s="8">
        <f>Tabla2[[#This Row],[VALOR INVERSION 3]]-6.9</f>
        <v>-0.30665999999999993</v>
      </c>
      <c r="M36" s="8">
        <f>Tabla2[[#This Row],[VALOR INVERSION 3]]*Tabla2[[#This Row],[PRECIO DEL DÓLAR]]</f>
        <v>26525.138686800001</v>
      </c>
      <c r="N36" s="8">
        <f>Tabla2[[#This Row],[VOO]]*0.01226</f>
        <v>6.2955100000000002</v>
      </c>
      <c r="O36" s="8">
        <f>Tabla2[[#This Row],[VALOR INVERSION 4]]-6.6</f>
        <v>-0.30448999999999948</v>
      </c>
      <c r="P36" s="8">
        <f>Tabla2[[#This Row],[VALOR INVERSION 4]]*Tabla2[[#This Row],[PRECIO DEL DÓLAR]]</f>
        <v>25326.962640199999</v>
      </c>
    </row>
    <row r="37" spans="2:16">
      <c r="B37" s="1">
        <v>45525</v>
      </c>
      <c r="C37" s="8">
        <f>VLOOKUP(B37,Tabla4[],2,FALSE)</f>
        <v>4010.2</v>
      </c>
      <c r="D37" s="24">
        <v>515.29999999999995</v>
      </c>
      <c r="E37" s="8">
        <f t="shared" si="4"/>
        <v>7.822254</v>
      </c>
      <c r="F37" s="8">
        <f>Tabla2[[#This Row],[VALOR INVERSION 1]]-7.7</f>
        <v>0.12225399999999986</v>
      </c>
      <c r="G37" s="8">
        <f>Tabla2[[#This Row],[VALOR INVERSION 1]]*Tabla2[[#This Row],[PRECIO DEL DÓLAR]]</f>
        <v>31368.802990799999</v>
      </c>
      <c r="H37" s="8">
        <f>Tabla2[[#This Row],[VOO]]*0.01527</f>
        <v>7.8686309999999997</v>
      </c>
      <c r="I37" s="8">
        <f>Tabla2[[#This Row],[VALOR INVERSION 2]]-7.9</f>
        <v>-3.1369000000000646E-2</v>
      </c>
      <c r="J37" s="8">
        <f>Tabla2[[#This Row],[VALOR INVERSION 2]]*Tabla2[[#This Row],[PRECIO DEL DÓLAR]]</f>
        <v>31554.784036199999</v>
      </c>
      <c r="K37" s="8">
        <f>Tabla2[[#This Row],[VOO]]*0.01284</f>
        <v>6.6164519999999998</v>
      </c>
      <c r="L37" s="8">
        <f>Tabla2[[#This Row],[VALOR INVERSION 3]]-6.9</f>
        <v>-0.28354800000000058</v>
      </c>
      <c r="M37" s="8">
        <f>Tabla2[[#This Row],[VALOR INVERSION 3]]*Tabla2[[#This Row],[PRECIO DEL DÓLAR]]</f>
        <v>26533.295810399999</v>
      </c>
      <c r="N37" s="8">
        <f>Tabla2[[#This Row],[VOO]]*0.01226</f>
        <v>6.3175779999999992</v>
      </c>
      <c r="O37" s="8">
        <f>Tabla2[[#This Row],[VALOR INVERSION 4]]-6.6</f>
        <v>-0.28242200000000039</v>
      </c>
      <c r="P37" s="8">
        <f>Tabla2[[#This Row],[VALOR INVERSION 4]]*Tabla2[[#This Row],[PRECIO DEL DÓLAR]]</f>
        <v>25334.751295599996</v>
      </c>
    </row>
    <row r="38" spans="2:16">
      <c r="B38" s="1">
        <v>45526</v>
      </c>
      <c r="C38" s="8">
        <f>VLOOKUP(B38,Tabla4[],2,FALSE)</f>
        <v>4036.25</v>
      </c>
      <c r="D38" s="6">
        <v>511.13</v>
      </c>
      <c r="E38" s="8">
        <f t="shared" si="4"/>
        <v>7.7589534000000002</v>
      </c>
      <c r="F38" s="8">
        <f>Tabla2[[#This Row],[VALOR INVERSION 1]]-7.7</f>
        <v>5.8953400000000045E-2</v>
      </c>
      <c r="G38" s="8">
        <f>Tabla2[[#This Row],[VALOR INVERSION 1]]*Tabla2[[#This Row],[PRECIO DEL DÓLAR]]</f>
        <v>31317.075660750001</v>
      </c>
      <c r="H38" s="8">
        <f>Tabla2[[#This Row],[VOO]]*0.01527</f>
        <v>7.8049550999999999</v>
      </c>
      <c r="I38" s="8">
        <f>Tabla2[[#This Row],[VALOR INVERSION 2]]-7.9</f>
        <v>-9.5044900000000432E-2</v>
      </c>
      <c r="J38" s="8">
        <f>Tabla2[[#This Row],[VALOR INVERSION 2]]*Tabla2[[#This Row],[PRECIO DEL DÓLAR]]</f>
        <v>31502.750022374999</v>
      </c>
      <c r="K38" s="8">
        <f>Tabla2[[#This Row],[VOO]]*0.01284</f>
        <v>6.5629092</v>
      </c>
      <c r="L38" s="8">
        <f>Tabla2[[#This Row],[VALOR INVERSION 3]]-6.9</f>
        <v>-0.33709080000000036</v>
      </c>
      <c r="M38" s="8">
        <f>Tabla2[[#This Row],[VALOR INVERSION 3]]*Tabla2[[#This Row],[PRECIO DEL DÓLAR]]</f>
        <v>26489.542258500001</v>
      </c>
      <c r="N38" s="8">
        <f>Tabla2[[#This Row],[VOO]]*0.01226</f>
        <v>6.2664537999999999</v>
      </c>
      <c r="O38" s="8">
        <f>Tabla2[[#This Row],[VALOR INVERSION 4]]-6.6</f>
        <v>-0.33354619999999979</v>
      </c>
      <c r="P38" s="8">
        <f>Tabla2[[#This Row],[VALOR INVERSION 4]]*Tabla2[[#This Row],[PRECIO DEL DÓLAR]]</f>
        <v>25292.97415025</v>
      </c>
    </row>
    <row r="39" spans="2:16">
      <c r="B39" s="1">
        <v>45527</v>
      </c>
      <c r="C39" s="8">
        <f>VLOOKUP(B39,Tabla4[],2,FALSE)</f>
        <v>4069.62</v>
      </c>
      <c r="D39" s="24">
        <v>516.66</v>
      </c>
      <c r="E39" s="8">
        <f t="shared" si="4"/>
        <v>7.8428987999999995</v>
      </c>
      <c r="F39" s="8">
        <f>Tabla2[[#This Row],[VALOR INVERSION 1]]-7.7</f>
        <v>0.14289879999999933</v>
      </c>
      <c r="G39" s="8">
        <f>Tabla2[[#This Row],[VALOR INVERSION 1]]*Tabla2[[#This Row],[PRECIO DEL DÓLAR]]</f>
        <v>31917.617814455996</v>
      </c>
      <c r="H39" s="8">
        <f>Tabla2[[#This Row],[VOO]]*0.01527</f>
        <v>7.8893981999999996</v>
      </c>
      <c r="I39" s="8">
        <f>Tabla2[[#This Row],[VALOR INVERSION 2]]-7.9</f>
        <v>-1.0601800000000772E-2</v>
      </c>
      <c r="J39" s="8">
        <f>Tabla2[[#This Row],[VALOR INVERSION 2]]*Tabla2[[#This Row],[PRECIO DEL DÓLAR]]</f>
        <v>32106.852702683998</v>
      </c>
      <c r="K39" s="8">
        <f>Tabla2[[#This Row],[VOO]]*0.01284</f>
        <v>6.6339144000000001</v>
      </c>
      <c r="L39" s="8">
        <f>Tabla2[[#This Row],[VALOR INVERSION 3]]-6.9</f>
        <v>-0.26608560000000026</v>
      </c>
      <c r="M39" s="8">
        <f>Tabla2[[#This Row],[VALOR INVERSION 3]]*Tabla2[[#This Row],[PRECIO DEL DÓLAR]]</f>
        <v>26997.510720528</v>
      </c>
      <c r="N39" s="8">
        <f>Tabla2[[#This Row],[VOO]]*0.01226</f>
        <v>6.3342516</v>
      </c>
      <c r="O39" s="8">
        <f>Tabla2[[#This Row],[VALOR INVERSION 4]]-6.6</f>
        <v>-0.26574839999999966</v>
      </c>
      <c r="P39" s="8">
        <f>Tabla2[[#This Row],[VALOR INVERSION 4]]*Tabla2[[#This Row],[PRECIO DEL DÓLAR]]</f>
        <v>25777.996996391998</v>
      </c>
    </row>
    <row r="40" spans="2:16">
      <c r="B40" s="1">
        <v>45530</v>
      </c>
      <c r="C40" s="8">
        <f>VLOOKUP(B40,Tabla4[],2,FALSE)</f>
        <v>4029.75</v>
      </c>
      <c r="D40" s="24">
        <v>515.39</v>
      </c>
      <c r="E40" s="8">
        <f t="shared" ref="E40:E48" si="5">0.01518 * D40</f>
        <v>7.8236202000000006</v>
      </c>
      <c r="F40" s="8">
        <f>Tabla2[[#This Row],[VALOR INVERSION 1]]-7.7</f>
        <v>0.1236202000000004</v>
      </c>
      <c r="G40" s="8">
        <f>Tabla2[[#This Row],[VALOR INVERSION 1]]*Tabla2[[#This Row],[PRECIO DEL DÓLAR]]</f>
        <v>31527.233500950002</v>
      </c>
      <c r="H40" s="8">
        <f>Tabla2[[#This Row],[VOO]]*0.01527</f>
        <v>7.8700052999999999</v>
      </c>
      <c r="I40" s="8">
        <f>Tabla2[[#This Row],[VALOR INVERSION 2]]-7.9</f>
        <v>-2.9994700000000485E-2</v>
      </c>
      <c r="J40" s="8">
        <f>Tabla2[[#This Row],[VALOR INVERSION 2]]*Tabla2[[#This Row],[PRECIO DEL DÓLAR]]</f>
        <v>31714.153857674999</v>
      </c>
      <c r="K40" s="8">
        <f>Tabla2[[#This Row],[VOO]]*0.01284</f>
        <v>6.6176076000000004</v>
      </c>
      <c r="L40" s="8">
        <f>Tabla2[[#This Row],[VALOR INVERSION 3]]-6.9</f>
        <v>-0.28239239999999999</v>
      </c>
      <c r="M40" s="8">
        <f>Tabla2[[#This Row],[VALOR INVERSION 3]]*Tabla2[[#This Row],[PRECIO DEL DÓLAR]]</f>
        <v>26667.304226100001</v>
      </c>
      <c r="N40" s="8">
        <f>Tabla2[[#This Row],[VOO]]*0.01226</f>
        <v>6.3186814</v>
      </c>
      <c r="O40" s="8">
        <f>Tabla2[[#This Row],[VALOR INVERSION 4]]-6.6</f>
        <v>-0.28131859999999964</v>
      </c>
      <c r="P40" s="8">
        <f>Tabla2[[#This Row],[VALOR INVERSION 4]]*Tabla2[[#This Row],[PRECIO DEL DÓLAR]]</f>
        <v>25462.706371650002</v>
      </c>
    </row>
    <row r="41" spans="2:16">
      <c r="B41" s="1">
        <v>45531</v>
      </c>
      <c r="C41" s="8">
        <f>VLOOKUP(B41,Tabla4[],2,FALSE)</f>
        <v>4023.92</v>
      </c>
      <c r="D41" s="24">
        <v>516.08000000000004</v>
      </c>
      <c r="E41" s="8">
        <f t="shared" si="5"/>
        <v>7.8340944000000015</v>
      </c>
      <c r="F41" s="8">
        <f>Tabla2[[#This Row],[VALOR INVERSION 1]]-7.7</f>
        <v>0.13409440000000128</v>
      </c>
      <c r="G41" s="8">
        <f>Tabla2[[#This Row],[VALOR INVERSION 1]]*Tabla2[[#This Row],[PRECIO DEL DÓLAR]]</f>
        <v>31523.769138048006</v>
      </c>
      <c r="H41" s="8">
        <f>Tabla2[[#This Row],[VOO]]*0.01527</f>
        <v>7.8805416000000008</v>
      </c>
      <c r="I41" s="8">
        <f>Tabla2[[#This Row],[VALOR INVERSION 2]]-7.9</f>
        <v>-1.9458399999999543E-2</v>
      </c>
      <c r="J41" s="8">
        <f>Tabla2[[#This Row],[VALOR INVERSION 2]]*Tabla2[[#This Row],[PRECIO DEL DÓLAR]]</f>
        <v>31710.668955072004</v>
      </c>
      <c r="K41" s="8">
        <f>Tabla2[[#This Row],[VOO]]*0.01284</f>
        <v>6.6264672000000013</v>
      </c>
      <c r="L41" s="8">
        <f>Tabla2[[#This Row],[VALOR INVERSION 3]]-6.9</f>
        <v>-0.27353279999999902</v>
      </c>
      <c r="M41" s="8">
        <f>Tabla2[[#This Row],[VALOR INVERSION 3]]*Tabla2[[#This Row],[PRECIO DEL DÓLAR]]</f>
        <v>26664.373895424007</v>
      </c>
      <c r="N41" s="8">
        <f>Tabla2[[#This Row],[VOO]]*0.01226</f>
        <v>6.3271408000000005</v>
      </c>
      <c r="O41" s="8">
        <f>Tabla2[[#This Row],[VALOR INVERSION 4]]-6.6</f>
        <v>-0.27285919999999919</v>
      </c>
      <c r="P41" s="8">
        <f>Tabla2[[#This Row],[VALOR INVERSION 4]]*Tabla2[[#This Row],[PRECIO DEL DÓLAR]]</f>
        <v>25459.908407936004</v>
      </c>
    </row>
    <row r="42" spans="2:16">
      <c r="B42" s="1">
        <v>45532</v>
      </c>
      <c r="C42" s="8">
        <f>VLOOKUP(B42,Tabla4[],2,FALSE)</f>
        <v>4045.64</v>
      </c>
      <c r="D42" s="24">
        <v>513.13</v>
      </c>
      <c r="E42" s="8">
        <f t="shared" si="5"/>
        <v>7.7893134000000002</v>
      </c>
      <c r="F42" s="8">
        <f>Tabla2[[#This Row],[VALOR INVERSION 1]]-7.7</f>
        <v>8.9313399999999987E-2</v>
      </c>
      <c r="G42" s="8">
        <f>Tabla2[[#This Row],[VALOR INVERSION 1]]*Tabla2[[#This Row],[PRECIO DEL DÓLAR]]</f>
        <v>31512.757863576</v>
      </c>
      <c r="H42" s="8">
        <f>Tabla2[[#This Row],[VOO]]*0.01527</f>
        <v>7.8354951000000002</v>
      </c>
      <c r="I42" s="8">
        <f>Tabla2[[#This Row],[VALOR INVERSION 2]]-7.9</f>
        <v>-6.4504900000000198E-2</v>
      </c>
      <c r="J42" s="8">
        <f>Tabla2[[#This Row],[VALOR INVERSION 2]]*Tabla2[[#This Row],[PRECIO DEL DÓLAR]]</f>
        <v>31699.592396363998</v>
      </c>
      <c r="K42" s="8">
        <f>Tabla2[[#This Row],[VOO]]*0.01284</f>
        <v>6.5885892000000004</v>
      </c>
      <c r="L42" s="8">
        <f>Tabla2[[#This Row],[VALOR INVERSION 3]]-6.9</f>
        <v>-0.31141079999999999</v>
      </c>
      <c r="M42" s="8">
        <f>Tabla2[[#This Row],[VALOR INVERSION 3]]*Tabla2[[#This Row],[PRECIO DEL DÓLAR]]</f>
        <v>26655.060011088</v>
      </c>
      <c r="N42" s="8">
        <f>Tabla2[[#This Row],[VOO]]*0.01226</f>
        <v>6.2909737999999997</v>
      </c>
      <c r="O42" s="8">
        <f>Tabla2[[#This Row],[VALOR INVERSION 4]]-6.6</f>
        <v>-0.30902619999999992</v>
      </c>
      <c r="P42" s="8">
        <f>Tabla2[[#This Row],[VALOR INVERSION 4]]*Tabla2[[#This Row],[PRECIO DEL DÓLAR]]</f>
        <v>25451.015244232</v>
      </c>
    </row>
    <row r="43" spans="2:16">
      <c r="B43" s="1">
        <v>45533</v>
      </c>
      <c r="C43" s="8">
        <f>VLOOKUP(B43,Tabla4[],2,FALSE)</f>
        <v>4065.34</v>
      </c>
      <c r="D43" s="24">
        <v>513.21</v>
      </c>
      <c r="E43" s="8">
        <f t="shared" si="5"/>
        <v>7.7905278000000013</v>
      </c>
      <c r="F43" s="8">
        <f>Tabla2[[#This Row],[VALOR INVERSION 1]]-7.7</f>
        <v>9.0527800000001157E-2</v>
      </c>
      <c r="G43" s="8">
        <f>Tabla2[[#This Row],[VALOR INVERSION 1]]*Tabla2[[#This Row],[PRECIO DEL DÓLAR]]</f>
        <v>31671.144286452007</v>
      </c>
      <c r="H43" s="8">
        <f>Tabla2[[#This Row],[VOO]]*0.01527</f>
        <v>7.8367167000000011</v>
      </c>
      <c r="I43" s="8">
        <f>Tabla2[[#This Row],[VALOR INVERSION 2]]-7.9</f>
        <v>-6.3283299999999265E-2</v>
      </c>
      <c r="J43" s="8">
        <f>Tabla2[[#This Row],[VALOR INVERSION 2]]*Tabla2[[#This Row],[PRECIO DEL DÓLAR]]</f>
        <v>31858.917869178007</v>
      </c>
      <c r="K43" s="8">
        <f>Tabla2[[#This Row],[VOO]]*0.01284</f>
        <v>6.5896164000000006</v>
      </c>
      <c r="L43" s="8">
        <f>Tabla2[[#This Row],[VALOR INVERSION 3]]-6.9</f>
        <v>-0.31038359999999976</v>
      </c>
      <c r="M43" s="8">
        <f>Tabla2[[#This Row],[VALOR INVERSION 3]]*Tabla2[[#This Row],[PRECIO DEL DÓLAR]]</f>
        <v>26789.031135576002</v>
      </c>
      <c r="N43" s="8">
        <f>Tabla2[[#This Row],[VOO]]*0.01226</f>
        <v>6.2919546000000004</v>
      </c>
      <c r="O43" s="8">
        <f>Tabla2[[#This Row],[VALOR INVERSION 4]]-6.6</f>
        <v>-0.30804539999999925</v>
      </c>
      <c r="P43" s="8">
        <f>Tabla2[[#This Row],[VALOR INVERSION 4]]*Tabla2[[#This Row],[PRECIO DEL DÓLAR]]</f>
        <v>25578.934713564002</v>
      </c>
    </row>
    <row r="44" spans="2:16">
      <c r="B44" s="1">
        <v>45534</v>
      </c>
      <c r="C44" s="8">
        <f>VLOOKUP(B44,Tabla4[],2,FALSE)</f>
        <v>4132.1099999999997</v>
      </c>
      <c r="D44" s="24">
        <v>518.04</v>
      </c>
      <c r="E44" s="8">
        <f t="shared" si="5"/>
        <v>7.8638471999999995</v>
      </c>
      <c r="F44" s="8">
        <f>Tabla2[[#This Row],[VALOR INVERSION 1]]-7.7</f>
        <v>0.1638471999999993</v>
      </c>
      <c r="G44" s="8">
        <f>Tabla2[[#This Row],[VALOR INVERSION 1]]*Tabla2[[#This Row],[PRECIO DEL DÓLAR]]</f>
        <v>32494.281653591996</v>
      </c>
      <c r="H44" s="8">
        <f>Tabla2[[#This Row],[VOO]]*0.01527</f>
        <v>7.9104707999999997</v>
      </c>
      <c r="I44" s="8">
        <f>Tabla2[[#This Row],[VALOR INVERSION 2]]-7.9</f>
        <v>1.0470799999999336E-2</v>
      </c>
      <c r="J44" s="8">
        <f>Tabla2[[#This Row],[VALOR INVERSION 2]]*Tabla2[[#This Row],[PRECIO DEL DÓLAR]]</f>
        <v>32686.935497387996</v>
      </c>
      <c r="K44" s="8">
        <f>Tabla2[[#This Row],[VOO]]*0.01284</f>
        <v>6.6516336000000003</v>
      </c>
      <c r="L44" s="8">
        <f>Tabla2[[#This Row],[VALOR INVERSION 3]]-6.9</f>
        <v>-0.2483664000000001</v>
      </c>
      <c r="M44" s="8">
        <f>Tabla2[[#This Row],[VALOR INVERSION 3]]*Tabla2[[#This Row],[PRECIO DEL DÓLAR]]</f>
        <v>27485.281714895998</v>
      </c>
      <c r="N44" s="8">
        <f>Tabla2[[#This Row],[VOO]]*0.01226</f>
        <v>6.3511704</v>
      </c>
      <c r="O44" s="8">
        <f>Tabla2[[#This Row],[VALOR INVERSION 4]]-6.6</f>
        <v>-0.24882959999999965</v>
      </c>
      <c r="P44" s="8">
        <f>Tabla2[[#This Row],[VALOR INVERSION 4]]*Tabla2[[#This Row],[PRECIO DEL DÓLAR]]</f>
        <v>26243.734721543999</v>
      </c>
    </row>
    <row r="45" spans="2:16">
      <c r="B45" s="1">
        <v>45538</v>
      </c>
      <c r="C45" s="8">
        <f>VLOOKUP(B45,Tabla4[],2,FALSE)</f>
        <v>4160.3100000000004</v>
      </c>
      <c r="D45" s="24">
        <v>507.56</v>
      </c>
      <c r="E45" s="8">
        <f t="shared" si="5"/>
        <v>7.7047608000000007</v>
      </c>
      <c r="F45" s="8">
        <f>Tabla2[[#This Row],[VALOR INVERSION 1]]-7.7</f>
        <v>4.7608000000005646E-3</v>
      </c>
      <c r="G45" s="8">
        <f>Tabla2[[#This Row],[VALOR INVERSION 1]]*Tabla2[[#This Row],[PRECIO DEL DÓLAR]]</f>
        <v>32054.193403848007</v>
      </c>
      <c r="H45" s="8">
        <f>Tabla2[[#This Row],[VOO]]*0.01527</f>
        <v>7.7504412</v>
      </c>
      <c r="I45" s="8">
        <f>Tabla2[[#This Row],[VALOR INVERSION 2]]-7.9</f>
        <v>-0.14955880000000032</v>
      </c>
      <c r="J45" s="8">
        <f>Tabla2[[#This Row],[VALOR INVERSION 2]]*Tabla2[[#This Row],[PRECIO DEL DÓLAR]]</f>
        <v>32244.238028772004</v>
      </c>
      <c r="K45" s="8">
        <f>Tabla2[[#This Row],[VOO]]*0.01284</f>
        <v>6.5170704000000006</v>
      </c>
      <c r="L45" s="8">
        <f>Tabla2[[#This Row],[VALOR INVERSION 3]]-6.9</f>
        <v>-0.38292959999999976</v>
      </c>
      <c r="M45" s="8">
        <f>Tabla2[[#This Row],[VALOR INVERSION 3]]*Tabla2[[#This Row],[PRECIO DEL DÓLAR]]</f>
        <v>27113.033155824007</v>
      </c>
      <c r="N45" s="8">
        <f>Tabla2[[#This Row],[VOO]]*0.01226</f>
        <v>6.2226856000000002</v>
      </c>
      <c r="O45" s="8">
        <f>Tabla2[[#This Row],[VALOR INVERSION 4]]-6.6</f>
        <v>-0.37731439999999949</v>
      </c>
      <c r="P45" s="8">
        <f>Tabla2[[#This Row],[VALOR INVERSION 4]]*Tabla2[[#This Row],[PRECIO DEL DÓLAR]]</f>
        <v>25888.301128536004</v>
      </c>
    </row>
    <row r="46" spans="2:16">
      <c r="B46" s="1">
        <v>45539</v>
      </c>
      <c r="C46" s="8">
        <f>VLOOKUP(B46,Tabla4[],2,FALSE)</f>
        <v>4185.8</v>
      </c>
      <c r="D46" s="24">
        <v>506.3</v>
      </c>
      <c r="E46" s="8">
        <f t="shared" si="5"/>
        <v>7.6856340000000003</v>
      </c>
      <c r="F46" s="8">
        <f>Tabla2[[#This Row],[VALOR INVERSION 1]]-7.7</f>
        <v>-1.4365999999999879E-2</v>
      </c>
      <c r="G46" s="8">
        <f>Tabla2[[#This Row],[VALOR INVERSION 1]]*Tabla2[[#This Row],[PRECIO DEL DÓLAR]]</f>
        <v>32170.526797200004</v>
      </c>
      <c r="H46" s="8">
        <f>Tabla2[[#This Row],[VOO]]*0.01527</f>
        <v>7.7312010000000004</v>
      </c>
      <c r="I46" s="8">
        <f>Tabla2[[#This Row],[VALOR INVERSION 2]]-7.9</f>
        <v>-0.16879899999999992</v>
      </c>
      <c r="J46" s="8">
        <f>Tabla2[[#This Row],[VALOR INVERSION 2]]*Tabla2[[#This Row],[PRECIO DEL DÓLAR]]</f>
        <v>32361.261145800003</v>
      </c>
      <c r="K46" s="8">
        <f>Tabla2[[#This Row],[VOO]]*0.01284</f>
        <v>6.5008920000000003</v>
      </c>
      <c r="L46" s="8">
        <f>Tabla2[[#This Row],[VALOR INVERSION 3]]-6.9</f>
        <v>-0.39910800000000002</v>
      </c>
      <c r="M46" s="8">
        <f>Tabla2[[#This Row],[VALOR INVERSION 3]]*Tabla2[[#This Row],[PRECIO DEL DÓLAR]]</f>
        <v>27211.433733600003</v>
      </c>
      <c r="N46" s="8">
        <f>Tabla2[[#This Row],[VOO]]*0.01226</f>
        <v>6.2072380000000003</v>
      </c>
      <c r="O46" s="8">
        <f>Tabla2[[#This Row],[VALOR INVERSION 4]]-6.6</f>
        <v>-0.39276199999999939</v>
      </c>
      <c r="P46" s="8">
        <f>Tabla2[[#This Row],[VALOR INVERSION 4]]*Tabla2[[#This Row],[PRECIO DEL DÓLAR]]</f>
        <v>25982.256820400002</v>
      </c>
    </row>
    <row r="47" spans="2:16">
      <c r="B47" s="1">
        <v>45540</v>
      </c>
      <c r="C47" s="8">
        <f>VLOOKUP(B47,Tabla4[],2,FALSE)</f>
        <v>4185.82</v>
      </c>
      <c r="D47" s="24">
        <v>505.05</v>
      </c>
      <c r="E47" s="8">
        <f t="shared" si="5"/>
        <v>7.666659000000001</v>
      </c>
      <c r="F47" s="8">
        <f>Tabla2[[#This Row],[VALOR INVERSION 1]]-7.7</f>
        <v>-3.3340999999999177E-2</v>
      </c>
      <c r="G47" s="8">
        <f>Tabla2[[#This Row],[VALOR INVERSION 1]]*Tabla2[[#This Row],[PRECIO DEL DÓLAR]]</f>
        <v>32091.25457538</v>
      </c>
      <c r="H47" s="8">
        <f>Tabla2[[#This Row],[VOO]]*0.01527</f>
        <v>7.7121135000000001</v>
      </c>
      <c r="I47" s="8">
        <f>Tabla2[[#This Row],[VALOR INVERSION 2]]-7.9</f>
        <v>-0.18788650000000029</v>
      </c>
      <c r="J47" s="8">
        <f>Tabla2[[#This Row],[VALOR INVERSION 2]]*Tabla2[[#This Row],[PRECIO DEL DÓLAR]]</f>
        <v>32281.518930569997</v>
      </c>
      <c r="K47" s="8">
        <f>Tabla2[[#This Row],[VOO]]*0.01284</f>
        <v>6.4848420000000004</v>
      </c>
      <c r="L47" s="8">
        <f>Tabla2[[#This Row],[VALOR INVERSION 3]]-6.9</f>
        <v>-0.41515799999999992</v>
      </c>
      <c r="M47" s="8">
        <f>Tabla2[[#This Row],[VALOR INVERSION 3]]*Tabla2[[#This Row],[PRECIO DEL DÓLAR]]</f>
        <v>27144.381340439999</v>
      </c>
      <c r="N47" s="8">
        <f>Tabla2[[#This Row],[VOO]]*0.01226</f>
        <v>6.1919130000000004</v>
      </c>
      <c r="O47" s="8">
        <f>Tabla2[[#This Row],[VALOR INVERSION 4]]-6.6</f>
        <v>-0.4080869999999992</v>
      </c>
      <c r="P47" s="8">
        <f>Tabla2[[#This Row],[VALOR INVERSION 4]]*Tabla2[[#This Row],[PRECIO DEL DÓLAR]]</f>
        <v>25918.23327366</v>
      </c>
    </row>
    <row r="48" spans="2:16">
      <c r="B48" s="1">
        <v>45541</v>
      </c>
      <c r="C48" s="8">
        <f>VLOOKUP(B48,Tabla4[],2,FALSE)</f>
        <v>4172.5</v>
      </c>
      <c r="D48" s="24">
        <v>496.64</v>
      </c>
      <c r="E48" s="8">
        <f t="shared" si="5"/>
        <v>7.5389952000000005</v>
      </c>
      <c r="F48" s="8">
        <f>Tabla2[[#This Row],[VALOR INVERSION 1]]-7.7</f>
        <v>-0.16100479999999973</v>
      </c>
      <c r="G48" s="8">
        <f>Tabla2[[#This Row],[VALOR INVERSION 1]]*Tabla2[[#This Row],[PRECIO DEL DÓLAR]]</f>
        <v>31456.457472000002</v>
      </c>
      <c r="H48" s="8">
        <f>Tabla2[[#This Row],[VOO]]*0.01527</f>
        <v>7.5836927999999997</v>
      </c>
      <c r="I48" s="8">
        <f>Tabla2[[#This Row],[VALOR INVERSION 2]]-7.9</f>
        <v>-0.31630720000000068</v>
      </c>
      <c r="J48" s="8">
        <f>Tabla2[[#This Row],[VALOR INVERSION 2]]*Tabla2[[#This Row],[PRECIO DEL DÓLAR]]</f>
        <v>31642.958208</v>
      </c>
      <c r="K48" s="8">
        <f>Tabla2[[#This Row],[VOO]]*0.01284</f>
        <v>6.3768576000000001</v>
      </c>
      <c r="L48" s="8">
        <f>Tabla2[[#This Row],[VALOR INVERSION 3]]-6.9</f>
        <v>-0.52314240000000023</v>
      </c>
      <c r="M48" s="8">
        <f>Tabla2[[#This Row],[VALOR INVERSION 3]]*Tabla2[[#This Row],[PRECIO DEL DÓLAR]]</f>
        <v>26607.438335999999</v>
      </c>
      <c r="N48" s="8">
        <f>Tabla2[[#This Row],[VOO]]*0.01226</f>
        <v>6.0888064000000002</v>
      </c>
      <c r="O48" s="8">
        <f>Tabla2[[#This Row],[VALOR INVERSION 4]]-6.6</f>
        <v>-0.51119359999999947</v>
      </c>
      <c r="P48" s="8">
        <f>Tabla2[[#This Row],[VALOR INVERSION 4]]*Tabla2[[#This Row],[PRECIO DEL DÓLAR]]</f>
        <v>25405.544704</v>
      </c>
    </row>
    <row r="49" spans="2:16">
      <c r="B49" s="1">
        <v>45544</v>
      </c>
      <c r="C49" s="8">
        <f>VLOOKUP(B49,Tabla4[],2,FALSE)</f>
        <v>4149.79</v>
      </c>
      <c r="D49" s="24">
        <v>502.23</v>
      </c>
      <c r="E49" s="8">
        <f t="shared" ref="E49:E54" si="6">0.01518 * D49</f>
        <v>7.6238514000000004</v>
      </c>
      <c r="F49" s="8">
        <f>Tabla2[[#This Row],[VALOR INVERSION 1]]-7.7</f>
        <v>-7.6148599999999789E-2</v>
      </c>
      <c r="G49" s="8">
        <f>Tabla2[[#This Row],[VALOR INVERSION 1]]*Tabla2[[#This Row],[PRECIO DEL DÓLAR]]</f>
        <v>31637.382301206002</v>
      </c>
      <c r="H49" s="8">
        <f>Tabla2[[#This Row],[VOO]]*0.01527</f>
        <v>7.6690521000000009</v>
      </c>
      <c r="I49" s="8">
        <f>Tabla2[[#This Row],[VALOR INVERSION 2]]-7.9</f>
        <v>-0.23094789999999943</v>
      </c>
      <c r="J49" s="8">
        <f>Tabla2[[#This Row],[VALOR INVERSION 2]]*Tabla2[[#This Row],[PRECIO DEL DÓLAR]]</f>
        <v>31824.955714059004</v>
      </c>
      <c r="K49" s="8">
        <f>Tabla2[[#This Row],[VOO]]*0.01284</f>
        <v>6.4486332000000006</v>
      </c>
      <c r="L49" s="8">
        <f>Tabla2[[#This Row],[VALOR INVERSION 3]]-6.9</f>
        <v>-0.45136679999999973</v>
      </c>
      <c r="M49" s="8">
        <f>Tabla2[[#This Row],[VALOR INVERSION 3]]*Tabla2[[#This Row],[PRECIO DEL DÓLAR]]</f>
        <v>26760.473567028002</v>
      </c>
      <c r="N49" s="8">
        <f>Tabla2[[#This Row],[VOO]]*0.01226</f>
        <v>6.1573397999999999</v>
      </c>
      <c r="O49" s="8">
        <f>Tabla2[[#This Row],[VALOR INVERSION 4]]-6.6</f>
        <v>-0.44266019999999973</v>
      </c>
      <c r="P49" s="8">
        <f>Tabla2[[#This Row],[VALOR INVERSION 4]]*Tabla2[[#This Row],[PRECIO DEL DÓLAR]]</f>
        <v>25551.667128641999</v>
      </c>
    </row>
    <row r="50" spans="2:16">
      <c r="B50" s="1">
        <v>45545</v>
      </c>
      <c r="C50" s="8">
        <f>VLOOKUP(B50,Tabla4[],2,FALSE)</f>
        <v>4243.8</v>
      </c>
      <c r="D50" s="24">
        <v>504.3</v>
      </c>
      <c r="E50" s="8">
        <f t="shared" si="6"/>
        <v>7.6552740000000004</v>
      </c>
      <c r="F50" s="8">
        <f>Tabla2[[#This Row],[VALOR INVERSION 1]]-7.7</f>
        <v>-4.4725999999999821E-2</v>
      </c>
      <c r="G50" s="8">
        <f>Tabla2[[#This Row],[VALOR INVERSION 1]]*Tabla2[[#This Row],[PRECIO DEL DÓLAR]]</f>
        <v>32487.451801200004</v>
      </c>
      <c r="H50" s="8">
        <f>Tabla2[[#This Row],[VOO]]*0.01527</f>
        <v>7.7006610000000002</v>
      </c>
      <c r="I50" s="8">
        <f>Tabla2[[#This Row],[VALOR INVERSION 2]]-7.9</f>
        <v>-0.19933900000000015</v>
      </c>
      <c r="J50" s="8">
        <f>Tabla2[[#This Row],[VALOR INVERSION 2]]*Tabla2[[#This Row],[PRECIO DEL DÓLAR]]</f>
        <v>32680.065151800001</v>
      </c>
      <c r="K50" s="8">
        <f>Tabla2[[#This Row],[VOO]]*0.01284</f>
        <v>6.4752120000000009</v>
      </c>
      <c r="L50" s="8">
        <f>Tabla2[[#This Row],[VALOR INVERSION 3]]-6.9</f>
        <v>-0.4247879999999995</v>
      </c>
      <c r="M50" s="8">
        <f>Tabla2[[#This Row],[VALOR INVERSION 3]]*Tabla2[[#This Row],[PRECIO DEL DÓLAR]]</f>
        <v>27479.504685600004</v>
      </c>
      <c r="N50" s="8">
        <f>Tabla2[[#This Row],[VOO]]*0.01226</f>
        <v>6.1827180000000004</v>
      </c>
      <c r="O50" s="8">
        <f>Tabla2[[#This Row],[VALOR INVERSION 4]]-6.6</f>
        <v>-0.41728199999999926</v>
      </c>
      <c r="P50" s="8">
        <f>Tabla2[[#This Row],[VALOR INVERSION 4]]*Tabla2[[#This Row],[PRECIO DEL DÓLAR]]</f>
        <v>26238.218648400001</v>
      </c>
    </row>
    <row r="51" spans="2:16">
      <c r="B51" s="1">
        <v>45546</v>
      </c>
      <c r="C51" s="8">
        <f>VLOOKUP(B51,Tabla4[],2,FALSE)</f>
        <v>4279.09</v>
      </c>
      <c r="D51" s="24">
        <v>509.46</v>
      </c>
      <c r="E51" s="8">
        <f t="shared" si="6"/>
        <v>7.7336027999999999</v>
      </c>
      <c r="F51" s="8">
        <f>Tabla2[[#This Row],[VALOR INVERSION 1]]-7.7</f>
        <v>3.3602799999999711E-2</v>
      </c>
      <c r="G51" s="8">
        <f>Tabla2[[#This Row],[VALOR INVERSION 1]]*Tabla2[[#This Row],[PRECIO DEL DÓLAR]]</f>
        <v>33092.782405452002</v>
      </c>
      <c r="H51" s="8">
        <f>Tabla2[[#This Row],[VOO]]*0.01527</f>
        <v>7.7794542</v>
      </c>
      <c r="I51" s="8">
        <f>Tabla2[[#This Row],[VALOR INVERSION 2]]-7.9</f>
        <v>-0.12054580000000037</v>
      </c>
      <c r="J51" s="8">
        <f>Tabla2[[#This Row],[VALOR INVERSION 2]]*Tabla2[[#This Row],[PRECIO DEL DÓLAR]]</f>
        <v>33288.984672678002</v>
      </c>
      <c r="K51" s="8">
        <f>Tabla2[[#This Row],[VOO]]*0.01284</f>
        <v>6.5414664</v>
      </c>
      <c r="L51" s="8">
        <f>Tabla2[[#This Row],[VALOR INVERSION 3]]-6.9</f>
        <v>-0.35853360000000034</v>
      </c>
      <c r="M51" s="8">
        <f>Tabla2[[#This Row],[VALOR INVERSION 3]]*Tabla2[[#This Row],[PRECIO DEL DÓLAR]]</f>
        <v>27991.523457576001</v>
      </c>
      <c r="N51" s="8">
        <f>Tabla2[[#This Row],[VOO]]*0.01226</f>
        <v>6.2459796000000001</v>
      </c>
      <c r="O51" s="8">
        <f>Tabla2[[#This Row],[VALOR INVERSION 4]]-6.6</f>
        <v>-0.35402039999999957</v>
      </c>
      <c r="P51" s="8">
        <f>Tabla2[[#This Row],[VALOR INVERSION 4]]*Tabla2[[#This Row],[PRECIO DEL DÓLAR]]</f>
        <v>26727.108846564002</v>
      </c>
    </row>
    <row r="52" spans="2:16">
      <c r="B52" s="1">
        <v>45547</v>
      </c>
      <c r="C52" s="8">
        <f>VLOOKUP(B52,Tabla4[],2,FALSE)</f>
        <v>4270.62</v>
      </c>
      <c r="D52" s="24">
        <v>513.84</v>
      </c>
      <c r="E52" s="8">
        <f t="shared" si="6"/>
        <v>7.8000912000000007</v>
      </c>
      <c r="F52" s="8">
        <f>Tabla2[[#This Row],[VALOR INVERSION 1]]-7.7</f>
        <v>0.10009120000000049</v>
      </c>
      <c r="G52" s="8">
        <f>Tabla2[[#This Row],[VALOR INVERSION 1]]*Tabla2[[#This Row],[PRECIO DEL DÓLAR]]</f>
        <v>33311.225480544002</v>
      </c>
      <c r="H52" s="8">
        <f>Tabla2[[#This Row],[VOO]]*0.01527</f>
        <v>7.8463368000000004</v>
      </c>
      <c r="I52" s="8">
        <f>Tabla2[[#This Row],[VALOR INVERSION 2]]-7.9</f>
        <v>-5.3663199999999911E-2</v>
      </c>
      <c r="J52" s="8">
        <f>Tabla2[[#This Row],[VALOR INVERSION 2]]*Tabla2[[#This Row],[PRECIO DEL DÓLAR]]</f>
        <v>33508.722864816002</v>
      </c>
      <c r="K52" s="8">
        <f>Tabla2[[#This Row],[VOO]]*0.01284</f>
        <v>6.5977056000000012</v>
      </c>
      <c r="L52" s="8">
        <f>Tabla2[[#This Row],[VALOR INVERSION 3]]-6.9</f>
        <v>-0.30229439999999919</v>
      </c>
      <c r="M52" s="8">
        <f>Tabla2[[#This Row],[VALOR INVERSION 3]]*Tabla2[[#This Row],[PRECIO DEL DÓLAR]]</f>
        <v>28176.293489472006</v>
      </c>
      <c r="N52" s="8">
        <f>Tabla2[[#This Row],[VOO]]*0.01226</f>
        <v>6.2996784000000003</v>
      </c>
      <c r="O52" s="8">
        <f>Tabla2[[#This Row],[VALOR INVERSION 4]]-6.6</f>
        <v>-0.3003215999999993</v>
      </c>
      <c r="P52" s="8">
        <f>Tabla2[[#This Row],[VALOR INVERSION 4]]*Tabla2[[#This Row],[PRECIO DEL DÓLAR]]</f>
        <v>26903.532568608</v>
      </c>
    </row>
    <row r="53" spans="2:16">
      <c r="B53" s="1">
        <v>45548</v>
      </c>
      <c r="C53" s="8">
        <f>VLOOKUP(B53,Tabla4[],2,FALSE)</f>
        <v>4197.38</v>
      </c>
      <c r="D53" s="24">
        <v>517.34</v>
      </c>
      <c r="E53" s="8">
        <f t="shared" si="6"/>
        <v>7.853221200000001</v>
      </c>
      <c r="F53" s="8">
        <f>Tabla2[[#This Row],[VALOR INVERSION 1]]-7.7</f>
        <v>0.15322120000000083</v>
      </c>
      <c r="G53" s="8">
        <f>Tabla2[[#This Row],[VALOR INVERSION 1]]*Tabla2[[#This Row],[PRECIO DEL DÓLAR]]</f>
        <v>32962.953600456007</v>
      </c>
      <c r="H53" s="39">
        <f>Tabla2[[#This Row],[VOO]]*0.01527</f>
        <v>7.8997818000000004</v>
      </c>
      <c r="I53" s="8">
        <f>Tabla2[[#This Row],[VALOR INVERSION 2]]-7.9</f>
        <v>-2.1819999999994621E-4</v>
      </c>
      <c r="J53" s="39">
        <f>Tabla2[[#This Row],[VALOR INVERSION 2]]*Tabla2[[#This Row],[PRECIO DEL DÓLAR]]</f>
        <v>33158.386131684005</v>
      </c>
      <c r="K53" s="39">
        <f>Tabla2[[#This Row],[VOO]]*0.01284</f>
        <v>6.6426456000000007</v>
      </c>
      <c r="L53" s="39">
        <f>Tabla2[[#This Row],[VALOR INVERSION 3]]-6.9</f>
        <v>-0.25735439999999965</v>
      </c>
      <c r="M53" s="39">
        <f>Tabla2[[#This Row],[VALOR INVERSION 3]]*Tabla2[[#This Row],[PRECIO DEL DÓLAR]]</f>
        <v>27881.707788528005</v>
      </c>
      <c r="N53" s="39">
        <f>Tabla2[[#This Row],[VOO]]*0.01226</f>
        <v>6.3425884000000003</v>
      </c>
      <c r="O53" s="39">
        <f>Tabla2[[#This Row],[VALOR INVERSION 4]]-6.6</f>
        <v>-0.2574115999999993</v>
      </c>
      <c r="P53" s="39">
        <f>Tabla2[[#This Row],[VALOR INVERSION 4]]*Tabla2[[#This Row],[PRECIO DEL DÓLAR]]</f>
        <v>26622.253698392004</v>
      </c>
    </row>
    <row r="54" spans="2:16">
      <c r="B54" s="1">
        <v>45551</v>
      </c>
      <c r="C54" s="8">
        <f>VLOOKUP(B54,Tabla4[],2,FALSE)</f>
        <v>4172.13</v>
      </c>
      <c r="D54" s="24">
        <v>517.35</v>
      </c>
      <c r="E54" s="8">
        <f t="shared" si="6"/>
        <v>7.8533730000000004</v>
      </c>
      <c r="F54" s="8">
        <f>Tabla2[[#This Row],[VALOR INVERSION 1]]-7.7</f>
        <v>0.1533730000000002</v>
      </c>
      <c r="G54" s="8">
        <f>Tabla2[[#This Row],[VALOR INVERSION 1]]*Tabla2[[#This Row],[PRECIO DEL DÓLAR]]</f>
        <v>32765.293094490004</v>
      </c>
      <c r="H54" s="8">
        <f>Tabla2[[#This Row],[VOO]]*0.01527</f>
        <v>7.8999345000000005</v>
      </c>
      <c r="I54" s="8">
        <f>Tabla2[[#This Row],[VALOR INVERSION 2]]-7.9</f>
        <v>-6.5499999999829583E-5</v>
      </c>
      <c r="J54" s="8">
        <f>Tabla2[[#This Row],[VALOR INVERSION 2]]*Tabla2[[#This Row],[PRECIO DEL DÓLAR]]</f>
        <v>32959.553725485006</v>
      </c>
      <c r="K54" s="8">
        <f>Tabla2[[#This Row],[VOO]]*0.01284</f>
        <v>6.6427740000000011</v>
      </c>
      <c r="L54" s="8">
        <f>Tabla2[[#This Row],[VALOR INVERSION 3]]-6.9</f>
        <v>-0.25722599999999929</v>
      </c>
      <c r="M54" s="8">
        <f>Tabla2[[#This Row],[VALOR INVERSION 3]]*Tabla2[[#This Row],[PRECIO DEL DÓLAR]]</f>
        <v>27714.516688620006</v>
      </c>
      <c r="N54" s="8">
        <f>Tabla2[[#This Row],[VOO]]*0.01226</f>
        <v>6.3427110000000004</v>
      </c>
      <c r="O54" s="8">
        <f>Tabla2[[#This Row],[VALOR INVERSION 4]]-6.6</f>
        <v>-0.25728899999999921</v>
      </c>
      <c r="P54" s="8">
        <f>Tabla2[[#This Row],[VALOR INVERSION 4]]*Tabla2[[#This Row],[PRECIO DEL DÓLAR]]</f>
        <v>26462.614844430002</v>
      </c>
    </row>
    <row r="55" spans="2:16">
      <c r="B55" s="1">
        <v>45552</v>
      </c>
      <c r="C55" s="8">
        <f>VLOOKUP(B55,Tabla4[],2,FALSE)</f>
        <v>4220.58</v>
      </c>
      <c r="D55" s="24">
        <v>517.59</v>
      </c>
      <c r="E55" s="8">
        <f t="shared" ref="E55:E60" si="7">0.01518 * D55</f>
        <v>7.8570162000000012</v>
      </c>
      <c r="F55" s="8">
        <f>Tabla2[[#This Row],[VALOR INVERSION 1]]-7.7</f>
        <v>0.15701620000000105</v>
      </c>
      <c r="G55" s="8">
        <f>Tabla2[[#This Row],[VALOR INVERSION 1]]*Tabla2[[#This Row],[PRECIO DEL DÓLAR]]</f>
        <v>33161.165433396003</v>
      </c>
      <c r="H55" s="8">
        <f>Tabla2[[#This Row],[VOO]]*0.01527</f>
        <v>7.9035993000000007</v>
      </c>
      <c r="I55" s="8">
        <f>Tabla2[[#This Row],[VALOR INVERSION 2]]-7.9</f>
        <v>3.599300000000305E-3</v>
      </c>
      <c r="J55" s="8">
        <f>Tabla2[[#This Row],[VALOR INVERSION 2]]*Tabla2[[#This Row],[PRECIO DEL DÓLAR]]</f>
        <v>33357.773133594004</v>
      </c>
      <c r="K55" s="8">
        <f>Tabla2[[#This Row],[VOO]]*0.01284</f>
        <v>6.6458556000000009</v>
      </c>
      <c r="L55" s="8">
        <f>Tabla2[[#This Row],[VALOR INVERSION 3]]-6.9</f>
        <v>-0.25414439999999949</v>
      </c>
      <c r="M55" s="8">
        <f>Tabla2[[#This Row],[VALOR INVERSION 3]]*Tabla2[[#This Row],[PRECIO DEL DÓLAR]]</f>
        <v>28049.365228248003</v>
      </c>
      <c r="N55" s="8">
        <f>Tabla2[[#This Row],[VOO]]*0.01226</f>
        <v>6.3456534000000007</v>
      </c>
      <c r="O55" s="8">
        <f>Tabla2[[#This Row],[VALOR INVERSION 4]]-6.6</f>
        <v>-0.25434659999999898</v>
      </c>
      <c r="P55" s="8">
        <f>Tabla2[[#This Row],[VALOR INVERSION 4]]*Tabla2[[#This Row],[PRECIO DEL DÓLAR]]</f>
        <v>26782.337826972001</v>
      </c>
    </row>
    <row r="56" spans="2:16">
      <c r="B56" s="1">
        <v>45553</v>
      </c>
      <c r="C56" s="8">
        <f>VLOOKUP(B56,Tabla4[],2,FALSE)</f>
        <v>4225.01</v>
      </c>
      <c r="D56" s="24">
        <v>515.91</v>
      </c>
      <c r="E56" s="8">
        <f t="shared" si="7"/>
        <v>7.8315137999999997</v>
      </c>
      <c r="F56" s="8">
        <f>Tabla2[[#This Row],[VALOR INVERSION 1]]-7.7</f>
        <v>0.13151379999999957</v>
      </c>
      <c r="G56" s="8">
        <f>Tabla2[[#This Row],[VALOR INVERSION 1]]*Tabla2[[#This Row],[PRECIO DEL DÓLAR]]</f>
        <v>33088.224120138002</v>
      </c>
      <c r="H56" s="8">
        <f>Tabla2[[#This Row],[VOO]]*0.01527</f>
        <v>7.8779456999999997</v>
      </c>
      <c r="I56" s="8">
        <f>Tabla2[[#This Row],[VALOR INVERSION 2]]-7.9</f>
        <v>-2.2054300000000637E-2</v>
      </c>
      <c r="J56" s="8">
        <f>Tabla2[[#This Row],[VALOR INVERSION 2]]*Tabla2[[#This Row],[PRECIO DEL DÓLAR]]</f>
        <v>33284.399361957003</v>
      </c>
      <c r="K56" s="8">
        <f>Tabla2[[#This Row],[VOO]]*0.01284</f>
        <v>6.6242843999999996</v>
      </c>
      <c r="L56" s="8">
        <f>Tabla2[[#This Row],[VALOR INVERSION 3]]-6.9</f>
        <v>-0.27571560000000073</v>
      </c>
      <c r="M56" s="8">
        <f>Tabla2[[#This Row],[VALOR INVERSION 3]]*Tabla2[[#This Row],[PRECIO DEL DÓLAR]]</f>
        <v>27987.667832843999</v>
      </c>
      <c r="N56" s="8">
        <f>Tabla2[[#This Row],[VOO]]*0.01226</f>
        <v>6.3250565999999999</v>
      </c>
      <c r="O56" s="8">
        <f>Tabla2[[#This Row],[VALOR INVERSION 4]]-6.6</f>
        <v>-0.27494339999999973</v>
      </c>
      <c r="P56" s="8">
        <f>Tabla2[[#This Row],[VALOR INVERSION 4]]*Tabla2[[#This Row],[PRECIO DEL DÓLAR]]</f>
        <v>26723.427385565999</v>
      </c>
    </row>
    <row r="57" spans="2:16">
      <c r="B57" s="1">
        <v>45554</v>
      </c>
      <c r="C57" s="8">
        <f>VLOOKUP(B57,Tabla4[],2,FALSE)</f>
        <v>4176.8500000000004</v>
      </c>
      <c r="D57" s="24">
        <v>524.91</v>
      </c>
      <c r="E57" s="8">
        <f t="shared" si="7"/>
        <v>7.9681337999999995</v>
      </c>
      <c r="F57" s="8">
        <f>Tabla2[[#This Row],[VALOR INVERSION 1]]-7.7</f>
        <v>0.26813379999999931</v>
      </c>
      <c r="G57" s="8">
        <f>Tabla2[[#This Row],[VALOR INVERSION 1]]*Tabla2[[#This Row],[PRECIO DEL DÓLAR]]</f>
        <v>33281.699662530002</v>
      </c>
      <c r="H57" s="8">
        <f>Tabla2[[#This Row],[VOO]]*0.01527</f>
        <v>8.0153756999999999</v>
      </c>
      <c r="I57" s="8">
        <f>Tabla2[[#This Row],[VALOR INVERSION 2]]-7.9</f>
        <v>0.11537569999999953</v>
      </c>
      <c r="J57" s="8">
        <f>Tabla2[[#This Row],[VALOR INVERSION 2]]*Tabla2[[#This Row],[PRECIO DEL DÓLAR]]</f>
        <v>33479.021992545</v>
      </c>
      <c r="K57" s="8">
        <f>Tabla2[[#This Row],[VOO]]*0.01284</f>
        <v>6.7398444</v>
      </c>
      <c r="L57" s="8">
        <f>Tabla2[[#This Row],[VALOR INVERSION 3]]-6.9</f>
        <v>-0.1601556000000004</v>
      </c>
      <c r="M57" s="8">
        <f>Tabla2[[#This Row],[VALOR INVERSION 3]]*Tabla2[[#This Row],[PRECIO DEL DÓLAR]]</f>
        <v>28151.319082140002</v>
      </c>
      <c r="N57" s="8">
        <f>Tabla2[[#This Row],[VOO]]*0.01226</f>
        <v>6.4353965999999998</v>
      </c>
      <c r="O57" s="8">
        <f>Tabla2[[#This Row],[VALOR INVERSION 4]]-6.6</f>
        <v>-0.16460339999999984</v>
      </c>
      <c r="P57" s="8">
        <f>Tabla2[[#This Row],[VALOR INVERSION 4]]*Tabla2[[#This Row],[PRECIO DEL DÓLAR]]</f>
        <v>26879.686288710003</v>
      </c>
    </row>
    <row r="58" spans="2:16">
      <c r="B58" s="1">
        <v>45558</v>
      </c>
      <c r="C58" s="8">
        <f>VLOOKUP(B58,Tabla4[],2,FALSE)</f>
        <v>4153.9799999999996</v>
      </c>
      <c r="D58" s="24">
        <v>525.16999999999996</v>
      </c>
      <c r="E58" s="8">
        <f t="shared" si="7"/>
        <v>7.9720806</v>
      </c>
      <c r="F58" s="8">
        <f>Tabla2[[#This Row],[VALOR INVERSION 1]]-7.7</f>
        <v>0.27208059999999978</v>
      </c>
      <c r="G58" s="8">
        <f>Tabla2[[#This Row],[VALOR INVERSION 1]]*Tabla2[[#This Row],[PRECIO DEL DÓLAR]]</f>
        <v>33115.863370788</v>
      </c>
      <c r="H58" s="8">
        <f>Tabla2[[#This Row],[VOO]]*0.01527</f>
        <v>8.0193458999999994</v>
      </c>
      <c r="I58" s="8">
        <f>Tabla2[[#This Row],[VALOR INVERSION 2]]-7.9</f>
        <v>0.11934589999999901</v>
      </c>
      <c r="J58" s="8">
        <f>Tabla2[[#This Row],[VALOR INVERSION 2]]*Tabla2[[#This Row],[PRECIO DEL DÓLAR]]</f>
        <v>33312.20248168199</v>
      </c>
      <c r="K58" s="8">
        <f>Tabla2[[#This Row],[VOO]]*0.01284</f>
        <v>6.7431827999999996</v>
      </c>
      <c r="L58" s="8">
        <f>Tabla2[[#This Row],[VALOR INVERSION 3]]-6.9</f>
        <v>-0.15681720000000077</v>
      </c>
      <c r="M58" s="8">
        <f>Tabla2[[#This Row],[VALOR INVERSION 3]]*Tabla2[[#This Row],[PRECIO DEL DÓLAR]]</f>
        <v>28011.046487543994</v>
      </c>
      <c r="N58" s="8">
        <f>Tabla2[[#This Row],[VOO]]*0.01226</f>
        <v>6.4385841999999993</v>
      </c>
      <c r="O58" s="8">
        <f>Tabla2[[#This Row],[VALOR INVERSION 4]]-6.6</f>
        <v>-0.16141580000000033</v>
      </c>
      <c r="P58" s="8">
        <f>Tabla2[[#This Row],[VALOR INVERSION 4]]*Tabla2[[#This Row],[PRECIO DEL DÓLAR]]</f>
        <v>26745.749995115995</v>
      </c>
    </row>
    <row r="59" spans="2:16">
      <c r="B59" s="1">
        <v>45559</v>
      </c>
      <c r="C59" s="8">
        <f>VLOOKUP(B59,Tabla4[],2,FALSE)</f>
        <v>4161.75</v>
      </c>
      <c r="D59" s="24">
        <v>526.67999999999995</v>
      </c>
      <c r="E59" s="8">
        <f t="shared" si="7"/>
        <v>7.9950023999999997</v>
      </c>
      <c r="F59" s="8">
        <f>Tabla2[[#This Row],[VALOR INVERSION 1]]-7.7</f>
        <v>0.29500239999999955</v>
      </c>
      <c r="G59" s="8">
        <f>Tabla2[[#This Row],[VALOR INVERSION 1]]*Tabla2[[#This Row],[PRECIO DEL DÓLAR]]</f>
        <v>33273.201238199996</v>
      </c>
      <c r="H59" s="8">
        <f>Tabla2[[#This Row],[VOO]]*0.01527</f>
        <v>8.0424036000000001</v>
      </c>
      <c r="I59" s="8">
        <f>Tabla2[[#This Row],[VALOR INVERSION 2]]-7.9</f>
        <v>0.14240359999999974</v>
      </c>
      <c r="J59" s="8">
        <f>Tabla2[[#This Row],[VALOR INVERSION 2]]*Tabla2[[#This Row],[PRECIO DEL DÓLAR]]</f>
        <v>33470.473182300004</v>
      </c>
      <c r="K59" s="8">
        <f>Tabla2[[#This Row],[VOO]]*0.01284</f>
        <v>6.7625712</v>
      </c>
      <c r="L59" s="8">
        <f>Tabla2[[#This Row],[VALOR INVERSION 3]]-6.9</f>
        <v>-0.13742880000000035</v>
      </c>
      <c r="M59" s="8">
        <f>Tabla2[[#This Row],[VALOR INVERSION 3]]*Tabla2[[#This Row],[PRECIO DEL DÓLAR]]</f>
        <v>28144.130691599999</v>
      </c>
      <c r="N59" s="8">
        <f>Tabla2[[#This Row],[VOO]]*0.01226</f>
        <v>6.4570967999999995</v>
      </c>
      <c r="O59" s="8">
        <f>Tabla2[[#This Row],[VALOR INVERSION 4]]-6.6</f>
        <v>-0.14290320000000012</v>
      </c>
      <c r="P59" s="8">
        <f>Tabla2[[#This Row],[VALOR INVERSION 4]]*Tabla2[[#This Row],[PRECIO DEL DÓLAR]]</f>
        <v>26872.822607399998</v>
      </c>
    </row>
    <row r="60" spans="2:16">
      <c r="B60" s="1">
        <v>45560</v>
      </c>
      <c r="C60" s="8">
        <f>VLOOKUP(B60,Tabla4[],2,FALSE)</f>
        <v>4148.75</v>
      </c>
      <c r="D60" s="24">
        <v>525.61</v>
      </c>
      <c r="E60" s="8">
        <f t="shared" si="7"/>
        <v>7.9787598000000006</v>
      </c>
      <c r="F60" s="8">
        <f>Tabla2[[#This Row],[VALOR INVERSION 1]]-7.7</f>
        <v>0.27875980000000045</v>
      </c>
      <c r="G60" s="8">
        <f>Tabla2[[#This Row],[VALOR INVERSION 1]]*Tabla2[[#This Row],[PRECIO DEL DÓLAR]]</f>
        <v>33101.879720249999</v>
      </c>
      <c r="H60" s="8">
        <f>Tabla2[[#This Row],[VOO]]*0.01527</f>
        <v>8.0260647000000009</v>
      </c>
      <c r="I60" s="8">
        <f>Tabla2[[#This Row],[VALOR INVERSION 2]]-7.9</f>
        <v>0.12606470000000058</v>
      </c>
      <c r="J60" s="8">
        <f>Tabla2[[#This Row],[VALOR INVERSION 2]]*Tabla2[[#This Row],[PRECIO DEL DÓLAR]]</f>
        <v>33298.135924125003</v>
      </c>
      <c r="K60" s="8">
        <f>Tabla2[[#This Row],[VOO]]*0.01284</f>
        <v>6.7488324000000004</v>
      </c>
      <c r="L60" s="8">
        <f>Tabla2[[#This Row],[VALOR INVERSION 3]]-6.9</f>
        <v>-0.15116759999999996</v>
      </c>
      <c r="M60" s="8">
        <f>Tabla2[[#This Row],[VALOR INVERSION 3]]*Tabla2[[#This Row],[PRECIO DEL DÓLAR]]</f>
        <v>27999.218419500001</v>
      </c>
      <c r="N60" s="8">
        <f>Tabla2[[#This Row],[VOO]]*0.01226</f>
        <v>6.4439786000000003</v>
      </c>
      <c r="O60" s="8">
        <f>Tabla2[[#This Row],[VALOR INVERSION 4]]-6.6</f>
        <v>-0.15602139999999931</v>
      </c>
      <c r="P60" s="8">
        <f>Tabla2[[#This Row],[VALOR INVERSION 4]]*Tabla2[[#This Row],[PRECIO DEL DÓLAR]]</f>
        <v>26734.456216750001</v>
      </c>
    </row>
    <row r="61" spans="2:16">
      <c r="B61" s="1">
        <v>45561</v>
      </c>
      <c r="C61" s="8">
        <f>VLOOKUP(B61,Tabla4[],2,FALSE)</f>
        <v>4200.75</v>
      </c>
      <c r="D61" s="24">
        <v>527.70000000000005</v>
      </c>
      <c r="E61" s="8">
        <f t="shared" ref="E61:E66" si="8">0.01518 * D61</f>
        <v>8.0104860000000002</v>
      </c>
      <c r="F61" s="8">
        <f>Tabla2[[#This Row],[VALOR INVERSION 1]]-7.7</f>
        <v>0.31048600000000004</v>
      </c>
      <c r="G61" s="8">
        <f>Tabla2[[#This Row],[VALOR INVERSION 1]]*Tabla2[[#This Row],[PRECIO DEL DÓLAR]]</f>
        <v>33650.049064500003</v>
      </c>
      <c r="H61" s="8">
        <f>Tabla2[[#This Row],[VOO]]*0.01527</f>
        <v>8.0579790000000013</v>
      </c>
      <c r="I61" s="8">
        <f>Tabla2[[#This Row],[VALOR INVERSION 2]]-7.9</f>
        <v>0.15797900000000098</v>
      </c>
      <c r="J61" s="8">
        <f>Tabla2[[#This Row],[VALOR INVERSION 2]]*Tabla2[[#This Row],[PRECIO DEL DÓLAR]]</f>
        <v>33849.555284250004</v>
      </c>
      <c r="K61" s="8">
        <f>Tabla2[[#This Row],[VOO]]*0.01284</f>
        <v>6.7756680000000014</v>
      </c>
      <c r="L61" s="8">
        <f>Tabla2[[#This Row],[VALOR INVERSION 3]]-6.9</f>
        <v>-0.124331999999999</v>
      </c>
      <c r="M61" s="8">
        <f>Tabla2[[#This Row],[VALOR INVERSION 3]]*Tabla2[[#This Row],[PRECIO DEL DÓLAR]]</f>
        <v>28462.887351000005</v>
      </c>
      <c r="N61" s="8">
        <f>Tabla2[[#This Row],[VOO]]*0.01226</f>
        <v>6.469602000000001</v>
      </c>
      <c r="O61" s="8">
        <f>Tabla2[[#This Row],[VALOR INVERSION 4]]-6.6</f>
        <v>-0.13039799999999868</v>
      </c>
      <c r="P61" s="8">
        <f>Tabla2[[#This Row],[VALOR INVERSION 4]]*Tabla2[[#This Row],[PRECIO DEL DÓLAR]]</f>
        <v>27177.180601500004</v>
      </c>
    </row>
    <row r="62" spans="2:16">
      <c r="B62" s="1">
        <v>45562</v>
      </c>
      <c r="C62" s="8">
        <f>VLOOKUP(B62,Tabla4[],2,FALSE)</f>
        <v>4157.54</v>
      </c>
      <c r="D62" s="24">
        <v>525.38</v>
      </c>
      <c r="E62" s="8">
        <f t="shared" si="8"/>
        <v>7.9752684</v>
      </c>
      <c r="F62" s="8">
        <f>Tabla2[[#This Row],[VALOR INVERSION 1]]-7.7</f>
        <v>0.27526839999999986</v>
      </c>
      <c r="G62" s="8">
        <f>Tabla2[[#This Row],[VALOR INVERSION 1]]*Tabla2[[#This Row],[PRECIO DEL DÓLAR]]</f>
        <v>33157.497383736001</v>
      </c>
      <c r="H62" s="8">
        <f>Tabla2[[#This Row],[VOO]]*0.01527</f>
        <v>8.0225526000000009</v>
      </c>
      <c r="I62" s="8">
        <f>Tabla2[[#This Row],[VALOR INVERSION 2]]-7.9</f>
        <v>0.12255260000000057</v>
      </c>
      <c r="J62" s="8">
        <f>Tabla2[[#This Row],[VALOR INVERSION 2]]*Tabla2[[#This Row],[PRECIO DEL DÓLAR]]</f>
        <v>33354.083336604002</v>
      </c>
      <c r="K62" s="8">
        <f>Tabla2[[#This Row],[VOO]]*0.01284</f>
        <v>6.7458792000000001</v>
      </c>
      <c r="L62" s="8">
        <f>Tabla2[[#This Row],[VALOR INVERSION 3]]-6.9</f>
        <v>-0.15412080000000028</v>
      </c>
      <c r="M62" s="8">
        <f>Tabla2[[#This Row],[VALOR INVERSION 3]]*Tabla2[[#This Row],[PRECIO DEL DÓLAR]]</f>
        <v>28046.262609167999</v>
      </c>
      <c r="N62" s="8">
        <f>Tabla2[[#This Row],[VOO]]*0.01226</f>
        <v>6.4411588000000002</v>
      </c>
      <c r="O62" s="8">
        <f>Tabla2[[#This Row],[VALOR INVERSION 4]]-6.6</f>
        <v>-0.15884119999999946</v>
      </c>
      <c r="P62" s="8">
        <f>Tabla2[[#This Row],[VALOR INVERSION 4]]*Tabla2[[#This Row],[PRECIO DEL DÓLAR]]</f>
        <v>26779.375357352001</v>
      </c>
    </row>
    <row r="63" spans="2:16">
      <c r="B63" s="1">
        <v>45565</v>
      </c>
      <c r="C63" s="8">
        <f>VLOOKUP(B63,Tabla4[],2,FALSE)</f>
        <v>4157.66</v>
      </c>
      <c r="D63" s="24">
        <v>527.66999999999996</v>
      </c>
      <c r="E63" s="8">
        <f t="shared" si="8"/>
        <v>8.0100306000000003</v>
      </c>
      <c r="F63" s="8">
        <f>Tabla2[[#This Row],[VALOR INVERSION 1]]-7.7</f>
        <v>0.31003060000000016</v>
      </c>
      <c r="G63" s="8">
        <f>Tabla2[[#This Row],[VALOR INVERSION 1]]*Tabla2[[#This Row],[PRECIO DEL DÓLAR]]</f>
        <v>33302.983824395997</v>
      </c>
      <c r="H63" s="8">
        <f>Tabla2[[#This Row],[VOO]]*0.01527</f>
        <v>8.0575209000000001</v>
      </c>
      <c r="I63" s="8">
        <f>Tabla2[[#This Row],[VALOR INVERSION 2]]-7.9</f>
        <v>0.15752089999999974</v>
      </c>
      <c r="J63" s="8">
        <f>Tabla2[[#This Row],[VALOR INVERSION 2]]*Tabla2[[#This Row],[PRECIO DEL DÓLAR]]</f>
        <v>33500.432345093999</v>
      </c>
      <c r="K63" s="8">
        <f>Tabla2[[#This Row],[VOO]]*0.01284</f>
        <v>6.7752828000000003</v>
      </c>
      <c r="L63" s="8">
        <f>Tabla2[[#This Row],[VALOR INVERSION 3]]-6.9</f>
        <v>-0.12471720000000008</v>
      </c>
      <c r="M63" s="8">
        <f>Tabla2[[#This Row],[VALOR INVERSION 3]]*Tabla2[[#This Row],[PRECIO DEL DÓLAR]]</f>
        <v>28169.322286248</v>
      </c>
      <c r="N63" s="8">
        <f>Tabla2[[#This Row],[VOO]]*0.01226</f>
        <v>6.4692341999999998</v>
      </c>
      <c r="O63" s="8">
        <f>Tabla2[[#This Row],[VALOR INVERSION 4]]-6.6</f>
        <v>-0.13076579999999982</v>
      </c>
      <c r="P63" s="8">
        <f>Tabla2[[#This Row],[VALOR INVERSION 4]]*Tabla2[[#This Row],[PRECIO DEL DÓLAR]]</f>
        <v>26896.876263971997</v>
      </c>
    </row>
    <row r="64" spans="2:16">
      <c r="B64" s="1">
        <v>45566</v>
      </c>
      <c r="C64" s="8">
        <f>VLOOKUP(B64,Tabla4[],2,FALSE)</f>
        <v>4199.12</v>
      </c>
      <c r="D64" s="24">
        <v>522.74</v>
      </c>
      <c r="E64" s="8">
        <f t="shared" si="8"/>
        <v>7.9351932000000005</v>
      </c>
      <c r="F64" s="8">
        <f>Tabla2[[#This Row],[VALOR INVERSION 1]]-7.7</f>
        <v>0.23519320000000032</v>
      </c>
      <c r="G64" s="8">
        <f>Tabla2[[#This Row],[VALOR INVERSION 1]]*Tabla2[[#This Row],[PRECIO DEL DÓLAR]]</f>
        <v>33320.828469984001</v>
      </c>
      <c r="H64" s="8">
        <f>Tabla2[[#This Row],[VOO]]*0.01527</f>
        <v>7.9822398000000003</v>
      </c>
      <c r="I64" s="8">
        <f>Tabla2[[#This Row],[VALOR INVERSION 2]]-7.9</f>
        <v>8.2239799999999974E-2</v>
      </c>
      <c r="J64" s="8">
        <f>Tabla2[[#This Row],[VALOR INVERSION 2]]*Tabla2[[#This Row],[PRECIO DEL DÓLAR]]</f>
        <v>33518.382788976</v>
      </c>
      <c r="K64" s="8">
        <f>Tabla2[[#This Row],[VOO]]*0.01284</f>
        <v>6.7119816000000005</v>
      </c>
      <c r="L64" s="8">
        <f>Tabla2[[#This Row],[VALOR INVERSION 3]]-6.9</f>
        <v>-0.18801839999999981</v>
      </c>
      <c r="M64" s="8">
        <f>Tabla2[[#This Row],[VALOR INVERSION 3]]*Tabla2[[#This Row],[PRECIO DEL DÓLAR]]</f>
        <v>28184.416176192</v>
      </c>
      <c r="N64" s="8">
        <f>Tabla2[[#This Row],[VOO]]*0.01226</f>
        <v>6.4087924000000003</v>
      </c>
      <c r="O64" s="8">
        <f>Tabla2[[#This Row],[VALOR INVERSION 4]]-6.6</f>
        <v>-0.19120759999999937</v>
      </c>
      <c r="P64" s="8">
        <f>Tabla2[[#This Row],[VALOR INVERSION 4]]*Tabla2[[#This Row],[PRECIO DEL DÓLAR]]</f>
        <v>26911.288342688</v>
      </c>
    </row>
    <row r="65" spans="2:16">
      <c r="B65" s="1">
        <v>45567</v>
      </c>
      <c r="C65" s="8">
        <f>VLOOKUP(B65,Tabla4[],2,FALSE)</f>
        <v>4221.2700000000004</v>
      </c>
      <c r="D65" s="24">
        <v>521.97</v>
      </c>
      <c r="E65" s="8">
        <f t="shared" si="8"/>
        <v>7.9235046000000011</v>
      </c>
      <c r="F65" s="8">
        <f>Tabla2[[#This Row],[VALOR INVERSION 1]]-7.7</f>
        <v>0.22350460000000094</v>
      </c>
      <c r="G65" s="8">
        <f>Tabla2[[#This Row],[VALOR INVERSION 1]]*Tabla2[[#This Row],[PRECIO DEL DÓLAR]]</f>
        <v>33447.252262842005</v>
      </c>
      <c r="H65" s="8">
        <f>Tabla2[[#This Row],[VOO]]*0.01527</f>
        <v>7.9704819000000011</v>
      </c>
      <c r="I65" s="8">
        <f>Tabla2[[#This Row],[VALOR INVERSION 2]]-7.9</f>
        <v>7.0481900000000763E-2</v>
      </c>
      <c r="J65" s="8">
        <f>Tabla2[[#This Row],[VALOR INVERSION 2]]*Tabla2[[#This Row],[PRECIO DEL DÓLAR]]</f>
        <v>33645.556130013007</v>
      </c>
      <c r="K65" s="8">
        <f>Tabla2[[#This Row],[VOO]]*0.01284</f>
        <v>6.7020948000000011</v>
      </c>
      <c r="L65" s="8">
        <f>Tabla2[[#This Row],[VALOR INVERSION 3]]-6.9</f>
        <v>-0.19790519999999923</v>
      </c>
      <c r="M65" s="8">
        <f>Tabla2[[#This Row],[VALOR INVERSION 3]]*Tabla2[[#This Row],[PRECIO DEL DÓLAR]]</f>
        <v>28291.351716396006</v>
      </c>
      <c r="N65" s="8">
        <f>Tabla2[[#This Row],[VOO]]*0.01226</f>
        <v>6.3993522</v>
      </c>
      <c r="O65" s="8">
        <f>Tabla2[[#This Row],[VALOR INVERSION 4]]-6.6</f>
        <v>-0.2006477999999996</v>
      </c>
      <c r="P65" s="8">
        <f>Tabla2[[#This Row],[VALOR INVERSION 4]]*Tabla2[[#This Row],[PRECIO DEL DÓLAR]]</f>
        <v>27013.393461294003</v>
      </c>
    </row>
    <row r="66" spans="2:16">
      <c r="B66" s="1">
        <v>45568</v>
      </c>
      <c r="C66" s="8">
        <f>VLOOKUP(B66,Tabla4[],2,FALSE)</f>
        <v>4194.26</v>
      </c>
      <c r="D66" s="24">
        <v>521.84</v>
      </c>
      <c r="E66" s="8">
        <f t="shared" si="8"/>
        <v>7.9215312000000013</v>
      </c>
      <c r="F66" s="8">
        <f>Tabla2[[#This Row],[VALOR INVERSION 1]]-7.7</f>
        <v>0.22153120000000115</v>
      </c>
      <c r="G66" s="8">
        <f>Tabla2[[#This Row],[VALOR INVERSION 1]]*Tabla2[[#This Row],[PRECIO DEL DÓLAR]]</f>
        <v>33224.961450912007</v>
      </c>
      <c r="H66" s="8">
        <f>Tabla2[[#This Row],[VOO]]*0.01527</f>
        <v>7.9684968000000005</v>
      </c>
      <c r="I66" s="8">
        <f>Tabla2[[#This Row],[VALOR INVERSION 2]]-7.9</f>
        <v>6.8496800000000135E-2</v>
      </c>
      <c r="J66" s="8">
        <f>Tabla2[[#This Row],[VALOR INVERSION 2]]*Tabla2[[#This Row],[PRECIO DEL DÓLAR]]</f>
        <v>33421.947388368004</v>
      </c>
      <c r="K66" s="8">
        <f>Tabla2[[#This Row],[VOO]]*0.01284</f>
        <v>6.7004256000000009</v>
      </c>
      <c r="L66" s="8">
        <f>Tabla2[[#This Row],[VALOR INVERSION 3]]-6.9</f>
        <v>-0.19957439999999949</v>
      </c>
      <c r="M66" s="8">
        <f>Tabla2[[#This Row],[VALOR INVERSION 3]]*Tabla2[[#This Row],[PRECIO DEL DÓLAR]]</f>
        <v>28103.327077056005</v>
      </c>
      <c r="N66" s="8">
        <f>Tabla2[[#This Row],[VOO]]*0.01226</f>
        <v>6.3977584000000007</v>
      </c>
      <c r="O66" s="8">
        <f>Tabla2[[#This Row],[VALOR INVERSION 4]]-6.6</f>
        <v>-0.20224159999999891</v>
      </c>
      <c r="P66" s="8">
        <f>Tabla2[[#This Row],[VALOR INVERSION 4]]*Tabla2[[#This Row],[PRECIO DEL DÓLAR]]</f>
        <v>26833.862146784006</v>
      </c>
    </row>
    <row r="67" spans="2:16">
      <c r="B67" s="1">
        <v>45569</v>
      </c>
      <c r="C67" s="8">
        <f>VLOOKUP(B67,Tabla4[],2,FALSE)</f>
        <v>4189.17</v>
      </c>
      <c r="D67" s="24">
        <v>526.65</v>
      </c>
      <c r="E67" s="8">
        <f t="shared" ref="E67:E72" si="9">0.01518 * D67</f>
        <v>7.9945469999999998</v>
      </c>
      <c r="F67" s="8">
        <f>Tabla2[[#This Row],[VALOR INVERSION 1]]-7.7</f>
        <v>0.29454699999999967</v>
      </c>
      <c r="G67" s="8">
        <f>Tabla2[[#This Row],[VALOR INVERSION 1]]*Tabla2[[#This Row],[PRECIO DEL DÓLAR]]</f>
        <v>33490.51645599</v>
      </c>
      <c r="H67" s="8">
        <f>Tabla2[[#This Row],[VOO]]*0.01527</f>
        <v>8.0419455000000006</v>
      </c>
      <c r="I67" s="8">
        <f>Tabla2[[#This Row],[VALOR INVERSION 2]]-7.9</f>
        <v>0.14194550000000028</v>
      </c>
      <c r="J67" s="8">
        <f>Tabla2[[#This Row],[VALOR INVERSION 2]]*Tabla2[[#This Row],[PRECIO DEL DÓLAR]]</f>
        <v>33689.076830235004</v>
      </c>
      <c r="K67" s="8">
        <f>Tabla2[[#This Row],[VOO]]*0.01284</f>
        <v>6.7621859999999998</v>
      </c>
      <c r="L67" s="8">
        <f>Tabla2[[#This Row],[VALOR INVERSION 3]]-6.9</f>
        <v>-0.13781400000000055</v>
      </c>
      <c r="M67" s="8">
        <f>Tabla2[[#This Row],[VALOR INVERSION 3]]*Tabla2[[#This Row],[PRECIO DEL DÓLAR]]</f>
        <v>28327.946725620001</v>
      </c>
      <c r="N67" s="8">
        <f>Tabla2[[#This Row],[VOO]]*0.01226</f>
        <v>6.4567290000000002</v>
      </c>
      <c r="O67" s="8">
        <f>Tabla2[[#This Row],[VALOR INVERSION 4]]-6.6</f>
        <v>-0.14327099999999948</v>
      </c>
      <c r="P67" s="8">
        <f>Tabla2[[#This Row],[VALOR INVERSION 4]]*Tabla2[[#This Row],[PRECIO DEL DÓLAR]]</f>
        <v>27048.335424930003</v>
      </c>
    </row>
    <row r="68" spans="2:16">
      <c r="B68" s="1">
        <v>45572</v>
      </c>
      <c r="C68" s="8">
        <f>VLOOKUP(B68,Tabla4[],2,FALSE)</f>
        <v>4167.41</v>
      </c>
      <c r="D68" s="24">
        <v>521.91</v>
      </c>
      <c r="E68" s="8">
        <f t="shared" si="9"/>
        <v>7.9225937999999996</v>
      </c>
      <c r="F68" s="8">
        <f>Tabla2[[#This Row],[VALOR INVERSION 1]]-7.7</f>
        <v>0.2225937999999994</v>
      </c>
      <c r="G68" s="8">
        <f>Tabla2[[#This Row],[VALOR INVERSION 1]]*Tabla2[[#This Row],[PRECIO DEL DÓLAR]]</f>
        <v>33016.696628057995</v>
      </c>
      <c r="H68" s="8">
        <f>Tabla2[[#This Row],[VOO]]*0.01527</f>
        <v>7.9695656999999995</v>
      </c>
      <c r="I68" s="8">
        <f>Tabla2[[#This Row],[VALOR INVERSION 2]]-7.9</f>
        <v>6.9565699999999175E-2</v>
      </c>
      <c r="J68" s="8">
        <f>Tabla2[[#This Row],[VALOR INVERSION 2]]*Tabla2[[#This Row],[PRECIO DEL DÓLAR]]</f>
        <v>33212.447793836996</v>
      </c>
      <c r="K68" s="8">
        <f>Tabla2[[#This Row],[VOO]]*0.01284</f>
        <v>6.7013243999999998</v>
      </c>
      <c r="L68" s="8">
        <f>Tabla2[[#This Row],[VALOR INVERSION 3]]-6.9</f>
        <v>-0.19867560000000051</v>
      </c>
      <c r="M68" s="8">
        <f>Tabla2[[#This Row],[VALOR INVERSION 3]]*Tabla2[[#This Row],[PRECIO DEL DÓLAR]]</f>
        <v>27927.166317804</v>
      </c>
      <c r="N68" s="8">
        <f>Tabla2[[#This Row],[VOO]]*0.01226</f>
        <v>6.3986165999999995</v>
      </c>
      <c r="O68" s="8">
        <f>Tabla2[[#This Row],[VALOR INVERSION 4]]-6.6</f>
        <v>-0.2013834000000001</v>
      </c>
      <c r="P68" s="8">
        <f>Tabla2[[#This Row],[VALOR INVERSION 4]]*Tabla2[[#This Row],[PRECIO DEL DÓLAR]]</f>
        <v>26665.658805005998</v>
      </c>
    </row>
    <row r="69" spans="2:16">
      <c r="B69" s="1">
        <v>45573</v>
      </c>
      <c r="C69" s="8">
        <f>VLOOKUP(B69,Tabla4[],2,FALSE)</f>
        <v>4213.55</v>
      </c>
      <c r="D69" s="24">
        <v>526.85</v>
      </c>
      <c r="E69" s="8">
        <f t="shared" si="9"/>
        <v>7.9975830000000006</v>
      </c>
      <c r="F69" s="8">
        <f>Tabla2[[#This Row],[VALOR INVERSION 1]]-7.7</f>
        <v>0.29758300000000037</v>
      </c>
      <c r="G69" s="8">
        <f>Tabla2[[#This Row],[VALOR INVERSION 1]]*Tabla2[[#This Row],[PRECIO DEL DÓLAR]]</f>
        <v>33698.215849650005</v>
      </c>
      <c r="H69" s="8">
        <f>Tabla2[[#This Row],[VOO]]*0.01527</f>
        <v>8.0449995000000012</v>
      </c>
      <c r="I69" s="8">
        <f>Tabla2[[#This Row],[VALOR INVERSION 2]]-7.9</f>
        <v>0.14499950000000084</v>
      </c>
      <c r="J69" s="8">
        <f>Tabla2[[#This Row],[VALOR INVERSION 2]]*Tabla2[[#This Row],[PRECIO DEL DÓLAR]]</f>
        <v>33898.007643225006</v>
      </c>
      <c r="K69" s="8">
        <f>Tabla2[[#This Row],[VOO]]*0.01284</f>
        <v>6.7647540000000008</v>
      </c>
      <c r="L69" s="8">
        <f>Tabla2[[#This Row],[VALOR INVERSION 3]]-6.9</f>
        <v>-0.13524599999999953</v>
      </c>
      <c r="M69" s="8">
        <f>Tabla2[[#This Row],[VALOR INVERSION 3]]*Tabla2[[#This Row],[PRECIO DEL DÓLAR]]</f>
        <v>28503.629216700007</v>
      </c>
      <c r="N69" s="8">
        <f>Tabla2[[#This Row],[VOO]]*0.01226</f>
        <v>6.4591810000000001</v>
      </c>
      <c r="O69" s="8">
        <f>Tabla2[[#This Row],[VALOR INVERSION 4]]-6.6</f>
        <v>-0.14081899999999958</v>
      </c>
      <c r="P69" s="8">
        <f>Tabla2[[#This Row],[VALOR INVERSION 4]]*Tabla2[[#This Row],[PRECIO DEL DÓLAR]]</f>
        <v>27216.082102550001</v>
      </c>
    </row>
    <row r="70" spans="2:16">
      <c r="B70" s="1">
        <v>45574</v>
      </c>
      <c r="C70" s="8">
        <f>VLOOKUP(B70,Tabla4[],2,FALSE)</f>
        <v>4231.08</v>
      </c>
      <c r="D70" s="24">
        <v>530.45000000000005</v>
      </c>
      <c r="E70" s="8">
        <f t="shared" si="9"/>
        <v>8.0522310000000008</v>
      </c>
      <c r="F70" s="8">
        <f>Tabla2[[#This Row],[VALOR INVERSION 1]]-7.7</f>
        <v>0.35223100000000063</v>
      </c>
      <c r="G70" s="8">
        <f>Tabla2[[#This Row],[VALOR INVERSION 1]]*Tabla2[[#This Row],[PRECIO DEL DÓLAR]]</f>
        <v>34069.633539480004</v>
      </c>
      <c r="H70" s="8">
        <f>Tabla2[[#This Row],[VOO]]*0.01527</f>
        <v>8.0999715000000005</v>
      </c>
      <c r="I70" s="8">
        <f>Tabla2[[#This Row],[VALOR INVERSION 2]]-7.9</f>
        <v>0.19997150000000019</v>
      </c>
      <c r="J70" s="8">
        <f>Tabla2[[#This Row],[VALOR INVERSION 2]]*Tabla2[[#This Row],[PRECIO DEL DÓLAR]]</f>
        <v>34271.627414219998</v>
      </c>
      <c r="K70" s="8">
        <f>Tabla2[[#This Row],[VOO]]*0.01284</f>
        <v>6.8109780000000013</v>
      </c>
      <c r="L70" s="8">
        <f>Tabla2[[#This Row],[VALOR INVERSION 3]]-6.9</f>
        <v>-8.9021999999999046E-2</v>
      </c>
      <c r="M70" s="8">
        <f>Tabla2[[#This Row],[VALOR INVERSION 3]]*Tabla2[[#This Row],[PRECIO DEL DÓLAR]]</f>
        <v>28817.792796240006</v>
      </c>
      <c r="N70" s="8">
        <f>Tabla2[[#This Row],[VOO]]*0.01226</f>
        <v>6.5033170000000009</v>
      </c>
      <c r="O70" s="8">
        <f>Tabla2[[#This Row],[VALOR INVERSION 4]]-6.6</f>
        <v>-9.6682999999998742E-2</v>
      </c>
      <c r="P70" s="8">
        <f>Tabla2[[#This Row],[VALOR INVERSION 4]]*Tabla2[[#This Row],[PRECIO DEL DÓLAR]]</f>
        <v>27516.054492360003</v>
      </c>
    </row>
    <row r="71" spans="2:16">
      <c r="B71" s="1">
        <v>45575</v>
      </c>
      <c r="C71" s="8">
        <f>VLOOKUP(B71,Tabla4[],2,FALSE)</f>
        <v>4233.05</v>
      </c>
      <c r="D71" s="24">
        <v>529.55999999999995</v>
      </c>
      <c r="E71" s="8">
        <f t="shared" si="9"/>
        <v>8.0387208000000001</v>
      </c>
      <c r="F71" s="8">
        <f>Tabla2[[#This Row],[VALOR INVERSION 1]]-7.7</f>
        <v>0.33872079999999993</v>
      </c>
      <c r="G71" s="8">
        <f>Tabla2[[#This Row],[VALOR INVERSION 1]]*Tabla2[[#This Row],[PRECIO DEL DÓLAR]]</f>
        <v>34028.307082439998</v>
      </c>
      <c r="H71" s="8">
        <f>Tabla2[[#This Row],[VOO]]*0.01527</f>
        <v>8.0863811999999999</v>
      </c>
      <c r="I71" s="8">
        <f>Tabla2[[#This Row],[VALOR INVERSION 2]]-7.9</f>
        <v>0.18638119999999958</v>
      </c>
      <c r="J71" s="8">
        <f>Tabla2[[#This Row],[VALOR INVERSION 2]]*Tabla2[[#This Row],[PRECIO DEL DÓLAR]]</f>
        <v>34230.05593866</v>
      </c>
      <c r="K71" s="8">
        <f>Tabla2[[#This Row],[VOO]]*0.01284</f>
        <v>6.7995503999999993</v>
      </c>
      <c r="L71" s="8">
        <f>Tabla2[[#This Row],[VALOR INVERSION 3]]-6.9</f>
        <v>-0.10044960000000103</v>
      </c>
      <c r="M71" s="8">
        <f>Tabla2[[#This Row],[VALOR INVERSION 3]]*Tabla2[[#This Row],[PRECIO DEL DÓLAR]]</f>
        <v>28782.83682072</v>
      </c>
      <c r="N71" s="8">
        <f>Tabla2[[#This Row],[VOO]]*0.01226</f>
        <v>6.4924055999999997</v>
      </c>
      <c r="O71" s="8">
        <f>Tabla2[[#This Row],[VALOR INVERSION 4]]-6.6</f>
        <v>-0.10759439999999998</v>
      </c>
      <c r="P71" s="8">
        <f>Tabla2[[#This Row],[VALOR INVERSION 4]]*Tabla2[[#This Row],[PRECIO DEL DÓLAR]]</f>
        <v>27482.677525079998</v>
      </c>
    </row>
    <row r="72" spans="2:16">
      <c r="B72" s="1">
        <v>45579</v>
      </c>
      <c r="C72" s="8">
        <f>VLOOKUP(B72,Tabla4[],2,FALSE)</f>
        <v>4210.95</v>
      </c>
      <c r="D72" s="24">
        <v>537.07000000000005</v>
      </c>
      <c r="E72" s="8">
        <f t="shared" si="9"/>
        <v>8.1527226000000006</v>
      </c>
      <c r="F72" s="8">
        <f>Tabla2[[#This Row],[VALOR INVERSION 1]]-7.7</f>
        <v>0.45272260000000042</v>
      </c>
      <c r="G72" s="8">
        <f>Tabla2[[#This Row],[VALOR INVERSION 1]]*Tabla2[[#This Row],[PRECIO DEL DÓLAR]]</f>
        <v>34330.707232469998</v>
      </c>
      <c r="H72" s="8">
        <f>Tabla2[[#This Row],[VOO]]*0.01527</f>
        <v>8.2010589000000014</v>
      </c>
      <c r="I72" s="8">
        <f>Tabla2[[#This Row],[VALOR INVERSION 2]]-7.9</f>
        <v>0.30105890000000102</v>
      </c>
      <c r="J72" s="8">
        <f>Tabla2[[#This Row],[VALOR INVERSION 2]]*Tabla2[[#This Row],[PRECIO DEL DÓLAR]]</f>
        <v>34534.248974955008</v>
      </c>
      <c r="K72" s="8">
        <f>Tabla2[[#This Row],[VOO]]*0.01284</f>
        <v>6.8959788000000009</v>
      </c>
      <c r="L72" s="8">
        <f>Tabla2[[#This Row],[VALOR INVERSION 3]]-6.9</f>
        <v>-4.0211999999995029E-3</v>
      </c>
      <c r="M72" s="8">
        <f>Tabla2[[#This Row],[VALOR INVERSION 3]]*Tabla2[[#This Row],[PRECIO DEL DÓLAR]]</f>
        <v>29038.621927860004</v>
      </c>
      <c r="N72" s="8">
        <f>Tabla2[[#This Row],[VOO]]*0.01226</f>
        <v>6.5844782000000004</v>
      </c>
      <c r="O72" s="8">
        <f>Tabla2[[#This Row],[VALOR INVERSION 4]]-6.6</f>
        <v>-1.5521799999999253E-2</v>
      </c>
      <c r="P72" s="8">
        <f>Tabla2[[#This Row],[VALOR INVERSION 4]]*Tabla2[[#This Row],[PRECIO DEL DÓLAR]]</f>
        <v>27726.908476290002</v>
      </c>
    </row>
    <row r="73" spans="2:16">
      <c r="B73" s="1">
        <v>45580</v>
      </c>
      <c r="C73" s="8">
        <f>VLOOKUP(B73,Tabla4[],2,FALSE)</f>
        <v>4207.21</v>
      </c>
      <c r="D73" s="24">
        <v>532.98</v>
      </c>
      <c r="E73" s="8">
        <f t="shared" ref="E73:E78" si="10">0.01518 * D73</f>
        <v>8.0906364000000011</v>
      </c>
      <c r="F73" s="8">
        <f>Tabla2[[#This Row],[VALOR INVERSION 1]]-7.7</f>
        <v>0.39063640000000088</v>
      </c>
      <c r="G73" s="8">
        <f>Tabla2[[#This Row],[VALOR INVERSION 1]]*Tabla2[[#This Row],[PRECIO DEL DÓLAR]]</f>
        <v>34039.006368444003</v>
      </c>
      <c r="H73" s="8">
        <f>Tabla2[[#This Row],[VOO]]*0.01527</f>
        <v>8.1386046000000007</v>
      </c>
      <c r="I73" s="8">
        <f>Tabla2[[#This Row],[VALOR INVERSION 2]]-7.9</f>
        <v>0.23860460000000039</v>
      </c>
      <c r="J73" s="8">
        <f>Tabla2[[#This Row],[VALOR INVERSION 2]]*Tabla2[[#This Row],[PRECIO DEL DÓLAR]]</f>
        <v>34240.818659166005</v>
      </c>
      <c r="K73" s="8">
        <f>Tabla2[[#This Row],[VOO]]*0.01284</f>
        <v>6.8434632000000004</v>
      </c>
      <c r="L73" s="8">
        <f>Tabla2[[#This Row],[VALOR INVERSION 3]]-6.9</f>
        <v>-5.6536799999999943E-2</v>
      </c>
      <c r="M73" s="8">
        <f>Tabla2[[#This Row],[VALOR INVERSION 3]]*Tabla2[[#This Row],[PRECIO DEL DÓLAR]]</f>
        <v>28791.886809672003</v>
      </c>
      <c r="N73" s="8">
        <f>Tabla2[[#This Row],[VOO]]*0.01226</f>
        <v>6.5343347999999999</v>
      </c>
      <c r="O73" s="8">
        <f>Tabla2[[#This Row],[VALOR INVERSION 4]]-6.6</f>
        <v>-6.5665199999999757E-2</v>
      </c>
      <c r="P73" s="8">
        <f>Tabla2[[#This Row],[VALOR INVERSION 4]]*Tabla2[[#This Row],[PRECIO DEL DÓLAR]]</f>
        <v>27491.318713908</v>
      </c>
    </row>
    <row r="74" spans="2:16">
      <c r="B74" s="1">
        <v>45581</v>
      </c>
      <c r="C74" s="8">
        <f>VLOOKUP(B74,Tabla4[],2,FALSE)</f>
        <v>4257.21</v>
      </c>
      <c r="D74" s="24">
        <v>535.22</v>
      </c>
      <c r="E74" s="8">
        <f t="shared" si="10"/>
        <v>8.1246396000000001</v>
      </c>
      <c r="F74" s="8">
        <f>Tabla2[[#This Row],[VALOR INVERSION 1]]-7.7</f>
        <v>0.42463959999999989</v>
      </c>
      <c r="G74" s="8">
        <f>Tabla2[[#This Row],[VALOR INVERSION 1]]*Tabla2[[#This Row],[PRECIO DEL DÓLAR]]</f>
        <v>34588.296951516</v>
      </c>
      <c r="H74" s="8">
        <f>Tabla2[[#This Row],[VOO]]*0.01527</f>
        <v>8.1728094000000002</v>
      </c>
      <c r="I74" s="8">
        <f>Tabla2[[#This Row],[VALOR INVERSION 2]]-7.9</f>
        <v>0.27280939999999987</v>
      </c>
      <c r="J74" s="8">
        <f>Tabla2[[#This Row],[VALOR INVERSION 2]]*Tabla2[[#This Row],[PRECIO DEL DÓLAR]]</f>
        <v>34793.365905774001</v>
      </c>
      <c r="K74" s="8">
        <f>Tabla2[[#This Row],[VOO]]*0.01284</f>
        <v>6.8722248000000006</v>
      </c>
      <c r="L74" s="8">
        <f>Tabla2[[#This Row],[VALOR INVERSION 3]]-6.9</f>
        <v>-2.7775199999999778E-2</v>
      </c>
      <c r="M74" s="8">
        <f>Tabla2[[#This Row],[VALOR INVERSION 3]]*Tabla2[[#This Row],[PRECIO DEL DÓLAR]]</f>
        <v>29256.504140808003</v>
      </c>
      <c r="N74" s="8">
        <f>Tabla2[[#This Row],[VOO]]*0.01226</f>
        <v>6.5617972</v>
      </c>
      <c r="O74" s="8">
        <f>Tabla2[[#This Row],[VALOR INVERSION 4]]-6.6</f>
        <v>-3.8202799999999648E-2</v>
      </c>
      <c r="P74" s="8">
        <f>Tabla2[[#This Row],[VALOR INVERSION 4]]*Tabla2[[#This Row],[PRECIO DEL DÓLAR]]</f>
        <v>27934.948657812001</v>
      </c>
    </row>
    <row r="75" spans="2:16">
      <c r="B75" s="1">
        <v>45582</v>
      </c>
      <c r="C75" s="8">
        <f>VLOOKUP(B75,Tabla4[],2,FALSE)</f>
        <v>4278.74</v>
      </c>
      <c r="D75" s="24">
        <v>537.36</v>
      </c>
      <c r="E75" s="8">
        <f t="shared" si="10"/>
        <v>8.1571248000000001</v>
      </c>
      <c r="F75" s="8">
        <f>Tabla2[[#This Row],[VALOR INVERSION 1]]-7.7</f>
        <v>0.45712479999999989</v>
      </c>
      <c r="G75" s="8">
        <f>Tabla2[[#This Row],[VALOR INVERSION 1]]*Tabla2[[#This Row],[PRECIO DEL DÓLAR]]</f>
        <v>34902.216166751998</v>
      </c>
      <c r="H75" s="8">
        <f>Tabla2[[#This Row],[VOO]]*0.01527</f>
        <v>8.2054872000000003</v>
      </c>
      <c r="I75" s="8">
        <f>Tabla2[[#This Row],[VALOR INVERSION 2]]-7.9</f>
        <v>0.30548719999999996</v>
      </c>
      <c r="J75" s="8">
        <f>Tabla2[[#This Row],[VALOR INVERSION 2]]*Tabla2[[#This Row],[PRECIO DEL DÓLAR]]</f>
        <v>35109.146302128</v>
      </c>
      <c r="K75" s="40">
        <f>Tabla2[[#This Row],[VOO]]*0.01284</f>
        <v>6.8997024000000007</v>
      </c>
      <c r="L75" s="40">
        <f>Tabla2[[#This Row],[VALOR INVERSION 3]]-6.9</f>
        <v>-2.975999999996759E-4</v>
      </c>
      <c r="M75" s="40">
        <f>Tabla2[[#This Row],[VALOR INVERSION 3]]*Tabla2[[#This Row],[PRECIO DEL DÓLAR]]</f>
        <v>29522.032646976</v>
      </c>
      <c r="N75" s="45">
        <f>Tabla2[[#This Row],[VOO]]*0.01226</f>
        <v>6.5880336000000002</v>
      </c>
      <c r="O75" s="45">
        <f>Tabla2[[#This Row],[VALOR INVERSION 4]]-6.6</f>
        <v>-1.1966399999999489E-2</v>
      </c>
      <c r="P75" s="45">
        <f>Tabla2[[#This Row],[VALOR INVERSION 4]]*Tabla2[[#This Row],[PRECIO DEL DÓLAR]]</f>
        <v>28188.482885663998</v>
      </c>
    </row>
    <row r="76" spans="2:16">
      <c r="B76" s="1">
        <v>45583</v>
      </c>
      <c r="C76" s="8">
        <f>VLOOKUP(B76,Tabla4[],2,FALSE)</f>
        <v>4247.29</v>
      </c>
      <c r="D76" s="24">
        <v>535.29999999999995</v>
      </c>
      <c r="E76" s="8">
        <f t="shared" si="10"/>
        <v>8.1258540000000004</v>
      </c>
      <c r="F76" s="8">
        <f>Tabla2[[#This Row],[VALOR INVERSION 1]]-7.7</f>
        <v>0.42585400000000018</v>
      </c>
      <c r="G76" s="8">
        <f>Tabla2[[#This Row],[VALOR INVERSION 1]]*Tabla2[[#This Row],[PRECIO DEL DÓLAR]]</f>
        <v>34512.858435660004</v>
      </c>
      <c r="H76" s="8">
        <f>Tabla2[[#This Row],[VOO]]*0.01527</f>
        <v>8.1740309999999994</v>
      </c>
      <c r="I76" s="8">
        <f>Tabla2[[#This Row],[VALOR INVERSION 2]]-7.9</f>
        <v>0.27403099999999903</v>
      </c>
      <c r="J76" s="8">
        <f>Tabla2[[#This Row],[VALOR INVERSION 2]]*Tabla2[[#This Row],[PRECIO DEL DÓLAR]]</f>
        <v>34717.480125989998</v>
      </c>
      <c r="K76" s="8">
        <f>Tabla2[[#This Row],[VOO]]*0.01284</f>
        <v>6.8732519999999999</v>
      </c>
      <c r="L76" s="8">
        <f>Tabla2[[#This Row],[VALOR INVERSION 3]]-6.9</f>
        <v>-2.6748000000000438E-2</v>
      </c>
      <c r="M76" s="8">
        <f>Tabla2[[#This Row],[VALOR INVERSION 3]]*Tabla2[[#This Row],[PRECIO DEL DÓLAR]]</f>
        <v>29192.69448708</v>
      </c>
      <c r="N76" s="8">
        <f>Tabla2[[#This Row],[VOO]]*0.01226</f>
        <v>6.5627779999999998</v>
      </c>
      <c r="O76" s="8">
        <f>Tabla2[[#This Row],[VALOR INVERSION 4]]-6.6</f>
        <v>-3.7221999999999866E-2</v>
      </c>
      <c r="P76" s="8">
        <f>Tabla2[[#This Row],[VALOR INVERSION 4]]*Tabla2[[#This Row],[PRECIO DEL DÓLAR]]</f>
        <v>27874.021371619998</v>
      </c>
    </row>
    <row r="77" spans="2:16">
      <c r="B77" s="1">
        <v>45583</v>
      </c>
      <c r="C77" s="8">
        <f>VLOOKUP(B77,Tabla4[],2,FALSE)</f>
        <v>4247.29</v>
      </c>
      <c r="D77" s="24">
        <v>537.36</v>
      </c>
      <c r="E77" s="8">
        <f t="shared" si="10"/>
        <v>8.1571248000000001</v>
      </c>
      <c r="F77" s="8">
        <f>Tabla2[[#This Row],[VALOR INVERSION 1]]-7.7</f>
        <v>0.45712479999999989</v>
      </c>
      <c r="G77" s="8">
        <f>Tabla2[[#This Row],[VALOR INVERSION 1]]*Tabla2[[#This Row],[PRECIO DEL DÓLAR]]</f>
        <v>34645.674591791998</v>
      </c>
      <c r="H77" s="8">
        <f>Tabla2[[#This Row],[VOO]]*0.01527</f>
        <v>8.2054872000000003</v>
      </c>
      <c r="I77" s="8">
        <f>Tabla2[[#This Row],[VALOR INVERSION 2]]-7.9</f>
        <v>0.30548719999999996</v>
      </c>
      <c r="J77" s="8">
        <f>Tabla2[[#This Row],[VALOR INVERSION 2]]*Tabla2[[#This Row],[PRECIO DEL DÓLAR]]</f>
        <v>34851.083729687998</v>
      </c>
      <c r="K77" s="8">
        <f>Tabla2[[#This Row],[VOO]]*0.01284</f>
        <v>6.8997024000000007</v>
      </c>
      <c r="L77" s="8">
        <f>Tabla2[[#This Row],[VALOR INVERSION 3]]-6.9</f>
        <v>-2.975999999996759E-4</v>
      </c>
      <c r="M77" s="8">
        <f>Tabla2[[#This Row],[VALOR INVERSION 3]]*Tabla2[[#This Row],[PRECIO DEL DÓLAR]]</f>
        <v>29305.037006496004</v>
      </c>
      <c r="N77" s="8">
        <f>Tabla2[[#This Row],[VOO]]*0.01226</f>
        <v>6.5880336000000002</v>
      </c>
      <c r="O77" s="8">
        <f>Tabla2[[#This Row],[VALOR INVERSION 4]]-6.6</f>
        <v>-1.1966399999999489E-2</v>
      </c>
      <c r="P77" s="8">
        <f>Tabla2[[#This Row],[VALOR INVERSION 4]]*Tabla2[[#This Row],[PRECIO DEL DÓLAR]]</f>
        <v>27981.289228943999</v>
      </c>
    </row>
    <row r="78" spans="2:16">
      <c r="B78" s="1">
        <v>45586</v>
      </c>
      <c r="C78" s="8">
        <f>VLOOKUP(B78,Tabla4[],2,FALSE)</f>
        <v>4270</v>
      </c>
      <c r="D78" s="24">
        <v>536.53</v>
      </c>
      <c r="E78" s="8">
        <f t="shared" si="10"/>
        <v>8.1445253999999991</v>
      </c>
      <c r="F78" s="8">
        <f>Tabla2[[#This Row],[VALOR INVERSION 1]]-7.7</f>
        <v>0.44452539999999896</v>
      </c>
      <c r="G78" s="8">
        <f>Tabla2[[#This Row],[VALOR INVERSION 1]]*Tabla2[[#This Row],[PRECIO DEL DÓLAR]]</f>
        <v>34777.123457999995</v>
      </c>
      <c r="H78" s="8">
        <f>Tabla2[[#This Row],[VOO]]*0.01527</f>
        <v>8.1928131000000004</v>
      </c>
      <c r="I78" s="8">
        <f>Tabla2[[#This Row],[VALOR INVERSION 2]]-7.9</f>
        <v>0.29281310000000005</v>
      </c>
      <c r="J78" s="8">
        <f>Tabla2[[#This Row],[VALOR INVERSION 2]]*Tabla2[[#This Row],[PRECIO DEL DÓLAR]]</f>
        <v>34983.311936999999</v>
      </c>
      <c r="K78" s="8">
        <f>Tabla2[[#This Row],[VOO]]*0.01284</f>
        <v>6.8890452</v>
      </c>
      <c r="L78" s="8">
        <f>Tabla2[[#This Row],[VALOR INVERSION 3]]-6.9</f>
        <v>-1.0954800000000375E-2</v>
      </c>
      <c r="M78" s="8">
        <f>Tabla2[[#This Row],[VALOR INVERSION 3]]*Tabla2[[#This Row],[PRECIO DEL DÓLAR]]</f>
        <v>29416.223003999999</v>
      </c>
      <c r="N78" s="8">
        <f>Tabla2[[#This Row],[VOO]]*0.01226</f>
        <v>6.5778577999999994</v>
      </c>
      <c r="O78" s="8">
        <f>Tabla2[[#This Row],[VALOR INVERSION 4]]-6.6</f>
        <v>-2.2142200000000223E-2</v>
      </c>
      <c r="P78" s="8">
        <f>Tabla2[[#This Row],[VALOR INVERSION 4]]*Tabla2[[#This Row],[PRECIO DEL DÓLAR]]</f>
        <v>28087.452805999998</v>
      </c>
    </row>
    <row r="79" spans="2:16">
      <c r="B79" s="1">
        <v>45587</v>
      </c>
      <c r="C79" s="8">
        <f>VLOOKUP(B79,Tabla4[],2,FALSE)</f>
        <v>4280.04</v>
      </c>
      <c r="D79" s="24">
        <v>536.16</v>
      </c>
      <c r="E79" s="8">
        <f t="shared" ref="E79:E84" si="11">0.01518 * D79</f>
        <v>8.1389087999999994</v>
      </c>
      <c r="F79" s="8">
        <f>Tabla2[[#This Row],[VALOR INVERSION 1]]-7.7</f>
        <v>0.43890879999999921</v>
      </c>
      <c r="G79" s="8">
        <f>Tabla2[[#This Row],[VALOR INVERSION 1]]*Tabla2[[#This Row],[PRECIO DEL DÓLAR]]</f>
        <v>34834.855220351994</v>
      </c>
      <c r="H79" s="8">
        <f>Tabla2[[#This Row],[VOO]]*0.01527</f>
        <v>8.1871632000000005</v>
      </c>
      <c r="I79" s="8">
        <f>Tabla2[[#This Row],[VALOR INVERSION 2]]-7.9</f>
        <v>0.28716320000000017</v>
      </c>
      <c r="J79" s="8">
        <f>Tabla2[[#This Row],[VALOR INVERSION 2]]*Tabla2[[#This Row],[PRECIO DEL DÓLAR]]</f>
        <v>35041.385982528001</v>
      </c>
      <c r="K79" s="8">
        <f>Tabla2[[#This Row],[VOO]]*0.01284</f>
        <v>6.8842943999999999</v>
      </c>
      <c r="L79" s="8">
        <f>Tabla2[[#This Row],[VALOR INVERSION 3]]-6.9</f>
        <v>-1.570560000000043E-2</v>
      </c>
      <c r="M79" s="8">
        <f>Tabla2[[#This Row],[VALOR INVERSION 3]]*Tabla2[[#This Row],[PRECIO DEL DÓLAR]]</f>
        <v>29465.055403776001</v>
      </c>
      <c r="N79" s="8">
        <f>Tabla2[[#This Row],[VOO]]*0.01226</f>
        <v>6.5733215999999999</v>
      </c>
      <c r="O79" s="8">
        <f>Tabla2[[#This Row],[VALOR INVERSION 4]]-6.6</f>
        <v>-2.6678399999999769E-2</v>
      </c>
      <c r="P79" s="8">
        <f>Tabla2[[#This Row],[VALOR INVERSION 4]]*Tabla2[[#This Row],[PRECIO DEL DÓLAR]]</f>
        <v>28134.079380864001</v>
      </c>
    </row>
    <row r="80" spans="2:16">
      <c r="B80" s="1">
        <v>45588</v>
      </c>
      <c r="C80" s="8">
        <f>VLOOKUP(B80,Tabla4[],2,FALSE)</f>
        <v>4270.37</v>
      </c>
      <c r="D80" s="24">
        <v>531.27</v>
      </c>
      <c r="E80" s="8">
        <f t="shared" si="11"/>
        <v>8.0646786000000006</v>
      </c>
      <c r="F80" s="8">
        <f>Tabla2[[#This Row],[VALOR INVERSION 1]]-7.7</f>
        <v>0.36467860000000041</v>
      </c>
      <c r="G80" s="8">
        <f>Tabla2[[#This Row],[VALOR INVERSION 1]]*Tabla2[[#This Row],[PRECIO DEL DÓLAR]]</f>
        <v>34439.161553081998</v>
      </c>
      <c r="H80" s="8">
        <f>Tabla2[[#This Row],[VOO]]*0.01527</f>
        <v>8.1124928999999995</v>
      </c>
      <c r="I80" s="8">
        <f>Tabla2[[#This Row],[VALOR INVERSION 2]]-7.9</f>
        <v>0.2124928999999991</v>
      </c>
      <c r="J80" s="8">
        <f>Tabla2[[#This Row],[VALOR INVERSION 2]]*Tabla2[[#This Row],[PRECIO DEL DÓLAR]]</f>
        <v>34643.346305372994</v>
      </c>
      <c r="K80" s="8">
        <f>Tabla2[[#This Row],[VOO]]*0.01284</f>
        <v>6.8215067999999999</v>
      </c>
      <c r="L80" s="8">
        <f>Tabla2[[#This Row],[VALOR INVERSION 3]]-6.9</f>
        <v>-7.8493200000000485E-2</v>
      </c>
      <c r="M80" s="8">
        <f>Tabla2[[#This Row],[VALOR INVERSION 3]]*Tabla2[[#This Row],[PRECIO DEL DÓLAR]]</f>
        <v>29130.357993515998</v>
      </c>
      <c r="N80" s="8">
        <f>Tabla2[[#This Row],[VOO]]*0.01226</f>
        <v>6.5133701999999998</v>
      </c>
      <c r="O80" s="8">
        <f>Tabla2[[#This Row],[VALOR INVERSION 4]]-6.6</f>
        <v>-8.6629799999999868E-2</v>
      </c>
      <c r="P80" s="8">
        <f>Tabla2[[#This Row],[VALOR INVERSION 4]]*Tabla2[[#This Row],[PRECIO DEL DÓLAR]]</f>
        <v>27814.500700973997</v>
      </c>
    </row>
    <row r="81" spans="2:16">
      <c r="B81" s="1">
        <v>45589</v>
      </c>
      <c r="C81" s="8">
        <f>VLOOKUP(B81,Tabla4[],2,FALSE)</f>
        <v>4323.92</v>
      </c>
      <c r="D81" s="24">
        <v>532.47</v>
      </c>
      <c r="E81" s="8">
        <f t="shared" si="11"/>
        <v>8.0828946000000013</v>
      </c>
      <c r="F81" s="8">
        <f>Tabla2[[#This Row],[VALOR INVERSION 1]]-7.7</f>
        <v>0.38289460000000108</v>
      </c>
      <c r="G81" s="8">
        <f>Tabla2[[#This Row],[VALOR INVERSION 1]]*Tabla2[[#This Row],[PRECIO DEL DÓLAR]]</f>
        <v>34949.789618832008</v>
      </c>
      <c r="H81" s="8">
        <f>Tabla2[[#This Row],[VOO]]*0.01527</f>
        <v>8.130816900000001</v>
      </c>
      <c r="I81" s="8">
        <f>Tabla2[[#This Row],[VALOR INVERSION 2]]-7.9</f>
        <v>0.23081690000000066</v>
      </c>
      <c r="J81" s="8">
        <f>Tabla2[[#This Row],[VALOR INVERSION 2]]*Tabla2[[#This Row],[PRECIO DEL DÓLAR]]</f>
        <v>35157.001810248003</v>
      </c>
      <c r="K81" s="8">
        <f>Tabla2[[#This Row],[VOO]]*0.01284</f>
        <v>6.8369148000000006</v>
      </c>
      <c r="L81" s="8">
        <f>Tabla2[[#This Row],[VALOR INVERSION 3]]-6.9</f>
        <v>-6.308519999999973E-2</v>
      </c>
      <c r="M81" s="8">
        <f>Tabla2[[#This Row],[VALOR INVERSION 3]]*Tabla2[[#This Row],[PRECIO DEL DÓLAR]]</f>
        <v>29562.272642016003</v>
      </c>
      <c r="N81" s="8">
        <f>Tabla2[[#This Row],[VOO]]*0.01226</f>
        <v>6.5280822000000001</v>
      </c>
      <c r="O81" s="8">
        <f>Tabla2[[#This Row],[VALOR INVERSION 4]]-6.6</f>
        <v>-7.1917799999999588E-2</v>
      </c>
      <c r="P81" s="8">
        <f>Tabla2[[#This Row],[VALOR INVERSION 4]]*Tabla2[[#This Row],[PRECIO DEL DÓLAR]]</f>
        <v>28226.905186224001</v>
      </c>
    </row>
    <row r="82" spans="2:16">
      <c r="B82" s="1">
        <v>45590</v>
      </c>
      <c r="C82" s="8">
        <f>VLOOKUP(B82,Tabla4[],2,FALSE)</f>
        <v>4323.1099999999997</v>
      </c>
      <c r="D82" s="24">
        <v>532.26</v>
      </c>
      <c r="E82" s="8">
        <f t="shared" si="11"/>
        <v>8.0797068000000003</v>
      </c>
      <c r="F82" s="8">
        <f>Tabla2[[#This Row],[VALOR INVERSION 1]]-7.7</f>
        <v>0.37970680000000012</v>
      </c>
      <c r="G82" s="8">
        <f>Tabla2[[#This Row],[VALOR INVERSION 1]]*Tabla2[[#This Row],[PRECIO DEL DÓLAR]]</f>
        <v>34929.461264147998</v>
      </c>
      <c r="H82" s="8">
        <f>Tabla2[[#This Row],[VOO]]*0.01527</f>
        <v>8.1276101999999995</v>
      </c>
      <c r="I82" s="8">
        <f>Tabla2[[#This Row],[VALOR INVERSION 2]]-7.9</f>
        <v>0.2276101999999991</v>
      </c>
      <c r="J82" s="8">
        <f>Tabla2[[#This Row],[VALOR INVERSION 2]]*Tabla2[[#This Row],[PRECIO DEL DÓLAR]]</f>
        <v>35136.552931721992</v>
      </c>
      <c r="K82" s="8">
        <f>Tabla2[[#This Row],[VOO]]*0.01284</f>
        <v>6.8342184000000001</v>
      </c>
      <c r="L82" s="8">
        <f>Tabla2[[#This Row],[VALOR INVERSION 3]]-6.9</f>
        <v>-6.5781600000000218E-2</v>
      </c>
      <c r="M82" s="8">
        <f>Tabla2[[#This Row],[VALOR INVERSION 3]]*Tabla2[[#This Row],[PRECIO DEL DÓLAR]]</f>
        <v>29545.077907223997</v>
      </c>
      <c r="N82" s="8">
        <f>Tabla2[[#This Row],[VOO]]*0.01226</f>
        <v>6.5255076000000001</v>
      </c>
      <c r="O82" s="8">
        <f>Tabla2[[#This Row],[VALOR INVERSION 4]]-6.6</f>
        <v>-7.449239999999957E-2</v>
      </c>
      <c r="P82" s="8">
        <f>Tabla2[[#This Row],[VALOR INVERSION 4]]*Tabla2[[#This Row],[PRECIO DEL DÓLAR]]</f>
        <v>28210.487160635999</v>
      </c>
    </row>
    <row r="83" spans="2:16">
      <c r="B83" s="1">
        <v>45593</v>
      </c>
      <c r="C83" s="8">
        <f>VLOOKUP(B83,Tabla4[],2,FALSE)</f>
        <v>4321.6400000000003</v>
      </c>
      <c r="D83" s="24">
        <v>533.91999999999996</v>
      </c>
      <c r="E83" s="8">
        <f t="shared" si="11"/>
        <v>8.1049056000000004</v>
      </c>
      <c r="F83" s="8">
        <f>Tabla2[[#This Row],[VALOR INVERSION 1]]-7.7</f>
        <v>0.4049056000000002</v>
      </c>
      <c r="G83" s="8">
        <f>Tabla2[[#This Row],[VALOR INVERSION 1]]*Tabla2[[#This Row],[PRECIO DEL DÓLAR]]</f>
        <v>35026.484237184006</v>
      </c>
      <c r="H83" s="8">
        <f>Tabla2[[#This Row],[VOO]]*0.01527</f>
        <v>8.1529583999999993</v>
      </c>
      <c r="I83" s="8">
        <f>Tabla2[[#This Row],[VALOR INVERSION 2]]-7.9</f>
        <v>0.25295839999999892</v>
      </c>
      <c r="J83" s="8">
        <f>Tabla2[[#This Row],[VALOR INVERSION 2]]*Tabla2[[#This Row],[PRECIO DEL DÓLAR]]</f>
        <v>35234.151139775997</v>
      </c>
      <c r="K83" s="8">
        <f>Tabla2[[#This Row],[VOO]]*0.01284</f>
        <v>6.8555327999999998</v>
      </c>
      <c r="L83" s="8">
        <f>Tabla2[[#This Row],[VALOR INVERSION 3]]-6.9</f>
        <v>-4.4467200000000595E-2</v>
      </c>
      <c r="M83" s="8">
        <f>Tabla2[[#This Row],[VALOR INVERSION 3]]*Tabla2[[#This Row],[PRECIO DEL DÓLAR]]</f>
        <v>29627.144769792001</v>
      </c>
      <c r="N83" s="8">
        <f>Tabla2[[#This Row],[VOO]]*0.01226</f>
        <v>6.5458591999999998</v>
      </c>
      <c r="O83" s="8">
        <f>Tabla2[[#This Row],[VALOR INVERSION 4]]-6.6</f>
        <v>-5.4140799999999878E-2</v>
      </c>
      <c r="P83" s="8">
        <f>Tabla2[[#This Row],[VALOR INVERSION 4]]*Tabla2[[#This Row],[PRECIO DEL DÓLAR]]</f>
        <v>28288.846953088003</v>
      </c>
    </row>
    <row r="84" spans="2:16">
      <c r="B84" s="1">
        <v>45594</v>
      </c>
      <c r="C84" s="8">
        <f>VLOOKUP(B84,Tabla4[],2,FALSE)</f>
        <v>4345.13</v>
      </c>
      <c r="D84" s="24">
        <v>534.77</v>
      </c>
      <c r="E84" s="8">
        <f t="shared" si="11"/>
        <v>8.1178086</v>
      </c>
      <c r="F84" s="8">
        <f>Tabla2[[#This Row],[VALOR INVERSION 1]]-7.7</f>
        <v>0.41780859999999986</v>
      </c>
      <c r="G84" s="8">
        <f>Tabla2[[#This Row],[VALOR INVERSION 1]]*Tabla2[[#This Row],[PRECIO DEL DÓLAR]]</f>
        <v>35272.933682118004</v>
      </c>
      <c r="H84" s="8">
        <f>Tabla2[[#This Row],[VOO]]*0.01527</f>
        <v>8.1659378999999994</v>
      </c>
      <c r="I84" s="8">
        <f>Tabla2[[#This Row],[VALOR INVERSION 2]]-7.9</f>
        <v>0.26593789999999906</v>
      </c>
      <c r="J84" s="8">
        <f>Tabla2[[#This Row],[VALOR INVERSION 2]]*Tabla2[[#This Row],[PRECIO DEL DÓLAR]]</f>
        <v>35482.061747426997</v>
      </c>
      <c r="K84" s="8">
        <f>Tabla2[[#This Row],[VOO]]*0.01284</f>
        <v>6.8664468000000003</v>
      </c>
      <c r="L84" s="8">
        <f>Tabla2[[#This Row],[VALOR INVERSION 3]]-6.9</f>
        <v>-3.3553200000000061E-2</v>
      </c>
      <c r="M84" s="8">
        <f>Tabla2[[#This Row],[VALOR INVERSION 3]]*Tabla2[[#This Row],[PRECIO DEL DÓLAR]]</f>
        <v>29835.603984084002</v>
      </c>
      <c r="N84" s="8">
        <f>Tabla2[[#This Row],[VOO]]*0.01226</f>
        <v>6.5562801999999998</v>
      </c>
      <c r="O84" s="8">
        <f>Tabla2[[#This Row],[VALOR INVERSION 4]]-6.6</f>
        <v>-4.3719799999999864E-2</v>
      </c>
      <c r="P84" s="8">
        <f>Tabla2[[#This Row],[VALOR INVERSION 4]]*Tabla2[[#This Row],[PRECIO DEL DÓLAR]]</f>
        <v>28487.889785425999</v>
      </c>
    </row>
    <row r="85" spans="2:16">
      <c r="B85" s="1">
        <v>45595</v>
      </c>
      <c r="C85" s="8">
        <f>VLOOKUP(B85,Tabla4[],2,FALSE)</f>
        <v>4323.01</v>
      </c>
      <c r="D85" s="24">
        <v>533.16</v>
      </c>
      <c r="E85" s="8">
        <f t="shared" ref="E85:E90" si="12">0.01518 * D85</f>
        <v>8.0933688000000004</v>
      </c>
      <c r="F85" s="8">
        <f>Tabla2[[#This Row],[VALOR INVERSION 1]]-7.7</f>
        <v>0.39336880000000018</v>
      </c>
      <c r="G85" s="8">
        <f>Tabla2[[#This Row],[VALOR INVERSION 1]]*Tabla2[[#This Row],[PRECIO DEL DÓLAR]]</f>
        <v>34987.714256088002</v>
      </c>
      <c r="H85" s="8">
        <f>Tabla2[[#This Row],[VOO]]*0.01527</f>
        <v>8.1413531999999993</v>
      </c>
      <c r="I85" s="8">
        <f>Tabla2[[#This Row],[VALOR INVERSION 2]]-7.9</f>
        <v>0.24135319999999894</v>
      </c>
      <c r="J85" s="8">
        <f>Tabla2[[#This Row],[VALOR INVERSION 2]]*Tabla2[[#This Row],[PRECIO DEL DÓLAR]]</f>
        <v>35195.151297131997</v>
      </c>
      <c r="K85" s="8">
        <f>Tabla2[[#This Row],[VOO]]*0.01284</f>
        <v>6.8457743999999998</v>
      </c>
      <c r="L85" s="8">
        <f>Tabla2[[#This Row],[VALOR INVERSION 3]]-6.9</f>
        <v>-5.422560000000054E-2</v>
      </c>
      <c r="M85" s="8">
        <f>Tabla2[[#This Row],[VALOR INVERSION 3]]*Tabla2[[#This Row],[PRECIO DEL DÓLAR]]</f>
        <v>29594.351188944001</v>
      </c>
      <c r="N85" s="8">
        <f>Tabla2[[#This Row],[VOO]]*0.01226</f>
        <v>6.5365415999999996</v>
      </c>
      <c r="O85" s="8">
        <f>Tabla2[[#This Row],[VALOR INVERSION 4]]-6.6</f>
        <v>-6.3458400000000026E-2</v>
      </c>
      <c r="P85" s="8">
        <f>Tabla2[[#This Row],[VALOR INVERSION 4]]*Tabla2[[#This Row],[PRECIO DEL DÓLAR]]</f>
        <v>28257.534702215999</v>
      </c>
    </row>
    <row r="86" spans="2:16">
      <c r="B86" s="1">
        <v>45597</v>
      </c>
      <c r="C86" s="8">
        <f>VLOOKUP(B86,Tabla4[],2,FALSE)</f>
        <v>4418.63</v>
      </c>
      <c r="D86" s="24">
        <v>522.66999999999996</v>
      </c>
      <c r="E86" s="8">
        <f t="shared" si="12"/>
        <v>7.9341305999999996</v>
      </c>
      <c r="F86" s="8">
        <f>Tabla2[[#This Row],[VALOR INVERSION 1]]-7.7</f>
        <v>0.23413059999999941</v>
      </c>
      <c r="G86" s="8">
        <f>Tabla2[[#This Row],[VALOR INVERSION 1]]*Tabla2[[#This Row],[PRECIO DEL DÓLAR]]</f>
        <v>35057.987493077999</v>
      </c>
      <c r="H86" s="8">
        <f>Tabla2[[#This Row],[VOO]]*0.01527</f>
        <v>7.9811708999999995</v>
      </c>
      <c r="I86" s="8">
        <f>Tabla2[[#This Row],[VALOR INVERSION 2]]-7.9</f>
        <v>8.1170899999999158E-2</v>
      </c>
      <c r="J86" s="8">
        <f>Tabla2[[#This Row],[VALOR INVERSION 2]]*Tabla2[[#This Row],[PRECIO DEL DÓLAR]]</f>
        <v>35265.841173866997</v>
      </c>
      <c r="K86" s="8">
        <f>Tabla2[[#This Row],[VOO]]*0.01284</f>
        <v>6.7110827999999998</v>
      </c>
      <c r="L86" s="8">
        <f>Tabla2[[#This Row],[VALOR INVERSION 3]]-6.9</f>
        <v>-0.18891720000000056</v>
      </c>
      <c r="M86" s="8">
        <f>Tabla2[[#This Row],[VALOR INVERSION 3]]*Tabla2[[#This Row],[PRECIO DEL DÓLAR]]</f>
        <v>29653.791792563999</v>
      </c>
      <c r="N86" s="8">
        <f>Tabla2[[#This Row],[VOO]]*0.01226</f>
        <v>6.4079341999999997</v>
      </c>
      <c r="O86" s="8">
        <f>Tabla2[[#This Row],[VALOR INVERSION 4]]-6.6</f>
        <v>-0.19206579999999995</v>
      </c>
      <c r="P86" s="8">
        <f>Tabla2[[#This Row],[VALOR INVERSION 4]]*Tabla2[[#This Row],[PRECIO DEL DÓLAR]]</f>
        <v>28314.290294145998</v>
      </c>
    </row>
    <row r="87" spans="2:16">
      <c r="B87" s="1">
        <v>45600</v>
      </c>
      <c r="C87" s="8">
        <f>VLOOKUP(B87,Tabla4[],2,FALSE)</f>
        <v>4445.3500000000004</v>
      </c>
      <c r="D87" s="24">
        <v>523.79999999999995</v>
      </c>
      <c r="E87" s="8">
        <f t="shared" si="12"/>
        <v>7.9512839999999994</v>
      </c>
      <c r="F87" s="8">
        <f>Tabla2[[#This Row],[VALOR INVERSION 1]]-7.7</f>
        <v>0.25128399999999917</v>
      </c>
      <c r="G87" s="8">
        <f>Tabla2[[#This Row],[VALOR INVERSION 1]]*Tabla2[[#This Row],[PRECIO DEL DÓLAR]]</f>
        <v>35346.240329400003</v>
      </c>
      <c r="H87" s="8">
        <f>Tabla2[[#This Row],[VOO]]*0.01527</f>
        <v>7.9984259999999994</v>
      </c>
      <c r="I87" s="8">
        <f>Tabla2[[#This Row],[VALOR INVERSION 2]]-7.9</f>
        <v>9.8425999999999014E-2</v>
      </c>
      <c r="J87" s="8">
        <f>Tabla2[[#This Row],[VALOR INVERSION 2]]*Tabla2[[#This Row],[PRECIO DEL DÓLAR]]</f>
        <v>35555.8030191</v>
      </c>
      <c r="K87" s="8">
        <f>Tabla2[[#This Row],[VOO]]*0.01284</f>
        <v>6.7255919999999998</v>
      </c>
      <c r="L87" s="8">
        <f>Tabla2[[#This Row],[VALOR INVERSION 3]]-6.9</f>
        <v>-0.17440800000000056</v>
      </c>
      <c r="M87" s="8">
        <f>Tabla2[[#This Row],[VALOR INVERSION 3]]*Tabla2[[#This Row],[PRECIO DEL DÓLAR]]</f>
        <v>29897.610397200002</v>
      </c>
      <c r="N87" s="8">
        <f>Tabla2[[#This Row],[VOO]]*0.01226</f>
        <v>6.4217879999999994</v>
      </c>
      <c r="O87" s="8">
        <f>Tabla2[[#This Row],[VALOR INVERSION 4]]-6.6</f>
        <v>-0.17821200000000026</v>
      </c>
      <c r="P87" s="8">
        <f>Tabla2[[#This Row],[VALOR INVERSION 4]]*Tabla2[[#This Row],[PRECIO DEL DÓLAR]]</f>
        <v>28547.095285799998</v>
      </c>
    </row>
    <row r="88" spans="2:16">
      <c r="B88" s="1">
        <v>45601</v>
      </c>
      <c r="C88" s="8">
        <f>VLOOKUP(B88,Tabla4[],2,FALSE)</f>
        <v>4438.62</v>
      </c>
      <c r="D88" s="24">
        <v>530.1</v>
      </c>
      <c r="E88" s="8">
        <f t="shared" si="12"/>
        <v>8.0469180000000016</v>
      </c>
      <c r="F88" s="8">
        <f>Tabla2[[#This Row],[VALOR INVERSION 1]]-7.7</f>
        <v>0.34691800000000139</v>
      </c>
      <c r="G88" s="8">
        <f>Tabla2[[#This Row],[VALOR INVERSION 1]]*Tabla2[[#This Row],[PRECIO DEL DÓLAR]]</f>
        <v>35717.211173160009</v>
      </c>
      <c r="H88" s="8">
        <f>Tabla2[[#This Row],[VOO]]*0.01527</f>
        <v>8.0946270000000009</v>
      </c>
      <c r="I88" s="8">
        <f>Tabla2[[#This Row],[VALOR INVERSION 2]]-7.9</f>
        <v>0.19462700000000055</v>
      </c>
      <c r="J88" s="8">
        <f>Tabla2[[#This Row],[VALOR INVERSION 2]]*Tabla2[[#This Row],[PRECIO DEL DÓLAR]]</f>
        <v>35928.973294740004</v>
      </c>
      <c r="K88" s="8">
        <f>Tabla2[[#This Row],[VOO]]*0.01284</f>
        <v>6.8064840000000011</v>
      </c>
      <c r="L88" s="8">
        <f>Tabla2[[#This Row],[VALOR INVERSION 3]]-6.9</f>
        <v>-9.3515999999999266E-2</v>
      </c>
      <c r="M88" s="8">
        <f>Tabla2[[#This Row],[VALOR INVERSION 3]]*Tabla2[[#This Row],[PRECIO DEL DÓLAR]]</f>
        <v>30211.396012080004</v>
      </c>
      <c r="N88" s="8">
        <f>Tabla2[[#This Row],[VOO]]*0.01226</f>
        <v>6.4990260000000006</v>
      </c>
      <c r="O88" s="8">
        <f>Tabla2[[#This Row],[VALOR INVERSION 4]]-6.6</f>
        <v>-0.10097399999999901</v>
      </c>
      <c r="P88" s="8">
        <f>Tabla2[[#This Row],[VALOR INVERSION 4]]*Tabla2[[#This Row],[PRECIO DEL DÓLAR]]</f>
        <v>28846.706784120001</v>
      </c>
    </row>
    <row r="89" spans="2:16">
      <c r="B89" s="1">
        <v>45602</v>
      </c>
      <c r="C89" s="8">
        <f>VLOOKUP(B89,Tabla4[],2,FALSE)</f>
        <v>4439.75</v>
      </c>
      <c r="D89" s="24">
        <v>543.29999999999995</v>
      </c>
      <c r="E89" s="8">
        <f t="shared" si="12"/>
        <v>8.2472940000000001</v>
      </c>
      <c r="F89" s="8">
        <f>Tabla2[[#This Row],[VALOR INVERSION 1]]-7.7</f>
        <v>0.54729399999999995</v>
      </c>
      <c r="G89" s="8">
        <f>Tabla2[[#This Row],[VALOR INVERSION 1]]*Tabla2[[#This Row],[PRECIO DEL DÓLAR]]</f>
        <v>36615.923536499999</v>
      </c>
      <c r="H89" s="8">
        <f>Tabla2[[#This Row],[VOO]]*0.01527</f>
        <v>8.2961910000000003</v>
      </c>
      <c r="I89" s="8">
        <f>Tabla2[[#This Row],[VALOR INVERSION 2]]-7.9</f>
        <v>0.39619099999999996</v>
      </c>
      <c r="J89" s="8">
        <f>Tabla2[[#This Row],[VALOR INVERSION 2]]*Tabla2[[#This Row],[PRECIO DEL DÓLAR]]</f>
        <v>36833.013992250002</v>
      </c>
      <c r="K89" s="8">
        <f>Tabla2[[#This Row],[VOO]]*0.01284</f>
        <v>6.9759719999999996</v>
      </c>
      <c r="L89" s="8">
        <f>Tabla2[[#This Row],[VALOR INVERSION 3]]-6.9</f>
        <v>7.5971999999999262E-2</v>
      </c>
      <c r="M89" s="8">
        <f>Tabla2[[#This Row],[VALOR INVERSION 3]]*Tabla2[[#This Row],[PRECIO DEL DÓLAR]]</f>
        <v>30971.571687</v>
      </c>
      <c r="N89" s="8">
        <f>Tabla2[[#This Row],[VOO]]*0.01226</f>
        <v>6.6608579999999993</v>
      </c>
      <c r="O89" s="8">
        <f>Tabla2[[#This Row],[VALOR INVERSION 4]]-6.6</f>
        <v>6.0857999999999635E-2</v>
      </c>
      <c r="P89" s="8">
        <f>Tabla2[[#This Row],[VALOR INVERSION 4]]*Tabla2[[#This Row],[PRECIO DEL DÓLAR]]</f>
        <v>29572.544305499996</v>
      </c>
    </row>
    <row r="90" spans="2:16">
      <c r="B90" s="1">
        <v>45603</v>
      </c>
      <c r="C90" s="8">
        <f>VLOOKUP(B90,Tabla4[],2,FALSE)</f>
        <v>4389.7299999999996</v>
      </c>
      <c r="D90" s="24">
        <v>547.53</v>
      </c>
      <c r="E90" s="8">
        <f t="shared" si="12"/>
        <v>8.3115053999999997</v>
      </c>
      <c r="F90" s="8">
        <f>Tabla2[[#This Row],[VALOR INVERSION 1]]-7.7</f>
        <v>0.61150539999999953</v>
      </c>
      <c r="G90" s="8">
        <f>Tabla2[[#This Row],[VALOR INVERSION 1]]*Tabla2[[#This Row],[PRECIO DEL DÓLAR]]</f>
        <v>36485.264599541995</v>
      </c>
      <c r="H90" s="8">
        <f>Tabla2[[#This Row],[VOO]]*0.01527</f>
        <v>8.360783099999999</v>
      </c>
      <c r="I90" s="8">
        <f>Tabla2[[#This Row],[VALOR INVERSION 2]]-7.9</f>
        <v>0.46078309999999867</v>
      </c>
      <c r="J90" s="8">
        <f>Tabla2[[#This Row],[VALOR INVERSION 2]]*Tabla2[[#This Row],[PRECIO DEL DÓLAR]]</f>
        <v>36701.58039756299</v>
      </c>
      <c r="K90" s="8">
        <f>Tabla2[[#This Row],[VOO]]*0.01284</f>
        <v>7.0302851999999998</v>
      </c>
      <c r="L90" s="8">
        <f>Tabla2[[#This Row],[VALOR INVERSION 3]]-6.9</f>
        <v>0.13028519999999943</v>
      </c>
      <c r="M90" s="8">
        <f>Tabla2[[#This Row],[VALOR INVERSION 3]]*Tabla2[[#This Row],[PRECIO DEL DÓLAR]]</f>
        <v>30861.053850995995</v>
      </c>
      <c r="N90" s="8">
        <f>Tabla2[[#This Row],[VOO]]*0.01226</f>
        <v>6.7127178000000001</v>
      </c>
      <c r="O90" s="8">
        <f>Tabla2[[#This Row],[VALOR INVERSION 4]]-6.6</f>
        <v>0.11271780000000042</v>
      </c>
      <c r="P90" s="8">
        <f>Tabla2[[#This Row],[VALOR INVERSION 4]]*Tabla2[[#This Row],[PRECIO DEL DÓLAR]]</f>
        <v>29467.018708193998</v>
      </c>
    </row>
    <row r="91" spans="2:16">
      <c r="B91" s="1">
        <v>45604</v>
      </c>
      <c r="C91" s="8">
        <f>VLOOKUP(B91,Tabla4[],2,FALSE)</f>
        <v>4399.58</v>
      </c>
      <c r="D91" s="24">
        <v>549.95000000000005</v>
      </c>
      <c r="E91" s="8">
        <f t="shared" ref="E91:E96" si="13">0.01518 * D91</f>
        <v>8.3482410000000016</v>
      </c>
      <c r="F91" s="8">
        <f>Tabla2[[#This Row],[VALOR INVERSION 1]]-7.7</f>
        <v>0.6482410000000014</v>
      </c>
      <c r="G91" s="8">
        <f>Tabla2[[#This Row],[VALOR INVERSION 1]]*Tabla2[[#This Row],[PRECIO DEL DÓLAR]]</f>
        <v>36728.754138780008</v>
      </c>
      <c r="H91" s="8">
        <f>Tabla2[[#This Row],[VOO]]*0.01527</f>
        <v>8.3977365000000006</v>
      </c>
      <c r="I91" s="8">
        <f>Tabla2[[#This Row],[VALOR INVERSION 2]]-7.9</f>
        <v>0.49773650000000025</v>
      </c>
      <c r="J91" s="8">
        <f>Tabla2[[#This Row],[VALOR INVERSION 2]]*Tabla2[[#This Row],[PRECIO DEL DÓLAR]]</f>
        <v>36946.513550670003</v>
      </c>
      <c r="K91" s="8">
        <f>Tabla2[[#This Row],[VOO]]*0.01284</f>
        <v>7.0613580000000011</v>
      </c>
      <c r="L91" s="8">
        <f>Tabla2[[#This Row],[VALOR INVERSION 3]]-6.9</f>
        <v>0.16135800000000078</v>
      </c>
      <c r="M91" s="8">
        <f>Tabla2[[#This Row],[VALOR INVERSION 3]]*Tabla2[[#This Row],[PRECIO DEL DÓLAR]]</f>
        <v>31067.009429640006</v>
      </c>
      <c r="N91" s="8">
        <f>Tabla2[[#This Row],[VOO]]*0.01226</f>
        <v>6.7423870000000008</v>
      </c>
      <c r="O91" s="8">
        <f>Tabla2[[#This Row],[VALOR INVERSION 4]]-6.6</f>
        <v>0.14238700000000115</v>
      </c>
      <c r="P91" s="8">
        <f>Tabla2[[#This Row],[VALOR INVERSION 4]]*Tabla2[[#This Row],[PRECIO DEL DÓLAR]]</f>
        <v>29663.670997460002</v>
      </c>
    </row>
    <row r="92" spans="2:16">
      <c r="B92" s="1">
        <v>45607</v>
      </c>
      <c r="C92" s="8">
        <f>VLOOKUP(B92,Tabla4[],2,FALSE)</f>
        <v>4346.7</v>
      </c>
      <c r="D92" s="24">
        <v>550.41999999999996</v>
      </c>
      <c r="E92" s="8">
        <f t="shared" si="13"/>
        <v>8.3553756000000003</v>
      </c>
      <c r="F92" s="8">
        <f>Tabla2[[#This Row],[VALOR INVERSION 1]]-7.7</f>
        <v>0.65537560000000017</v>
      </c>
      <c r="G92" s="8">
        <f>Tabla2[[#This Row],[VALOR INVERSION 1]]*Tabla2[[#This Row],[PRECIO DEL DÓLAR]]</f>
        <v>36318.311120519997</v>
      </c>
      <c r="H92" s="8">
        <f>Tabla2[[#This Row],[VOO]]*0.01527</f>
        <v>8.4049133999999999</v>
      </c>
      <c r="I92" s="8">
        <f>Tabla2[[#This Row],[VALOR INVERSION 2]]-7.9</f>
        <v>0.50491339999999951</v>
      </c>
      <c r="J92" s="8">
        <f>Tabla2[[#This Row],[VALOR INVERSION 2]]*Tabla2[[#This Row],[PRECIO DEL DÓLAR]]</f>
        <v>36533.637075779996</v>
      </c>
      <c r="K92" s="8">
        <f>Tabla2[[#This Row],[VOO]]*0.01284</f>
        <v>7.0673927999999995</v>
      </c>
      <c r="L92" s="8">
        <f>Tabla2[[#This Row],[VALOR INVERSION 3]]-6.9</f>
        <v>0.16739279999999912</v>
      </c>
      <c r="M92" s="8">
        <f>Tabla2[[#This Row],[VALOR INVERSION 3]]*Tabla2[[#This Row],[PRECIO DEL DÓLAR]]</f>
        <v>30719.836283759996</v>
      </c>
      <c r="N92" s="8">
        <f>Tabla2[[#This Row],[VOO]]*0.01226</f>
        <v>6.7481491999999994</v>
      </c>
      <c r="O92" s="8">
        <f>Tabla2[[#This Row],[VALOR INVERSION 4]]-6.6</f>
        <v>0.14814919999999976</v>
      </c>
      <c r="P92" s="8">
        <f>Tabla2[[#This Row],[VALOR INVERSION 4]]*Tabla2[[#This Row],[PRECIO DEL DÓLAR]]</f>
        <v>29332.180127639996</v>
      </c>
    </row>
    <row r="93" spans="2:16">
      <c r="B93" s="1">
        <v>45608</v>
      </c>
      <c r="C93" s="8">
        <f>VLOOKUP(B93,Tabla4[],2,FALSE)</f>
        <v>4376.95</v>
      </c>
      <c r="D93" s="24">
        <v>548.75</v>
      </c>
      <c r="E93" s="8">
        <f t="shared" si="13"/>
        <v>8.3300250000000009</v>
      </c>
      <c r="F93" s="8">
        <f>Tabla2[[#This Row],[VALOR INVERSION 1]]-7.7</f>
        <v>0.63002500000000072</v>
      </c>
      <c r="G93" s="8">
        <f>Tabla2[[#This Row],[VALOR INVERSION 1]]*Tabla2[[#This Row],[PRECIO DEL DÓLAR]]</f>
        <v>36460.102923750004</v>
      </c>
      <c r="H93" s="8">
        <f>Tabla2[[#This Row],[VOO]]*0.01527</f>
        <v>8.3794125000000008</v>
      </c>
      <c r="I93" s="8">
        <f>Tabla2[[#This Row],[VALOR INVERSION 2]]-7.9</f>
        <v>0.47941250000000046</v>
      </c>
      <c r="J93" s="8">
        <f>Tabla2[[#This Row],[VALOR INVERSION 2]]*Tabla2[[#This Row],[PRECIO DEL DÓLAR]]</f>
        <v>36676.269541875001</v>
      </c>
      <c r="K93" s="8">
        <f>Tabla2[[#This Row],[VOO]]*0.01284</f>
        <v>7.0459500000000004</v>
      </c>
      <c r="L93" s="8">
        <f>Tabla2[[#This Row],[VALOR INVERSION 3]]-6.9</f>
        <v>0.14595000000000002</v>
      </c>
      <c r="M93" s="8">
        <f>Tabla2[[#This Row],[VALOR INVERSION 3]]*Tabla2[[#This Row],[PRECIO DEL DÓLAR]]</f>
        <v>30839.770852500002</v>
      </c>
      <c r="N93" s="8">
        <f>Tabla2[[#This Row],[VOO]]*0.01226</f>
        <v>6.7276749999999996</v>
      </c>
      <c r="O93" s="8">
        <f>Tabla2[[#This Row],[VALOR INVERSION 4]]-6.6</f>
        <v>0.12767499999999998</v>
      </c>
      <c r="P93" s="8">
        <f>Tabla2[[#This Row],[VALOR INVERSION 4]]*Tabla2[[#This Row],[PRECIO DEL DÓLAR]]</f>
        <v>29446.697091249996</v>
      </c>
    </row>
    <row r="94" spans="2:16">
      <c r="B94" s="1">
        <v>45609</v>
      </c>
      <c r="C94" s="8">
        <f>VLOOKUP(B94,Tabla4[],2,FALSE)</f>
        <v>4352.8</v>
      </c>
      <c r="D94" s="24">
        <v>549.03</v>
      </c>
      <c r="E94" s="8">
        <f t="shared" si="13"/>
        <v>8.3342753999999992</v>
      </c>
      <c r="F94" s="8">
        <f>Tabla2[[#This Row],[VALOR INVERSION 1]]-7.7</f>
        <v>0.63427539999999905</v>
      </c>
      <c r="G94" s="8">
        <f>Tabla2[[#This Row],[VALOR INVERSION 1]]*Tabla2[[#This Row],[PRECIO DEL DÓLAR]]</f>
        <v>36277.433961119998</v>
      </c>
      <c r="H94" s="8">
        <f>Tabla2[[#This Row],[VOO]]*0.01527</f>
        <v>8.3836881000000005</v>
      </c>
      <c r="I94" s="8">
        <f>Tabla2[[#This Row],[VALOR INVERSION 2]]-7.9</f>
        <v>0.48368810000000018</v>
      </c>
      <c r="J94" s="8">
        <f>Tabla2[[#This Row],[VALOR INVERSION 2]]*Tabla2[[#This Row],[PRECIO DEL DÓLAR]]</f>
        <v>36492.517561680004</v>
      </c>
      <c r="K94" s="8">
        <f>Tabla2[[#This Row],[VOO]]*0.01284</f>
        <v>7.0495451999999998</v>
      </c>
      <c r="L94" s="8">
        <f>Tabla2[[#This Row],[VALOR INVERSION 3]]-6.9</f>
        <v>0.14954519999999949</v>
      </c>
      <c r="M94" s="8">
        <f>Tabla2[[#This Row],[VALOR INVERSION 3]]*Tabla2[[#This Row],[PRECIO DEL DÓLAR]]</f>
        <v>30685.26034656</v>
      </c>
      <c r="N94" s="8">
        <f>Tabla2[[#This Row],[VOO]]*0.01226</f>
        <v>6.7311077999999993</v>
      </c>
      <c r="O94" s="8">
        <f>Tabla2[[#This Row],[VALOR INVERSION 4]]-6.6</f>
        <v>0.13110779999999966</v>
      </c>
      <c r="P94" s="8">
        <f>Tabla2[[#This Row],[VALOR INVERSION 4]]*Tabla2[[#This Row],[PRECIO DEL DÓLAR]]</f>
        <v>29299.166031839999</v>
      </c>
    </row>
    <row r="95" spans="2:16">
      <c r="B95" s="1">
        <v>45611</v>
      </c>
      <c r="C95" s="8">
        <f>VLOOKUP(B95,Tabla4[],2,FALSE)</f>
        <v>4487.51</v>
      </c>
      <c r="D95" s="24">
        <v>538.5</v>
      </c>
      <c r="E95" s="8">
        <f t="shared" si="13"/>
        <v>8.174430000000001</v>
      </c>
      <c r="F95" s="8">
        <f>Tabla2[[#This Row],[VALOR INVERSION 1]]-7.7</f>
        <v>0.4744300000000008</v>
      </c>
      <c r="G95" s="8">
        <f>Tabla2[[#This Row],[VALOR INVERSION 1]]*Tabla2[[#This Row],[PRECIO DEL DÓLAR]]</f>
        <v>36682.836369300006</v>
      </c>
      <c r="H95" s="8">
        <f>Tabla2[[#This Row],[VOO]]*0.01527</f>
        <v>8.2228950000000012</v>
      </c>
      <c r="I95" s="8">
        <f>Tabla2[[#This Row],[VALOR INVERSION 2]]-7.9</f>
        <v>0.32289500000000082</v>
      </c>
      <c r="J95" s="8">
        <f>Tabla2[[#This Row],[VALOR INVERSION 2]]*Tabla2[[#This Row],[PRECIO DEL DÓLAR]]</f>
        <v>36900.323541450009</v>
      </c>
      <c r="K95" s="8">
        <f>Tabla2[[#This Row],[VOO]]*0.01284</f>
        <v>6.9143400000000002</v>
      </c>
      <c r="L95" s="8">
        <f>Tabla2[[#This Row],[VALOR INVERSION 3]]-6.9</f>
        <v>1.4339999999999797E-2</v>
      </c>
      <c r="M95" s="8">
        <f>Tabla2[[#This Row],[VALOR INVERSION 3]]*Tabla2[[#This Row],[PRECIO DEL DÓLAR]]</f>
        <v>31028.169893400001</v>
      </c>
      <c r="N95" s="40">
        <f>Tabla2[[#This Row],[VOO]]*0.01226</f>
        <v>6.6020099999999999</v>
      </c>
      <c r="O95" s="40">
        <f>Tabla2[[#This Row],[VALOR INVERSION 4]]-6.6</f>
        <v>2.0100000000002893E-3</v>
      </c>
      <c r="P95" s="40">
        <f>Tabla2[[#This Row],[VALOR INVERSION 4]]*Tabla2[[#This Row],[PRECIO DEL DÓLAR]]</f>
        <v>29626.585895100001</v>
      </c>
    </row>
    <row r="96" spans="2:16">
      <c r="B96" s="1">
        <v>45614</v>
      </c>
      <c r="C96" s="8">
        <f>VLOOKUP(B96,Tabla4[],2,FALSE)</f>
        <v>4407.41</v>
      </c>
      <c r="D96" s="24">
        <v>540.73</v>
      </c>
      <c r="E96" s="8">
        <f t="shared" si="13"/>
        <v>8.2082814000000006</v>
      </c>
      <c r="F96" s="8">
        <f>Tabla2[[#This Row],[VALOR INVERSION 1]]-7.7</f>
        <v>0.50828140000000044</v>
      </c>
      <c r="G96" s="8">
        <f>Tabla2[[#This Row],[VALOR INVERSION 1]]*Tabla2[[#This Row],[PRECIO DEL DÓLAR]]</f>
        <v>36177.261525173999</v>
      </c>
      <c r="H96" s="8">
        <f>Tabla2[[#This Row],[VOO]]*0.01527</f>
        <v>8.2569471000000014</v>
      </c>
      <c r="I96" s="8">
        <f>Tabla2[[#This Row],[VALOR INVERSION 2]]-7.9</f>
        <v>0.35694710000000107</v>
      </c>
      <c r="J96" s="8">
        <f>Tabla2[[#This Row],[VALOR INVERSION 2]]*Tabla2[[#This Row],[PRECIO DEL DÓLAR]]</f>
        <v>36391.751218011006</v>
      </c>
      <c r="K96" s="8">
        <f>Tabla2[[#This Row],[VOO]]*0.01284</f>
        <v>6.9429732000000008</v>
      </c>
      <c r="L96" s="8">
        <f>Tabla2[[#This Row],[VALOR INVERSION 3]]-6.9</f>
        <v>4.2973200000000489E-2</v>
      </c>
      <c r="M96" s="8">
        <f>Tabla2[[#This Row],[VALOR INVERSION 3]]*Tabla2[[#This Row],[PRECIO DEL DÓLAR]]</f>
        <v>30600.529511412002</v>
      </c>
      <c r="N96" s="8">
        <f>Tabla2[[#This Row],[VOO]]*0.01226</f>
        <v>6.6293498</v>
      </c>
      <c r="O96" s="8">
        <f>Tabla2[[#This Row],[VALOR INVERSION 4]]-6.6</f>
        <v>2.9349800000000315E-2</v>
      </c>
      <c r="P96" s="8">
        <f>Tabla2[[#This Row],[VALOR INVERSION 4]]*Tabla2[[#This Row],[PRECIO DEL DÓLAR]]</f>
        <v>29218.262602018</v>
      </c>
    </row>
    <row r="97" spans="2:16">
      <c r="B97" s="1">
        <v>45615</v>
      </c>
      <c r="C97" s="8">
        <f>VLOOKUP(B97,Tabla4[],2,FALSE)</f>
        <v>4421.08</v>
      </c>
      <c r="D97" s="24">
        <v>542.70000000000005</v>
      </c>
      <c r="E97" s="8">
        <f t="shared" ref="E97:E102" si="14">0.01518 * D97</f>
        <v>8.2381860000000007</v>
      </c>
      <c r="F97" s="8">
        <f>Tabla2[[#This Row],[VALOR INVERSION 1]]-7.7</f>
        <v>0.5381860000000005</v>
      </c>
      <c r="G97" s="8">
        <f>Tabla2[[#This Row],[VALOR INVERSION 1]]*Tabla2[[#This Row],[PRECIO DEL DÓLAR]]</f>
        <v>36421.67936088</v>
      </c>
      <c r="H97" s="8">
        <f>Tabla2[[#This Row],[VOO]]*0.01527</f>
        <v>8.2870290000000004</v>
      </c>
      <c r="I97" s="8">
        <f>Tabla2[[#This Row],[VALOR INVERSION 2]]-7.9</f>
        <v>0.38702900000000007</v>
      </c>
      <c r="J97" s="8">
        <f>Tabla2[[#This Row],[VALOR INVERSION 2]]*Tabla2[[#This Row],[PRECIO DEL DÓLAR]]</f>
        <v>36637.618171319999</v>
      </c>
      <c r="K97" s="8">
        <f>Tabla2[[#This Row],[VOO]]*0.01284</f>
        <v>6.968268000000001</v>
      </c>
      <c r="L97" s="8">
        <f>Tabla2[[#This Row],[VALOR INVERSION 3]]-6.9</f>
        <v>6.8268000000000661E-2</v>
      </c>
      <c r="M97" s="8">
        <f>Tabla2[[#This Row],[VALOR INVERSION 3]]*Tabla2[[#This Row],[PRECIO DEL DÓLAR]]</f>
        <v>30807.270289440003</v>
      </c>
      <c r="N97" s="8">
        <f>Tabla2[[#This Row],[VOO]]*0.01226</f>
        <v>6.6535020000000005</v>
      </c>
      <c r="O97" s="8">
        <f>Tabla2[[#This Row],[VALOR INVERSION 4]]-6.6</f>
        <v>5.3502000000000827E-2</v>
      </c>
      <c r="P97" s="8">
        <f>Tabla2[[#This Row],[VALOR INVERSION 4]]*Tabla2[[#This Row],[PRECIO DEL DÓLAR]]</f>
        <v>29415.664622160002</v>
      </c>
    </row>
    <row r="98" spans="2:16">
      <c r="B98" s="1">
        <v>45616</v>
      </c>
      <c r="C98" s="8">
        <f>VLOOKUP(B98,Tabla4[],2,FALSE)</f>
        <v>4405.5600000000004</v>
      </c>
      <c r="D98" s="24">
        <v>542.9</v>
      </c>
      <c r="E98" s="8">
        <f t="shared" si="14"/>
        <v>8.2412220000000005</v>
      </c>
      <c r="F98" s="8">
        <f>Tabla2[[#This Row],[VALOR INVERSION 1]]-7.7</f>
        <v>0.54122200000000031</v>
      </c>
      <c r="G98" s="8">
        <f>Tabla2[[#This Row],[VALOR INVERSION 1]]*Tabla2[[#This Row],[PRECIO DEL DÓLAR]]</f>
        <v>36307.197994320006</v>
      </c>
      <c r="H98" s="8">
        <f>Tabla2[[#This Row],[VOO]]*0.01527</f>
        <v>8.2900829999999992</v>
      </c>
      <c r="I98" s="8">
        <f>Tabla2[[#This Row],[VALOR INVERSION 2]]-7.9</f>
        <v>0.39008299999999885</v>
      </c>
      <c r="J98" s="8">
        <f>Tabla2[[#This Row],[VALOR INVERSION 2]]*Tabla2[[#This Row],[PRECIO DEL DÓLAR]]</f>
        <v>36522.45806148</v>
      </c>
      <c r="K98" s="8">
        <f>Tabla2[[#This Row],[VOO]]*0.01284</f>
        <v>6.9708360000000003</v>
      </c>
      <c r="L98" s="8">
        <f>Tabla2[[#This Row],[VALOR INVERSION 3]]-6.9</f>
        <v>7.0835999999999899E-2</v>
      </c>
      <c r="M98" s="8">
        <f>Tabla2[[#This Row],[VALOR INVERSION 3]]*Tabla2[[#This Row],[PRECIO DEL DÓLAR]]</f>
        <v>30710.436248160004</v>
      </c>
      <c r="N98" s="8">
        <f>Tabla2[[#This Row],[VOO]]*0.01226</f>
        <v>6.6559539999999995</v>
      </c>
      <c r="O98" s="8">
        <f>Tabla2[[#This Row],[VALOR INVERSION 4]]-6.6</f>
        <v>5.5953999999999837E-2</v>
      </c>
      <c r="P98" s="8">
        <f>Tabla2[[#This Row],[VALOR INVERSION 4]]*Tabla2[[#This Row],[PRECIO DEL DÓLAR]]</f>
        <v>29323.204704240001</v>
      </c>
    </row>
    <row r="99" spans="2:16">
      <c r="B99" s="1">
        <v>45617</v>
      </c>
      <c r="C99" s="8">
        <f>VLOOKUP(B99,Tabla4[],2,FALSE)</f>
        <v>4414.34</v>
      </c>
      <c r="D99" s="24">
        <v>545.64</v>
      </c>
      <c r="E99" s="8">
        <f t="shared" si="14"/>
        <v>8.2828151999999999</v>
      </c>
      <c r="F99" s="8">
        <f>Tabla2[[#This Row],[VALOR INVERSION 1]]-7.7</f>
        <v>0.58281519999999976</v>
      </c>
      <c r="G99" s="8">
        <f>Tabla2[[#This Row],[VALOR INVERSION 1]]*Tabla2[[#This Row],[PRECIO DEL DÓLAR]]</f>
        <v>36563.162449968004</v>
      </c>
      <c r="H99" s="8">
        <f>Tabla2[[#This Row],[VOO]]*0.01527</f>
        <v>8.331922800000001</v>
      </c>
      <c r="I99" s="8">
        <f>Tabla2[[#This Row],[VALOR INVERSION 2]]-7.9</f>
        <v>0.43192280000000061</v>
      </c>
      <c r="J99" s="8">
        <f>Tabla2[[#This Row],[VALOR INVERSION 2]]*Tabla2[[#This Row],[PRECIO DEL DÓLAR]]</f>
        <v>36779.940092952005</v>
      </c>
      <c r="K99" s="8">
        <f>Tabla2[[#This Row],[VOO]]*0.01284</f>
        <v>7.0060175999999998</v>
      </c>
      <c r="L99" s="8">
        <f>Tabla2[[#This Row],[VALOR INVERSION 3]]-6.9</f>
        <v>0.10601759999999949</v>
      </c>
      <c r="M99" s="8">
        <f>Tabla2[[#This Row],[VALOR INVERSION 3]]*Tabla2[[#This Row],[PRECIO DEL DÓLAR]]</f>
        <v>30926.943732383999</v>
      </c>
      <c r="N99" s="8">
        <f>Tabla2[[#This Row],[VOO]]*0.01226</f>
        <v>6.6895464000000002</v>
      </c>
      <c r="O99" s="8">
        <f>Tabla2[[#This Row],[VALOR INVERSION 4]]-6.6</f>
        <v>8.9546400000000581E-2</v>
      </c>
      <c r="P99" s="8">
        <f>Tabla2[[#This Row],[VALOR INVERSION 4]]*Tabla2[[#This Row],[PRECIO DEL DÓLAR]]</f>
        <v>29529.932255376003</v>
      </c>
    </row>
    <row r="100" spans="2:16">
      <c r="B100" s="1">
        <v>45618</v>
      </c>
      <c r="C100" s="8">
        <f>VLOOKUP(B100,Tabla4[],2,FALSE)</f>
        <v>4438.78</v>
      </c>
      <c r="D100" s="24">
        <v>547.47</v>
      </c>
      <c r="E100" s="8">
        <f t="shared" si="14"/>
        <v>8.3105946000000017</v>
      </c>
      <c r="F100" s="8">
        <f>Tabla2[[#This Row],[VALOR INVERSION 1]]-7.7</f>
        <v>0.61059460000000154</v>
      </c>
      <c r="G100" s="8">
        <f>Tabla2[[#This Row],[VALOR INVERSION 1]]*Tabla2[[#This Row],[PRECIO DEL DÓLAR]]</f>
        <v>36888.901098588009</v>
      </c>
      <c r="H100" s="8">
        <f>Tabla2[[#This Row],[VOO]]*0.01527</f>
        <v>8.3598669000000001</v>
      </c>
      <c r="I100" s="8">
        <f>Tabla2[[#This Row],[VALOR INVERSION 2]]-7.9</f>
        <v>0.45986689999999975</v>
      </c>
      <c r="J100" s="8">
        <f>Tabla2[[#This Row],[VALOR INVERSION 2]]*Tabla2[[#This Row],[PRECIO DEL DÓLAR]]</f>
        <v>37107.609998381995</v>
      </c>
      <c r="K100" s="8">
        <f>Tabla2[[#This Row],[VOO]]*0.01284</f>
        <v>7.0295148000000012</v>
      </c>
      <c r="L100" s="8">
        <f>Tabla2[[#This Row],[VALOR INVERSION 3]]-6.9</f>
        <v>0.12951480000000082</v>
      </c>
      <c r="M100" s="8">
        <f>Tabla2[[#This Row],[VALOR INVERSION 3]]*Tabla2[[#This Row],[PRECIO DEL DÓLAR]]</f>
        <v>31202.469703944003</v>
      </c>
      <c r="N100" s="8">
        <f>Tabla2[[#This Row],[VOO]]*0.01226</f>
        <v>6.7119822000000005</v>
      </c>
      <c r="O100" s="8">
        <f>Tabla2[[#This Row],[VALOR INVERSION 4]]-6.6</f>
        <v>0.11198220000000081</v>
      </c>
      <c r="P100" s="8">
        <f>Tabla2[[#This Row],[VALOR INVERSION 4]]*Tabla2[[#This Row],[PRECIO DEL DÓLAR]]</f>
        <v>29793.012349716002</v>
      </c>
    </row>
    <row r="101" spans="2:16">
      <c r="B101" s="1">
        <v>45621</v>
      </c>
      <c r="C101" s="8">
        <f>VLOOKUP(B101,Tabla4[],2,FALSE)</f>
        <v>4362.95</v>
      </c>
      <c r="D101" s="24">
        <v>549.23</v>
      </c>
      <c r="E101" s="8">
        <f t="shared" si="14"/>
        <v>8.3373114000000008</v>
      </c>
      <c r="F101" s="8">
        <f>Tabla2[[#This Row],[VALOR INVERSION 1]]-7.7</f>
        <v>0.63731140000000064</v>
      </c>
      <c r="G101" s="8">
        <f>Tabla2[[#This Row],[VALOR INVERSION 1]]*Tabla2[[#This Row],[PRECIO DEL DÓLAR]]</f>
        <v>36375.27277263</v>
      </c>
      <c r="H101" s="8">
        <f>Tabla2[[#This Row],[VOO]]*0.01527</f>
        <v>8.3867421000000011</v>
      </c>
      <c r="I101" s="8">
        <f>Tabla2[[#This Row],[VALOR INVERSION 2]]-7.9</f>
        <v>0.48674210000000073</v>
      </c>
      <c r="J101" s="8">
        <f>Tabla2[[#This Row],[VALOR INVERSION 2]]*Tabla2[[#This Row],[PRECIO DEL DÓLAR]]</f>
        <v>36590.936445195002</v>
      </c>
      <c r="K101" s="8">
        <f>Tabla2[[#This Row],[VOO]]*0.01284</f>
        <v>7.0521132000000009</v>
      </c>
      <c r="L101" s="8">
        <f>Tabla2[[#This Row],[VALOR INVERSION 3]]-6.9</f>
        <v>0.1521132000000005</v>
      </c>
      <c r="M101" s="8">
        <f>Tabla2[[#This Row],[VALOR INVERSION 3]]*Tabla2[[#This Row],[PRECIO DEL DÓLAR]]</f>
        <v>30768.017285940001</v>
      </c>
      <c r="N101" s="8">
        <f>Tabla2[[#This Row],[VOO]]*0.01226</f>
        <v>6.7335598000000001</v>
      </c>
      <c r="O101" s="8">
        <f>Tabla2[[#This Row],[VALOR INVERSION 4]]-6.6</f>
        <v>0.13355980000000045</v>
      </c>
      <c r="P101" s="8">
        <f>Tabla2[[#This Row],[VALOR INVERSION 4]]*Tabla2[[#This Row],[PRECIO DEL DÓLAR]]</f>
        <v>29378.184729410001</v>
      </c>
    </row>
    <row r="102" spans="2:16">
      <c r="B102" s="1">
        <v>45622</v>
      </c>
      <c r="C102" s="8">
        <f>VLOOKUP(B102,Tabla4[],2,FALSE)</f>
        <v>4399.41</v>
      </c>
      <c r="D102" s="24">
        <v>552.30999999999995</v>
      </c>
      <c r="E102" s="8">
        <f t="shared" si="14"/>
        <v>8.3840658000000001</v>
      </c>
      <c r="F102" s="8">
        <f>Tabla2[[#This Row],[VALOR INVERSION 1]]-7.7</f>
        <v>0.68406579999999995</v>
      </c>
      <c r="G102" s="8">
        <f>Tabla2[[#This Row],[VALOR INVERSION 1]]*Tabla2[[#This Row],[PRECIO DEL DÓLAR]]</f>
        <v>36884.942921178001</v>
      </c>
      <c r="H102" s="8">
        <f>Tabla2[[#This Row],[VOO]]*0.01527</f>
        <v>8.4337736999999997</v>
      </c>
      <c r="I102" s="8">
        <f>Tabla2[[#This Row],[VALOR INVERSION 2]]-7.9</f>
        <v>0.53377369999999935</v>
      </c>
      <c r="J102" s="8">
        <f>Tabla2[[#This Row],[VALOR INVERSION 2]]*Tabla2[[#This Row],[PRECIO DEL DÓLAR]]</f>
        <v>37103.628353517001</v>
      </c>
      <c r="K102" s="8">
        <f>Tabla2[[#This Row],[VOO]]*0.01284</f>
        <v>7.0916603999999994</v>
      </c>
      <c r="L102" s="8">
        <f>Tabla2[[#This Row],[VALOR INVERSION 3]]-6.9</f>
        <v>0.19166039999999906</v>
      </c>
      <c r="M102" s="8">
        <f>Tabla2[[#This Row],[VALOR INVERSION 3]]*Tabla2[[#This Row],[PRECIO DEL DÓLAR]]</f>
        <v>31199.121680363998</v>
      </c>
      <c r="N102" s="8">
        <f>Tabla2[[#This Row],[VOO]]*0.01226</f>
        <v>6.7713205999999992</v>
      </c>
      <c r="O102" s="8">
        <f>Tabla2[[#This Row],[VALOR INVERSION 4]]-6.6</f>
        <v>0.1713205999999996</v>
      </c>
      <c r="P102" s="8">
        <f>Tabla2[[#This Row],[VALOR INVERSION 4]]*Tabla2[[#This Row],[PRECIO DEL DÓLAR]]</f>
        <v>29789.815560845997</v>
      </c>
    </row>
    <row r="103" spans="2:16">
      <c r="B103" s="1">
        <v>45623</v>
      </c>
      <c r="C103" s="8">
        <f>VLOOKUP(B103,Tabla4[],2,FALSE)</f>
        <v>4379.28</v>
      </c>
      <c r="D103" s="24">
        <v>550.54999999999995</v>
      </c>
      <c r="E103" s="8">
        <f t="shared" ref="E103:E108" si="15">0.01518 * D103</f>
        <v>8.3573489999999993</v>
      </c>
      <c r="F103" s="8">
        <f>Tabla2[[#This Row],[VALOR INVERSION 1]]-7.7</f>
        <v>0.65734899999999907</v>
      </c>
      <c r="G103" s="8">
        <f>Tabla2[[#This Row],[VALOR INVERSION 1]]*Tabla2[[#This Row],[PRECIO DEL DÓLAR]]</f>
        <v>36599.171328719996</v>
      </c>
      <c r="H103" s="8">
        <f>Tabla2[[#This Row],[VOO]]*0.01527</f>
        <v>8.4068985000000005</v>
      </c>
      <c r="I103" s="8">
        <f>Tabla2[[#This Row],[VALOR INVERSION 2]]-7.9</f>
        <v>0.50689850000000014</v>
      </c>
      <c r="J103" s="8">
        <f>Tabla2[[#This Row],[VALOR INVERSION 2]]*Tabla2[[#This Row],[PRECIO DEL DÓLAR]]</f>
        <v>36816.16246308</v>
      </c>
      <c r="K103" s="8">
        <f>Tabla2[[#This Row],[VOO]]*0.01284</f>
        <v>7.0690619999999997</v>
      </c>
      <c r="L103" s="8">
        <f>Tabla2[[#This Row],[VALOR INVERSION 3]]-6.9</f>
        <v>0.16906199999999938</v>
      </c>
      <c r="M103" s="8">
        <f>Tabla2[[#This Row],[VALOR INVERSION 3]]*Tabla2[[#This Row],[PRECIO DEL DÓLAR]]</f>
        <v>30957.401835359997</v>
      </c>
      <c r="N103" s="8">
        <f>Tabla2[[#This Row],[VOO]]*0.01226</f>
        <v>6.7497429999999996</v>
      </c>
      <c r="O103" s="8">
        <f>Tabla2[[#This Row],[VALOR INVERSION 4]]-6.6</f>
        <v>0.14974299999999996</v>
      </c>
      <c r="P103" s="8">
        <f>Tabla2[[#This Row],[VALOR INVERSION 4]]*Tabla2[[#This Row],[PRECIO DEL DÓLAR]]</f>
        <v>29559.014525039998</v>
      </c>
    </row>
    <row r="104" spans="2:16">
      <c r="B104" s="1">
        <v>45624</v>
      </c>
      <c r="C104" s="8">
        <f>VLOOKUP(B104,Tabla4[],2,FALSE)</f>
        <v>4390.7299999999996</v>
      </c>
      <c r="D104" s="24">
        <v>550.54999999999995</v>
      </c>
      <c r="E104" s="8">
        <f t="shared" si="15"/>
        <v>8.3573489999999993</v>
      </c>
      <c r="F104" s="8">
        <f>Tabla2[[#This Row],[VALOR INVERSION 1]]-7.7</f>
        <v>0.65734899999999907</v>
      </c>
      <c r="G104" s="8">
        <f>Tabla2[[#This Row],[VALOR INVERSION 1]]*Tabla2[[#This Row],[PRECIO DEL DÓLAR]]</f>
        <v>36694.862974769996</v>
      </c>
      <c r="H104" s="8">
        <f>Tabla2[[#This Row],[VOO]]*0.01527</f>
        <v>8.4068985000000005</v>
      </c>
      <c r="I104" s="8">
        <f>Tabla2[[#This Row],[VALOR INVERSION 2]]-7.9</f>
        <v>0.50689850000000014</v>
      </c>
      <c r="J104" s="8">
        <f>Tabla2[[#This Row],[VALOR INVERSION 2]]*Tabla2[[#This Row],[PRECIO DEL DÓLAR]]</f>
        <v>36912.421450905</v>
      </c>
      <c r="K104" s="8">
        <f>Tabla2[[#This Row],[VOO]]*0.01284</f>
        <v>7.0690619999999997</v>
      </c>
      <c r="L104" s="8">
        <f>Tabla2[[#This Row],[VALOR INVERSION 3]]-6.9</f>
        <v>0.16906199999999938</v>
      </c>
      <c r="M104" s="8">
        <f>Tabla2[[#This Row],[VALOR INVERSION 3]]*Tabla2[[#This Row],[PRECIO DEL DÓLAR]]</f>
        <v>31038.342595259997</v>
      </c>
      <c r="N104" s="8">
        <f>Tabla2[[#This Row],[VOO]]*0.01226</f>
        <v>6.7497429999999996</v>
      </c>
      <c r="O104" s="8">
        <f>Tabla2[[#This Row],[VALOR INVERSION 4]]-6.6</f>
        <v>0.14974299999999996</v>
      </c>
      <c r="P104" s="8">
        <f>Tabla2[[#This Row],[VALOR INVERSION 4]]*Tabla2[[#This Row],[PRECIO DEL DÓLAR]]</f>
        <v>29636.299082389996</v>
      </c>
    </row>
    <row r="105" spans="2:16">
      <c r="B105" s="1">
        <v>45625</v>
      </c>
      <c r="C105" s="8">
        <f>VLOOKUP(B105,Tabla4[],2,FALSE)</f>
        <v>4378.58</v>
      </c>
      <c r="D105" s="24">
        <v>553.45000000000005</v>
      </c>
      <c r="E105" s="8">
        <f t="shared" si="15"/>
        <v>8.401371000000001</v>
      </c>
      <c r="F105" s="8">
        <f>Tabla2[[#This Row],[VALOR INVERSION 1]]-7.7</f>
        <v>0.70137100000000085</v>
      </c>
      <c r="G105" s="8">
        <f>Tabla2[[#This Row],[VALOR INVERSION 1]]*Tabla2[[#This Row],[PRECIO DEL DÓLAR]]</f>
        <v>36786.075033180001</v>
      </c>
      <c r="H105" s="8">
        <f>Tabla2[[#This Row],[VOO]]*0.01527</f>
        <v>8.4511815000000006</v>
      </c>
      <c r="I105" s="8">
        <f>Tabla2[[#This Row],[VALOR INVERSION 2]]-7.9</f>
        <v>0.55118150000000021</v>
      </c>
      <c r="J105" s="8">
        <f>Tabla2[[#This Row],[VALOR INVERSION 2]]*Tabla2[[#This Row],[PRECIO DEL DÓLAR]]</f>
        <v>37004.17429227</v>
      </c>
      <c r="K105" s="8">
        <f>Tabla2[[#This Row],[VOO]]*0.01284</f>
        <v>7.1062980000000007</v>
      </c>
      <c r="L105" s="8">
        <f>Tabla2[[#This Row],[VALOR INVERSION 3]]-6.9</f>
        <v>0.20629800000000031</v>
      </c>
      <c r="M105" s="8">
        <f>Tabla2[[#This Row],[VALOR INVERSION 3]]*Tabla2[[#This Row],[PRECIO DEL DÓLAR]]</f>
        <v>31115.494296840003</v>
      </c>
      <c r="N105" s="8">
        <f>Tabla2[[#This Row],[VOO]]*0.01226</f>
        <v>6.7852970000000008</v>
      </c>
      <c r="O105" s="8">
        <f>Tabla2[[#This Row],[VALOR INVERSION 4]]-6.6</f>
        <v>0.18529700000000116</v>
      </c>
      <c r="P105" s="8">
        <f>Tabla2[[#This Row],[VALOR INVERSION 4]]*Tabla2[[#This Row],[PRECIO DEL DÓLAR]]</f>
        <v>29709.965738260002</v>
      </c>
    </row>
    <row r="106" spans="2:16">
      <c r="B106" s="1">
        <v>45628</v>
      </c>
      <c r="C106" s="8">
        <f>VLOOKUP(B106,Tabla4[],2,FALSE)</f>
        <v>4398.53</v>
      </c>
      <c r="D106" s="24">
        <v>555.01</v>
      </c>
      <c r="E106" s="8">
        <f t="shared" si="15"/>
        <v>8.4250518000000003</v>
      </c>
      <c r="F106" s="8">
        <f>Tabla2[[#This Row],[VALOR INVERSION 1]]-7.7</f>
        <v>0.72505180000000014</v>
      </c>
      <c r="G106" s="8">
        <f>Tabla2[[#This Row],[VALOR INVERSION 1]]*Tabla2[[#This Row],[PRECIO DEL DÓLAR]]</f>
        <v>37057.843093853997</v>
      </c>
      <c r="H106" s="8">
        <f>Tabla2[[#This Row],[VOO]]*0.01527</f>
        <v>8.475002700000001</v>
      </c>
      <c r="I106" s="8">
        <f>Tabla2[[#This Row],[VALOR INVERSION 2]]-7.9</f>
        <v>0.57500270000000064</v>
      </c>
      <c r="J106" s="8">
        <f>Tabla2[[#This Row],[VALOR INVERSION 2]]*Tabla2[[#This Row],[PRECIO DEL DÓLAR]]</f>
        <v>37277.553626031004</v>
      </c>
      <c r="K106" s="8">
        <f>Tabla2[[#This Row],[VOO]]*0.01284</f>
        <v>7.1263284000000002</v>
      </c>
      <c r="L106" s="8">
        <f>Tabla2[[#This Row],[VALOR INVERSION 3]]-6.9</f>
        <v>0.22632839999999987</v>
      </c>
      <c r="M106" s="8">
        <f>Tabla2[[#This Row],[VALOR INVERSION 3]]*Tabla2[[#This Row],[PRECIO DEL DÓLAR]]</f>
        <v>31345.369257251998</v>
      </c>
      <c r="N106" s="8">
        <f>Tabla2[[#This Row],[VOO]]*0.01226</f>
        <v>6.8044225999999997</v>
      </c>
      <c r="O106" s="8">
        <f>Tabla2[[#This Row],[VALOR INVERSION 4]]-6.6</f>
        <v>0.20442260000000001</v>
      </c>
      <c r="P106" s="8">
        <f>Tabla2[[#This Row],[VALOR INVERSION 4]]*Tabla2[[#This Row],[PRECIO DEL DÓLAR]]</f>
        <v>29929.456938777996</v>
      </c>
    </row>
    <row r="107" spans="2:16">
      <c r="B107" s="1">
        <v>45629</v>
      </c>
      <c r="C107" s="8">
        <f>VLOOKUP(B107,Tabla4[],2,FALSE)</f>
        <v>4438.1000000000004</v>
      </c>
      <c r="D107" s="24">
        <v>555.14</v>
      </c>
      <c r="E107" s="8">
        <f t="shared" si="15"/>
        <v>8.427025200000001</v>
      </c>
      <c r="F107" s="8">
        <f>Tabla2[[#This Row],[VALOR INVERSION 1]]-7.7</f>
        <v>0.72702520000000082</v>
      </c>
      <c r="G107" s="8">
        <f>Tabla2[[#This Row],[VALOR INVERSION 1]]*Tabla2[[#This Row],[PRECIO DEL DÓLAR]]</f>
        <v>37399.980540120006</v>
      </c>
      <c r="H107" s="8">
        <f>Tabla2[[#This Row],[VOO]]*0.01527</f>
        <v>8.4769877999999999</v>
      </c>
      <c r="I107" s="8">
        <f>Tabla2[[#This Row],[VALOR INVERSION 2]]-7.9</f>
        <v>0.5769877999999995</v>
      </c>
      <c r="J107" s="8">
        <f>Tabla2[[#This Row],[VALOR INVERSION 2]]*Tabla2[[#This Row],[PRECIO DEL DÓLAR]]</f>
        <v>37621.719555180003</v>
      </c>
      <c r="K107" s="8">
        <f>Tabla2[[#This Row],[VOO]]*0.01284</f>
        <v>7.1279976000000005</v>
      </c>
      <c r="L107" s="8">
        <f>Tabla2[[#This Row],[VALOR INVERSION 3]]-6.9</f>
        <v>0.22799760000000013</v>
      </c>
      <c r="M107" s="8">
        <f>Tabla2[[#This Row],[VALOR INVERSION 3]]*Tabla2[[#This Row],[PRECIO DEL DÓLAR]]</f>
        <v>31634.766148560004</v>
      </c>
      <c r="N107" s="8">
        <f>Tabla2[[#This Row],[VOO]]*0.01226</f>
        <v>6.8060163999999999</v>
      </c>
      <c r="O107" s="8">
        <f>Tabla2[[#This Row],[VALOR INVERSION 4]]-6.6</f>
        <v>0.20601640000000021</v>
      </c>
      <c r="P107" s="8">
        <f>Tabla2[[#This Row],[VALOR INVERSION 4]]*Tabla2[[#This Row],[PRECIO DEL DÓLAR]]</f>
        <v>30205.78138484</v>
      </c>
    </row>
    <row r="108" spans="2:16">
      <c r="B108" s="1">
        <v>45630</v>
      </c>
      <c r="C108" s="8">
        <f>VLOOKUP(B108,Tabla4[],2,FALSE)</f>
        <v>4443.45</v>
      </c>
      <c r="D108" s="24">
        <v>558.64</v>
      </c>
      <c r="E108" s="8">
        <f t="shared" si="15"/>
        <v>8.4801552000000004</v>
      </c>
      <c r="F108" s="8">
        <f>Tabla2[[#This Row],[VALOR INVERSION 1]]-7.7</f>
        <v>0.78015520000000027</v>
      </c>
      <c r="G108" s="8">
        <f>Tabla2[[#This Row],[VALOR INVERSION 1]]*Tabla2[[#This Row],[PRECIO DEL DÓLAR]]</f>
        <v>37681.145623440003</v>
      </c>
      <c r="H108" s="8">
        <f>Tabla2[[#This Row],[VOO]]*0.01527</f>
        <v>8.5304327999999998</v>
      </c>
      <c r="I108" s="8">
        <f>Tabla2[[#This Row],[VALOR INVERSION 2]]-7.9</f>
        <v>0.63043279999999946</v>
      </c>
      <c r="J108" s="8">
        <f>Tabla2[[#This Row],[VALOR INVERSION 2]]*Tabla2[[#This Row],[PRECIO DEL DÓLAR]]</f>
        <v>37904.551625159998</v>
      </c>
      <c r="K108" s="8">
        <f>Tabla2[[#This Row],[VOO]]*0.01284</f>
        <v>7.1729376</v>
      </c>
      <c r="L108" s="8">
        <f>Tabla2[[#This Row],[VALOR INVERSION 3]]-6.9</f>
        <v>0.27293759999999967</v>
      </c>
      <c r="M108" s="8">
        <f>Tabla2[[#This Row],[VALOR INVERSION 3]]*Tabla2[[#This Row],[PRECIO DEL DÓLAR]]</f>
        <v>31872.589578719999</v>
      </c>
      <c r="N108" s="8">
        <f>Tabla2[[#This Row],[VOO]]*0.01226</f>
        <v>6.8489263999999999</v>
      </c>
      <c r="O108" s="8">
        <f>Tabla2[[#This Row],[VALOR INVERSION 4]]-6.6</f>
        <v>0.24892640000000021</v>
      </c>
      <c r="P108" s="8">
        <f>Tabla2[[#This Row],[VALOR INVERSION 4]]*Tabla2[[#This Row],[PRECIO DEL DÓLAR]]</f>
        <v>30432.862012079997</v>
      </c>
    </row>
    <row r="109" spans="2:16">
      <c r="B109" s="1">
        <v>45631</v>
      </c>
      <c r="C109" s="8">
        <f>VLOOKUP(B109,Tabla4[],2,FALSE)</f>
        <v>4427.9399999999996</v>
      </c>
      <c r="D109" s="24">
        <v>557.71</v>
      </c>
      <c r="E109" s="8">
        <f>0.01518 * D109</f>
        <v>8.4660378000000005</v>
      </c>
      <c r="F109" s="8">
        <f>Tabla2[[#This Row],[VALOR INVERSION 1]]-7.7</f>
        <v>0.76603780000000032</v>
      </c>
      <c r="G109" s="8">
        <f>Tabla2[[#This Row],[VALOR INVERSION 1]]*Tabla2[[#This Row],[PRECIO DEL DÓLAR]]</f>
        <v>37487.107416131999</v>
      </c>
      <c r="H109" s="8">
        <f>Tabla2[[#This Row],[VOO]]*0.01527</f>
        <v>8.5162317000000005</v>
      </c>
      <c r="I109" s="8">
        <f>Tabla2[[#This Row],[VALOR INVERSION 2]]-7.9</f>
        <v>0.61623170000000016</v>
      </c>
      <c r="J109" s="8">
        <f>Tabla2[[#This Row],[VALOR INVERSION 2]]*Tabla2[[#This Row],[PRECIO DEL DÓLAR]]</f>
        <v>37709.362993698</v>
      </c>
      <c r="K109" s="8">
        <f>Tabla2[[#This Row],[VOO]]*0.01284</f>
        <v>7.160996400000001</v>
      </c>
      <c r="L109" s="8">
        <f>Tabla2[[#This Row],[VALOR INVERSION 3]]-6.9</f>
        <v>0.26099640000000068</v>
      </c>
      <c r="M109" s="8">
        <f>Tabla2[[#This Row],[VALOR INVERSION 3]]*Tabla2[[#This Row],[PRECIO DEL DÓLAR]]</f>
        <v>31708.462399416003</v>
      </c>
      <c r="N109" s="8">
        <f>Tabla2[[#This Row],[VOO]]*0.01226</f>
        <v>6.8375246000000001</v>
      </c>
      <c r="O109" s="8">
        <f>Tabla2[[#This Row],[VALOR INVERSION 4]]-6.6</f>
        <v>0.23752460000000042</v>
      </c>
      <c r="P109" s="8">
        <f>Tabla2[[#This Row],[VALOR INVERSION 4]]*Tabla2[[#This Row],[PRECIO DEL DÓLAR]]</f>
        <v>30276.148677323996</v>
      </c>
    </row>
    <row r="110" spans="2:16">
      <c r="B110" s="1">
        <v>45632</v>
      </c>
      <c r="C110" s="8">
        <f>VLOOKUP(B110,Tabla4[],2,FALSE)</f>
        <v>4424.18</v>
      </c>
      <c r="D110" s="24">
        <v>558.82000000000005</v>
      </c>
      <c r="E110" s="8">
        <f>0.01518 * D110</f>
        <v>8.4828876000000015</v>
      </c>
      <c r="F110" s="8">
        <f>Tabla2[[#This Row],[VALOR INVERSION 1]]-7.7</f>
        <v>0.78288760000000135</v>
      </c>
      <c r="G110" s="8">
        <f>Tabla2[[#This Row],[VALOR INVERSION 1]]*Tabla2[[#This Row],[PRECIO DEL DÓLAR]]</f>
        <v>37529.821662168011</v>
      </c>
      <c r="H110" s="8">
        <f>Tabla2[[#This Row],[VOO]]*0.01527</f>
        <v>8.5331814000000019</v>
      </c>
      <c r="I110" s="8">
        <f>Tabla2[[#This Row],[VALOR INVERSION 2]]-7.9</f>
        <v>0.63318140000000156</v>
      </c>
      <c r="J110" s="8">
        <f>Tabla2[[#This Row],[VALOR INVERSION 2]]*Tabla2[[#This Row],[PRECIO DEL DÓLAR]]</f>
        <v>37752.330486252009</v>
      </c>
      <c r="K110" s="8">
        <f>Tabla2[[#This Row],[VOO]]*0.01284</f>
        <v>7.1752488000000012</v>
      </c>
      <c r="L110" s="8">
        <f>Tabla2[[#This Row],[VALOR INVERSION 3]]-6.9</f>
        <v>0.27524880000000085</v>
      </c>
      <c r="M110" s="8">
        <f>Tabla2[[#This Row],[VALOR INVERSION 3]]*Tabla2[[#This Row],[PRECIO DEL DÓLAR]]</f>
        <v>31744.592235984008</v>
      </c>
      <c r="N110" s="8">
        <f>Tabla2[[#This Row],[VOO]]*0.01226</f>
        <v>6.8511332000000005</v>
      </c>
      <c r="O110" s="8">
        <f>Tabla2[[#This Row],[VALOR INVERSION 4]]-6.6</f>
        <v>0.25113320000000083</v>
      </c>
      <c r="P110" s="8">
        <f>Tabla2[[#This Row],[VALOR INVERSION 4]]*Tabla2[[#This Row],[PRECIO DEL DÓLAR]]</f>
        <v>30310.646480776006</v>
      </c>
    </row>
  </sheetData>
  <conditionalFormatting sqref="F3:F110">
    <cfRule type="cellIs" dxfId="57" priority="10" operator="greaterThan">
      <formula>0</formula>
    </cfRule>
    <cfRule type="cellIs" dxfId="56" priority="11" operator="lessThan">
      <formula>0</formula>
    </cfRule>
  </conditionalFormatting>
  <conditionalFormatting sqref="L75:L7999">
    <cfRule type="cellIs" dxfId="55" priority="3" operator="lessThan">
      <formula>0</formula>
    </cfRule>
    <cfRule type="cellIs" dxfId="54" priority="4" operator="greaterThan">
      <formula>0</formula>
    </cfRule>
  </conditionalFormatting>
  <conditionalFormatting sqref="I53:I8800">
    <cfRule type="cellIs" dxfId="53" priority="6" operator="greaterThan">
      <formula>0</formula>
    </cfRule>
    <cfRule type="cellIs" dxfId="52" priority="7" operator="lessThan">
      <formula>0</formula>
    </cfRule>
  </conditionalFormatting>
  <conditionalFormatting sqref="O95:O9500">
    <cfRule type="cellIs" dxfId="51" priority="2" operator="lessThan">
      <formula>0</formula>
    </cfRule>
    <cfRule type="cellIs" dxfId="50" priority="1" operator="greaterThan">
      <formula>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2"/>
  <sheetViews>
    <sheetView topLeftCell="A33" workbookViewId="0">
      <selection activeCell="L52" sqref="L52"/>
    </sheetView>
  </sheetViews>
  <sheetFormatPr baseColWidth="10" defaultRowHeight="14.25"/>
  <cols>
    <col min="5" max="5" width="14.625" customWidth="1"/>
  </cols>
  <sheetData>
    <row r="2" spans="2:12">
      <c r="B2" s="5" t="s">
        <v>0</v>
      </c>
      <c r="C2" s="5" t="s">
        <v>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12</v>
      </c>
      <c r="K2" s="5" t="s">
        <v>11</v>
      </c>
      <c r="L2" s="5"/>
    </row>
    <row r="3" spans="2:12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  <row r="48" spans="2:11">
      <c r="B48" s="1">
        <v>45523</v>
      </c>
      <c r="C48" s="3">
        <f>VLOOKUP(B48,Tabla4[],2,FALSE)</f>
        <v>4030.16</v>
      </c>
      <c r="D48" s="3">
        <v>5608.24</v>
      </c>
      <c r="E48" s="3">
        <v>19766.490000000002</v>
      </c>
      <c r="F48" s="3">
        <v>68.98</v>
      </c>
      <c r="G48" s="3">
        <v>159.63</v>
      </c>
      <c r="H48" s="3">
        <v>168.42</v>
      </c>
      <c r="I48" s="3">
        <v>173.82</v>
      </c>
      <c r="J48" s="3">
        <v>421.53</v>
      </c>
      <c r="K48" s="3">
        <v>287.55</v>
      </c>
    </row>
    <row r="49" spans="2:11">
      <c r="B49" s="1">
        <v>45524</v>
      </c>
      <c r="C49" s="3">
        <f>VLOOKUP(B49,Tabla4[],2,FALSE)</f>
        <v>4023.02</v>
      </c>
      <c r="D49" s="3">
        <v>5597.11</v>
      </c>
      <c r="E49" s="3">
        <v>19719.82</v>
      </c>
      <c r="F49" s="3">
        <v>69.38</v>
      </c>
      <c r="G49" s="3">
        <v>160.16</v>
      </c>
      <c r="H49" s="3">
        <v>170.41</v>
      </c>
      <c r="I49" s="3">
        <v>175.85</v>
      </c>
      <c r="J49" s="3">
        <v>424.8</v>
      </c>
      <c r="K49" s="3">
        <v>285.63</v>
      </c>
    </row>
    <row r="50" spans="2:11">
      <c r="B50" s="1">
        <v>45525</v>
      </c>
      <c r="C50" s="3">
        <f>VLOOKUP(B50,Tabla4[],2,FALSE)</f>
        <v>4010.2</v>
      </c>
      <c r="D50" s="3">
        <v>5620.94</v>
      </c>
      <c r="E50" s="3">
        <v>19824.84</v>
      </c>
      <c r="F50" s="3">
        <v>69.569999999999993</v>
      </c>
      <c r="G50" s="3">
        <v>161.43</v>
      </c>
      <c r="H50" s="3">
        <v>170.16</v>
      </c>
      <c r="I50" s="3">
        <v>175.21</v>
      </c>
      <c r="J50" s="3">
        <v>424.14</v>
      </c>
      <c r="K50" s="3">
        <v>289.70999999999998</v>
      </c>
    </row>
    <row r="51" spans="2:11">
      <c r="B51" s="1">
        <v>45526</v>
      </c>
      <c r="C51" s="3">
        <f>VLOOKUP(B51,Tabla4[],2,FALSE)</f>
        <v>4036.25</v>
      </c>
      <c r="D51" s="3">
        <v>5570.65</v>
      </c>
      <c r="E51" s="3">
        <v>19491.84</v>
      </c>
      <c r="F51" s="3">
        <v>69.33</v>
      </c>
      <c r="G51" s="3">
        <v>162.35</v>
      </c>
      <c r="H51" s="3">
        <v>170.15</v>
      </c>
      <c r="I51" s="3">
        <v>175.74</v>
      </c>
      <c r="J51" s="3">
        <v>415.55</v>
      </c>
      <c r="K51" s="3">
        <v>289.20999999999998</v>
      </c>
    </row>
    <row r="52" spans="2:11">
      <c r="B52" s="1">
        <v>45527</v>
      </c>
      <c r="C52" s="3">
        <f>VLOOKUP(B52,Tabla4[],2,FALSE)</f>
        <v>4069.62</v>
      </c>
      <c r="D52" s="3">
        <v>5634.6</v>
      </c>
      <c r="E52" s="3">
        <v>19720.87</v>
      </c>
      <c r="F52" s="3">
        <v>69.790000000000006</v>
      </c>
      <c r="G52" s="3">
        <v>164.13</v>
      </c>
      <c r="H52" s="3">
        <v>169.17</v>
      </c>
      <c r="I52" s="3">
        <v>175.87</v>
      </c>
      <c r="J52" s="3">
        <v>416.79</v>
      </c>
      <c r="K52" s="3">
        <v>289.52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I18" sqref="I18"/>
    </sheetView>
  </sheetViews>
  <sheetFormatPr baseColWidth="10" defaultRowHeight="14.25"/>
  <cols>
    <col min="2" max="2" width="18.125" customWidth="1"/>
    <col min="3" max="3" width="18.625" customWidth="1"/>
    <col min="4" max="4" width="18.875" customWidth="1"/>
    <col min="5" max="5" width="18.625" customWidth="1"/>
    <col min="6" max="6" width="19.375" customWidth="1"/>
    <col min="7" max="7" width="20.75" customWidth="1"/>
    <col min="8" max="9" width="20.375" customWidth="1"/>
    <col min="10" max="10" width="13.125" customWidth="1"/>
    <col min="11" max="11" width="19.125" customWidth="1"/>
    <col min="12" max="12" width="20" customWidth="1"/>
    <col min="13" max="13" width="16.75" customWidth="1"/>
    <col min="14" max="14" width="27.25" customWidth="1"/>
    <col min="15" max="15" width="22.75" customWidth="1"/>
    <col min="16" max="16" width="21.75" customWidth="1"/>
    <col min="17" max="17" width="33.75" customWidth="1"/>
    <col min="18" max="18" width="30.625" customWidth="1"/>
    <col min="19" max="19" width="21.75" customWidth="1"/>
    <col min="20" max="20" width="17.875" customWidth="1"/>
  </cols>
  <sheetData>
    <row r="2" spans="2:20">
      <c r="B2" s="20" t="s">
        <v>67</v>
      </c>
      <c r="C2" s="20" t="s">
        <v>68</v>
      </c>
      <c r="D2" s="20" t="s">
        <v>69</v>
      </c>
      <c r="E2" s="20" t="s">
        <v>70</v>
      </c>
      <c r="F2" s="20" t="s">
        <v>71</v>
      </c>
      <c r="G2" s="20" t="s">
        <v>72</v>
      </c>
      <c r="H2" s="20" t="s">
        <v>73</v>
      </c>
      <c r="I2" s="20" t="s">
        <v>84</v>
      </c>
      <c r="J2" s="20" t="s">
        <v>74</v>
      </c>
      <c r="K2" s="20" t="s">
        <v>39</v>
      </c>
      <c r="L2" s="20" t="s">
        <v>75</v>
      </c>
      <c r="M2" s="20" t="s">
        <v>80</v>
      </c>
      <c r="N2" s="20" t="s">
        <v>81</v>
      </c>
      <c r="O2" s="20" t="s">
        <v>76</v>
      </c>
      <c r="P2" s="20" t="s">
        <v>77</v>
      </c>
      <c r="Q2" s="20" t="s">
        <v>82</v>
      </c>
      <c r="R2" s="20" t="s">
        <v>83</v>
      </c>
      <c r="S2" s="20" t="s">
        <v>78</v>
      </c>
      <c r="T2" s="20" t="s">
        <v>47</v>
      </c>
    </row>
    <row r="3" spans="2:20">
      <c r="B3" s="1">
        <f t="shared" ref="B3:B14" ca="1" si="0">TODAY()</f>
        <v>45635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7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>
      <c r="B4" s="1">
        <f t="shared" ca="1" si="0"/>
        <v>45635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8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>
      <c r="B5" s="1">
        <f t="shared" ca="1" si="0"/>
        <v>45635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9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>
      <c r="B6" s="1">
        <f t="shared" ca="1" si="0"/>
        <v>45635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10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>
      <c r="B7" s="1">
        <f t="shared" ca="1" si="0"/>
        <v>45635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11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>
      <c r="B8" s="1">
        <f t="shared" ca="1" si="0"/>
        <v>45635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13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>
      <c r="B9" s="1">
        <f t="shared" ca="1" si="0"/>
        <v>45635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7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>
      <c r="B10" s="1">
        <f t="shared" ca="1" si="0"/>
        <v>45635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8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>
      <c r="B11" s="1">
        <f t="shared" ca="1" si="0"/>
        <v>45635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9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>
      <c r="B12" s="1">
        <f t="shared" ca="1" si="0"/>
        <v>45635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10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>
      <c r="B13" s="1">
        <f t="shared" ca="1" si="0"/>
        <v>45635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11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>
      <c r="B14" s="1">
        <f t="shared" ca="1" si="0"/>
        <v>45635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12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2024-04-08T04:15:12Z</dcterms:created>
  <dcterms:modified xsi:type="dcterms:W3CDTF">2024-12-09T13:00:10Z</dcterms:modified>
</cp:coreProperties>
</file>