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7" l="1"/>
  <c r="M85" i="7" s="1"/>
  <c r="E85" i="7"/>
  <c r="G85" i="7" s="1"/>
  <c r="H85" i="7"/>
  <c r="I85" i="7" s="1"/>
  <c r="K85" i="7"/>
  <c r="L85" i="7" s="1"/>
  <c r="F85" i="7" l="1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63" i="9"/>
  <c r="C63" i="9" s="1"/>
  <c r="I63" i="9"/>
  <c r="L63" i="9" s="1"/>
  <c r="W63" i="9" s="1"/>
  <c r="U63" i="9"/>
  <c r="Y63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63" i="9"/>
  <c r="E63" i="9"/>
  <c r="D63" i="9"/>
  <c r="M63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63" i="9"/>
  <c r="Q63" i="9" s="1"/>
  <c r="V63" i="9"/>
  <c r="X63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/>
  <c r="H68" i="7"/>
  <c r="I68" i="7" s="1"/>
  <c r="J68" i="7" l="1"/>
  <c r="G68" i="7"/>
  <c r="C67" i="7"/>
  <c r="E67" i="7"/>
  <c r="F67" i="7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60" i="9"/>
  <c r="E60" i="9" s="1"/>
  <c r="L60" i="9"/>
  <c r="W60" i="9" s="1"/>
  <c r="U60" i="9"/>
  <c r="Y60" i="9" s="1"/>
  <c r="G67" i="7" l="1"/>
  <c r="M67" i="7"/>
  <c r="J67" i="7"/>
  <c r="D62" i="9"/>
  <c r="C62" i="9"/>
  <c r="F62" i="9"/>
  <c r="C61" i="9"/>
  <c r="F61" i="9"/>
  <c r="E61" i="9"/>
  <c r="C60" i="9"/>
  <c r="D60" i="9"/>
  <c r="F60" i="9"/>
  <c r="C66" i="7"/>
  <c r="M66" i="7" s="1"/>
  <c r="E66" i="7"/>
  <c r="F66" i="7"/>
  <c r="H66" i="7"/>
  <c r="I66" i="7" s="1"/>
  <c r="M62" i="9" l="1"/>
  <c r="M60" i="9"/>
  <c r="M61" i="9"/>
  <c r="V62" i="9"/>
  <c r="N62" i="9"/>
  <c r="Q62" i="9" s="1"/>
  <c r="X62" i="9"/>
  <c r="V61" i="9"/>
  <c r="X61" i="9"/>
  <c r="N61" i="9"/>
  <c r="Q61" i="9" s="1"/>
  <c r="V60" i="9"/>
  <c r="X60" i="9"/>
  <c r="N60" i="9"/>
  <c r="Q60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O18" i="11" s="1"/>
  <c r="K18" i="11"/>
  <c r="L18" i="11"/>
  <c r="N18" i="11" s="1"/>
  <c r="M18" i="11"/>
  <c r="G17" i="11"/>
  <c r="O17" i="11" s="1"/>
  <c r="K17" i="11"/>
  <c r="L17" i="11"/>
  <c r="M17" i="11"/>
  <c r="N17" i="11"/>
  <c r="G16" i="11"/>
  <c r="K16" i="11"/>
  <c r="L16" i="11"/>
  <c r="M16" i="11"/>
  <c r="N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J63" i="7" l="1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57" i="9"/>
  <c r="D57" i="9" s="1"/>
  <c r="L57" i="9"/>
  <c r="W57" i="9" s="1"/>
  <c r="U57" i="9"/>
  <c r="Y57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57" i="9"/>
  <c r="M57" i="9" s="1"/>
  <c r="N57" i="9"/>
  <c r="Q57" i="9" s="1"/>
  <c r="X57" i="9"/>
  <c r="F57" i="9"/>
  <c r="E57" i="9"/>
  <c r="C61" i="7"/>
  <c r="M61" i="7" s="1"/>
  <c r="E61" i="7"/>
  <c r="F61" i="7" s="1"/>
  <c r="H61" i="7"/>
  <c r="I61" i="7" s="1"/>
  <c r="V57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54" i="9"/>
  <c r="C54" i="9" s="1"/>
  <c r="I54" i="9"/>
  <c r="L54" i="9" s="1"/>
  <c r="W54" i="9" s="1"/>
  <c r="U54" i="9"/>
  <c r="Y54" i="9" s="1"/>
  <c r="C56" i="9" l="1"/>
  <c r="F56" i="9"/>
  <c r="E56" i="9"/>
  <c r="D55" i="9"/>
  <c r="C55" i="9"/>
  <c r="M55" i="9" s="1"/>
  <c r="F55" i="9"/>
  <c r="N55" i="9"/>
  <c r="Q55" i="9" s="1"/>
  <c r="X55" i="9"/>
  <c r="F54" i="9"/>
  <c r="E54" i="9"/>
  <c r="D54" i="9"/>
  <c r="M54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54" i="9"/>
  <c r="Q54" i="9" s="1"/>
  <c r="X54" i="9"/>
  <c r="V54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51" i="9"/>
  <c r="D51" i="9" s="1"/>
  <c r="I51" i="9"/>
  <c r="L51" i="9" s="1"/>
  <c r="W51" i="9" s="1"/>
  <c r="U51" i="9"/>
  <c r="Y51" i="9" s="1"/>
  <c r="F53" i="9" l="1"/>
  <c r="M53" i="9" s="1"/>
  <c r="E53" i="9"/>
  <c r="D53" i="9"/>
  <c r="C52" i="9"/>
  <c r="F52" i="9"/>
  <c r="E52" i="9"/>
  <c r="C51" i="9"/>
  <c r="M51" i="9" s="1"/>
  <c r="N51" i="9"/>
  <c r="Q51" i="9" s="1"/>
  <c r="X51" i="9"/>
  <c r="F51" i="9"/>
  <c r="E51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51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48" i="9"/>
  <c r="D48" i="9" s="1"/>
  <c r="I48" i="9"/>
  <c r="L48" i="9" s="1"/>
  <c r="W48" i="9" s="1"/>
  <c r="U48" i="9"/>
  <c r="Y48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48" i="9"/>
  <c r="N48" i="9"/>
  <c r="Q48" i="9" s="1"/>
  <c r="C48" i="9"/>
  <c r="M48" i="9" s="1"/>
  <c r="F48" i="9"/>
  <c r="E48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48" i="9"/>
  <c r="H17" i="13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45" i="9"/>
  <c r="E45" i="9" s="1"/>
  <c r="I45" i="9"/>
  <c r="L45" i="9" s="1"/>
  <c r="W45" i="9" s="1"/>
  <c r="U45" i="9"/>
  <c r="Y45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U3" i="13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45" i="9"/>
  <c r="C45" i="9"/>
  <c r="F45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42" i="9"/>
  <c r="C42" i="9" s="1"/>
  <c r="I42" i="9"/>
  <c r="L42" i="9" s="1"/>
  <c r="W42" i="9" s="1"/>
  <c r="U42" i="9"/>
  <c r="Y42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39" i="9"/>
  <c r="C39" i="9" s="1"/>
  <c r="I39" i="9"/>
  <c r="L39" i="9" s="1"/>
  <c r="W39" i="9" s="1"/>
  <c r="U39" i="9"/>
  <c r="Y39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45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45" i="9"/>
  <c r="X45" i="9"/>
  <c r="N45" i="9"/>
  <c r="Q45" i="9" s="1"/>
  <c r="G40" i="7"/>
  <c r="F44" i="9"/>
  <c r="E44" i="9"/>
  <c r="D44" i="9"/>
  <c r="F43" i="9"/>
  <c r="E43" i="9"/>
  <c r="D43" i="9"/>
  <c r="F42" i="9"/>
  <c r="E42" i="9"/>
  <c r="D42" i="9"/>
  <c r="M42" i="9" s="1"/>
  <c r="G38" i="7"/>
  <c r="F41" i="9"/>
  <c r="M41" i="9" s="1"/>
  <c r="E41" i="9"/>
  <c r="D41" i="9"/>
  <c r="F40" i="9"/>
  <c r="E40" i="9"/>
  <c r="D40" i="9"/>
  <c r="F39" i="9"/>
  <c r="E39" i="9"/>
  <c r="D39" i="9"/>
  <c r="M39" i="9" s="1"/>
  <c r="G34" i="7"/>
  <c r="F38" i="9"/>
  <c r="M38" i="9" s="1"/>
  <c r="E38" i="9"/>
  <c r="D38" i="9"/>
  <c r="F37" i="9"/>
  <c r="E37" i="9"/>
  <c r="D37" i="9"/>
  <c r="F36" i="9"/>
  <c r="E36" i="9"/>
  <c r="D36" i="9"/>
  <c r="M36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42" i="9"/>
  <c r="Q42" i="9" s="1"/>
  <c r="V42" i="9"/>
  <c r="X42" i="9"/>
  <c r="V41" i="9"/>
  <c r="N41" i="9"/>
  <c r="Q41" i="9" s="1"/>
  <c r="X41" i="9"/>
  <c r="V40" i="9"/>
  <c r="X40" i="9"/>
  <c r="N39" i="9"/>
  <c r="Q39" i="9" s="1"/>
  <c r="V39" i="9"/>
  <c r="X39" i="9"/>
  <c r="V38" i="9"/>
  <c r="N38" i="9"/>
  <c r="Q38" i="9" s="1"/>
  <c r="X38" i="9"/>
  <c r="X37" i="9"/>
  <c r="V37" i="9"/>
  <c r="N36" i="9"/>
  <c r="Q36" i="9" s="1"/>
  <c r="X36" i="9"/>
  <c r="V36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3" i="9"/>
  <c r="E33" i="9"/>
  <c r="D33" i="9"/>
  <c r="M3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F32" i="9"/>
  <c r="M32" i="9" s="1"/>
  <c r="E32" i="9"/>
  <c r="D32" i="9"/>
  <c r="F31" i="9"/>
  <c r="E31" i="9"/>
  <c r="D31" i="9"/>
  <c r="F30" i="9"/>
  <c r="E30" i="9"/>
  <c r="D30" i="9"/>
  <c r="M3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27" i="9"/>
  <c r="E27" i="9"/>
  <c r="D27" i="9"/>
  <c r="M27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13" i="9"/>
  <c r="E13" i="9"/>
  <c r="D13" i="9"/>
  <c r="F12" i="9"/>
  <c r="E12" i="9"/>
  <c r="D12" i="9"/>
  <c r="L11" i="9"/>
  <c r="W11" i="9" s="1"/>
  <c r="F11" i="9"/>
  <c r="E11" i="9"/>
  <c r="D11" i="9"/>
  <c r="F10" i="9"/>
  <c r="E10" i="9"/>
  <c r="D10" i="9"/>
  <c r="F9" i="9"/>
  <c r="D9" i="9"/>
  <c r="E9" i="9"/>
  <c r="F8" i="9"/>
  <c r="E8" i="9"/>
  <c r="D8" i="9"/>
  <c r="F7" i="9"/>
  <c r="E7" i="9"/>
  <c r="D7" i="9"/>
  <c r="F6" i="9"/>
  <c r="E6" i="9"/>
  <c r="D6" i="9"/>
  <c r="F5" i="9"/>
  <c r="E5" i="9"/>
  <c r="D5" i="9"/>
  <c r="F3" i="9"/>
  <c r="F4" i="9"/>
  <c r="E4" i="9"/>
  <c r="D4" i="9"/>
  <c r="D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12" i="9"/>
  <c r="M12" i="9"/>
  <c r="X17" i="9"/>
  <c r="M17" i="9"/>
  <c r="X7" i="9"/>
  <c r="M7" i="9"/>
  <c r="X10" i="9"/>
  <c r="M10" i="9"/>
  <c r="V25" i="9"/>
  <c r="M25" i="9"/>
  <c r="N31" i="9"/>
  <c r="Q31" i="9" s="1"/>
  <c r="M31" i="9"/>
  <c r="X3" i="9"/>
  <c r="M3" i="9"/>
  <c r="X16" i="9"/>
  <c r="M16" i="9"/>
  <c r="N28" i="9"/>
  <c r="Q28" i="9" s="1"/>
  <c r="M28" i="9"/>
  <c r="X13" i="9"/>
  <c r="M13" i="9"/>
  <c r="X35" i="9"/>
  <c r="M35" i="9"/>
  <c r="X5" i="9"/>
  <c r="M5" i="9"/>
  <c r="X15" i="9"/>
  <c r="M15" i="9"/>
  <c r="X11" i="9"/>
  <c r="M11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3" i="9"/>
  <c r="Q33" i="9" s="1"/>
  <c r="X33" i="9"/>
  <c r="V33" i="9"/>
  <c r="V31" i="9"/>
  <c r="V32" i="9"/>
  <c r="N32" i="9"/>
  <c r="Q32" i="9" s="1"/>
  <c r="X32" i="9"/>
  <c r="X31" i="9"/>
  <c r="N30" i="9"/>
  <c r="Q30" i="9" s="1"/>
  <c r="X30" i="9"/>
  <c r="V30" i="9"/>
  <c r="S7" i="12"/>
  <c r="T7" i="12" s="1"/>
  <c r="V29" i="9"/>
  <c r="N29" i="9"/>
  <c r="Q29" i="9" s="1"/>
  <c r="X28" i="9"/>
  <c r="V28" i="9"/>
  <c r="N27" i="9"/>
  <c r="Q27" i="9" s="1"/>
  <c r="X27" i="9"/>
  <c r="V27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3" i="9"/>
  <c r="Q3" i="9" s="1"/>
  <c r="V18" i="9"/>
  <c r="V4" i="9"/>
  <c r="V6" i="9"/>
  <c r="V9" i="9"/>
  <c r="V14" i="9"/>
  <c r="V19" i="9"/>
  <c r="V7" i="9"/>
  <c r="V11" i="9"/>
  <c r="V12" i="9"/>
  <c r="V17" i="9"/>
  <c r="V5" i="9"/>
  <c r="V15" i="9"/>
  <c r="V13" i="9"/>
  <c r="N8" i="9"/>
  <c r="Q8" i="9" s="1"/>
  <c r="V8" i="9"/>
  <c r="V10" i="9"/>
  <c r="V16" i="9"/>
  <c r="V21" i="9"/>
  <c r="V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<sst xmlns="http://schemas.openxmlformats.org/spreadsheetml/2006/main" count="351" uniqueCount="124">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</sst>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40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9"/>
      <tableStyleElement type="headerRow" dxfId="138"/>
      <tableStyleElement type="secondRowStripe" dxfId="137"/>
    </tableStyle>
    <tableStyle name="Estilo de tabla 2" pivot="0" count="5">
      <tableStyleElement type="wholeTable" dxfId="136"/>
      <tableStyleElement type="headerRow" dxfId="135"/>
      <tableStyleElement type="firstRowStripe" dxfId="134"/>
      <tableStyleElement type="secondRowStripe" dxfId="133"/>
      <tableStyleElement type="firstColumnStripe" dxfId="132"/>
    </tableStyle>
    <tableStyle name="Estilo de tabla 3" pivot="0" count="3">
      <tableStyleElement type="headerRow" dxfId="131"/>
      <tableStyleElement type="firstRowStripe" dxfId="130"/>
      <tableStyleElement type="secondRowStripe" dxfId="129"/>
    </tableStyle>
    <tableStyle name="Estilo de tabla 4" pivot="0" count="4">
      <tableStyleElement type="wholeTable" dxfId="128"/>
      <tableStyleElement type="headerRow" dxfId="127"/>
      <tableStyleElement type="firstRowStripe" dxfId="126"/>
      <tableStyleElement type="secondRowStripe" dxfId="125"/>
    </tableStyle>
    <tableStyle name="Estilo de tabla 5" pivot="0" count="4">
      <tableStyleElement type="wholeTable" dxfId="124"/>
      <tableStyleElement type="headerRow" dxfId="123"/>
      <tableStyleElement type="firstRowStripe" dxfId="122"/>
      <tableStyleElement type="secondRowStripe" dxfId="121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CRIPTOS!$B$3:$B$192</c:f>
              <c:numCache>
                <c:formatCode>m/d/yyyy</c:formatCode>
                <c:ptCount val="19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</c:numCache>
            </c:numRef>
          </c:cat>
          <c:val>
            <c:numRef>
              <c:f>CRIPTOS!$C$3:$C$192</c:f>
              <c:numCache>
                <c:formatCode>_-[$$-240A]\ * #,##0.00_-;\-[$$-240A]\ * #,##0.00_-;_-[$$-240A]\ * "-"??_-;_-@_-</c:formatCode>
                <c:ptCount val="190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CRIPTOS!$B$3:$B$192</c:f>
              <c:numCache>
                <c:formatCode>m/d/yyyy</c:formatCode>
                <c:ptCount val="19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</c:numCache>
            </c:numRef>
          </c:cat>
          <c:val>
            <c:numRef>
              <c:f>CRIPTOS!$D$3:$D$192</c:f>
              <c:numCache>
                <c:formatCode>_-[$$-240A]\ * #,##0.00_-;\-[$$-240A]\ * #,##0.00_-;_-[$$-240A]\ * "-"??_-;_-@_-</c:formatCode>
                <c:ptCount val="190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CRIPTOS!$B$3:$B$192</c:f>
              <c:numCache>
                <c:formatCode>m/d/yyyy</c:formatCode>
                <c:ptCount val="19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</c:numCache>
            </c:numRef>
          </c:cat>
          <c:val>
            <c:numRef>
              <c:f>CRIPTOS!$E$3:$E$192</c:f>
              <c:numCache>
                <c:formatCode>_-[$$-240A]\ * #,##0.00_-;\-[$$-240A]\ * #,##0.00_-;_-[$$-240A]\ * "-"??_-;_-@_-</c:formatCode>
                <c:ptCount val="190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CRIPTOS!$B$3:$B$192</c:f>
              <c:numCache>
                <c:formatCode>m/d/yyyy</c:formatCode>
                <c:ptCount val="19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</c:numCache>
            </c:numRef>
          </c:cat>
          <c:val>
            <c:numRef>
              <c:f>CRIPTOS!$F$3:$F$192</c:f>
              <c:numCache>
                <c:formatCode>_-[$$-240A]\ * #,##0.00_-;\-[$$-240A]\ * #,##0.00_-;_-[$$-240A]\ * "-"??_-;_-@_-</c:formatCode>
                <c:ptCount val="190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CRIPTOS!$B$3:$B$192</c:f>
              <c:numCache>
                <c:formatCode>m/d/yyyy</c:formatCode>
                <c:ptCount val="19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</c:numCache>
            </c:numRef>
          </c:cat>
          <c:val>
            <c:numRef>
              <c:f>CRIPTOS!$G$3:$G$192</c:f>
              <c:numCache>
                <c:formatCode>_-[$$-240A]\ * #,##0.00_-;\-[$$-240A]\ * #,##0.00_-;_-[$$-240A]\ * "-"??_-;_-@_-</c:formatCode>
                <c:ptCount val="190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Bolsa'!$C$3:$C$85</c:f>
              <c:numCache>
                <c:formatCode>_("$"* #,##0.00_);_("$"* \(#,##0.00\);_("$"* "-"??_);_(@_)</c:formatCode>
                <c:ptCount val="83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Bolsa'!$D$3:$D$85</c:f>
              <c:numCache>
                <c:formatCode>_("$"* #,##0.00_);_("$"* \(#,##0.00\);_("$"* "-"??_);_(@_)</c:formatCode>
                <c:ptCount val="83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Bolsa'!$E$3:$E$85</c:f>
              <c:numCache>
                <c:formatCode>_("$"* #,##0.00_);_("$"* \(#,##0.00\);_("$"* "-"??_);_(@_)</c:formatCode>
                <c:ptCount val="83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Bolsa'!$F$3:$F$85</c:f>
              <c:numCache>
                <c:formatCode>_("$"* #,##0.00_);_("$"* \(#,##0.00\);_("$"* "-"??_);_(@_)</c:formatCode>
                <c:ptCount val="83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Bolsa'!$G$3:$G$85</c:f>
              <c:numCache>
                <c:formatCode>_("$"* #,##0.00_);_("$"* \(#,##0.00\);_("$"* "-"??_);_(@_)</c:formatCode>
                <c:ptCount val="83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Bolsa'!$H$3:$H$85</c:f>
              <c:numCache>
                <c:formatCode>_("$"* #,##0.00_);_("$"* \(#,##0.00\);_("$"* "-"??_);_(@_)</c:formatCode>
                <c:ptCount val="83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Bolsa'!$I$3:$I$85</c:f>
              <c:numCache>
                <c:formatCode>_("$"* #,##0.00_);_("$"* \(#,##0.00\);_("$"* "-"??_);_(@_)</c:formatCode>
                <c:ptCount val="83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Bolsa'!$J$3:$J$85</c:f>
              <c:numCache>
                <c:formatCode>_("$"* #,##0.00_);_("$"* \(#,##0.00\);_("$"* "-"??_);_(@_)</c:formatCode>
                <c:ptCount val="83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Bolsa'!$K$3:$K$85</c:f>
              <c:numCache>
                <c:formatCode>_("$"* #,##0.00_);_("$"* \(#,##0.00\);_("$"* "-"??_);_(@_)</c:formatCode>
                <c:ptCount val="83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Bolsa'!$L$3:$L$85</c:f>
              <c:numCache>
                <c:formatCode>_("$"* #,##0.00_);_("$"* \(#,##0.00\);_("$"* "-"??_);_(@_)</c:formatCode>
                <c:ptCount val="83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Bolsa'!$B$3:$B$85</c:f>
              <c:numCache>
                <c:formatCode>m/d/yyyy</c:formatCode>
                <c:ptCount val="83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</c:numCache>
            </c:numRef>
          </c:cat>
          <c:val>
            <c:numRef>
              <c:f>'Inv Bolsa'!$M$3:$M$85</c:f>
              <c:numCache>
                <c:formatCode>_("$"* #,##0.00_);_("$"* \(#,##0.00\);_("$"* "-"??_);_(@_)</c:formatCode>
                <c:ptCount val="83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0" totalsRowShown="0">
  <autoFilter ref="B2:I30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6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3">
  <autoFilter ref="B2:T14"/>
  <tableColumns count="19">
    <tableColumn id="1" name="FECHA ACTUAL" dataDxfId="22">
      <calculatedColumnFormula>TODAY()</calculatedColumnFormula>
    </tableColumn>
    <tableColumn id="2" name="PRECIO ACT KO" dataDxfId="21" dataCellStyle="Moneda">
      <calculatedColumnFormula>VLOOKUP(B3,Tabla1[],5,FALSE)</calculatedColumnFormula>
    </tableColumn>
    <tableColumn id="3" name="PRECIO ACT JNJ" dataDxfId="20">
      <calculatedColumnFormula>VLOOKUP(B3,Tabla1[],6,FALSE)</calculatedColumnFormula>
    </tableColumn>
    <tableColumn id="4" name="PRECIO ACT PG" dataDxfId="19">
      <calculatedColumnFormula>VLOOKUP(B3,Tabla1[],7,FALSE)</calculatedColumnFormula>
    </tableColumn>
    <tableColumn id="5" name="PRECIO ACT PEP" dataDxfId="18">
      <calculatedColumnFormula>VLOOKUP(B3,Tabla1[],8,FALSE)</calculatedColumnFormula>
    </tableColumn>
    <tableColumn id="6" name="PRECIO ACT MSFT" dataDxfId="17">
      <calculatedColumnFormula>VLOOKUP(B3,Tabla1[],9,FALSE)</calculatedColumnFormula>
    </tableColumn>
    <tableColumn id="7" name="PRECIO ACT MCD" dataDxfId="16">
      <calculatedColumnFormula>VLOOKUP(B3,Tabla1[],10,FALSE)</calculatedColumnFormula>
    </tableColumn>
    <tableColumn id="20" name="PRECIO ACT VOO" dataDxfId="15">
      <calculatedColumnFormula>VLOOKUP(B3,Tabla2[],3,FALSE)</calculatedColumnFormula>
    </tableColumn>
    <tableColumn id="8" name="EMPRESA" dataDxfId="14"/>
    <tableColumn id="9" name="FECHA COMPRA" dataDxfId="13"/>
    <tableColumn id="10" name="PRECIO COMPRA" dataDxfId="12" dataCellStyle="Moneda"/>
    <tableColumn id="11" name="CAPITAL INVE" dataDxfId="11" dataCellStyle="Moneda"/>
    <tableColumn id="12" name="CANTIDAD DE ACCIONES" dataDxfId="10" dataCellStyle="Moneda">
      <calculatedColumnFormula>(M3/L3)</calculatedColumnFormula>
    </tableColumn>
    <tableColumn id="13" name="VALOR ACTUAL INVE" dataDxfId="9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8"/>
    <tableColumn id="15" name="VALOR DIVIDENDO POR ACCION" dataDxfId="7" dataCellStyle="Moneda"/>
    <tableColumn id="16" name="TOTAL DIVIDENDO RECIBIDO" dataDxfId="6" dataCellStyle="Moneda">
      <calculatedColumnFormula>ROUND(Q3*N3,2)</calculatedColumnFormula>
    </tableColumn>
    <tableColumn id="17" name="GANACIA/PERDIDA" dataDxfId="5" dataCellStyle="Moneda">
      <calculatedColumnFormula>ROUND(O3-M3,2)</calculatedColumnFormula>
    </tableColumn>
    <tableColumn id="18" name="RENTABILIDAD" dataDxfId="4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5" dataDxfId="113" headerRowBorderDxfId="114" tableBorderDxfId="112" totalsRowBorderDxfId="111" dataCellStyle="Moneda">
  <autoFilter ref="L2:Y3"/>
  <tableColumns count="14">
    <tableColumn id="1" name="MES" dataDxfId="110"/>
    <tableColumn id="2" name="ENERO" dataDxfId="109" dataCellStyle="Moneda"/>
    <tableColumn id="3" name="FEBRERO" dataDxfId="108" dataCellStyle="Moneda"/>
    <tableColumn id="4" name="MARZO" dataDxfId="107" dataCellStyle="Moneda"/>
    <tableColumn id="5" name="ABRIL" dataDxfId="106" dataCellStyle="Moneda"/>
    <tableColumn id="6" name="MAYO" dataDxfId="105" dataCellStyle="Moneda"/>
    <tableColumn id="7" name="JUNIO" dataDxfId="104" dataCellStyle="Moneda"/>
    <tableColumn id="8" name="JULIO" dataDxfId="103" dataCellStyle="Moneda">
      <calculatedColumnFormula>SUM(H3:H9)</calculatedColumnFormula>
    </tableColumn>
    <tableColumn id="9" name="AGOSTO" dataDxfId="102" dataCellStyle="Moneda">
      <calculatedColumnFormula>SUM(H10:H16)</calculatedColumnFormula>
    </tableColumn>
    <tableColumn id="10" name="SEPTIEMBRE" dataDxfId="101" dataCellStyle="Moneda">
      <calculatedColumnFormula>SUM(H17:H23)</calculatedColumnFormula>
    </tableColumn>
    <tableColumn id="11" name="OCTUBRE" dataDxfId="100" dataCellStyle="Moneda"/>
    <tableColumn id="12" name="NOVIEMBRE" dataDxfId="99" dataCellStyle="Moneda"/>
    <tableColumn id="13" name="DICIEMBRE" dataDxfId="98" dataCellStyle="Moneda"/>
    <tableColumn id="14" name="TOTAL ANUAL" dataDxfId="97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4" totalsRowShown="0" headerRowDxfId="96">
  <autoFilter ref="B2:J14"/>
  <tableColumns count="9">
    <tableColumn id="1" name="MES"/>
    <tableColumn id="2" name="CUENTA"/>
    <tableColumn id="3" name="CANTIDAD INICIAL" dataDxfId="95"/>
    <tableColumn id="4" name="CAPITAL INVERTIDO" dataDxfId="94"/>
    <tableColumn id="5" name="INTERES OBTENIDO" dataDxfId="93"/>
    <tableColumn id="6" name="PORCENTAJE DE INTERES" dataDxfId="92" dataCellStyle="Porcentaje">
      <calculatedColumnFormula>(F3/(D3+E3))</calculatedColumnFormula>
    </tableColumn>
    <tableColumn id="7" name="RETIROS DE CAPITAL" dataDxfId="91"/>
    <tableColumn id="8" name="TOTAL CAPITAL FIN DE MES" dataDxfId="90">
      <calculatedColumnFormula>D3+E3+F3-H3</calculatedColumnFormula>
    </tableColumn>
    <tableColumn id="9" name="RENTABILIDAD" dataDxfId="89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92" totalsRowShown="0">
  <autoFilter ref="B2:G192"/>
  <tableColumns count="6">
    <tableColumn id="1" name="FECHA" dataDxfId="88"/>
    <tableColumn id="2" name="DÓLAR" dataDxfId="87"/>
    <tableColumn id="3" name="BITCOIN" dataDxfId="86"/>
    <tableColumn id="5" name="io.net" dataDxfId="85"/>
    <tableColumn id="4" name="ETHEREUM" dataDxfId="84"/>
    <tableColumn id="6" name="USDT" dataDxfId="83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1" totalsRowShown="0">
  <autoFilter ref="B2:Z71">
    <filterColumn colId="23">
      <filters>
        <filter val="ACTIVA"/>
      </filters>
    </filterColumn>
  </autoFilter>
  <tableColumns count="25">
    <tableColumn id="1" name="fecha act" dataDxfId="78">
      <calculatedColumnFormula>TODAY()</calculatedColumnFormula>
    </tableColumn>
    <tableColumn id="2" name="precio actual dólar" dataDxfId="77">
      <calculatedColumnFormula>VLOOKUP(B3,Tabla4[],2,FALSE)</calculatedColumnFormula>
    </tableColumn>
    <tableColumn id="3" name="precio actual btc" dataDxfId="76">
      <calculatedColumnFormula>VLOOKUP(B3,Tabla4[],3,FALSE)</calculatedColumnFormula>
    </tableColumn>
    <tableColumn id="4" name="precio actul eth" dataDxfId="75">
      <calculatedColumnFormula>VLOOKUP(B3,Tabla4[],5,FALSE)</calculatedColumnFormula>
    </tableColumn>
    <tableColumn id="5" name="precio actual io.net" dataDxfId="74">
      <calculatedColumnFormula>VLOOKUP(B3,Tabla4[],4,FALSE)</calculatedColumnFormula>
    </tableColumn>
    <tableColumn id="6" name="moneda"/>
    <tableColumn id="27" name="FECHA COMPRA"/>
    <tableColumn id="20" name="PRECIO DEL DÓLAR, DIA COMPRA" dataDxfId="73">
      <calculatedColumnFormula>VLOOKUP(H3,Tabla4[],2,FALSE)</calculatedColumnFormula>
    </tableColumn>
    <tableColumn id="7" name="precio de compra" dataDxfId="72"/>
    <tableColumn id="8" name="cantidad" dataDxfId="71" dataCellStyle="Porcentaje"/>
    <tableColumn id="18" name="COSTO DE COMPRA" dataDxfId="70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9" dataCellStyle="Porcentaje">
      <calculatedColumnFormula xml:space="preserve"> K3 * (IF(G3="BTC", D3, IF(G3="ETH", E3, IF(G3="IO.NET", F3, 0)))) * C3</calculatedColumnFormula>
    </tableColumn>
    <tableColumn id="9" name="rentabilidad" dataDxfId="68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7" dataCellStyle="Porcentaje"/>
    <tableColumn id="11" name="META2" dataDxfId="66" dataCellStyle="Porcentaje"/>
    <tableColumn id="12" name="ACCION" dataDxfId="65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4"/>
    <tableColumn id="23" name="INVENTARIO" dataDxfId="63">
      <calculatedColumnFormula>Tabla6[[#This Row],[cantidad]]-Tabla6[[#This Row],[CANTIDAD VENDIDA]]</calculatedColumnFormula>
    </tableColumn>
    <tableColumn id="24" name="VALOR ACTUAL" dataDxfId="62">
      <calculatedColumnFormula>IF(G3="BTC", D3 * U3 * C3, IF(G3="ETH", E3 * U3 * C3, IF(G3="IO.NET", F3 * U3 * C3, 0)))</calculatedColumnFormula>
    </tableColumn>
    <tableColumn id="15" name="GANANCIA/PERDIDA" dataDxfId="61">
      <calculatedColumnFormula>IF(G3 = "BTC", ((T3 - L3)), IF(G3 = "ETH", ((T3 - L3)), IF(G3 = "IO.NET", ((T3 - L3)), "Moneda no soportada")))</calculatedColumnFormula>
    </tableColumn>
    <tableColumn id="25" name="RENTABILIDAD TOTAL" dataDxfId="60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9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8" totalsRowShown="0">
  <autoFilter ref="B2:M18"/>
  <tableColumns count="12">
    <tableColumn id="1" name="FECHA ACT" dataDxfId="58">
      <calculatedColumnFormula>TODAY()</calculatedColumnFormula>
    </tableColumn>
    <tableColumn id="11" name="FECHA COMPRA" dataDxfId="57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6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5">
      <calculatedColumnFormula>Tabla5[[#This Row],[VALOR ACTUAL EN COP]]-Tabla5[[#This Row],[COSTO TOTAL EN COP]]</calculatedColumnFormula>
    </tableColumn>
    <tableColumn id="9" name="RENTABILIDAD" dataDxfId="54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8" totalsRowShown="0">
  <autoFilter ref="B2:O18"/>
  <tableColumns count="14">
    <tableColumn id="1" name="MES" dataDxfId="53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2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85" totalsRowShown="0">
  <autoFilter ref="B2:M85"/>
  <tableColumns count="12">
    <tableColumn id="1" name="FECHA" dataDxfId="45"/>
    <tableColumn id="5" name="PRECIO DEL DÓLAR" dataDxfId="44">
      <calculatedColumnFormula>VLOOKUP(B3,Tabla4[],2,FALSE)</calculatedColumnFormula>
    </tableColumn>
    <tableColumn id="2" name="VOO" dataDxfId="43" dataCellStyle="Moneda"/>
    <tableColumn id="3" name="VALOR INVERSION 1" dataDxfId="42">
      <calculatedColumnFormula>0.01518 * D3</calculatedColumnFormula>
    </tableColumn>
    <tableColumn id="4" name="GAN/PER" dataDxfId="41">
      <calculatedColumnFormula>Tabla2[[#This Row],[VALOR INVERSION 1]]-7.7</calculatedColumnFormula>
    </tableColumn>
    <tableColumn id="6" name="VALOR EN COP" dataDxfId="40">
      <calculatedColumnFormula>Tabla2[[#This Row],[VALOR INVERSION 1]]*Tabla2[[#This Row],[PRECIO DEL DÓLAR]]</calculatedColumnFormula>
    </tableColumn>
    <tableColumn id="8" name="VALOR INVERSION 2" dataDxfId="39">
      <calculatedColumnFormula>Tabla2[[#This Row],[VOO]]*0.01527</calculatedColumnFormula>
    </tableColumn>
    <tableColumn id="9" name="GAN/PER2" dataDxfId="38">
      <calculatedColumnFormula>Tabla2[[#This Row],[VALOR INVERSION 2]]-7.9</calculatedColumnFormula>
    </tableColumn>
    <tableColumn id="10" name="VALOR EN COP2" dataDxfId="37">
      <calculatedColumnFormula>Tabla2[[#This Row],[VALOR INVERSION 2]]*Tabla2[[#This Row],[PRECIO DEL DÓLAR]]</calculatedColumnFormula>
    </tableColumn>
    <tableColumn id="7" name="VALOR INVERSION 3" dataDxfId="36">
      <calculatedColumnFormula>Tabla2[[#This Row],[VOO]]*0.01284</calculatedColumnFormula>
    </tableColumn>
    <tableColumn id="11" name="GAN/PER3" dataDxfId="35">
      <calculatedColumnFormula>Tabla2[[#This Row],[VALOR INVERSION 3]]-6.9</calculatedColumnFormula>
    </tableColumn>
    <tableColumn id="12" name="VALOR EN COP3" dataDxfId="34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3">
  <autoFilter ref="B2:K52"/>
  <tableColumns count="10">
    <tableColumn id="1" name="FECHA"/>
    <tableColumn id="2" name="DÓLAR" dataDxfId="32">
      <calculatedColumnFormula>VLOOKUP(B3,Tabla4[],2,FALSE)</calculatedColumnFormula>
    </tableColumn>
    <tableColumn id="3" name="S&amp;P 500" dataDxfId="31"/>
    <tableColumn id="4" name="NASDAQ-100" dataDxfId="30"/>
    <tableColumn id="5" name="KO" dataDxfId="29"/>
    <tableColumn id="6" name="JNJ" dataDxfId="28"/>
    <tableColumn id="7" name="PG" dataDxfId="27"/>
    <tableColumn id="8" name="PEP" dataDxfId="26"/>
    <tableColumn id="13" name="MSFT" dataDxfId="25"/>
    <tableColumn id="9" name="MCD" dataDxfId="2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0"/>
  <sheetViews>
    <sheetView topLeftCell="A13" workbookViewId="0">
      <selection activeCell="E26" sqref="E26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/>
      <c r="W3" s="37"/>
      <c r="X3" s="37"/>
      <c r="Y3" s="38">
        <f>SUM(M3:X3)</f>
        <v>3900.5521492273701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/>
      <c r="H24" s="7">
        <f>(Tabla8[[#This Row],[CAPITAL A FIN DE MES]]-(Tabla8[[#This Row],[CAPITAL A INICIO DE MES]]+Tabla8[[#This Row],[CAPITAL INVERTIDO ESTE MES]]))</f>
        <v>-43696</v>
      </c>
      <c r="I24" s="9">
        <f>(Tabla8[[#This Row],[CAPITAL A FIN DE MES]]-Tabla8[[#This Row],[CAPITAL A INICIO DE MES]])/Tabla8[[#This Row],[CAPITAL A INICIO DE MES]]</f>
        <v>-1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/>
      <c r="H25" s="7">
        <f>(Tabla8[[#This Row],[CAPITAL A FIN DE MES]]-(Tabla8[[#This Row],[CAPITAL A INICIO DE MES]]+Tabla8[[#This Row],[CAPITAL INVERTIDO ESTE MES]]))</f>
        <v>-18940.41</v>
      </c>
      <c r="I25" s="9">
        <f>(Tabla8[[#This Row],[CAPITAL A FIN DE MES]]-Tabla8[[#This Row],[CAPITAL A INICIO DE MES]])/Tabla8[[#This Row],[CAPITAL A INICIO DE MES]]</f>
        <v>-1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2100</v>
      </c>
      <c r="G26" s="7"/>
      <c r="H26" s="7">
        <f>(Tabla8[[#This Row],[CAPITAL A FIN DE MES]]-(Tabla8[[#This Row],[CAPITAL A INICIO DE MES]]+Tabla8[[#This Row],[CAPITAL INVERTIDO ESTE MES]]))</f>
        <v>-16169.86</v>
      </c>
      <c r="I26" s="9">
        <f>(Tabla8[[#This Row],[CAPITAL A FIN DE MES]]-Tabla8[[#This Row],[CAPITAL A INICIO DE MES]])/Tabla8[[#This Row],[CAPITAL A INICIO DE MES]]</f>
        <v>-1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2100</v>
      </c>
      <c r="G27" s="7"/>
      <c r="H27" s="7">
        <f>(Tabla8[[#This Row],[CAPITAL A FIN DE MES]]-(Tabla8[[#This Row],[CAPITAL A INICIO DE MES]]+Tabla8[[#This Row],[CAPITAL INVERTIDO ESTE MES]]))</f>
        <v>-13473.39</v>
      </c>
      <c r="I27" s="9">
        <f>(Tabla8[[#This Row],[CAPITAL A FIN DE MES]]-Tabla8[[#This Row],[CAPITAL A INICIO DE MES]])/Tabla8[[#This Row],[CAPITAL A INICIO DE MES]]</f>
        <v>-1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1050</v>
      </c>
      <c r="G28" s="7"/>
      <c r="H28" s="7">
        <f>(Tabla8[[#This Row],[CAPITAL A FIN DE MES]]-(Tabla8[[#This Row],[CAPITAL A INICIO DE MES]]+Tabla8[[#This Row],[CAPITAL INVERTIDO ESTE MES]]))</f>
        <v>-9169.6899999999987</v>
      </c>
      <c r="I28" s="9">
        <f>(Tabla8[[#This Row],[CAPITAL A FIN DE MES]]-Tabla8[[#This Row],[CAPITAL A INICIO DE MES]])/Tabla8[[#This Row],[CAPITAL A INICIO DE MES]]</f>
        <v>-1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2100</v>
      </c>
      <c r="G29" s="7"/>
      <c r="H29" s="7">
        <f>(Tabla8[[#This Row],[CAPITAL A FIN DE MES]]-(Tabla8[[#This Row],[CAPITAL A INICIO DE MES]]+Tabla8[[#This Row],[CAPITAL INVERTIDO ESTE MES]]))</f>
        <v>-10219.689999999999</v>
      </c>
      <c r="I29" s="9">
        <f>(Tabla8[[#This Row],[CAPITAL A FIN DE MES]]-Tabla8[[#This Row],[CAPITAL A INICIO DE MES]])/Tabla8[[#This Row],[CAPITAL A INICIO DE MES]]</f>
        <v>-1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/>
      <c r="H30" s="7">
        <f>(Tabla8[[#This Row],[CAPITAL A FIN DE MES]]-(Tabla8[[#This Row],[CAPITAL A INICIO DE MES]]+Tabla8[[#This Row],[CAPITAL INVERTIDO ESTE MES]]))</f>
        <v>-105916.42</v>
      </c>
      <c r="I30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0" priority="3" operator="lessThan">
      <formula>0</formula>
    </cfRule>
    <cfRule type="cellIs" dxfId="119" priority="4" operator="lessThan">
      <formula>0</formula>
    </cfRule>
  </conditionalFormatting>
  <conditionalFormatting sqref="M3:X3">
    <cfRule type="cellIs" dxfId="118" priority="2" operator="lessThan">
      <formula>0</formula>
    </cfRule>
  </conditionalFormatting>
  <conditionalFormatting sqref="M3:Y3">
    <cfRule type="cellIs" dxfId="117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B1" workbookViewId="0">
      <selection activeCell="C24" sqref="C2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>(F11/(D11+E11))</f>
        <v>9.3869559442866374E-3</v>
      </c>
      <c r="H11" s="2"/>
      <c r="I11" s="2">
        <f>D11+E11+F11-H11</f>
        <v>37696</v>
      </c>
      <c r="J11" s="27">
        <f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>(F12/(D12+E12))</f>
        <v>9.8602628675064728E-3</v>
      </c>
      <c r="H12" s="2"/>
      <c r="I12" s="2">
        <f>D12+E12+F12-H12</f>
        <v>12940.41</v>
      </c>
      <c r="J12" s="27">
        <f>((I12-(D12+E12))/(D12+E12))</f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/>
      <c r="G13" s="27">
        <f>(F13/(D13+E13))</f>
        <v>0</v>
      </c>
      <c r="H13" s="2"/>
      <c r="I13" s="2">
        <f>D13+E13+F13-H13</f>
        <v>43696</v>
      </c>
      <c r="J13" s="27">
        <f>((I13-(D13+E13))/(D13+E13))</f>
        <v>0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/>
      <c r="G14" s="27">
        <f>(F14/(D14+E14))</f>
        <v>0</v>
      </c>
      <c r="H14" s="2"/>
      <c r="I14" s="2">
        <f>D14+E14+F14-H14</f>
        <v>18940.41</v>
      </c>
      <c r="J14" s="27">
        <f>((I14-(D14+E14))/(D14+E14))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2"/>
  <sheetViews>
    <sheetView topLeftCell="A179" zoomScaleNormal="100" workbookViewId="0">
      <selection activeCell="H192" sqref="H192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1"/>
  <sheetViews>
    <sheetView topLeftCell="G50" workbookViewId="0">
      <selection activeCell="Q73" sqref="Q73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21" ca="1" si="0">TODAY()</f>
        <v>45596</v>
      </c>
      <c r="C3" s="2">
        <f ca="1">VLOOKUP(B3,Tabla4[],2,FALSE)</f>
        <v>4374.1000000000004</v>
      </c>
      <c r="D3" s="3">
        <f ca="1">VLOOKUP(B3,Tabla4[],3,FALSE)</f>
        <v>72074</v>
      </c>
      <c r="E3" s="2">
        <f ca="1">VLOOKUP(B3,Tabla4[],5,FALSE)</f>
        <v>2630</v>
      </c>
      <c r="F3" s="2">
        <f ca="1">VLOOKUP(B3,Tabla4[],4,FALSE)</f>
        <v>1.68</v>
      </c>
      <c r="G3" t="s">
        <v>14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794.45238616800009</v>
      </c>
      <c r="N3" s="32">
        <f t="shared" ref="N3:N21" ca="1" si="1">IF(G3 = "BTC", (D3 - J3) / J3,
 IF(G3 = "ETH", (E3 - J3) / J3,
 IF(G3 = "IO.NET", (F3 - J3) / J3,
 "Moneda no soportada")))</f>
        <v>1.5885097326173058E-2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794.45238616800009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1.5885097326173058E-2</v>
      </c>
      <c r="Y3" s="2" t="str">
        <f>IF(U3=0,"VENDIDA","ACTIVA")</f>
        <v>ACTIVA</v>
      </c>
    </row>
    <row r="4" spans="2:26">
      <c r="B4" s="1">
        <f t="shared" ca="1" si="0"/>
        <v>45596</v>
      </c>
      <c r="C4" s="2">
        <f ca="1">VLOOKUP(B4,Tabla4[],2,FALSE)</f>
        <v>4374.1000000000004</v>
      </c>
      <c r="D4" s="3">
        <f ca="1">VLOOKUP(B4,Tabla4[],3,FALSE)</f>
        <v>72074</v>
      </c>
      <c r="E4" s="2">
        <f ca="1">VLOOKUP(B4,Tabla4[],5,FALSE)</f>
        <v>2630</v>
      </c>
      <c r="F4" s="2">
        <f ca="1">VLOOKUP(B4,Tabla4[],4,FALSE)</f>
        <v>1.68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542.98327760000006</v>
      </c>
      <c r="N4" s="32">
        <f t="shared" ca="1" si="1"/>
        <v>-0.30813324880107118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542.98327760000006</v>
      </c>
      <c r="W4" s="2">
        <f t="shared" si="3"/>
        <v>-705.39693250799996</v>
      </c>
      <c r="X4" s="9">
        <f t="shared" ca="1" si="4"/>
        <v>-0.30813324880107118</v>
      </c>
      <c r="Y4" s="2" t="str">
        <f t="shared" ref="Y4:Y24" si="7">IF(U4=0,"VENDIDA","ACTIVA")</f>
        <v>ACTIVA</v>
      </c>
    </row>
    <row r="5" spans="2:26">
      <c r="B5" s="1">
        <f t="shared" ca="1" si="0"/>
        <v>45596</v>
      </c>
      <c r="C5" s="2">
        <f ca="1">VLOOKUP(B5,Tabla4[],2,FALSE)</f>
        <v>4374.1000000000004</v>
      </c>
      <c r="D5" s="3">
        <f ca="1">VLOOKUP(B5,Tabla4[],3,FALSE)</f>
        <v>72074</v>
      </c>
      <c r="E5" s="2">
        <f ca="1">VLOOKUP(B5,Tabla4[],5,FALSE)</f>
        <v>2630</v>
      </c>
      <c r="F5" s="2">
        <f ca="1">VLOOKUP(B5,Tabla4[],4,FALSE)</f>
        <v>1.68</v>
      </c>
      <c r="G5" t="s">
        <v>14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810.21533033800006</v>
      </c>
      <c r="N5" s="32">
        <f t="shared" ca="1" si="1"/>
        <v>4.0389167965817888E-2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810.21533033800006</v>
      </c>
      <c r="W5" s="2">
        <f t="shared" si="3"/>
        <v>-711.38458935120002</v>
      </c>
      <c r="X5" s="9">
        <f t="shared" ca="1" si="4"/>
        <v>4.0389167965817888E-2</v>
      </c>
      <c r="Y5" s="2" t="str">
        <f t="shared" si="7"/>
        <v>ACTIVA</v>
      </c>
    </row>
    <row r="6" spans="2:26">
      <c r="B6" s="1">
        <f t="shared" ca="1" si="0"/>
        <v>45596</v>
      </c>
      <c r="C6" s="2">
        <f ca="1">VLOOKUP(B6,Tabla4[],2,FALSE)</f>
        <v>4374.1000000000004</v>
      </c>
      <c r="D6" s="3">
        <f ca="1">VLOOKUP(B6,Tabla4[],3,FALSE)</f>
        <v>72074</v>
      </c>
      <c r="E6" s="2">
        <f ca="1">VLOOKUP(B6,Tabla4[],5,FALSE)</f>
        <v>2630</v>
      </c>
      <c r="F6" s="2">
        <f ca="1">VLOOKUP(B6,Tabla4[],4,FALSE)</f>
        <v>1.68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559.89398561000007</v>
      </c>
      <c r="N6" s="32">
        <f t="shared" ca="1" si="1"/>
        <v>-0.28331625645832875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559.89398561000007</v>
      </c>
      <c r="W6" s="2">
        <f t="shared" si="3"/>
        <v>-713.63816396689595</v>
      </c>
      <c r="X6" s="9">
        <f t="shared" ca="1" si="4"/>
        <v>-0.28331625645832875</v>
      </c>
      <c r="Y6" s="2" t="str">
        <f t="shared" si="7"/>
        <v>ACTIVA</v>
      </c>
    </row>
    <row r="7" spans="2:26">
      <c r="B7" s="1">
        <f t="shared" ca="1" si="0"/>
        <v>45596</v>
      </c>
      <c r="C7" s="2">
        <f ca="1">VLOOKUP(B7,Tabla4[],2,FALSE)</f>
        <v>4374.1000000000004</v>
      </c>
      <c r="D7" s="3">
        <f ca="1">VLOOKUP(B7,Tabla4[],3,FALSE)</f>
        <v>72074</v>
      </c>
      <c r="E7" s="2">
        <f ca="1">VLOOKUP(B7,Tabla4[],5,FALSE)</f>
        <v>2630</v>
      </c>
      <c r="F7" s="2">
        <f ca="1">VLOOKUP(B7,Tabla4[],4,FALSE)</f>
        <v>1.68</v>
      </c>
      <c r="G7" t="s">
        <v>14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829.130863342</v>
      </c>
      <c r="N7" s="32">
        <f t="shared" ca="1" si="1"/>
        <v>8.4310341974337358E-2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829.130863342</v>
      </c>
      <c r="W7" s="2">
        <f t="shared" si="3"/>
        <v>-721.88976178291</v>
      </c>
      <c r="X7" s="9">
        <f t="shared" ca="1" si="4"/>
        <v>8.4310341974337358E-2</v>
      </c>
      <c r="Y7" s="2" t="str">
        <f t="shared" si="7"/>
        <v>ACTIVA</v>
      </c>
    </row>
    <row r="8" spans="2:26">
      <c r="B8" s="1">
        <f t="shared" ca="1" si="0"/>
        <v>45596</v>
      </c>
      <c r="C8" s="2">
        <f ca="1">VLOOKUP(B8,Tabla4[],2,FALSE)</f>
        <v>4374.1000000000004</v>
      </c>
      <c r="D8" s="3">
        <f ca="1">VLOOKUP(B8,Tabla4[],3,FALSE)</f>
        <v>72074</v>
      </c>
      <c r="E8" s="2">
        <f ca="1">VLOOKUP(B8,Tabla4[],5,FALSE)</f>
        <v>2630</v>
      </c>
      <c r="F8" s="2">
        <f ca="1">VLOOKUP(B8,Tabla4[],4,FALSE)</f>
        <v>1.68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284.46562881576</v>
      </c>
      <c r="N8" s="32">
        <f t="shared" ca="1" si="1"/>
        <v>-0.60283687943262421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284.46562881576</v>
      </c>
      <c r="W8" s="2">
        <f t="shared" si="3"/>
        <v>-676.17994528545319</v>
      </c>
      <c r="X8" s="9">
        <f t="shared" ca="1" si="4"/>
        <v>-0.60283687943262421</v>
      </c>
      <c r="Y8" s="2" t="str">
        <f t="shared" si="7"/>
        <v>ACTIVA</v>
      </c>
    </row>
    <row r="9" spans="2:26">
      <c r="B9" s="1">
        <f t="shared" ca="1" si="0"/>
        <v>45596</v>
      </c>
      <c r="C9" s="2">
        <f ca="1">VLOOKUP(B9,Tabla4[],2,FALSE)</f>
        <v>4374.1000000000004</v>
      </c>
      <c r="D9" s="3">
        <f ca="1">VLOOKUP(B9,Tabla4[],3,FALSE)</f>
        <v>72074</v>
      </c>
      <c r="E9" s="2">
        <f ca="1">VLOOKUP(B9,Tabla4[],5,FALSE)</f>
        <v>2630</v>
      </c>
      <c r="F9" s="2">
        <f ca="1">VLOOKUP(B9,Tabla4[],4,FALSE)</f>
        <v>1.68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565.99104360000013</v>
      </c>
      <c r="N9" s="32">
        <f t="shared" ca="1" si="1"/>
        <v>-0.24981245311327832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565.99104360000013</v>
      </c>
      <c r="W9" s="2">
        <f t="shared" si="3"/>
        <v>-712.26418846524007</v>
      </c>
      <c r="X9" s="9">
        <f t="shared" ca="1" si="4"/>
        <v>-0.24981245311327832</v>
      </c>
      <c r="Y9" s="2" t="str">
        <f t="shared" si="7"/>
        <v>ACTIVA</v>
      </c>
    </row>
    <row r="10" spans="2:26">
      <c r="B10" s="1">
        <f t="shared" ca="1" si="0"/>
        <v>45596</v>
      </c>
      <c r="C10" s="2">
        <f ca="1">VLOOKUP(B10,Tabla4[],2,FALSE)</f>
        <v>4374.1000000000004</v>
      </c>
      <c r="D10" s="3">
        <f ca="1">VLOOKUP(B10,Tabla4[],3,FALSE)</f>
        <v>72074</v>
      </c>
      <c r="E10" s="2">
        <f ca="1">VLOOKUP(B10,Tabla4[],5,FALSE)</f>
        <v>2630</v>
      </c>
      <c r="F10" s="2">
        <f ca="1">VLOOKUP(B10,Tabla4[],4,FALSE)</f>
        <v>1.68</v>
      </c>
      <c r="G10" t="s">
        <v>14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857.50416284799996</v>
      </c>
      <c r="N10" s="32">
        <f t="shared" ca="1" si="1"/>
        <v>0.17305651582325871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857.50416284799996</v>
      </c>
      <c r="W10" s="2">
        <f t="shared" si="3"/>
        <v>-692.62576284671991</v>
      </c>
      <c r="X10" s="9">
        <f t="shared" ca="1" si="4"/>
        <v>0.17305651582325871</v>
      </c>
      <c r="Y10" s="2" t="str">
        <f t="shared" si="7"/>
        <v>ACTIVA</v>
      </c>
    </row>
    <row r="11" spans="2:26">
      <c r="B11" s="1">
        <f t="shared" ca="1" si="0"/>
        <v>45596</v>
      </c>
      <c r="C11" s="2">
        <f ca="1">VLOOKUP(B11,Tabla4[],2,FALSE)</f>
        <v>4374.1000000000004</v>
      </c>
      <c r="D11" s="3">
        <f ca="1">VLOOKUP(B11,Tabla4[],3,FALSE)</f>
        <v>72074</v>
      </c>
      <c r="E11" s="2">
        <f ca="1">VLOOKUP(B11,Tabla4[],5,FALSE)</f>
        <v>2630</v>
      </c>
      <c r="F11" s="2">
        <f ca="1">VLOOKUP(B11,Tabla4[],4,FALSE)</f>
        <v>1.68</v>
      </c>
      <c r="G11" t="s">
        <v>14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854.35157401399999</v>
      </c>
      <c r="N11" s="32">
        <f t="shared" ca="1" si="1"/>
        <v>0.18205643772530314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854.35157401399999</v>
      </c>
      <c r="W11" s="2">
        <f t="shared" si="3"/>
        <v>-682.28056593911992</v>
      </c>
      <c r="X11" s="9">
        <f t="shared" ca="1" si="4"/>
        <v>0.18205643772530314</v>
      </c>
      <c r="Y11" s="2" t="str">
        <f t="shared" si="7"/>
        <v>ACTIVA</v>
      </c>
    </row>
    <row r="12" spans="2:26">
      <c r="B12" s="1">
        <f t="shared" ca="1" si="0"/>
        <v>45596</v>
      </c>
      <c r="C12" s="2">
        <f ca="1">VLOOKUP(B12,Tabla4[],2,FALSE)</f>
        <v>4374.1000000000004</v>
      </c>
      <c r="D12" s="3">
        <f ca="1">VLOOKUP(B12,Tabla4[],3,FALSE)</f>
        <v>72074</v>
      </c>
      <c r="E12" s="2">
        <f ca="1">VLOOKUP(B12,Tabla4[],5,FALSE)</f>
        <v>2630</v>
      </c>
      <c r="F12" s="2">
        <f ca="1">VLOOKUP(B12,Tabla4[],4,FALSE)</f>
        <v>1.68</v>
      </c>
      <c r="G12" t="s">
        <v>14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955.23441670200009</v>
      </c>
      <c r="N12" s="32">
        <f t="shared" ca="1" si="1"/>
        <v>0.26236548593207037</v>
      </c>
      <c r="O12" s="9">
        <v>0.25</v>
      </c>
      <c r="P12" s="9">
        <v>0.5</v>
      </c>
      <c r="Q12" t="str">
        <f t="shared" ca="1" si="8"/>
        <v>VENTA PARCIAL</v>
      </c>
      <c r="T12" s="2"/>
      <c r="U12" s="14">
        <f>Tabla6[[#This Row],[cantidad]]-Tabla6[[#This Row],[CANTIDAD VENDIDA]]</f>
        <v>3.0299999999999998E-6</v>
      </c>
      <c r="V12" s="2">
        <f t="shared" ca="1" si="6"/>
        <v>955.23441670200009</v>
      </c>
      <c r="W12" s="2">
        <f t="shared" si="3"/>
        <v>-705.59026591680004</v>
      </c>
      <c r="X12" s="9">
        <f t="shared" ca="1" si="4"/>
        <v>0.26236548593207037</v>
      </c>
      <c r="Y12" s="2" t="str">
        <f t="shared" si="7"/>
        <v>ACTIVA</v>
      </c>
    </row>
    <row r="13" spans="2:26">
      <c r="B13" s="1">
        <f t="shared" ca="1" si="0"/>
        <v>45596</v>
      </c>
      <c r="C13" s="2">
        <f ca="1">VLOOKUP(B13,Tabla4[],2,FALSE)</f>
        <v>4374.1000000000004</v>
      </c>
      <c r="D13" s="3">
        <f ca="1">VLOOKUP(B13,Tabla4[],3,FALSE)</f>
        <v>72074</v>
      </c>
      <c r="E13" s="2">
        <f ca="1">VLOOKUP(B13,Tabla4[],5,FALSE)</f>
        <v>2630</v>
      </c>
      <c r="F13" s="2">
        <f ca="1">VLOOKUP(B13,Tabla4[],4,FALSE)</f>
        <v>1.68</v>
      </c>
      <c r="G13" t="s">
        <v>14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885.87746235400016</v>
      </c>
      <c r="N13" s="32">
        <f t="shared" ca="1" si="1"/>
        <v>0.14476039510863262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885.87746235400016</v>
      </c>
      <c r="W13" s="2">
        <f t="shared" si="3"/>
        <v>-706.44677732571006</v>
      </c>
      <c r="X13" s="9">
        <f t="shared" ca="1" si="4"/>
        <v>0.14476039510863262</v>
      </c>
      <c r="Y13" s="2" t="str">
        <f t="shared" si="7"/>
        <v>ACTIVA</v>
      </c>
    </row>
    <row r="14" spans="2:26">
      <c r="B14" s="1">
        <f t="shared" ca="1" si="0"/>
        <v>45596</v>
      </c>
      <c r="C14" s="2">
        <f ca="1">VLOOKUP(B14,Tabla4[],2,FALSE)</f>
        <v>4374.1000000000004</v>
      </c>
      <c r="D14" s="3">
        <f ca="1">VLOOKUP(B14,Tabla4[],3,FALSE)</f>
        <v>72074</v>
      </c>
      <c r="E14" s="2">
        <f ca="1">VLOOKUP(B14,Tabla4[],5,FALSE)</f>
        <v>2630</v>
      </c>
      <c r="F14" s="2">
        <f ca="1">VLOOKUP(B14,Tabla4[],4,FALSE)</f>
        <v>1.68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582.21151863000011</v>
      </c>
      <c r="N14" s="32">
        <f t="shared" ca="1" si="1"/>
        <v>-0.22138900648645127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582.21151863000011</v>
      </c>
      <c r="W14" s="2">
        <f t="shared" si="3"/>
        <v>-708.50285169316794</v>
      </c>
      <c r="X14" s="9">
        <f t="shared" ca="1" si="4"/>
        <v>-0.22138900648645127</v>
      </c>
      <c r="Y14" s="2" t="str">
        <f t="shared" si="7"/>
        <v>ACTIVA</v>
      </c>
    </row>
    <row r="15" spans="2:26">
      <c r="B15" s="1">
        <f t="shared" ca="1" si="0"/>
        <v>45596</v>
      </c>
      <c r="C15" s="2">
        <f ca="1">VLOOKUP(B15,Tabla4[],2,FALSE)</f>
        <v>4374.1000000000004</v>
      </c>
      <c r="D15" s="3">
        <f ca="1">VLOOKUP(B15,Tabla4[],3,FALSE)</f>
        <v>72074</v>
      </c>
      <c r="E15" s="2">
        <f ca="1">VLOOKUP(B15,Tabla4[],5,FALSE)</f>
        <v>2630</v>
      </c>
      <c r="F15" s="2">
        <f ca="1">VLOOKUP(B15,Tabla4[],4,FALSE)</f>
        <v>1.68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567.60158722000006</v>
      </c>
      <c r="N15" s="32">
        <f t="shared" ca="1" si="1"/>
        <v>-0.21703587047451203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567.60158722000006</v>
      </c>
      <c r="W15" s="2">
        <f t="shared" si="3"/>
        <v>-684.33117524901604</v>
      </c>
      <c r="X15" s="9">
        <f t="shared" ca="1" si="4"/>
        <v>-0.21703587047451203</v>
      </c>
      <c r="Y15" s="2" t="str">
        <f t="shared" si="7"/>
        <v>ACTIVA</v>
      </c>
    </row>
    <row r="16" spans="2:26">
      <c r="B16" s="1">
        <f t="shared" ca="1" si="0"/>
        <v>45596</v>
      </c>
      <c r="C16" s="2">
        <f ca="1">VLOOKUP(B16,Tabla4[],2,FALSE)</f>
        <v>4374.1000000000004</v>
      </c>
      <c r="D16" s="3">
        <f ca="1">VLOOKUP(B16,Tabla4[],3,FALSE)</f>
        <v>72074</v>
      </c>
      <c r="E16" s="2">
        <f ca="1">VLOOKUP(B16,Tabla4[],5,FALSE)</f>
        <v>2630</v>
      </c>
      <c r="F16" s="2">
        <f ca="1">VLOOKUP(B16,Tabla4[],4,FALSE)</f>
        <v>1.68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653.88070972000003</v>
      </c>
      <c r="N16" s="32">
        <f t="shared" ca="1" si="1"/>
        <v>-0.13911620294599017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653.88070972000003</v>
      </c>
      <c r="W16" s="2">
        <f t="shared" si="3"/>
        <v>-708.24207363000005</v>
      </c>
      <c r="X16" s="9">
        <f t="shared" ca="1" si="4"/>
        <v>-0.13911620294599017</v>
      </c>
      <c r="Y16" s="2" t="str">
        <f t="shared" si="7"/>
        <v>ACTIVA</v>
      </c>
    </row>
    <row r="17" spans="2:25">
      <c r="B17" s="1">
        <f t="shared" ca="1" si="0"/>
        <v>45596</v>
      </c>
      <c r="C17" s="2">
        <f ca="1">VLOOKUP(B17,Tabla4[],2,FALSE)</f>
        <v>4374.1000000000004</v>
      </c>
      <c r="D17" s="3">
        <f ca="1">VLOOKUP(B17,Tabla4[],3,FALSE)</f>
        <v>72074</v>
      </c>
      <c r="E17" s="2">
        <f ca="1">VLOOKUP(B17,Tabla4[],5,FALSE)</f>
        <v>2630</v>
      </c>
      <c r="F17" s="2">
        <f ca="1">VLOOKUP(B17,Tabla4[],4,FALSE)</f>
        <v>1.68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605.10424580000006</v>
      </c>
      <c r="N17" s="32">
        <f t="shared" ca="1" si="1"/>
        <v>-0.23946675920303054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605.10424580000006</v>
      </c>
      <c r="W17" s="2">
        <f t="shared" si="3"/>
        <v>-726.32733822540001</v>
      </c>
      <c r="X17" s="9">
        <f t="shared" ca="1" si="4"/>
        <v>-0.23946675920303054</v>
      </c>
      <c r="Y17" s="2" t="str">
        <f t="shared" si="7"/>
        <v>ACTIVA</v>
      </c>
    </row>
    <row r="18" spans="2:25">
      <c r="B18" s="1">
        <f t="shared" ca="1" si="0"/>
        <v>45596</v>
      </c>
      <c r="C18" s="2">
        <f ca="1">VLOOKUP(B18,Tabla4[],2,FALSE)</f>
        <v>4374.1000000000004</v>
      </c>
      <c r="D18" s="3">
        <f ca="1">VLOOKUP(B18,Tabla4[],3,FALSE)</f>
        <v>72074</v>
      </c>
      <c r="E18" s="2">
        <f ca="1">VLOOKUP(B18,Tabla4[],5,FALSE)</f>
        <v>2630</v>
      </c>
      <c r="F18" s="2">
        <f ca="1">VLOOKUP(B18,Tabla4[],4,FALSE)</f>
        <v>1.68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387.45645177288003</v>
      </c>
      <c r="N18" s="32">
        <f t="shared" ca="1" si="1"/>
        <v>-0.50588235294117645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387.45645177288003</v>
      </c>
      <c r="W18" s="2">
        <f t="shared" si="3"/>
        <v>-742.97443934431988</v>
      </c>
      <c r="X18" s="9">
        <f t="shared" ca="1" si="4"/>
        <v>-0.50588235294117645</v>
      </c>
      <c r="Y18" s="2" t="str">
        <f t="shared" si="7"/>
        <v>ACTIVA</v>
      </c>
    </row>
    <row r="19" spans="2:25">
      <c r="B19" s="1">
        <f t="shared" ca="1" si="0"/>
        <v>45596</v>
      </c>
      <c r="C19" s="2">
        <f ca="1">VLOOKUP(B19,Tabla4[],2,FALSE)</f>
        <v>4374.1000000000004</v>
      </c>
      <c r="D19" s="3">
        <f ca="1">VLOOKUP(B19,Tabla4[],3,FALSE)</f>
        <v>72074</v>
      </c>
      <c r="E19" s="2">
        <f ca="1">VLOOKUP(B19,Tabla4[],5,FALSE)</f>
        <v>2630</v>
      </c>
      <c r="F19" s="2">
        <f ca="1">VLOOKUP(B19,Tabla4[],4,FALSE)</f>
        <v>1.68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201.99259268832003</v>
      </c>
      <c r="N19" s="32">
        <f t="shared" ca="1" si="1"/>
        <v>-0.40636042402826861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201.99259268832003</v>
      </c>
      <c r="W19" s="2">
        <f t="shared" si="3"/>
        <v>-321.201220736496</v>
      </c>
      <c r="X19" s="9">
        <f t="shared" ca="1" si="4"/>
        <v>-0.40636042402826861</v>
      </c>
      <c r="Y19" s="2" t="str">
        <f t="shared" si="7"/>
        <v>ACTIVA</v>
      </c>
    </row>
    <row r="20" spans="2:25" hidden="1">
      <c r="B20" s="1">
        <f t="shared" ca="1" si="0"/>
        <v>45596</v>
      </c>
      <c r="C20" s="2">
        <f ca="1">VLOOKUP(B20,Tabla4[],2,FALSE)</f>
        <v>4374.1000000000004</v>
      </c>
      <c r="D20" s="3">
        <f ca="1">VLOOKUP(B20,Tabla4[],3,FALSE)</f>
        <v>72074</v>
      </c>
      <c r="E20" s="2">
        <f ca="1">VLOOKUP(B20,Tabla4[],5,FALSE)</f>
        <v>2630</v>
      </c>
      <c r="F20" s="2">
        <f ca="1">VLOOKUP(B20,Tabla4[],4,FALSE)</f>
        <v>1.68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283.93146722303999</v>
      </c>
      <c r="N20" s="12">
        <f t="shared" ca="1" si="1"/>
        <v>-0.26637554585152845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-0.26637554585152845</v>
      </c>
      <c r="Y20" s="2" t="str">
        <f t="shared" si="7"/>
        <v>VENDIDA</v>
      </c>
    </row>
    <row r="21" spans="2:25" hidden="1">
      <c r="B21" s="1">
        <f t="shared" ca="1" si="0"/>
        <v>45596</v>
      </c>
      <c r="C21" s="2">
        <f ca="1">VLOOKUP(B21,Tabla4[],2,FALSE)</f>
        <v>4374.1000000000004</v>
      </c>
      <c r="D21" s="3">
        <f ca="1">VLOOKUP(B21,Tabla4[],3,FALSE)</f>
        <v>72074</v>
      </c>
      <c r="E21" s="2">
        <f ca="1">VLOOKUP(B21,Tabla4[],5,FALSE)</f>
        <v>2630</v>
      </c>
      <c r="F21" s="2">
        <f ca="1">VLOOKUP(B21,Tabla4[],4,FALSE)</f>
        <v>1.68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272.77513971119998</v>
      </c>
      <c r="N21" s="12">
        <f t="shared" ca="1" si="1"/>
        <v>-0.35877862595419852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-0.35877862595419852</v>
      </c>
      <c r="Y21" s="2" t="str">
        <f t="shared" si="7"/>
        <v>VENDIDA</v>
      </c>
    </row>
    <row r="22" spans="2:25">
      <c r="B22" s="1">
        <f t="shared" ref="B22:B29" ca="1" si="9">TODAY()</f>
        <v>45596</v>
      </c>
      <c r="C22" s="2">
        <f ca="1">VLOOKUP(B22,Tabla4[],2,FALSE)</f>
        <v>4374.1000000000004</v>
      </c>
      <c r="D22" s="3">
        <f ca="1">VLOOKUP(B22,Tabla4[],3,FALSE)</f>
        <v>72074</v>
      </c>
      <c r="E22" s="2">
        <f ca="1">VLOOKUP(B22,Tabla4[],5,FALSE)</f>
        <v>2630</v>
      </c>
      <c r="F22" s="2">
        <f ca="1">VLOOKUP(B22,Tabla4[],4,FALSE)</f>
        <v>1.68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279.72276769079997</v>
      </c>
      <c r="N22" s="32">
        <f t="shared" ref="N22:N29" ca="1" si="11">IF(G22 = "BTC", (D22 - J22) / J22,
 IF(G22 = "ETH", (E22 - J22) / J22,
 IF(G22 = "IO.NET", (F22 - J22) / J22,
 "Moneda no soportada")))</f>
        <v>-0.37546468401486988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0.48022369079999078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-0.37546468401486988</v>
      </c>
      <c r="Y22" s="2" t="str">
        <f t="shared" si="7"/>
        <v>ACTIVA</v>
      </c>
    </row>
    <row r="23" spans="2:25">
      <c r="B23" s="1">
        <f t="shared" ca="1" si="9"/>
        <v>45596</v>
      </c>
      <c r="C23" s="2">
        <f ca="1">VLOOKUP(B23,Tabla4[],2,FALSE)</f>
        <v>4374.1000000000004</v>
      </c>
      <c r="D23" s="3">
        <f ca="1">VLOOKUP(B23,Tabla4[],3,FALSE)</f>
        <v>72074</v>
      </c>
      <c r="E23" s="2">
        <f ca="1">VLOOKUP(B23,Tabla4[],5,FALSE)</f>
        <v>2630</v>
      </c>
      <c r="F23" s="2">
        <f ca="1">VLOOKUP(B23,Tabla4[],4,FALSE)</f>
        <v>1.68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281.63866548215998</v>
      </c>
      <c r="N23" s="32">
        <f t="shared" ca="1" si="11"/>
        <v>-0.38235294117647067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2.3961214821599839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-0.38235294117647067</v>
      </c>
      <c r="Y23" s="2" t="str">
        <f t="shared" si="7"/>
        <v>ACTIVA</v>
      </c>
    </row>
    <row r="24" spans="2:25">
      <c r="B24" s="1">
        <f t="shared" ca="1" si="9"/>
        <v>45596</v>
      </c>
      <c r="C24" s="2">
        <f ca="1">VLOOKUP(B24,Tabla4[],2,FALSE)</f>
        <v>4374.1000000000004</v>
      </c>
      <c r="D24" s="3">
        <f ca="1">VLOOKUP(B24,Tabla4[],3,FALSE)</f>
        <v>72074</v>
      </c>
      <c r="E24" s="2">
        <f ca="1">VLOOKUP(B24,Tabla4[],5,FALSE)</f>
        <v>2630</v>
      </c>
      <c r="F24" s="2">
        <f ca="1">VLOOKUP(B24,Tabla4[],4,FALSE)</f>
        <v>1.68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285.60030884783998</v>
      </c>
      <c r="N24" s="32">
        <f t="shared" ca="1" si="11"/>
        <v>-0.39130434782608692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8.1362459136000194</v>
      </c>
      <c r="W24" s="2">
        <f t="shared" si="14"/>
        <v>8.8385908401840538</v>
      </c>
      <c r="X24" s="9">
        <f t="shared" ca="1" si="15"/>
        <v>-0.39130434782608692</v>
      </c>
      <c r="Y24" s="2" t="str">
        <f t="shared" si="7"/>
        <v>ACTIVA</v>
      </c>
    </row>
    <row r="25" spans="2:25">
      <c r="B25" s="1">
        <f t="shared" ca="1" si="9"/>
        <v>45596</v>
      </c>
      <c r="C25" s="2">
        <f ca="1">VLOOKUP(B25,Tabla4[],2,FALSE)</f>
        <v>4374.1000000000004</v>
      </c>
      <c r="D25" s="3">
        <f ca="1">VLOOKUP(B25,Tabla4[],3,FALSE)</f>
        <v>72074</v>
      </c>
      <c r="E25" s="2">
        <f ca="1">VLOOKUP(B25,Tabla4[],5,FALSE)</f>
        <v>2630</v>
      </c>
      <c r="F25" s="2">
        <f ca="1">VLOOKUP(B25,Tabla4[],4,FALSE)</f>
        <v>1.68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280.78873936008006</v>
      </c>
      <c r="N25" s="32">
        <f t="shared" ca="1" si="11"/>
        <v>-0.40213523131672602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1.5461953600800085</v>
      </c>
      <c r="W25" s="2">
        <f t="shared" si="14"/>
        <v>40.44492107583801</v>
      </c>
      <c r="X25" s="9">
        <f t="shared" ca="1" si="15"/>
        <v>-0.40213523131672602</v>
      </c>
      <c r="Y25" s="2" t="str">
        <f t="shared" ref="Y25:Y32" si="16">IF(U25=0,"VENDIDA","ACTIVA")</f>
        <v>ACTIVA</v>
      </c>
    </row>
    <row r="26" spans="2:25">
      <c r="B26" s="1">
        <f t="shared" ca="1" si="9"/>
        <v>45596</v>
      </c>
      <c r="C26" s="2">
        <f ca="1">VLOOKUP(B26,Tabla4[],2,FALSE)</f>
        <v>4374.1000000000004</v>
      </c>
      <c r="D26" s="3">
        <f ca="1">VLOOKUP(B26,Tabla4[],3,FALSE)</f>
        <v>72074</v>
      </c>
      <c r="E26" s="2">
        <f ca="1">VLOOKUP(B26,Tabla4[],5,FALSE)</f>
        <v>2630</v>
      </c>
      <c r="F26" s="2">
        <f ca="1">VLOOKUP(B26,Tabla4[],4,FALSE)</f>
        <v>1.68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283.36085712984004</v>
      </c>
      <c r="N26" s="32">
        <f t="shared" ca="1" si="11"/>
        <v>-0.44815625061589709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283.36085712984004</v>
      </c>
      <c r="W26" s="2">
        <f t="shared" si="14"/>
        <v>-474.99592218630107</v>
      </c>
      <c r="X26" s="9">
        <f t="shared" ca="1" si="15"/>
        <v>-0.44815625061589709</v>
      </c>
      <c r="Y26" s="2" t="str">
        <f t="shared" si="16"/>
        <v>ACTIVA</v>
      </c>
    </row>
    <row r="27" spans="2:25">
      <c r="B27" s="1">
        <f t="shared" ca="1" si="9"/>
        <v>45596</v>
      </c>
      <c r="C27" s="2">
        <f ca="1">VLOOKUP(B27,Tabla4[],2,FALSE)</f>
        <v>4374.1000000000004</v>
      </c>
      <c r="D27" s="3">
        <f ca="1">VLOOKUP(B27,Tabla4[],3,FALSE)</f>
        <v>72074</v>
      </c>
      <c r="E27" s="2">
        <f ca="1">VLOOKUP(B27,Tabla4[],5,FALSE)</f>
        <v>2630</v>
      </c>
      <c r="F27" s="2">
        <f ca="1">VLOOKUP(B27,Tabla4[],4,FALSE)</f>
        <v>1.68</v>
      </c>
      <c r="G27" t="s">
        <v>14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816.52050800600011</v>
      </c>
      <c r="N27" s="32">
        <f t="shared" ca="1" si="11"/>
        <v>7.9030600130488543E-2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816.52050800600011</v>
      </c>
      <c r="W27" s="2">
        <f t="shared" si="14"/>
        <v>-699.14771612275808</v>
      </c>
      <c r="X27" s="9">
        <f t="shared" ca="1" si="15"/>
        <v>7.9030600130488543E-2</v>
      </c>
      <c r="Y27" s="2" t="str">
        <f t="shared" si="16"/>
        <v>ACTIVA</v>
      </c>
    </row>
    <row r="28" spans="2:25">
      <c r="B28" s="1">
        <f t="shared" ca="1" si="9"/>
        <v>45596</v>
      </c>
      <c r="C28" s="2">
        <f ca="1">VLOOKUP(B28,Tabla4[],2,FALSE)</f>
        <v>4374.1000000000004</v>
      </c>
      <c r="D28" s="3">
        <f ca="1">VLOOKUP(B28,Tabla4[],3,FALSE)</f>
        <v>72074</v>
      </c>
      <c r="E28" s="2">
        <f ca="1">VLOOKUP(B28,Tabla4[],5,FALSE)</f>
        <v>2630</v>
      </c>
      <c r="F28" s="2">
        <f ca="1">VLOOKUP(B28,Tabla4[],4,FALSE)</f>
        <v>1.68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576.91973245000008</v>
      </c>
      <c r="N28" s="32">
        <f t="shared" ca="1" si="11"/>
        <v>-0.2392467675219114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576.91973245000008</v>
      </c>
      <c r="W28" s="2">
        <f t="shared" si="14"/>
        <v>-700.6597894414499</v>
      </c>
      <c r="X28" s="9">
        <f t="shared" ca="1" si="15"/>
        <v>-0.2392467675219114</v>
      </c>
      <c r="Y28" s="2" t="str">
        <f t="shared" si="16"/>
        <v>ACTIVA</v>
      </c>
    </row>
    <row r="29" spans="2:25">
      <c r="B29" s="1">
        <f t="shared" ca="1" si="9"/>
        <v>45596</v>
      </c>
      <c r="C29" s="2">
        <f ca="1">VLOOKUP(B29,Tabla4[],2,FALSE)</f>
        <v>4374.1000000000004</v>
      </c>
      <c r="D29" s="3">
        <f ca="1">VLOOKUP(B29,Tabla4[],3,FALSE)</f>
        <v>72074</v>
      </c>
      <c r="E29" s="2">
        <f ca="1">VLOOKUP(B29,Tabla4[],5,FALSE)</f>
        <v>2630</v>
      </c>
      <c r="F29" s="2">
        <f ca="1">VLOOKUP(B29,Tabla4[],4,FALSE)</f>
        <v>1.68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218.31321711192001</v>
      </c>
      <c r="N29" s="32">
        <f t="shared" ca="1" si="11"/>
        <v>-0.42465753424657537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218.31321711192001</v>
      </c>
      <c r="W29" s="2">
        <f t="shared" si="14"/>
        <v>-350.58167079212399</v>
      </c>
      <c r="X29" s="9">
        <f t="shared" ca="1" si="15"/>
        <v>-0.42465753424657537</v>
      </c>
      <c r="Y29" s="2" t="str">
        <f t="shared" si="16"/>
        <v>ACTIVA</v>
      </c>
    </row>
    <row r="30" spans="2:25">
      <c r="B30" s="1">
        <f t="shared" ref="B30:B35" ca="1" si="17">TODAY()</f>
        <v>45596</v>
      </c>
      <c r="C30" s="2">
        <f ca="1">VLOOKUP(B30,Tabla4[],2,FALSE)</f>
        <v>4374.1000000000004</v>
      </c>
      <c r="D30" s="3">
        <f ca="1">VLOOKUP(B30,Tabla4[],3,FALSE)</f>
        <v>72074</v>
      </c>
      <c r="E30" s="2">
        <f ca="1">VLOOKUP(B30,Tabla4[],5,FALSE)</f>
        <v>2630</v>
      </c>
      <c r="F30" s="2">
        <f ca="1">VLOOKUP(B30,Tabla4[],4,FALSE)</f>
        <v>1.68</v>
      </c>
      <c r="G30" t="s">
        <v>14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797.60497500200006</v>
      </c>
      <c r="N30" s="32">
        <f t="shared" ref="N30:N35" ca="1" si="19">IF(G30 = "BTC", (D30 - J30) / J30,
 IF(G30 = "ETH", (E30 - J30) / J30,
 IF(G30 = "IO.NET", (F30 - J30) / J30,
 "Moneda no soportada")))</f>
        <v>4.9414532863911328E-2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797.60497500200006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4.9414532863911328E-2</v>
      </c>
      <c r="Y30" s="2" t="str">
        <f t="shared" si="16"/>
        <v>ACTIVA</v>
      </c>
    </row>
    <row r="31" spans="2:25">
      <c r="B31" s="1">
        <f t="shared" ca="1" si="17"/>
        <v>45596</v>
      </c>
      <c r="C31" s="2">
        <f ca="1">VLOOKUP(B31,Tabla4[],2,FALSE)</f>
        <v>4374.1000000000004</v>
      </c>
      <c r="D31" s="3">
        <f ca="1">VLOOKUP(B31,Tabla4[],3,FALSE)</f>
        <v>72074</v>
      </c>
      <c r="E31" s="2">
        <f ca="1">VLOOKUP(B31,Tabla4[],5,FALSE)</f>
        <v>2630</v>
      </c>
      <c r="F31" s="2">
        <f ca="1">VLOOKUP(B31,Tabla4[],4,FALSE)</f>
        <v>1.68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602.68843036999999</v>
      </c>
      <c r="N31" s="32">
        <f t="shared" ca="1" si="19"/>
        <v>-0.20675614537777107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602.68843036999999</v>
      </c>
      <c r="W31" s="2">
        <f t="shared" si="22"/>
        <v>-700.01062533089998</v>
      </c>
      <c r="X31" s="9">
        <f t="shared" ca="1" si="23"/>
        <v>-0.20675614537777107</v>
      </c>
      <c r="Y31" s="2" t="str">
        <f t="shared" si="16"/>
        <v>ACTIVA</v>
      </c>
    </row>
    <row r="32" spans="2:25">
      <c r="B32" s="1">
        <f t="shared" ca="1" si="17"/>
        <v>45596</v>
      </c>
      <c r="C32" s="2">
        <f ca="1">VLOOKUP(B32,Tabla4[],2,FALSE)</f>
        <v>4374.1000000000004</v>
      </c>
      <c r="D32" s="3">
        <f ca="1">VLOOKUP(B32,Tabla4[],3,FALSE)</f>
        <v>72074</v>
      </c>
      <c r="E32" s="2">
        <f ca="1">VLOOKUP(B32,Tabla4[],5,FALSE)</f>
        <v>2630</v>
      </c>
      <c r="F32" s="2">
        <f ca="1">VLOOKUP(B32,Tabla4[],4,FALSE)</f>
        <v>1.68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220.14387244247999</v>
      </c>
      <c r="N32" s="32">
        <f t="shared" ca="1" si="19"/>
        <v>-0.4206896551724138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220.14387244247999</v>
      </c>
      <c r="W32" s="2">
        <f t="shared" si="22"/>
        <v>-350.11749431717993</v>
      </c>
      <c r="X32" s="9">
        <f t="shared" ca="1" si="23"/>
        <v>-0.4206896551724138</v>
      </c>
      <c r="Y32" s="2" t="str">
        <f t="shared" si="16"/>
        <v>ACTIVA</v>
      </c>
    </row>
    <row r="33" spans="2:25">
      <c r="B33" s="1">
        <f t="shared" ca="1" si="17"/>
        <v>45596</v>
      </c>
      <c r="C33" s="2">
        <f ca="1">VLOOKUP(B33,Tabla4[],2,FALSE)</f>
        <v>4374.1000000000004</v>
      </c>
      <c r="D33" s="3">
        <f ca="1">VLOOKUP(B33,Tabla4[],3,FALSE)</f>
        <v>72074</v>
      </c>
      <c r="E33" s="2">
        <f ca="1">VLOOKUP(B33,Tabla4[],5,FALSE)</f>
        <v>2630</v>
      </c>
      <c r="F33" s="2">
        <f ca="1">VLOOKUP(B33,Tabla4[],4,FALSE)</f>
        <v>1.68</v>
      </c>
      <c r="G33" t="s">
        <v>14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ca="1" xml:space="preserve"> K33 * (IF(G33="BTC", D33, IF(G33="ETH", E33, IF(G33="IO.NET", F33, 0)))) * C33</f>
        <v>1002.5232492120001</v>
      </c>
      <c r="N33" s="32">
        <f t="shared" ca="1" si="19"/>
        <v>0.34797148750600593</v>
      </c>
      <c r="O33" s="9">
        <v>0.25</v>
      </c>
      <c r="P33" s="9">
        <v>0.5</v>
      </c>
      <c r="Q33" t="str">
        <f t="shared" ca="1" si="20"/>
        <v>VENTA PARCIAL</v>
      </c>
      <c r="T33" s="2"/>
      <c r="U33" s="14">
        <f>Tabla6[[#This Row],[cantidad]]-Tabla6[[#This Row],[CANTIDAD VENDIDA]]</f>
        <v>3.18E-6</v>
      </c>
      <c r="V33" s="2">
        <f t="shared" ca="1" si="21"/>
        <v>1002.5232492120001</v>
      </c>
      <c r="W33" s="2">
        <f t="shared" si="22"/>
        <v>-699.99737650756197</v>
      </c>
      <c r="X33" s="9">
        <f t="shared" ca="1" si="23"/>
        <v>0.34797148750600593</v>
      </c>
      <c r="Y33" s="2" t="str">
        <f t="shared" ref="Y33:Y38" si="24">IF(U33=0,"VENDIDA","ACTIVA")</f>
        <v>ACTIVA</v>
      </c>
    </row>
    <row r="34" spans="2:25">
      <c r="B34" s="1">
        <f t="shared" ca="1" si="17"/>
        <v>45596</v>
      </c>
      <c r="C34" s="2">
        <f ca="1">VLOOKUP(B34,Tabla4[],2,FALSE)</f>
        <v>4374.1000000000004</v>
      </c>
      <c r="D34" s="3">
        <f ca="1">VLOOKUP(B34,Tabla4[],3,FALSE)</f>
        <v>72074</v>
      </c>
      <c r="E34" s="2">
        <f ca="1">VLOOKUP(B34,Tabla4[],5,FALSE)</f>
        <v>2630</v>
      </c>
      <c r="F34" s="2">
        <f ca="1">VLOOKUP(B34,Tabla4[],4,FALSE)</f>
        <v>1.68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823.79306163000012</v>
      </c>
      <c r="N34" s="32">
        <f t="shared" ca="1" si="19"/>
        <v>0.10765757797825111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823.79306163000012</v>
      </c>
      <c r="W34" s="2">
        <f t="shared" si="22"/>
        <v>-699.99553871893795</v>
      </c>
      <c r="X34" s="9">
        <f t="shared" ca="1" si="23"/>
        <v>0.10765757797825111</v>
      </c>
      <c r="Y34" s="2" t="str">
        <f t="shared" si="24"/>
        <v>ACTIVA</v>
      </c>
    </row>
    <row r="35" spans="2:25">
      <c r="B35" s="1">
        <f t="shared" ca="1" si="17"/>
        <v>45596</v>
      </c>
      <c r="C35" s="2">
        <f ca="1">VLOOKUP(B35,Tabla4[],2,FALSE)</f>
        <v>4374.1000000000004</v>
      </c>
      <c r="D35" s="3">
        <f ca="1">VLOOKUP(B35,Tabla4[],3,FALSE)</f>
        <v>72074</v>
      </c>
      <c r="E35" s="2">
        <f ca="1">VLOOKUP(B35,Tabla4[],5,FALSE)</f>
        <v>2630</v>
      </c>
      <c r="F35" s="2">
        <f ca="1">VLOOKUP(B35,Tabla4[],4,FALSE)</f>
        <v>1.68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424.30632666744003</v>
      </c>
      <c r="N35" s="32">
        <f t="shared" ca="1" si="19"/>
        <v>0.14099429502852487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424.30632666744003</v>
      </c>
      <c r="W35" s="2">
        <f t="shared" si="22"/>
        <v>-350.00858741327886</v>
      </c>
      <c r="X35" s="9">
        <f t="shared" ca="1" si="23"/>
        <v>0.14099429502852487</v>
      </c>
      <c r="Y35" s="2" t="str">
        <f t="shared" si="24"/>
        <v>ACTIVA</v>
      </c>
    </row>
    <row r="36" spans="2:25">
      <c r="B36" s="1">
        <f t="shared" ref="B36:B41" ca="1" si="25">TODAY()</f>
        <v>45596</v>
      </c>
      <c r="C36" s="2">
        <f ca="1">VLOOKUP(B36,Tabla4[],2,FALSE)</f>
        <v>4374.1000000000004</v>
      </c>
      <c r="D36" s="3">
        <f ca="1">VLOOKUP(B36,Tabla4[],3,FALSE)</f>
        <v>72074</v>
      </c>
      <c r="E36" s="2">
        <f ca="1">VLOOKUP(B36,Tabla4[],5,FALSE)</f>
        <v>2630</v>
      </c>
      <c r="F36" s="2">
        <f ca="1">VLOOKUP(B36,Tabla4[],4,FALSE)</f>
        <v>1.68</v>
      </c>
      <c r="G36" t="s">
        <v>14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t="shared" ref="M36:M41" ca="1" si="26" xml:space="preserve"> K36 * (IF(G36="BTC", D36, IF(G36="ETH", E36, IF(G36="IO.NET", F36, 0)))) * C36</f>
        <v>917.40335069400021</v>
      </c>
      <c r="N36" s="41">
        <f t="shared" ref="N36:N41" ca="1" si="27">IF(G36 = "BTC", (D36 - J36) / J36,
 IF(G36 = "ETH", (E36 - J36) / J36,
 IF(G36 = "IO.NET", (F36 - J36) / J36,
 "Moneda no soportada")))</f>
        <v>0.22061486649090922</v>
      </c>
      <c r="O36" s="28">
        <v>0.25</v>
      </c>
      <c r="P36" s="28">
        <v>0.5</v>
      </c>
      <c r="Q36" t="str">
        <f t="shared" ref="Q36:Q41" ca="1" si="28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t="shared" ref="V36:V41" ca="1" si="29">IF(G36="BTC", D36 * U36 * C36, IF(G36="ETH", E36 * U36 * C36, IF(G36="IO.NET", F36 * U36 * C36, 0)))</f>
        <v>917.40335069400021</v>
      </c>
      <c r="W36" s="2">
        <f t="shared" ref="W36:W41" si="30">IF(G36 = "BTC", ((T36 - L36)), IF(G36 = "ETH", ((T36 - L36)), IF(G36 = "IO.NET", ((T36 - L36)), "Moneda no soportada")))</f>
        <v>-699.99648833423703</v>
      </c>
      <c r="X36" s="9">
        <f t="shared" ref="X36:X41" ca="1" si="31">IF(G36 = "BTC", (((D36 - J36) / J36)),IF(G36 = "ETH", ((E36 - J36) / J36), IF(G36 = "IO.NET", ((F36 - J36) / J36), "Moneda no soportada")))</f>
        <v>0.22061486649090922</v>
      </c>
      <c r="Y36" s="2" t="str">
        <f t="shared" si="24"/>
        <v>ACTIVA</v>
      </c>
    </row>
    <row r="37" spans="2:25">
      <c r="B37" s="1">
        <f t="shared" ca="1" si="25"/>
        <v>45596</v>
      </c>
      <c r="C37" s="2">
        <f ca="1">VLOOKUP(B37,Tabla4[],2,FALSE)</f>
        <v>4374.1000000000004</v>
      </c>
      <c r="D37" s="3">
        <f ca="1">VLOOKUP(B37,Tabla4[],3,FALSE)</f>
        <v>72074</v>
      </c>
      <c r="E37" s="2">
        <f ca="1">VLOOKUP(B37,Tabla4[],5,FALSE)</f>
        <v>2630</v>
      </c>
      <c r="F37" s="2">
        <f ca="1">VLOOKUP(B37,Tabla4[],4,FALSE)</f>
        <v>1.68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26"/>
        <v>747.29223968000008</v>
      </c>
      <c r="N37" s="41">
        <f t="shared" ca="1" si="27"/>
        <v>-5.7462573718432709E-3</v>
      </c>
      <c r="O37" s="28">
        <v>0.25</v>
      </c>
      <c r="P37" s="28">
        <v>0.5</v>
      </c>
      <c r="Q37" t="str">
        <f t="shared" ca="1" si="28"/>
        <v>MANTENER</v>
      </c>
      <c r="T37" s="2"/>
      <c r="U37" s="14">
        <f>Tabla6[[#This Row],[cantidad]]-Tabla6[[#This Row],[CANTIDAD VENDIDA]]</f>
        <v>6.4960000000000001E-5</v>
      </c>
      <c r="V37" s="2">
        <f t="shared" ca="1" si="29"/>
        <v>747.29223968000008</v>
      </c>
      <c r="W37" s="2">
        <f t="shared" si="30"/>
        <v>-700.01513873535998</v>
      </c>
      <c r="X37" s="9">
        <f t="shared" ca="1" si="31"/>
        <v>-5.7462573718432709E-3</v>
      </c>
      <c r="Y37" s="2" t="str">
        <f t="shared" si="24"/>
        <v>ACTIVA</v>
      </c>
    </row>
    <row r="38" spans="2:25">
      <c r="B38" s="1">
        <f t="shared" ca="1" si="25"/>
        <v>45596</v>
      </c>
      <c r="C38" s="2">
        <f ca="1">VLOOKUP(B38,Tabla4[],2,FALSE)</f>
        <v>4374.1000000000004</v>
      </c>
      <c r="D38" s="3">
        <f ca="1">VLOOKUP(B38,Tabla4[],3,FALSE)</f>
        <v>72074</v>
      </c>
      <c r="E38" s="2">
        <f ca="1">VLOOKUP(B38,Tabla4[],5,FALSE)</f>
        <v>2630</v>
      </c>
      <c r="F38" s="2">
        <f ca="1">VLOOKUP(B38,Tabla4[],4,FALSE)</f>
        <v>1.68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26"/>
        <v>401.52770401968002</v>
      </c>
      <c r="N38" s="41">
        <f t="shared" ca="1" si="27"/>
        <v>6.8471195797346548E-2</v>
      </c>
      <c r="O38" s="28">
        <v>0.1</v>
      </c>
      <c r="P38" s="28">
        <v>0.3</v>
      </c>
      <c r="Q38" t="str">
        <f t="shared" ca="1" si="28"/>
        <v>MANTENER</v>
      </c>
      <c r="T38" s="2"/>
      <c r="U38" s="14">
        <f>Tabla6[[#This Row],[cantidad]]-Tabla6[[#This Row],[CANTIDAD VENDIDA]]</f>
        <v>5.4640859999999999E-2</v>
      </c>
      <c r="V38" s="2">
        <f t="shared" ca="1" si="29"/>
        <v>401.52770401968002</v>
      </c>
      <c r="W38" s="2">
        <f t="shared" si="30"/>
        <v>-349.9990705940495</v>
      </c>
      <c r="X38" s="9">
        <f t="shared" ca="1" si="31"/>
        <v>6.8471195797346548E-2</v>
      </c>
      <c r="Y38" s="2" t="str">
        <f t="shared" si="24"/>
        <v>ACTIVA</v>
      </c>
    </row>
    <row r="39" spans="2:25">
      <c r="B39" s="1">
        <f t="shared" ca="1" si="25"/>
        <v>45596</v>
      </c>
      <c r="C39" s="2">
        <f ca="1">VLOOKUP(B39,Tabla4[],2,FALSE)</f>
        <v>4374.1000000000004</v>
      </c>
      <c r="D39" s="3">
        <f ca="1">VLOOKUP(B39,Tabla4[],3,FALSE)</f>
        <v>72074</v>
      </c>
      <c r="E39" s="2">
        <f ca="1">VLOOKUP(B39,Tabla4[],5,FALSE)</f>
        <v>2630</v>
      </c>
      <c r="F39" s="2">
        <f ca="1">VLOOKUP(B39,Tabla4[],4,FALSE)</f>
        <v>1.68</v>
      </c>
      <c r="G39" t="s">
        <v>14</v>
      </c>
      <c r="H39" s="1">
        <v>45523</v>
      </c>
      <c r="I39" s="3">
        <f>VLOOKUP(H39,Tabla4[],2,FALSE)</f>
        <v>4030.16</v>
      </c>
      <c r="J39" s="3">
        <v>57323.8</v>
      </c>
      <c r="K39" s="25">
        <v>3.0299999999999998E-6</v>
      </c>
      <c r="L39" s="29">
        <f>Tabla6[[#This Row],[precio de compra]]*Tabla6[[#This Row],[cantidad]]*Tabla6[[#This Row],[PRECIO DEL DÓLAR, DIA COMPRA]]</f>
        <v>700.00297999823999</v>
      </c>
      <c r="M39" s="26">
        <f t="shared" ca="1" si="26"/>
        <v>955.23441670200009</v>
      </c>
      <c r="N39" s="41">
        <f t="shared" ca="1" si="27"/>
        <v>0.25731371611791254</v>
      </c>
      <c r="O39" s="28">
        <v>0.25</v>
      </c>
      <c r="P39" s="28">
        <v>0.5</v>
      </c>
      <c r="Q39" t="str">
        <f t="shared" ca="1" si="28"/>
        <v>VENTA PARCIAL</v>
      </c>
      <c r="T39" s="2"/>
      <c r="U39" s="14">
        <f>Tabla6[[#This Row],[cantidad]]-Tabla6[[#This Row],[CANTIDAD VENDIDA]]</f>
        <v>3.0299999999999998E-6</v>
      </c>
      <c r="V39" s="2">
        <f t="shared" ca="1" si="29"/>
        <v>955.23441670200009</v>
      </c>
      <c r="W39" s="2">
        <f t="shared" si="30"/>
        <v>-700.00297999823999</v>
      </c>
      <c r="X39" s="9">
        <f t="shared" ca="1" si="31"/>
        <v>0.25731371611791254</v>
      </c>
      <c r="Y39" s="2" t="str">
        <f t="shared" ref="Y39:Y44" si="32">IF(U39=0,"VENDIDA","ACTIVA")</f>
        <v>ACTIVA</v>
      </c>
    </row>
    <row r="40" spans="2:25">
      <c r="B40" s="1">
        <f t="shared" ca="1" si="25"/>
        <v>45596</v>
      </c>
      <c r="C40" s="2">
        <f ca="1">VLOOKUP(B40,Tabla4[],2,FALSE)</f>
        <v>4374.1000000000004</v>
      </c>
      <c r="D40" s="3">
        <f ca="1">VLOOKUP(B40,Tabla4[],3,FALSE)</f>
        <v>72074</v>
      </c>
      <c r="E40" s="2">
        <f ca="1">VLOOKUP(B40,Tabla4[],5,FALSE)</f>
        <v>2630</v>
      </c>
      <c r="F40" s="2">
        <f ca="1">VLOOKUP(B40,Tabla4[],4,FALSE)</f>
        <v>1.68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26"/>
        <v>790.66187859000001</v>
      </c>
      <c r="N40" s="41">
        <f t="shared" ca="1" si="27"/>
        <v>4.0698019508141545E-2</v>
      </c>
      <c r="O40" s="28">
        <v>0.25</v>
      </c>
      <c r="P40" s="28">
        <v>0.5</v>
      </c>
      <c r="Q40" t="str">
        <f t="shared" ca="1" si="28"/>
        <v>MANTENER</v>
      </c>
      <c r="T40" s="2"/>
      <c r="U40" s="14">
        <f>Tabla6[[#This Row],[cantidad]]-Tabla6[[#This Row],[CANTIDAD VENDIDA]]</f>
        <v>6.8730000000000001E-5</v>
      </c>
      <c r="V40" s="2">
        <f t="shared" ca="1" si="29"/>
        <v>790.66187859000001</v>
      </c>
      <c r="W40" s="2">
        <f t="shared" si="30"/>
        <v>-700.00259914812</v>
      </c>
      <c r="X40" s="9">
        <f t="shared" ca="1" si="31"/>
        <v>4.0698019508141545E-2</v>
      </c>
      <c r="Y40" s="2" t="str">
        <f t="shared" si="32"/>
        <v>ACTIVA</v>
      </c>
    </row>
    <row r="41" spans="2:25">
      <c r="B41" s="1">
        <f t="shared" ca="1" si="25"/>
        <v>45596</v>
      </c>
      <c r="C41" s="2">
        <f ca="1">VLOOKUP(B41,Tabla4[],2,FALSE)</f>
        <v>4374.1000000000004</v>
      </c>
      <c r="D41" s="3">
        <f ca="1">VLOOKUP(B41,Tabla4[],3,FALSE)</f>
        <v>72074</v>
      </c>
      <c r="E41" s="2">
        <f ca="1">VLOOKUP(B41,Tabla4[],5,FALSE)</f>
        <v>2630</v>
      </c>
      <c r="F41" s="2">
        <f ca="1">VLOOKUP(B41,Tabla4[],4,FALSE)</f>
        <v>1.68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26"/>
        <v>395.84166445992003</v>
      </c>
      <c r="N41" s="41">
        <f t="shared" ca="1" si="27"/>
        <v>4.2054335690360906E-2</v>
      </c>
      <c r="O41" s="28">
        <v>0.1</v>
      </c>
      <c r="P41" s="28">
        <v>0.3</v>
      </c>
      <c r="Q41" t="str">
        <f t="shared" ca="1" si="28"/>
        <v>MANTENER</v>
      </c>
      <c r="T41" s="2"/>
      <c r="U41" s="14">
        <f>Tabla6[[#This Row],[cantidad]]-Tabla6[[#This Row],[CANTIDAD VENDIDA]]</f>
        <v>5.3867089999999999E-2</v>
      </c>
      <c r="V41" s="2">
        <f t="shared" ca="1" si="29"/>
        <v>395.84166445992003</v>
      </c>
      <c r="W41" s="2">
        <f t="shared" si="30"/>
        <v>-349.99732079053973</v>
      </c>
      <c r="X41" s="9">
        <f t="shared" ca="1" si="31"/>
        <v>4.2054335690360906E-2</v>
      </c>
      <c r="Y41" s="2" t="str">
        <f t="shared" si="32"/>
        <v>ACTIVA</v>
      </c>
    </row>
    <row r="42" spans="2:25">
      <c r="B42" s="1">
        <f t="shared" ref="B42:B47" ca="1" si="33">TODAY()</f>
        <v>45596</v>
      </c>
      <c r="C42" s="2">
        <f ca="1">VLOOKUP(B42,Tabla4[],2,FALSE)</f>
        <v>4374.1000000000004</v>
      </c>
      <c r="D42" s="3">
        <f ca="1">VLOOKUP(B42,Tabla4[],3,FALSE)</f>
        <v>72074</v>
      </c>
      <c r="E42" s="2">
        <f ca="1">VLOOKUP(B42,Tabla4[],5,FALSE)</f>
        <v>2630</v>
      </c>
      <c r="F42" s="2">
        <f ca="1">VLOOKUP(B42,Tabla4[],4,FALSE)</f>
        <v>1.68</v>
      </c>
      <c r="G42" t="s">
        <v>14</v>
      </c>
      <c r="H42" s="1">
        <v>45530</v>
      </c>
      <c r="I42" s="3">
        <f>VLOOKUP(H42,Tabla4[],2,FALSE)</f>
        <v>4029.75</v>
      </c>
      <c r="J42" s="3">
        <v>62485</v>
      </c>
      <c r="K42" s="25">
        <v>2.7800000000000001E-6</v>
      </c>
      <c r="L42" s="29">
        <f>Tabla6[[#This Row],[precio de compra]]*Tabla6[[#This Row],[cantidad]]*Tabla6[[#This Row],[PRECIO DEL DÓLAR, DIA COMPRA]]</f>
        <v>700.00102192500003</v>
      </c>
      <c r="M42" s="26">
        <f t="shared" ref="M42:M47" ca="1" si="34" xml:space="preserve"> K42 * (IF(G42="BTC", D42, IF(G42="ETH", E42, IF(G42="IO.NET", F42, 0)))) * C42</f>
        <v>876.41969585200002</v>
      </c>
      <c r="N42" s="41">
        <f t="shared" ref="N42:N47" ca="1" si="35">IF(G42 = "BTC", (D42 - J42) / J42,
 IF(G42 = "ETH", (E42 - J42) / J42,
 IF(G42 = "IO.NET", (F42 - J42) / J42,
 "Moneda no soportada")))</f>
        <v>0.15346083059934384</v>
      </c>
      <c r="O42" s="28">
        <v>0.25</v>
      </c>
      <c r="P42" s="28">
        <v>0.5</v>
      </c>
      <c r="Q42" t="str">
        <f t="shared" ref="Q42:Q47" ca="1" si="36">IF(N42 &lt; O42, "MANTENER", IF(N42 &lt; P42, "VENTA PARCIAL", "VENDER"))</f>
        <v>MANTENER</v>
      </c>
      <c r="T42" s="2"/>
      <c r="U42" s="14">
        <f>Tabla6[[#This Row],[cantidad]]-Tabla6[[#This Row],[CANTIDAD VENDIDA]]</f>
        <v>2.7800000000000001E-6</v>
      </c>
      <c r="V42" s="2">
        <f t="shared" ref="V42:V47" ca="1" si="37">IF(G42="BTC", D42 * U42 * C42, IF(G42="ETH", E42 * U42 * C42, IF(G42="IO.NET", F42 * U42 * C42, 0)))</f>
        <v>876.41969585200002</v>
      </c>
      <c r="W42" s="2">
        <f t="shared" ref="W42:W47" si="38">IF(G42 = "BTC", ((T42 - L42)), IF(G42 = "ETH", ((T42 - L42)), IF(G42 = "IO.NET", ((T42 - L42)), "Moneda no soportada")))</f>
        <v>-700.00102192500003</v>
      </c>
      <c r="X42" s="9">
        <f t="shared" ref="X42:X47" ca="1" si="39">IF(G42 = "BTC", (((D42 - J42) / J42)),IF(G42 = "ETH", ((E42 - J42) / J42), IF(G42 = "IO.NET", ((F42 - J42) / J42), "Moneda no soportada")))</f>
        <v>0.15346083059934384</v>
      </c>
      <c r="Y42" s="2" t="str">
        <f t="shared" si="32"/>
        <v>ACTIVA</v>
      </c>
    </row>
    <row r="43" spans="2:25">
      <c r="B43" s="1">
        <f t="shared" ca="1" si="33"/>
        <v>45596</v>
      </c>
      <c r="C43" s="2">
        <f ca="1">VLOOKUP(B43,Tabla4[],2,FALSE)</f>
        <v>4374.1000000000004</v>
      </c>
      <c r="D43" s="3">
        <f ca="1">VLOOKUP(B43,Tabla4[],3,FALSE)</f>
        <v>72074</v>
      </c>
      <c r="E43" s="2">
        <f ca="1">VLOOKUP(B43,Tabla4[],5,FALSE)</f>
        <v>2630</v>
      </c>
      <c r="F43" s="2">
        <f ca="1">VLOOKUP(B43,Tabla4[],4,FALSE)</f>
        <v>1.68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34"/>
        <v>748.21255031999999</v>
      </c>
      <c r="N43" s="41">
        <f t="shared" ca="1" si="35"/>
        <v>-1.5272634688612719E-2</v>
      </c>
      <c r="O43" s="28">
        <v>0.25</v>
      </c>
      <c r="P43" s="28">
        <v>0.5</v>
      </c>
      <c r="Q43" t="str">
        <f t="shared" ca="1" si="36"/>
        <v>MANTENER</v>
      </c>
      <c r="T43" s="2"/>
      <c r="U43" s="14">
        <f>Tabla6[[#This Row],[cantidad]]-Tabla6[[#This Row],[CANTIDAD VENDIDA]]</f>
        <v>6.5040000000000001E-5</v>
      </c>
      <c r="V43" s="2">
        <f t="shared" ca="1" si="37"/>
        <v>748.21255031999999</v>
      </c>
      <c r="W43" s="2">
        <f t="shared" si="38"/>
        <v>-700.00054480260007</v>
      </c>
      <c r="X43" s="9">
        <f t="shared" ca="1" si="39"/>
        <v>-1.5272634688612719E-2</v>
      </c>
      <c r="Y43" s="2" t="str">
        <f t="shared" si="32"/>
        <v>ACTIVA</v>
      </c>
    </row>
    <row r="44" spans="2:25">
      <c r="B44" s="1">
        <f t="shared" ca="1" si="33"/>
        <v>45596</v>
      </c>
      <c r="C44" s="2">
        <f ca="1">VLOOKUP(B44,Tabla4[],2,FALSE)</f>
        <v>4374.1000000000004</v>
      </c>
      <c r="D44" s="3">
        <f ca="1">VLOOKUP(B44,Tabla4[],3,FALSE)</f>
        <v>72074</v>
      </c>
      <c r="E44" s="2">
        <f ca="1">VLOOKUP(B44,Tabla4[],5,FALSE)</f>
        <v>2630</v>
      </c>
      <c r="F44" s="2">
        <f ca="1">VLOOKUP(B44,Tabla4[],4,FALSE)</f>
        <v>1.68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34"/>
        <v>293.22260151071998</v>
      </c>
      <c r="N44" s="41">
        <f t="shared" ca="1" si="35"/>
        <v>-0.22818591531178067</v>
      </c>
      <c r="O44" s="28">
        <v>0.1</v>
      </c>
      <c r="P44" s="28">
        <v>0.3</v>
      </c>
      <c r="Q44" t="str">
        <f t="shared" ca="1" si="36"/>
        <v>MANTENER</v>
      </c>
      <c r="T44" s="2"/>
      <c r="U44" s="14">
        <f>Tabla6[[#This Row],[cantidad]]-Tabla6[[#This Row],[CANTIDAD VENDIDA]]</f>
        <v>3.9902439999999997E-2</v>
      </c>
      <c r="V44" s="2">
        <f t="shared" ca="1" si="37"/>
        <v>293.22260151071998</v>
      </c>
      <c r="W44" s="2">
        <f t="shared" si="38"/>
        <v>-350.00491194757706</v>
      </c>
      <c r="X44" s="9">
        <f t="shared" ca="1" si="39"/>
        <v>-0.22818591531178067</v>
      </c>
      <c r="Y44" s="2" t="str">
        <f t="shared" si="32"/>
        <v>ACTIVA</v>
      </c>
    </row>
    <row r="45" spans="2:25">
      <c r="B45" s="1">
        <f t="shared" ca="1" si="33"/>
        <v>45596</v>
      </c>
      <c r="C45" s="2">
        <f ca="1">VLOOKUP(B45,Tabla4[],2,FALSE)</f>
        <v>4374.1000000000004</v>
      </c>
      <c r="D45" s="3">
        <f ca="1">VLOOKUP(B45,Tabla4[],3,FALSE)</f>
        <v>72074</v>
      </c>
      <c r="E45" s="2">
        <f ca="1">VLOOKUP(B45,Tabla4[],5,FALSE)</f>
        <v>2630</v>
      </c>
      <c r="F45" s="2">
        <f ca="1">VLOOKUP(B45,Tabla4[],4,FALSE)</f>
        <v>1.68</v>
      </c>
      <c r="G45" t="s">
        <v>14</v>
      </c>
      <c r="H45" s="1">
        <v>45537</v>
      </c>
      <c r="I45" s="3">
        <f>VLOOKUP(H45,Tabla4[],2,FALSE)</f>
        <v>4160.3100000000004</v>
      </c>
      <c r="J45" s="3">
        <v>56272.800000000003</v>
      </c>
      <c r="K45" s="25">
        <v>2.9900000000000002E-6</v>
      </c>
      <c r="L45" s="29">
        <f>Tabla6[[#This Row],[precio de compra]]*Tabla6[[#This Row],[cantidad]]*Tabla6[[#This Row],[PRECIO DEL DÓLAR, DIA COMPRA]]</f>
        <v>699.99575477832013</v>
      </c>
      <c r="M45" s="26">
        <f t="shared" ca="1" si="34"/>
        <v>942.62406136600009</v>
      </c>
      <c r="N45" s="41">
        <f t="shared" ca="1" si="35"/>
        <v>0.28079640607895817</v>
      </c>
      <c r="O45" s="28">
        <v>0.25</v>
      </c>
      <c r="P45" s="28">
        <v>0.5</v>
      </c>
      <c r="Q45" s="31" t="str">
        <f t="shared" ca="1" si="36"/>
        <v>VENTA PARCIAL</v>
      </c>
      <c r="T45" s="2"/>
      <c r="U45" s="14">
        <f>Tabla6[[#This Row],[cantidad]]-Tabla6[[#This Row],[CANTIDAD VENDIDA]]</f>
        <v>2.9900000000000002E-6</v>
      </c>
      <c r="V45" s="2">
        <f t="shared" ca="1" si="37"/>
        <v>942.62406136600009</v>
      </c>
      <c r="W45" s="2">
        <f t="shared" si="38"/>
        <v>-699.99575477832013</v>
      </c>
      <c r="X45" s="32">
        <f t="shared" ca="1" si="39"/>
        <v>0.28079640607895817</v>
      </c>
      <c r="Y45" s="2" t="str">
        <f t="shared" ref="Y45:Y50" si="40">IF(U45=0,"VENDIDA","ACTIVA")</f>
        <v>ACTIVA</v>
      </c>
    </row>
    <row r="46" spans="2:25">
      <c r="B46" s="1">
        <f t="shared" ca="1" si="33"/>
        <v>45596</v>
      </c>
      <c r="C46" s="2">
        <f ca="1">VLOOKUP(B46,Tabla4[],2,FALSE)</f>
        <v>4374.1000000000004</v>
      </c>
      <c r="D46" s="3">
        <f ca="1">VLOOKUP(B46,Tabla4[],3,FALSE)</f>
        <v>72074</v>
      </c>
      <c r="E46" s="2">
        <f ca="1">VLOOKUP(B46,Tabla4[],5,FALSE)</f>
        <v>2630</v>
      </c>
      <c r="F46" s="2">
        <f ca="1">VLOOKUP(B46,Tabla4[],4,FALSE)</f>
        <v>1.68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34"/>
        <v>801.24545095000008</v>
      </c>
      <c r="N46" s="41">
        <f t="shared" ca="1" si="35"/>
        <v>8.8684306388051692E-2</v>
      </c>
      <c r="O46" s="28">
        <v>0.25</v>
      </c>
      <c r="P46" s="28">
        <v>0.5</v>
      </c>
      <c r="Q46" s="31" t="str">
        <f t="shared" ca="1" si="36"/>
        <v>MANTENER</v>
      </c>
      <c r="T46" s="2"/>
      <c r="U46" s="14">
        <f>Tabla6[[#This Row],[cantidad]]-Tabla6[[#This Row],[CANTIDAD VENDIDA]]</f>
        <v>6.9649999999999999E-5</v>
      </c>
      <c r="V46" s="2">
        <f t="shared" ca="1" si="37"/>
        <v>801.24545095000008</v>
      </c>
      <c r="W46" s="2">
        <f t="shared" si="38"/>
        <v>-700.00412532204018</v>
      </c>
      <c r="X46" s="32">
        <f t="shared" ca="1" si="39"/>
        <v>8.8684306388051692E-2</v>
      </c>
      <c r="Y46" s="2" t="str">
        <f t="shared" si="40"/>
        <v>ACTIVA</v>
      </c>
    </row>
    <row r="47" spans="2:25">
      <c r="B47" s="1">
        <f t="shared" ca="1" si="33"/>
        <v>45596</v>
      </c>
      <c r="C47" s="2">
        <f ca="1">VLOOKUP(B47,Tabla4[],2,FALSE)</f>
        <v>4374.1000000000004</v>
      </c>
      <c r="D47" s="3">
        <f ca="1">VLOOKUP(B47,Tabla4[],3,FALSE)</f>
        <v>72074</v>
      </c>
      <c r="E47" s="2">
        <f ca="1">VLOOKUP(B47,Tabla4[],5,FALSE)</f>
        <v>2630</v>
      </c>
      <c r="F47" s="2">
        <f ca="1">VLOOKUP(B47,Tabla4[],4,FALSE)</f>
        <v>1.68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34"/>
        <v>443.83023049512002</v>
      </c>
      <c r="N47" s="41">
        <f t="shared" ca="1" si="35"/>
        <v>0.20611673486969626</v>
      </c>
      <c r="O47" s="28">
        <v>0.1</v>
      </c>
      <c r="P47" s="28">
        <v>0.3</v>
      </c>
      <c r="Q47" s="31" t="str">
        <f t="shared" ca="1" si="36"/>
        <v>VENTA PARCIAL</v>
      </c>
      <c r="T47" s="2"/>
      <c r="U47" s="14">
        <f>Tabla6[[#This Row],[cantidad]]-Tabla6[[#This Row],[CANTIDAD VENDIDA]]</f>
        <v>6.0397489999999998E-2</v>
      </c>
      <c r="V47" s="2">
        <f t="shared" ca="1" si="37"/>
        <v>443.83023049512002</v>
      </c>
      <c r="W47" s="2">
        <f t="shared" si="38"/>
        <v>-349.99716107114455</v>
      </c>
      <c r="X47" s="32">
        <f t="shared" ca="1" si="39"/>
        <v>0.20611673486969626</v>
      </c>
      <c r="Y47" s="2" t="str">
        <f t="shared" si="40"/>
        <v>ACTIVA</v>
      </c>
    </row>
    <row r="48" spans="2:25">
      <c r="B48" s="1">
        <f t="shared" ref="B48:B53" ca="1" si="41">TODAY()</f>
        <v>45596</v>
      </c>
      <c r="C48" s="2">
        <f ca="1">VLOOKUP(B48,Tabla4[],2,FALSE)</f>
        <v>4374.1000000000004</v>
      </c>
      <c r="D48" s="3">
        <f ca="1">VLOOKUP(B48,Tabla4[],3,FALSE)</f>
        <v>72074</v>
      </c>
      <c r="E48" s="2">
        <f ca="1">VLOOKUP(B48,Tabla4[],5,FALSE)</f>
        <v>2630</v>
      </c>
      <c r="F48" s="2">
        <f ca="1">VLOOKUP(B48,Tabla4[],4,FALSE)</f>
        <v>1.68</v>
      </c>
      <c r="G48" t="s">
        <v>14</v>
      </c>
      <c r="H48" s="1">
        <v>45544</v>
      </c>
      <c r="I48" s="3">
        <f>VLOOKUP(H48,Tabla4[],2,FALSE)</f>
        <v>4149.79</v>
      </c>
      <c r="J48" s="3">
        <v>54414</v>
      </c>
      <c r="K48" s="25">
        <v>3.1E-6</v>
      </c>
      <c r="L48" s="29">
        <f>Tabla6[[#This Row],[precio de compra]]*Tabla6[[#This Row],[cantidad]]*Tabla6[[#This Row],[PRECIO DEL DÓLAR, DIA COMPRA]]</f>
        <v>700.00068648600006</v>
      </c>
      <c r="M48" s="26">
        <f t="shared" ref="M48:M53" ca="1" si="42" xml:space="preserve"> K48 * (IF(G48="BTC", D48, IF(G48="ETH", E48, IF(G48="IO.NET", F48, 0)))) * C48</f>
        <v>977.30253854000011</v>
      </c>
      <c r="N48" s="41">
        <f t="shared" ref="N48:N53" ca="1" si="43">IF(G48 = "BTC", (D48 - J48) / J48,
 IF(G48 = "ETH", (E48 - J48) / J48,
 IF(G48 = "IO.NET", (F48 - J48) / J48,
 "Moneda no soportada")))</f>
        <v>0.32454882934538903</v>
      </c>
      <c r="O48" s="28">
        <v>0.25</v>
      </c>
      <c r="P48" s="28">
        <v>0.5</v>
      </c>
      <c r="Q48" s="31" t="str">
        <f t="shared" ref="Q48:Q53" ca="1" si="44">IF(N48 &lt; O48, "MANTENER", IF(N48 &lt; P48, "VENTA PARCIAL", "VENDER"))</f>
        <v>VENTA PARCIAL</v>
      </c>
      <c r="T48" s="2"/>
      <c r="U48" s="14">
        <f>Tabla6[[#This Row],[cantidad]]-Tabla6[[#This Row],[CANTIDAD VENDIDA]]</f>
        <v>3.1E-6</v>
      </c>
      <c r="V48" s="2">
        <f t="shared" ref="V48:V53" ca="1" si="45">IF(G48="BTC", D48 * U48 * C48, IF(G48="ETH", E48 * U48 * C48, IF(G48="IO.NET", F48 * U48 * C48, 0)))</f>
        <v>977.30253854000011</v>
      </c>
      <c r="W48" s="2">
        <f t="shared" ref="W48:W53" si="46">IF(G48 = "BTC", ((T48 - L48)), IF(G48 = "ETH", ((T48 - L48)), IF(G48 = "IO.NET", ((T48 - L48)), "Moneda no soportada")))</f>
        <v>-700.00068648600006</v>
      </c>
      <c r="X48" s="32">
        <f t="shared" ref="X48:X53" ca="1" si="47">IF(G48 = "BTC", (((D48 - J48) / J48)),IF(G48 = "ETH", ((E48 - J48) / J48), IF(G48 = "IO.NET", ((F48 - J48) / J48), "Moneda no soportada")))</f>
        <v>0.32454882934538903</v>
      </c>
      <c r="Y48" s="2" t="str">
        <f t="shared" si="40"/>
        <v>ACTIVA</v>
      </c>
    </row>
    <row r="49" spans="2:25">
      <c r="B49" s="1">
        <f t="shared" ca="1" si="41"/>
        <v>45596</v>
      </c>
      <c r="C49" s="2">
        <f ca="1">VLOOKUP(B49,Tabla4[],2,FALSE)</f>
        <v>4374.1000000000004</v>
      </c>
      <c r="D49" s="3">
        <f ca="1">VLOOKUP(B49,Tabla4[],3,FALSE)</f>
        <v>72074</v>
      </c>
      <c r="E49" s="2">
        <f ca="1">VLOOKUP(B49,Tabla4[],5,FALSE)</f>
        <v>2630</v>
      </c>
      <c r="F49" s="2">
        <f ca="1">VLOOKUP(B49,Tabla4[],4,FALSE)</f>
        <v>1.68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42"/>
        <v>850.13695369999994</v>
      </c>
      <c r="N49" s="41">
        <f t="shared" ca="1" si="43"/>
        <v>0.15219991325643231</v>
      </c>
      <c r="O49" s="28">
        <v>0.25</v>
      </c>
      <c r="P49" s="28">
        <v>0.5</v>
      </c>
      <c r="Q49" s="31" t="str">
        <f t="shared" ca="1" si="44"/>
        <v>MANTENER</v>
      </c>
      <c r="T49" s="2"/>
      <c r="U49" s="14">
        <f>Tabla6[[#This Row],[cantidad]]-Tabla6[[#This Row],[CANTIDAD VENDIDA]]</f>
        <v>7.3899999999999994E-5</v>
      </c>
      <c r="V49" s="2">
        <f t="shared" ca="1" si="45"/>
        <v>850.13695369999994</v>
      </c>
      <c r="W49" s="2">
        <f t="shared" si="46"/>
        <v>-700.00069063578997</v>
      </c>
      <c r="X49" s="32">
        <f t="shared" ca="1" si="47"/>
        <v>0.15219991325643231</v>
      </c>
      <c r="Y49" s="2" t="str">
        <f t="shared" si="40"/>
        <v>ACTIVA</v>
      </c>
    </row>
    <row r="50" spans="2:25">
      <c r="B50" s="1">
        <f t="shared" ca="1" si="41"/>
        <v>45596</v>
      </c>
      <c r="C50" s="2">
        <f ca="1">VLOOKUP(B50,Tabla4[],2,FALSE)</f>
        <v>4374.1000000000004</v>
      </c>
      <c r="D50" s="3">
        <f ca="1">VLOOKUP(B50,Tabla4[],3,FALSE)</f>
        <v>72074</v>
      </c>
      <c r="E50" s="2">
        <f ca="1">VLOOKUP(B50,Tabla4[],5,FALSE)</f>
        <v>2630</v>
      </c>
      <c r="F50" s="2">
        <f ca="1">VLOOKUP(B50,Tabla4[],4,FALSE)</f>
        <v>1.68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42"/>
        <v>396.93607477775998</v>
      </c>
      <c r="N50" s="41">
        <f t="shared" ca="1" si="43"/>
        <v>7.5957474061739499E-2</v>
      </c>
      <c r="O50" s="28">
        <v>0.1</v>
      </c>
      <c r="P50" s="28">
        <v>0.3</v>
      </c>
      <c r="Q50" s="31" t="str">
        <f t="shared" ca="1" si="44"/>
        <v>MANTENER</v>
      </c>
      <c r="T50" s="2"/>
      <c r="U50" s="14">
        <f>Tabla6[[#This Row],[cantidad]]-Tabla6[[#This Row],[CANTIDAD VENDIDA]]</f>
        <v>5.4016019999999998E-2</v>
      </c>
      <c r="V50" s="2">
        <f t="shared" ca="1" si="45"/>
        <v>396.93607477775998</v>
      </c>
      <c r="W50" s="2">
        <f t="shared" si="46"/>
        <v>-349.9958350273381</v>
      </c>
      <c r="X50" s="32">
        <f t="shared" ca="1" si="47"/>
        <v>7.5957474061739499E-2</v>
      </c>
      <c r="Y50" s="2" t="str">
        <f t="shared" si="40"/>
        <v>ACTIVA</v>
      </c>
    </row>
    <row r="51" spans="2:25">
      <c r="B51" s="1">
        <f t="shared" ca="1" si="41"/>
        <v>45596</v>
      </c>
      <c r="C51" s="2">
        <f ca="1">VLOOKUP(B51,Tabla4[],2,FALSE)</f>
        <v>4374.1000000000004</v>
      </c>
      <c r="D51" s="3">
        <f ca="1">VLOOKUP(B51,Tabla4[],3,FALSE)</f>
        <v>72074</v>
      </c>
      <c r="E51" s="2">
        <f ca="1">VLOOKUP(B51,Tabla4[],5,FALSE)</f>
        <v>2630</v>
      </c>
      <c r="F51" s="2">
        <f ca="1">VLOOKUP(B51,Tabla4[],4,FALSE)</f>
        <v>1.68</v>
      </c>
      <c r="G51" t="s">
        <v>14</v>
      </c>
      <c r="H51" s="1">
        <v>45551</v>
      </c>
      <c r="I51" s="3">
        <f>VLOOKUP(H51,Tabla4[],2,FALSE)</f>
        <v>4172.13</v>
      </c>
      <c r="J51" s="3">
        <v>58055.63</v>
      </c>
      <c r="K51" s="25">
        <v>2.8899999999999999E-6</v>
      </c>
      <c r="L51" s="29">
        <f>Tabla6[[#This Row],[precio de compra]]*Tabla6[[#This Row],[cantidad]]*Tabla6[[#This Row],[PRECIO DEL DÓLAR, DIA COMPRA]]</f>
        <v>700.00318686059086</v>
      </c>
      <c r="M51" s="26">
        <f t="shared" ca="1" si="42"/>
        <v>911.09817302600004</v>
      </c>
      <c r="N51" s="41">
        <f t="shared" ca="1" si="43"/>
        <v>0.24146443678244475</v>
      </c>
      <c r="O51" s="28">
        <v>0.25</v>
      </c>
      <c r="P51" s="28">
        <v>0.5</v>
      </c>
      <c r="Q51" s="31" t="str">
        <f t="shared" ca="1" si="44"/>
        <v>MANTENER</v>
      </c>
      <c r="T51" s="2"/>
      <c r="U51" s="14">
        <f>Tabla6[[#This Row],[cantidad]]-Tabla6[[#This Row],[CANTIDAD VENDIDA]]</f>
        <v>2.8899999999999999E-6</v>
      </c>
      <c r="V51" s="2">
        <f t="shared" ca="1" si="45"/>
        <v>911.09817302600004</v>
      </c>
      <c r="W51" s="2">
        <f t="shared" si="46"/>
        <v>-700.00318686059086</v>
      </c>
      <c r="X51" s="32">
        <f t="shared" ca="1" si="47"/>
        <v>0.24146443678244475</v>
      </c>
      <c r="Y51" s="2" t="str">
        <f t="shared" ref="Y51:Y56" si="48">IF(U51=0,"VENDIDA","ACTIVA")</f>
        <v>ACTIVA</v>
      </c>
    </row>
    <row r="52" spans="2:25">
      <c r="B52" s="1">
        <f t="shared" ca="1" si="41"/>
        <v>45596</v>
      </c>
      <c r="C52" s="2">
        <f ca="1">VLOOKUP(B52,Tabla4[],2,FALSE)</f>
        <v>4374.1000000000004</v>
      </c>
      <c r="D52" s="3">
        <f ca="1">VLOOKUP(B52,Tabla4[],3,FALSE)</f>
        <v>72074</v>
      </c>
      <c r="E52" s="2">
        <f ca="1">VLOOKUP(B52,Tabla4[],5,FALSE)</f>
        <v>2630</v>
      </c>
      <c r="F52" s="2">
        <f ca="1">VLOOKUP(B52,Tabla4[],4,FALSE)</f>
        <v>1.68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42"/>
        <v>850.48207019000017</v>
      </c>
      <c r="N52" s="41">
        <f t="shared" ca="1" si="43"/>
        <v>0.15886598574110139</v>
      </c>
      <c r="O52" s="28">
        <v>0.25</v>
      </c>
      <c r="P52" s="28">
        <v>0.5</v>
      </c>
      <c r="Q52" s="31" t="str">
        <f t="shared" ca="1" si="44"/>
        <v>MANTENER</v>
      </c>
      <c r="T52" s="2"/>
      <c r="U52" s="14">
        <f>Tabla6[[#This Row],[cantidad]]-Tabla6[[#This Row],[CANTIDAD VENDIDA]]</f>
        <v>7.3930000000000005E-5</v>
      </c>
      <c r="V52" s="2">
        <f t="shared" ca="1" si="45"/>
        <v>850.48207019000017</v>
      </c>
      <c r="W52" s="2">
        <f t="shared" si="46"/>
        <v>-700.00488533471412</v>
      </c>
      <c r="X52" s="32">
        <f t="shared" ca="1" si="47"/>
        <v>0.15886598574110139</v>
      </c>
      <c r="Y52" s="2" t="str">
        <f t="shared" si="48"/>
        <v>ACTIVA</v>
      </c>
    </row>
    <row r="53" spans="2:25">
      <c r="B53" s="1">
        <f t="shared" ca="1" si="41"/>
        <v>45596</v>
      </c>
      <c r="C53" s="2">
        <f ca="1">VLOOKUP(B53,Tabla4[],2,FALSE)</f>
        <v>4374.1000000000004</v>
      </c>
      <c r="D53" s="3">
        <f ca="1">VLOOKUP(B53,Tabla4[],3,FALSE)</f>
        <v>72074</v>
      </c>
      <c r="E53" s="2">
        <f ca="1">VLOOKUP(B53,Tabla4[],5,FALSE)</f>
        <v>2630</v>
      </c>
      <c r="F53" s="2">
        <f ca="1">VLOOKUP(B53,Tabla4[],4,FALSE)</f>
        <v>1.68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42"/>
        <v>357.53671545648001</v>
      </c>
      <c r="N53" s="41">
        <f t="shared" ca="1" si="43"/>
        <v>-2.5635077137223069E-2</v>
      </c>
      <c r="O53" s="28">
        <v>0.1</v>
      </c>
      <c r="P53" s="28">
        <v>0.3</v>
      </c>
      <c r="Q53" s="31" t="str">
        <f t="shared" ca="1" si="44"/>
        <v>MANTENER</v>
      </c>
      <c r="T53" s="2"/>
      <c r="U53" s="14">
        <f>Tabla6[[#This Row],[cantidad]]-Tabla6[[#This Row],[CANTIDAD VENDIDA]]</f>
        <v>4.8654459999999997E-2</v>
      </c>
      <c r="V53" s="2">
        <f t="shared" ca="1" si="45"/>
        <v>357.53671545648001</v>
      </c>
      <c r="W53" s="2">
        <f t="shared" si="46"/>
        <v>-350.00006885889513</v>
      </c>
      <c r="X53" s="32">
        <f t="shared" ca="1" si="47"/>
        <v>-2.5635077137223069E-2</v>
      </c>
      <c r="Y53" s="2" t="str">
        <f t="shared" si="48"/>
        <v>ACTIVA</v>
      </c>
    </row>
    <row r="54" spans="2:25">
      <c r="B54" s="1">
        <f t="shared" ref="B54:B59" ca="1" si="49">TODAY()</f>
        <v>45596</v>
      </c>
      <c r="C54" s="2">
        <f ca="1">VLOOKUP(B54,Tabla4[],2,FALSE)</f>
        <v>4374.1000000000004</v>
      </c>
      <c r="D54" s="3">
        <f ca="1">VLOOKUP(B54,Tabla4[],3,FALSE)</f>
        <v>72074</v>
      </c>
      <c r="E54" s="2">
        <f ca="1">VLOOKUP(B54,Tabla4[],5,FALSE)</f>
        <v>2630</v>
      </c>
      <c r="F54" s="2">
        <f ca="1">VLOOKUP(B54,Tabla4[],4,FALSE)</f>
        <v>1.68</v>
      </c>
      <c r="G54" t="s">
        <v>14</v>
      </c>
      <c r="H54" s="1">
        <v>45558</v>
      </c>
      <c r="I54" s="3">
        <f>VLOOKUP(H54,Tabla4[],2,FALSE)</f>
        <v>4153.9799999999996</v>
      </c>
      <c r="J54" s="7">
        <v>62644</v>
      </c>
      <c r="K54" s="25">
        <v>2.6900000000000001E-6</v>
      </c>
      <c r="L54" s="29">
        <f>Tabla6[[#This Row],[precio de compra]]*Tabla6[[#This Row],[cantidad]]*Tabla6[[#This Row],[PRECIO DEL DÓLAR, DIA COMPRA]]</f>
        <v>699.99697319279994</v>
      </c>
      <c r="M54" s="26">
        <f t="shared" ref="M54:M59" ca="1" si="50" xml:space="preserve"> K54 * (IF(G54="BTC", D54, IF(G54="ETH", E54, IF(G54="IO.NET", F54, 0)))) * C54</f>
        <v>848.04639634600005</v>
      </c>
      <c r="N54" s="41">
        <f t="shared" ref="N54:N59" ca="1" si="51">IF(G54 = "BTC", (D54 - J54) / J54,
 IF(G54 = "ETH", (E54 - J54) / J54,
 IF(G54 = "IO.NET", (F54 - J54) / J54,
 "Moneda no soportada")))</f>
        <v>0.15053317157269649</v>
      </c>
      <c r="O54" s="28">
        <v>0.25</v>
      </c>
      <c r="P54" s="28">
        <v>0.5</v>
      </c>
      <c r="Q54" s="31" t="str">
        <f t="shared" ref="Q54:Q59" ca="1" si="52">IF(N54 &lt; O54, "MANTENER", IF(N54 &lt; P54, "VENTA PARCIAL", "VENDER"))</f>
        <v>MANTENER</v>
      </c>
      <c r="T54" s="2"/>
      <c r="U54" s="14">
        <f>Tabla6[[#This Row],[cantidad]]-Tabla6[[#This Row],[CANTIDAD VENDIDA]]</f>
        <v>2.6900000000000001E-6</v>
      </c>
      <c r="V54" s="2">
        <f t="shared" ref="V54:V59" ca="1" si="53">IF(G54="BTC", D54 * U54 * C54, IF(G54="ETH", E54 * U54 * C54, IF(G54="IO.NET", F54 * U54 * C54, 0)))</f>
        <v>848.04639634600005</v>
      </c>
      <c r="W54" s="2">
        <f t="shared" ref="W54:W59" si="54">IF(G54 = "BTC", ((T54 - L54)), IF(G54 = "ETH", ((T54 - L54)), IF(G54 = "IO.NET", ((T54 - L54)), "Moneda no soportada")))</f>
        <v>-699.99697319279994</v>
      </c>
      <c r="X54" s="32">
        <f t="shared" ref="X54:X59" ca="1" si="55">IF(G54 = "BTC", (((D54 - J54) / J54)),IF(G54 = "ETH", ((E54 - J54) / J54), IF(G54 = "IO.NET", ((F54 - J54) / J54), "Moneda no soportada")))</f>
        <v>0.15053317157269649</v>
      </c>
      <c r="Y54" s="2" t="str">
        <f t="shared" si="48"/>
        <v>ACTIVA</v>
      </c>
    </row>
    <row r="55" spans="2:25">
      <c r="B55" s="1">
        <f t="shared" ca="1" si="49"/>
        <v>45596</v>
      </c>
      <c r="C55" s="2">
        <f ca="1">VLOOKUP(B55,Tabla4[],2,FALSE)</f>
        <v>4374.1000000000004</v>
      </c>
      <c r="D55" s="3">
        <f ca="1">VLOOKUP(B55,Tabla4[],3,FALSE)</f>
        <v>72074</v>
      </c>
      <c r="E55" s="2">
        <f ca="1">VLOOKUP(B55,Tabla4[],5,FALSE)</f>
        <v>2630</v>
      </c>
      <c r="F55" s="2">
        <f ca="1">VLOOKUP(B55,Tabla4[],4,FALSE)</f>
        <v>1.68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50"/>
        <v>745.91177372000004</v>
      </c>
      <c r="N55" s="41">
        <f t="shared" ca="1" si="51"/>
        <v>1.195881366105918E-2</v>
      </c>
      <c r="O55" s="28">
        <v>0.25</v>
      </c>
      <c r="P55" s="28">
        <v>0.5</v>
      </c>
      <c r="Q55" s="31" t="str">
        <f t="shared" ca="1" si="52"/>
        <v>MANTENER</v>
      </c>
      <c r="T55" s="2"/>
      <c r="U55" s="14">
        <f>Tabla6[[#This Row],[cantidad]]-Tabla6[[#This Row],[CANTIDAD VENDIDA]]</f>
        <v>6.4839999999999996E-5</v>
      </c>
      <c r="V55" s="2">
        <f t="shared" ca="1" si="53"/>
        <v>745.91177372000004</v>
      </c>
      <c r="W55" s="2">
        <f t="shared" si="54"/>
        <v>-700.0036727317439</v>
      </c>
      <c r="X55" s="32">
        <f t="shared" ca="1" si="55"/>
        <v>1.195881366105918E-2</v>
      </c>
      <c r="Y55" s="2" t="str">
        <f t="shared" si="48"/>
        <v>ACTIVA</v>
      </c>
    </row>
    <row r="56" spans="2:25">
      <c r="B56" s="1">
        <f t="shared" ca="1" si="49"/>
        <v>45596</v>
      </c>
      <c r="C56" s="2">
        <f ca="1">VLOOKUP(B56,Tabla4[],2,FALSE)</f>
        <v>4374.1000000000004</v>
      </c>
      <c r="D56" s="3">
        <f ca="1">VLOOKUP(B56,Tabla4[],3,FALSE)</f>
        <v>72074</v>
      </c>
      <c r="E56" s="2">
        <f ca="1">VLOOKUP(B56,Tabla4[],5,FALSE)</f>
        <v>2630</v>
      </c>
      <c r="F56" s="2">
        <f ca="1">VLOOKUP(B56,Tabla4[],4,FALSE)</f>
        <v>1.68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50"/>
        <v>296.84423033663995</v>
      </c>
      <c r="N56" s="41">
        <f t="shared" ca="1" si="51"/>
        <v>-0.19455364848019943</v>
      </c>
      <c r="O56" s="28">
        <v>0.1</v>
      </c>
      <c r="P56" s="28">
        <v>0.3</v>
      </c>
      <c r="Q56" s="31" t="str">
        <f t="shared" ca="1" si="52"/>
        <v>MANTENER</v>
      </c>
      <c r="T56" s="2"/>
      <c r="U56" s="14">
        <f>Tabla6[[#This Row],[cantidad]]-Tabla6[[#This Row],[CANTIDAD VENDIDA]]</f>
        <v>4.0395279999999999E-2</v>
      </c>
      <c r="V56" s="2">
        <f t="shared" ca="1" si="53"/>
        <v>296.84423033663995</v>
      </c>
      <c r="W56" s="2">
        <f t="shared" si="54"/>
        <v>-349.99971212019545</v>
      </c>
      <c r="X56" s="32">
        <f t="shared" ca="1" si="55"/>
        <v>-0.19455364848019943</v>
      </c>
      <c r="Y56" s="2" t="str">
        <f t="shared" si="48"/>
        <v>ACTIVA</v>
      </c>
    </row>
    <row r="57" spans="2:25">
      <c r="B57" s="1">
        <f t="shared" ca="1" si="49"/>
        <v>45596</v>
      </c>
      <c r="C57" s="2">
        <f ca="1">VLOOKUP(B57,Tabla4[],2,FALSE)</f>
        <v>4374.1000000000004</v>
      </c>
      <c r="D57" s="3">
        <f ca="1">VLOOKUP(B57,Tabla4[],3,FALSE)</f>
        <v>72074</v>
      </c>
      <c r="E57" s="2">
        <f ca="1">VLOOKUP(B57,Tabla4[],5,FALSE)</f>
        <v>2630</v>
      </c>
      <c r="F57" s="2">
        <f ca="1">VLOOKUP(B57,Tabla4[],4,FALSE)</f>
        <v>1.68</v>
      </c>
      <c r="G57" t="s">
        <v>14</v>
      </c>
      <c r="H57" s="1">
        <v>45565</v>
      </c>
      <c r="I57" s="3">
        <v>4000</v>
      </c>
      <c r="J57" s="3">
        <v>64338.16</v>
      </c>
      <c r="K57" s="25">
        <v>2.7199999999999998E-6</v>
      </c>
      <c r="L57" s="29">
        <f>Tabla6[[#This Row],[precio de compra]]*Tabla6[[#This Row],[cantidad]]*Tabla6[[#This Row],[PRECIO DEL DÓLAR, DIA COMPRA]]</f>
        <v>699.99918079999998</v>
      </c>
      <c r="M57" s="26">
        <f t="shared" ca="1" si="50"/>
        <v>857.50416284799996</v>
      </c>
      <c r="N57" s="41">
        <f t="shared" ca="1" si="51"/>
        <v>0.12023719671187358</v>
      </c>
      <c r="O57" s="28">
        <v>0.25</v>
      </c>
      <c r="P57" s="28">
        <v>0.5</v>
      </c>
      <c r="Q57" s="31" t="str">
        <f t="shared" ca="1" si="52"/>
        <v>MANTENER</v>
      </c>
      <c r="T57" s="2"/>
      <c r="U57" s="14">
        <f>Tabla6[[#This Row],[cantidad]]-Tabla6[[#This Row],[CANTIDAD VENDIDA]]</f>
        <v>2.7199999999999998E-6</v>
      </c>
      <c r="V57" s="2">
        <f t="shared" ca="1" si="53"/>
        <v>857.50416284799996</v>
      </c>
      <c r="W57" s="2">
        <f t="shared" si="54"/>
        <v>-699.99918079999998</v>
      </c>
      <c r="X57" s="32">
        <f t="shared" ca="1" si="55"/>
        <v>0.12023719671187358</v>
      </c>
      <c r="Y57" s="2" t="str">
        <f t="shared" ref="Y57:Y62" si="56">IF(U57=0,"VENDIDA","ACTIVA")</f>
        <v>ACTIVA</v>
      </c>
    </row>
    <row r="58" spans="2:25">
      <c r="B58" s="1">
        <f t="shared" ca="1" si="49"/>
        <v>45596</v>
      </c>
      <c r="C58" s="2">
        <f ca="1">VLOOKUP(B58,Tabla4[],2,FALSE)</f>
        <v>4374.1000000000004</v>
      </c>
      <c r="D58" s="3">
        <f ca="1">VLOOKUP(B58,Tabla4[],3,FALSE)</f>
        <v>72074</v>
      </c>
      <c r="E58" s="2">
        <f ca="1">VLOOKUP(B58,Tabla4[],5,FALSE)</f>
        <v>2630</v>
      </c>
      <c r="F58" s="2">
        <f ca="1">VLOOKUP(B58,Tabla4[],4,FALSE)</f>
        <v>1.68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50"/>
        <v>767.65411259000018</v>
      </c>
      <c r="N58" s="41">
        <f t="shared" ca="1" si="51"/>
        <v>2.859866539561487E-3</v>
      </c>
      <c r="O58" s="28">
        <v>0.25</v>
      </c>
      <c r="P58" s="28">
        <v>0.5</v>
      </c>
      <c r="Q58" s="31" t="str">
        <f t="shared" ca="1" si="52"/>
        <v>MANTENER</v>
      </c>
      <c r="T58" s="2"/>
      <c r="U58" s="14">
        <f>Tabla6[[#This Row],[cantidad]]-Tabla6[[#This Row],[CANTIDAD VENDIDA]]</f>
        <v>6.6730000000000007E-5</v>
      </c>
      <c r="V58" s="2">
        <f t="shared" ca="1" si="53"/>
        <v>767.65411259000018</v>
      </c>
      <c r="W58" s="2">
        <f t="shared" si="54"/>
        <v>-699.99770000000001</v>
      </c>
      <c r="X58" s="32">
        <f t="shared" ca="1" si="55"/>
        <v>2.859866539561487E-3</v>
      </c>
      <c r="Y58" s="2" t="str">
        <f t="shared" si="56"/>
        <v>ACTIVA</v>
      </c>
    </row>
    <row r="59" spans="2:25">
      <c r="B59" s="1">
        <f t="shared" ca="1" si="49"/>
        <v>45596</v>
      </c>
      <c r="C59" s="2">
        <f ca="1">VLOOKUP(B59,Tabla4[],2,FALSE)</f>
        <v>4374.1000000000004</v>
      </c>
      <c r="D59" s="3">
        <f ca="1">VLOOKUP(B59,Tabla4[],3,FALSE)</f>
        <v>72074</v>
      </c>
      <c r="E59" s="2">
        <f ca="1">VLOOKUP(B59,Tabla4[],5,FALSE)</f>
        <v>2630</v>
      </c>
      <c r="F59" s="2">
        <f ca="1">VLOOKUP(B59,Tabla4[],4,FALSE)</f>
        <v>1.68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50"/>
        <v>309.17058410784006</v>
      </c>
      <c r="N59" s="41">
        <f t="shared" ca="1" si="51"/>
        <v>-0.19219894985863484</v>
      </c>
      <c r="O59" s="28">
        <v>0.1</v>
      </c>
      <c r="P59" s="28">
        <v>0.3</v>
      </c>
      <c r="Q59" s="31" t="str">
        <f t="shared" ca="1" si="52"/>
        <v>MANTENER</v>
      </c>
      <c r="T59" s="2"/>
      <c r="U59" s="14">
        <f>Tabla6[[#This Row],[cantidad]]-Tabla6[[#This Row],[CANTIDAD VENDIDA]]</f>
        <v>4.2072680000000001E-2</v>
      </c>
      <c r="V59" s="2">
        <f t="shared" ca="1" si="53"/>
        <v>309.17058410784006</v>
      </c>
      <c r="W59" s="2">
        <f t="shared" si="54"/>
        <v>-349.9975761984</v>
      </c>
      <c r="X59" s="32">
        <f t="shared" ca="1" si="55"/>
        <v>-0.19219894985863484</v>
      </c>
      <c r="Y59" s="2" t="str">
        <f t="shared" si="56"/>
        <v>ACTIVA</v>
      </c>
    </row>
    <row r="60" spans="2:25">
      <c r="B60" s="1">
        <f t="shared" ref="B60:B68" ca="1" si="57">TODAY()</f>
        <v>45596</v>
      </c>
      <c r="C60" s="2">
        <f ca="1">VLOOKUP(B60,Tabla4[],2,FALSE)</f>
        <v>4374.1000000000004</v>
      </c>
      <c r="D60" s="3">
        <f ca="1">VLOOKUP(B60,Tabla4[],3,FALSE)</f>
        <v>72074</v>
      </c>
      <c r="E60" s="2">
        <f ca="1">VLOOKUP(B60,Tabla4[],5,FALSE)</f>
        <v>2630</v>
      </c>
      <c r="F60" s="2">
        <f ca="1">VLOOKUP(B60,Tabla4[],4,FALSE)</f>
        <v>1.68</v>
      </c>
      <c r="G60" t="s">
        <v>14</v>
      </c>
      <c r="H60" s="1">
        <v>45572</v>
      </c>
      <c r="I60" s="3">
        <v>4036.67</v>
      </c>
      <c r="J60" s="3">
        <v>63058</v>
      </c>
      <c r="K60" s="25">
        <v>2.7499999999999999E-6</v>
      </c>
      <c r="L60" s="29">
        <f>Tabla6[[#This Row],[precio de compra]]*Tabla6[[#This Row],[cantidad]]*Tabla6[[#This Row],[PRECIO DEL DÓLAR, DIA COMPRA]]</f>
        <v>699.99692636500004</v>
      </c>
      <c r="M60" s="26">
        <f t="shared" ref="M60:M68" ca="1" si="58" xml:space="preserve"> K60 * (IF(G60="BTC", D60, IF(G60="ETH", E60, IF(G60="IO.NET", F60, 0)))) * C60</f>
        <v>866.9619293500001</v>
      </c>
      <c r="N60" s="41">
        <f t="shared" ref="N60:N68" ca="1" si="59">IF(G60 = "BTC", (D60 - J60) / J60,
 IF(G60 = "ETH", (E60 - J60) / J60,
 IF(G60 = "IO.NET", (F60 - J60) / J60,
 "Moneda no soportada")))</f>
        <v>0.14297947920961654</v>
      </c>
      <c r="O60" s="28">
        <v>0.25</v>
      </c>
      <c r="P60" s="28">
        <v>0.5</v>
      </c>
      <c r="Q60" s="31" t="str">
        <f t="shared" ref="Q60:Q68" ca="1" si="60">IF(N60 &lt; O60, "MANTENER", IF(N60 &lt; P60, "VENTA PARCIAL", "VENDER"))</f>
        <v>MANTENER</v>
      </c>
      <c r="T60" s="2"/>
      <c r="U60" s="14">
        <f>Tabla6[[#This Row],[cantidad]]-Tabla6[[#This Row],[CANTIDAD VENDIDA]]</f>
        <v>2.7499999999999999E-6</v>
      </c>
      <c r="V60" s="2">
        <f t="shared" ref="V60:V68" ca="1" si="61">IF(G60="BTC", D60 * U60 * C60, IF(G60="ETH", E60 * U60 * C60, IF(G60="IO.NET", F60 * U60 * C60, 0)))</f>
        <v>866.9619293500001</v>
      </c>
      <c r="W60" s="2">
        <f t="shared" ref="W60:W68" si="62">IF(G60 = "BTC", ((T60 - L60)), IF(G60 = "ETH", ((T60 - L60)), IF(G60 = "IO.NET", ((T60 - L60)), "Moneda no soportada")))</f>
        <v>-699.99692636500004</v>
      </c>
      <c r="X60" s="32">
        <f t="shared" ref="X60:X68" ca="1" si="63">IF(G60 = "BTC", (((D60 - J60) / J60)),IF(G60 = "ETH", ((E60 - J60) / J60), IF(G60 = "IO.NET", ((F60 - J60) / J60), "Moneda no soportada")))</f>
        <v>0.14297947920961654</v>
      </c>
      <c r="Y60" s="2" t="str">
        <f t="shared" si="56"/>
        <v>ACTIVA</v>
      </c>
    </row>
    <row r="61" spans="2:25">
      <c r="B61" s="1">
        <f t="shared" ca="1" si="57"/>
        <v>45596</v>
      </c>
      <c r="C61" s="2">
        <f ca="1">VLOOKUP(B61,Tabla4[],2,FALSE)</f>
        <v>4374.1000000000004</v>
      </c>
      <c r="D61" s="3">
        <f ca="1">VLOOKUP(B61,Tabla4[],3,FALSE)</f>
        <v>72074</v>
      </c>
      <c r="E61" s="2">
        <f ca="1">VLOOKUP(B61,Tabla4[],5,FALSE)</f>
        <v>2630</v>
      </c>
      <c r="F61" s="2">
        <f ca="1">VLOOKUP(B61,Tabla4[],4,FALSE)</f>
        <v>1.68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58"/>
        <v>817.00577066000005</v>
      </c>
      <c r="N61" s="41">
        <f t="shared" ca="1" si="59"/>
        <v>7.7118401113978052E-2</v>
      </c>
      <c r="O61" s="28">
        <v>0.25</v>
      </c>
      <c r="P61" s="28">
        <v>0.5</v>
      </c>
      <c r="Q61" s="31" t="str">
        <f t="shared" ca="1" si="60"/>
        <v>MANTENER</v>
      </c>
      <c r="T61" s="2"/>
      <c r="U61" s="14">
        <f>Tabla6[[#This Row],[cantidad]]-Tabla6[[#This Row],[CANTIDAD VENDIDA]]</f>
        <v>7.1019999999999994E-5</v>
      </c>
      <c r="V61" s="2">
        <f t="shared" ca="1" si="61"/>
        <v>817.00577066000005</v>
      </c>
      <c r="W61" s="2">
        <f t="shared" si="62"/>
        <v>-699.99706361177994</v>
      </c>
      <c r="X61" s="32">
        <f t="shared" ca="1" si="63"/>
        <v>7.7118401113978052E-2</v>
      </c>
      <c r="Y61" s="2" t="str">
        <f t="shared" si="56"/>
        <v>ACTIVA</v>
      </c>
    </row>
    <row r="62" spans="2:25">
      <c r="B62" s="1">
        <f t="shared" ca="1" si="57"/>
        <v>45596</v>
      </c>
      <c r="C62" s="2">
        <f ca="1">VLOOKUP(B62,Tabla4[],2,FALSE)</f>
        <v>4374.1000000000004</v>
      </c>
      <c r="D62" s="3">
        <f ca="1">VLOOKUP(B62,Tabla4[],3,FALSE)</f>
        <v>72074</v>
      </c>
      <c r="E62" s="2">
        <f ca="1">VLOOKUP(B62,Tabla4[],5,FALSE)</f>
        <v>2630</v>
      </c>
      <c r="F62" s="2">
        <f ca="1">VLOOKUP(B62,Tabla4[],4,FALSE)</f>
        <v>1.68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58"/>
        <v>346.09240069992001</v>
      </c>
      <c r="N62" s="41">
        <f t="shared" ca="1" si="59"/>
        <v>-8.7452471482889746E-2</v>
      </c>
      <c r="O62" s="28">
        <v>0.1</v>
      </c>
      <c r="P62" s="28">
        <v>0.3</v>
      </c>
      <c r="Q62" s="31" t="str">
        <f t="shared" ca="1" si="60"/>
        <v>MANTENER</v>
      </c>
      <c r="T62" s="2"/>
      <c r="U62" s="14">
        <f>Tabla6[[#This Row],[cantidad]]-Tabla6[[#This Row],[CANTIDAD VENDIDA]]</f>
        <v>4.7097090000000001E-2</v>
      </c>
      <c r="V62" s="2">
        <f t="shared" ca="1" si="61"/>
        <v>346.09240069992001</v>
      </c>
      <c r="W62" s="2">
        <f t="shared" si="62"/>
        <v>-350.00247034444232</v>
      </c>
      <c r="X62" s="32">
        <f t="shared" ca="1" si="63"/>
        <v>-8.7452471482889746E-2</v>
      </c>
      <c r="Y62" s="2" t="str">
        <f t="shared" si="56"/>
        <v>ACTIVA</v>
      </c>
    </row>
    <row r="63" spans="2:25">
      <c r="B63" s="1">
        <f t="shared" ca="1" si="57"/>
        <v>45596</v>
      </c>
      <c r="C63" s="2">
        <f ca="1">VLOOKUP(B63,Tabla4[],2,FALSE)</f>
        <v>4374.1000000000004</v>
      </c>
      <c r="D63" s="3">
        <f ca="1">VLOOKUP(B63,Tabla4[],3,FALSE)</f>
        <v>72074</v>
      </c>
      <c r="E63" s="2">
        <f ca="1">VLOOKUP(B63,Tabla4[],5,FALSE)</f>
        <v>2630</v>
      </c>
      <c r="F63" s="2">
        <f ca="1">VLOOKUP(B63,Tabla4[],4,FALSE)</f>
        <v>1.68</v>
      </c>
      <c r="G63" t="s">
        <v>14</v>
      </c>
      <c r="H63" s="1">
        <v>45579</v>
      </c>
      <c r="I63" s="3">
        <f>VLOOKUP(H63,Tabla4[],2,FALSE)</f>
        <v>4210.95</v>
      </c>
      <c r="J63" s="3">
        <v>63691</v>
      </c>
      <c r="K63" s="25">
        <v>2.61E-6</v>
      </c>
      <c r="L63" s="29">
        <f>Tabla6[[#This Row],[precio de compra]]*Tabla6[[#This Row],[cantidad]]*Tabla6[[#This Row],[PRECIO DEL DÓLAR, DIA COMPRA]]</f>
        <v>700.00099893449999</v>
      </c>
      <c r="M63" s="26">
        <f t="shared" ca="1" si="58"/>
        <v>822.82568567400017</v>
      </c>
      <c r="N63" s="41">
        <f t="shared" ca="1" si="59"/>
        <v>0.13161985209841265</v>
      </c>
      <c r="O63" s="28">
        <v>0.25</v>
      </c>
      <c r="P63" s="28">
        <v>0.5</v>
      </c>
      <c r="Q63" s="31" t="str">
        <f t="shared" ca="1" si="60"/>
        <v>MANTENER</v>
      </c>
      <c r="T63" s="2"/>
      <c r="U63" s="14">
        <f>Tabla6[[#This Row],[cantidad]]-Tabla6[[#This Row],[CANTIDAD VENDIDA]]</f>
        <v>2.61E-6</v>
      </c>
      <c r="V63" s="2">
        <f t="shared" ca="1" si="61"/>
        <v>822.82568567400017</v>
      </c>
      <c r="W63" s="2">
        <f t="shared" si="62"/>
        <v>-700.00099893449999</v>
      </c>
      <c r="X63" s="32">
        <f t="shared" ca="1" si="63"/>
        <v>0.13161985209841265</v>
      </c>
      <c r="Y63" s="2" t="str">
        <f t="shared" ref="Y63:Y68" si="64">IF(U63=0,"VENDIDA","ACTIVA")</f>
        <v>ACTIVA</v>
      </c>
    </row>
    <row r="64" spans="2:25">
      <c r="B64" s="1">
        <f t="shared" ca="1" si="57"/>
        <v>45596</v>
      </c>
      <c r="C64" s="2">
        <f ca="1">VLOOKUP(B64,Tabla4[],2,FALSE)</f>
        <v>4374.1000000000004</v>
      </c>
      <c r="D64" s="3">
        <f ca="1">VLOOKUP(B64,Tabla4[],3,FALSE)</f>
        <v>72074</v>
      </c>
      <c r="E64" s="2">
        <f ca="1">VLOOKUP(B64,Tabla4[],5,FALSE)</f>
        <v>2630</v>
      </c>
      <c r="F64" s="2">
        <f ca="1">VLOOKUP(B64,Tabla4[],4,FALSE)</f>
        <v>1.68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58"/>
        <v>764.20294769000009</v>
      </c>
      <c r="N64" s="41">
        <f t="shared" ca="1" si="59"/>
        <v>5.0991048593350345E-2</v>
      </c>
      <c r="O64" s="28">
        <v>0.25</v>
      </c>
      <c r="P64" s="28">
        <v>0.5</v>
      </c>
      <c r="Q64" s="31" t="str">
        <f t="shared" ca="1" si="60"/>
        <v>MANTENER</v>
      </c>
      <c r="T64" s="2"/>
      <c r="U64" s="14">
        <f>Tabla6[[#This Row],[cantidad]]-Tabla6[[#This Row],[CANTIDAD VENDIDA]]</f>
        <v>6.6429999999999999E-5</v>
      </c>
      <c r="V64" s="2">
        <f t="shared" ca="1" si="61"/>
        <v>764.20294769000009</v>
      </c>
      <c r="W64" s="2">
        <f t="shared" si="62"/>
        <v>-700.00488143040002</v>
      </c>
      <c r="X64" s="32">
        <f t="shared" ca="1" si="63"/>
        <v>5.0991048593350345E-2</v>
      </c>
      <c r="Y64" s="2" t="str">
        <f t="shared" si="64"/>
        <v>ACTIVA</v>
      </c>
    </row>
    <row r="65" spans="2:25">
      <c r="B65" s="1">
        <f t="shared" ca="1" si="57"/>
        <v>45596</v>
      </c>
      <c r="C65" s="2">
        <f ca="1">VLOOKUP(B65,Tabla4[],2,FALSE)</f>
        <v>4374.1000000000004</v>
      </c>
      <c r="D65" s="3">
        <f ca="1">VLOOKUP(B65,Tabla4[],3,FALSE)</f>
        <v>72074</v>
      </c>
      <c r="E65" s="2">
        <f ca="1">VLOOKUP(B65,Tabla4[],5,FALSE)</f>
        <v>2630</v>
      </c>
      <c r="F65" s="2">
        <f ca="1">VLOOKUP(B65,Tabla4[],4,FALSE)</f>
        <v>1.68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58"/>
        <v>315.731461164</v>
      </c>
      <c r="N65" s="41">
        <f t="shared" ca="1" si="59"/>
        <v>-0.13155854225898173</v>
      </c>
      <c r="O65" s="28">
        <v>0.1</v>
      </c>
      <c r="P65" s="28">
        <v>0.3</v>
      </c>
      <c r="Q65" s="31" t="str">
        <f t="shared" ca="1" si="60"/>
        <v>MANTENER</v>
      </c>
      <c r="T65" s="2"/>
      <c r="U65" s="14">
        <f>Tabla6[[#This Row],[cantidad]]-Tabla6[[#This Row],[CANTIDAD VENDIDA]]</f>
        <v>4.2965499999999997E-2</v>
      </c>
      <c r="V65" s="2">
        <f t="shared" ca="1" si="61"/>
        <v>315.731461164</v>
      </c>
      <c r="W65" s="2">
        <f t="shared" si="62"/>
        <v>-350.00051946926249</v>
      </c>
      <c r="X65" s="32">
        <f t="shared" ca="1" si="63"/>
        <v>-0.13155854225898173</v>
      </c>
      <c r="Y65" s="2" t="str">
        <f t="shared" si="64"/>
        <v>ACTIVA</v>
      </c>
    </row>
    <row r="66" spans="2:25">
      <c r="B66" s="1">
        <f t="shared" ca="1" si="57"/>
        <v>45596</v>
      </c>
      <c r="C66" s="2">
        <f ca="1">VLOOKUP(B66,Tabla4[],2,FALSE)</f>
        <v>4374.1000000000004</v>
      </c>
      <c r="D66" s="3">
        <f ca="1">VLOOKUP(B66,Tabla4[],3,FALSE)</f>
        <v>72074</v>
      </c>
      <c r="E66" s="2">
        <f ca="1">VLOOKUP(B66,Tabla4[],5,FALSE)</f>
        <v>2630</v>
      </c>
      <c r="F66" s="2">
        <f ca="1">VLOOKUP(B66,Tabla4[],4,FALSE)</f>
        <v>1.68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58"/>
        <v>766.07908666200012</v>
      </c>
      <c r="N66" s="27">
        <f t="shared" ca="1" si="59"/>
        <v>6.8348576256614738E-2</v>
      </c>
      <c r="O66" s="28">
        <v>0.25</v>
      </c>
      <c r="P66" s="28">
        <v>0.5</v>
      </c>
      <c r="Q66" s="31" t="str">
        <f t="shared" ca="1" si="60"/>
        <v>MANTENER</v>
      </c>
      <c r="T66" s="2"/>
      <c r="U66" s="14">
        <f>Tabla6[[#This Row],[cantidad]]-Tabla6[[#This Row],[CANTIDAD VENDIDA]]</f>
        <v>2.43E-6</v>
      </c>
      <c r="V66" s="2">
        <f t="shared" ca="1" si="61"/>
        <v>766.07908666200012</v>
      </c>
      <c r="W66" s="2">
        <f t="shared" si="62"/>
        <v>-700.00283430000002</v>
      </c>
      <c r="X66" s="32">
        <f t="shared" ca="1" si="63"/>
        <v>6.8348576256614738E-2</v>
      </c>
      <c r="Y66" s="2" t="str">
        <f t="shared" si="64"/>
        <v>ACTIVA</v>
      </c>
    </row>
    <row r="67" spans="2:25">
      <c r="B67" s="1">
        <f t="shared" ca="1" si="57"/>
        <v>45596</v>
      </c>
      <c r="C67" s="2">
        <f ca="1">VLOOKUP(B67,Tabla4[],2,FALSE)</f>
        <v>4374.1000000000004</v>
      </c>
      <c r="D67" s="3">
        <f ca="1">VLOOKUP(B67,Tabla4[],3,FALSE)</f>
        <v>72074</v>
      </c>
      <c r="E67" s="2">
        <f ca="1">VLOOKUP(B67,Tabla4[],5,FALSE)</f>
        <v>2630</v>
      </c>
      <c r="F67" s="2">
        <f ca="1">VLOOKUP(B67,Tabla4[],4,FALSE)</f>
        <v>1.68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ca="1" si="58"/>
        <v>708.17903748000015</v>
      </c>
      <c r="N67" s="27">
        <f t="shared" ca="1" si="59"/>
        <v>-1.2392039053698836E-2</v>
      </c>
      <c r="O67" s="28">
        <v>0.25</v>
      </c>
      <c r="P67" s="28">
        <v>0.5</v>
      </c>
      <c r="Q67" s="31" t="str">
        <f t="shared" ca="1" si="60"/>
        <v>MANTENER</v>
      </c>
      <c r="T67" s="2"/>
      <c r="U67" s="14">
        <f>Tabla6[[#This Row],[cantidad]]-Tabla6[[#This Row],[CANTIDAD VENDIDA]]</f>
        <v>6.156E-5</v>
      </c>
      <c r="V67" s="2">
        <f t="shared" ca="1" si="61"/>
        <v>708.17903748000015</v>
      </c>
      <c r="W67" s="2">
        <f t="shared" si="62"/>
        <v>-699.99937559999989</v>
      </c>
      <c r="X67" s="32">
        <f t="shared" ca="1" si="63"/>
        <v>-1.2392039053698836E-2</v>
      </c>
      <c r="Y67" s="2" t="str">
        <f t="shared" si="64"/>
        <v>ACTIVA</v>
      </c>
    </row>
    <row r="68" spans="2:25">
      <c r="B68" s="1">
        <f t="shared" ca="1" si="57"/>
        <v>45596</v>
      </c>
      <c r="C68" s="2">
        <f ca="1">VLOOKUP(B68,Tabla4[],2,FALSE)</f>
        <v>4374.1000000000004</v>
      </c>
      <c r="D68" s="3">
        <f ca="1">VLOOKUP(B68,Tabla4[],3,FALSE)</f>
        <v>72074</v>
      </c>
      <c r="E68" s="2">
        <f ca="1">VLOOKUP(B68,Tabla4[],5,FALSE)</f>
        <v>2630</v>
      </c>
      <c r="F68" s="2">
        <f ca="1">VLOOKUP(B68,Tabla4[],4,FALSE)</f>
        <v>1.68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58"/>
        <v>322.01765173872002</v>
      </c>
      <c r="N68" s="27">
        <f t="shared" ca="1" si="59"/>
        <v>-0.10185402989543016</v>
      </c>
      <c r="O68" s="28">
        <v>0.1</v>
      </c>
      <c r="P68" s="28">
        <v>0.3</v>
      </c>
      <c r="Q68" s="31" t="str">
        <f t="shared" ca="1" si="60"/>
        <v>MANTENER</v>
      </c>
      <c r="T68" s="2"/>
      <c r="U68" s="14">
        <f>Tabla6[[#This Row],[cantidad]]-Tabla6[[#This Row],[CANTIDAD VENDIDA]]</f>
        <v>4.3820940000000003E-2</v>
      </c>
      <c r="V68" s="2">
        <f t="shared" ca="1" si="61"/>
        <v>322.01765173872002</v>
      </c>
      <c r="W68" s="2">
        <f t="shared" si="62"/>
        <v>-350.00312382117602</v>
      </c>
      <c r="X68" s="32">
        <f t="shared" ca="1" si="63"/>
        <v>-0.10185402989543016</v>
      </c>
      <c r="Y68" s="2" t="str">
        <f t="shared" si="64"/>
        <v>ACTIVA</v>
      </c>
    </row>
    <row r="69" spans="2:25">
      <c r="B69" s="1">
        <f ca="1">TODAY()</f>
        <v>45596</v>
      </c>
      <c r="C69" s="2">
        <f ca="1">VLOOKUP(B69,Tabla4[],2,FALSE)</f>
        <v>4374.1000000000004</v>
      </c>
      <c r="D69" s="3">
        <f ca="1">VLOOKUP(B69,Tabla4[],3,FALSE)</f>
        <v>72074</v>
      </c>
      <c r="E69" s="2">
        <f ca="1">VLOOKUP(B69,Tabla4[],5,FALSE)</f>
        <v>2630</v>
      </c>
      <c r="F69" s="2">
        <f ca="1">VLOOKUP(B69,Tabla4[],4,FALSE)</f>
        <v>1.68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ca="1" xml:space="preserve"> K69 * (IF(G69="BTC", D69, IF(G69="ETH", E69, IF(G69="IO.NET", F69, 0)))) * C69</f>
        <v>756.62132015999998</v>
      </c>
      <c r="N69" s="27">
        <f ca="1">IF(G69 = "BTC", (D69 - J69) / J69,
 IF(G69 = "ETH", (E69 - J69) / J69,
 IF(G69 = "IO.NET", (F69 - J69) / J69,
 "Moneda no soportada")))</f>
        <v>4.8150895103471342E-2</v>
      </c>
      <c r="O69" s="28">
        <v>0.25</v>
      </c>
      <c r="P69" s="28">
        <v>0.5</v>
      </c>
      <c r="Q69" s="31" t="str">
        <f ca="1">IF(N69 &lt; O69, "MANTENER", IF(N69 &lt; P69, "VENTA PARCIAL", "VENDER"))</f>
        <v>MANTENER</v>
      </c>
      <c r="T69" s="2"/>
      <c r="U69" s="14">
        <f>Tabla6[[#This Row],[cantidad]]-Tabla6[[#This Row],[CANTIDAD VENDIDA]]</f>
        <v>2.3999999999999999E-6</v>
      </c>
      <c r="V69" s="2">
        <f ca="1">IF(G69="BTC", D69 * U69 * C69, IF(G69="ETH", E69 * U69 * C69, IF(G69="IO.NET", F69 * U69 * C69, 0)))</f>
        <v>756.62132015999998</v>
      </c>
      <c r="W69" s="2">
        <f>IF(G69 = "BTC", ((T69 - L69)), IF(G69 = "ETH", ((T69 - L69)), IF(G69 = "IO.NET", ((T69 - L69)), "Moneda no soportada")))</f>
        <v>-699.99633791999997</v>
      </c>
      <c r="X69" s="32">
        <f ca="1">IF(G69 = "BTC", (((D69 - J69) / J69)),IF(G69 = "ETH", ((E69 - J69) / J69), IF(G69 = "IO.NET", ((F69 - J69) / J69), "Moneda no soportada")))</f>
        <v>4.8150895103471342E-2</v>
      </c>
      <c r="Y69" s="2" t="str">
        <f>IF(U69=0,"VENDIDA","ACTIVA")</f>
        <v>ACTIVA</v>
      </c>
    </row>
    <row r="70" spans="2:25">
      <c r="B70" s="1">
        <f ca="1">TODAY()</f>
        <v>45596</v>
      </c>
      <c r="C70" s="2">
        <f ca="1">VLOOKUP(B70,Tabla4[],2,FALSE)</f>
        <v>4374.1000000000004</v>
      </c>
      <c r="D70" s="3">
        <f ca="1">VLOOKUP(B70,Tabla4[],3,FALSE)</f>
        <v>72074</v>
      </c>
      <c r="E70" s="2">
        <f ca="1">VLOOKUP(B70,Tabla4[],5,FALSE)</f>
        <v>2630</v>
      </c>
      <c r="F70" s="2">
        <f ca="1">VLOOKUP(B70,Tabla4[],4,FALSE)</f>
        <v>1.68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ca="1" xml:space="preserve"> K70 * (IF(G70="BTC", D70, IF(G70="ETH", E70, IF(G70="IO.NET", F70, 0)))) * C70</f>
        <v>750.51332692000017</v>
      </c>
      <c r="N70" s="27">
        <f ca="1">IF(G70 = "BTC", (D70 - J70) / J70,
 IF(G70 = "ETH", (E70 - J70) / J70,
 IF(G70 = "IO.NET", (F70 - J70) / J70,
 "Moneda no soportada")))</f>
        <v>3.9690069576217624E-2</v>
      </c>
      <c r="O70" s="28">
        <v>0.25</v>
      </c>
      <c r="P70" s="28">
        <v>0.5</v>
      </c>
      <c r="Q70" s="31" t="str">
        <f ca="1">IF(N70 &lt; O70, "MANTENER", IF(N70 &lt; P70, "VENTA PARCIAL", "VENDER"))</f>
        <v>MANTENER</v>
      </c>
      <c r="T70" s="2"/>
      <c r="U70" s="14">
        <f>Tabla6[[#This Row],[cantidad]]-Tabla6[[#This Row],[CANTIDAD VENDIDA]]</f>
        <v>6.5240000000000006E-5</v>
      </c>
      <c r="V70" s="2">
        <f ca="1">IF(G70="BTC", D70 * U70 * C70, IF(G70="ETH", E70 * U70 * C70, IF(G70="IO.NET", F70 * U70 * C70, 0)))</f>
        <v>750.51332692000017</v>
      </c>
      <c r="W70" s="2">
        <f>IF(G70 = "BTC", ((T70 - L70)), IF(G70 = "ETH", ((T70 - L70)), IF(G70 = "IO.NET", ((T70 - L70)), "Moneda no soportada")))</f>
        <v>-699.99593072640016</v>
      </c>
      <c r="X70" s="32">
        <f ca="1">IF(G70 = "BTC", (((D70 - J70) / J70)),IF(G70 = "ETH", ((E70 - J70) / J70), IF(G70 = "IO.NET", ((F70 - J70) / J70), "Moneda no soportada")))</f>
        <v>3.9690069576217624E-2</v>
      </c>
      <c r="Y70" s="2" t="str">
        <f>IF(U70=0,"VENDIDA","ACTIVA")</f>
        <v>ACTIVA</v>
      </c>
    </row>
    <row r="71" spans="2:25">
      <c r="B71" s="1">
        <f ca="1">TODAY()</f>
        <v>45596</v>
      </c>
      <c r="C71" s="2">
        <f ca="1">VLOOKUP(B71,Tabla4[],2,FALSE)</f>
        <v>4374.1000000000004</v>
      </c>
      <c r="D71" s="3">
        <f ca="1">VLOOKUP(B71,Tabla4[],3,FALSE)</f>
        <v>72074</v>
      </c>
      <c r="E71" s="2">
        <f ca="1">VLOOKUP(B71,Tabla4[],5,FALSE)</f>
        <v>2630</v>
      </c>
      <c r="F71" s="2">
        <f ca="1">VLOOKUP(B71,Tabla4[],4,FALSE)</f>
        <v>1.68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ca="1" xml:space="preserve"> K71 * (IF(G71="BTC", D71, IF(G71="ETH", E71, IF(G71="IO.NET", F71, 0)))) * C71</f>
        <v>350.56858519536001</v>
      </c>
      <c r="N71" s="27">
        <f ca="1">IF(G71 = "BTC", (D71 - J71) / J71,
 IF(G71 = "ETH", (E71 - J71) / J71,
 IF(G71 = "IO.NET", (F71 - J71) / J71,
 "Moneda no soportada")))</f>
        <v>-2.8727691089154711E-2</v>
      </c>
      <c r="O71" s="28">
        <v>0.1</v>
      </c>
      <c r="P71" s="28">
        <v>0.3</v>
      </c>
      <c r="Q71" s="31" t="str">
        <f ca="1">IF(N71 &lt; O71, "MANTENER", IF(N71 &lt; P71, "VENTA PARCIAL", "VENDER"))</f>
        <v>MANTENER</v>
      </c>
      <c r="T71" s="2"/>
      <c r="U71" s="14">
        <f>Tabla6[[#This Row],[cantidad]]-Tabla6[[#This Row],[CANTIDAD VENDIDA]]</f>
        <v>4.7706220000000001E-2</v>
      </c>
      <c r="V71" s="2">
        <f ca="1">IF(G71="BTC", D71 * U71 * C71, IF(G71="ETH", E71 * U71 * C71, IF(G71="IO.NET", F71 * U71 * C71, 0)))</f>
        <v>350.56858519536001</v>
      </c>
      <c r="W71" s="2">
        <f>IF(G71 = "BTC", ((T71 - L71)), IF(G71 = "ETH", ((T71 - L71)), IF(G71 = "IO.NET", ((T71 - L71)), "Moneda no soportada")))</f>
        <v>-350.00398704310692</v>
      </c>
      <c r="X71" s="32">
        <f ca="1">IF(G71 = "BTC", (((D71 - J71) / J71)),IF(G71 = "ETH", ((E71 - J71) / J71), IF(G71 = "IO.NET", ((F71 - J71) / J71), "Moneda no soportada")))</f>
        <v>-2.8727691089154711E-2</v>
      </c>
      <c r="Y71" s="2" t="str">
        <f>IF(U71=0,"VENDIDA","ACTIVA")</f>
        <v>ACTIVA</v>
      </c>
    </row>
  </sheetData>
  <conditionalFormatting sqref="B3:Z71">
    <cfRule type="expression" dxfId="82" priority="1">
      <formula>$Y:$Y="VENDIDA"</formula>
    </cfRule>
  </conditionalFormatting>
  <conditionalFormatting sqref="Q1:Q1048576">
    <cfRule type="containsText" dxfId="81" priority="9" operator="containsText" text="VENTA PARCIAL">
      <formula>NOT(ISERROR(SEARCH("VENTA PARCIAL",Q1)))</formula>
    </cfRule>
    <cfRule type="containsText" dxfId="80" priority="10" operator="containsText" text="MANTENER">
      <formula>NOT(ISERROR(SEARCH("MANTENER",Q1)))</formula>
    </cfRule>
  </conditionalFormatting>
  <conditionalFormatting sqref="Q3:Q71">
    <cfRule type="containsText" dxfId="79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A18" sqref="A18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45596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4314</v>
      </c>
      <c r="I3" s="7">
        <f t="shared" ref="I3:I8" ca="1" si="2">G3*H3</f>
        <v>758.08683882000003</v>
      </c>
      <c r="J3" s="7">
        <f>F3</f>
        <v>700.0019932698001</v>
      </c>
      <c r="K3" s="7">
        <f ca="1">Tabla5[[#This Row],[VALOR ACTUAL EN COP]]-Tabla5[[#This Row],[COSTO TOTAL EN COP]]</f>
        <v>58.08484555019993</v>
      </c>
      <c r="L3" s="10">
        <f t="shared" ref="L3:L8" ca="1" si="3">((I3-J3)/J3)</f>
        <v>8.2978114503471742E-2</v>
      </c>
      <c r="M3" s="7">
        <f>D3*1.1</f>
        <v>4381.8060000000005</v>
      </c>
    </row>
    <row r="4" spans="2:13">
      <c r="B4" s="1">
        <f t="shared" ca="1" si="0"/>
        <v>45596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4314</v>
      </c>
      <c r="I4" s="7">
        <f t="shared" ca="1" si="2"/>
        <v>866.75813814000014</v>
      </c>
      <c r="J4" s="7">
        <f t="shared" ref="J4:J9" si="5">F4+J3</f>
        <v>800.00200808240015</v>
      </c>
      <c r="K4" s="7">
        <f ca="1">Tabla5[[#This Row],[VALOR ACTUAL EN COP]]-Tabla5[[#This Row],[COSTO TOTAL EN COP]]</f>
        <v>66.756130057599989</v>
      </c>
      <c r="L4" s="10">
        <f t="shared" ca="1" si="3"/>
        <v>8.3444953116572823E-2</v>
      </c>
      <c r="M4" s="7">
        <f t="shared" ref="M4:M6" si="6">D4*1.1</f>
        <v>4366.7470000000003</v>
      </c>
    </row>
    <row r="5" spans="2:13">
      <c r="B5" s="1">
        <f t="shared" ref="B5:B10" ca="1" si="7">TODAY()</f>
        <v>45596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4314</v>
      </c>
      <c r="I5" s="22">
        <f t="shared" ca="1" si="2"/>
        <v>1619.1310839600001</v>
      </c>
      <c r="J5" s="8">
        <f t="shared" si="5"/>
        <v>1500.0018441134002</v>
      </c>
      <c r="K5" s="8">
        <f ca="1">Tabla5[[#This Row],[VALOR ACTUAL EN COP]]-Tabla5[[#This Row],[COSTO TOTAL EN COP]]</f>
        <v>119.12923984659983</v>
      </c>
      <c r="L5" s="10">
        <f t="shared" ca="1" si="3"/>
        <v>7.9419395592152123E-2</v>
      </c>
      <c r="M5" s="7">
        <f t="shared" si="6"/>
        <v>4415.07</v>
      </c>
    </row>
    <row r="6" spans="2:13">
      <c r="B6" s="1">
        <f t="shared" ca="1" si="7"/>
        <v>45596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4314</v>
      </c>
      <c r="I6" s="22">
        <f t="shared" ca="1" si="2"/>
        <v>2337.46644036</v>
      </c>
      <c r="J6" s="8">
        <f t="shared" si="5"/>
        <v>2200.0024981274005</v>
      </c>
      <c r="K6" s="8">
        <f ca="1">Tabla5[[#This Row],[VALOR ACTUAL EN COP]]-Tabla5[[#This Row],[COSTO TOTAL EN COP]]</f>
        <v>137.46394223259949</v>
      </c>
      <c r="L6" s="10">
        <f t="shared" ca="1" si="3"/>
        <v>6.2483539154890112E-2</v>
      </c>
      <c r="M6" s="7">
        <f t="shared" si="6"/>
        <v>4624.2790000000005</v>
      </c>
    </row>
    <row r="7" spans="2:13">
      <c r="B7" s="1">
        <f t="shared" ca="1" si="7"/>
        <v>45596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4314</v>
      </c>
      <c r="I7" s="22">
        <f t="shared" ca="1" si="2"/>
        <v>3084.3292865399999</v>
      </c>
      <c r="J7" s="8">
        <f t="shared" si="5"/>
        <v>2900.0020379021007</v>
      </c>
      <c r="K7" s="8">
        <f ca="1">Tabla5[[#This Row],[VALOR ACTUAL EN COP]]-Tabla5[[#This Row],[COSTO TOTAL EN COP]]</f>
        <v>184.32724863789917</v>
      </c>
      <c r="L7" s="30">
        <f t="shared" ca="1" si="3"/>
        <v>6.356107555401716E-2</v>
      </c>
      <c r="M7" s="8">
        <f t="shared" ref="M7:M12" si="8">D7*1.1</f>
        <v>4447.6410000000005</v>
      </c>
    </row>
    <row r="8" spans="2:13">
      <c r="B8" s="1">
        <f t="shared" ca="1" si="7"/>
        <v>45596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4314</v>
      </c>
      <c r="I8" s="22">
        <f t="shared" ca="1" si="2"/>
        <v>3847.27929756</v>
      </c>
      <c r="J8" s="8">
        <f t="shared" si="5"/>
        <v>3600.0024831079008</v>
      </c>
      <c r="K8" s="8">
        <f ca="1">Tabla5[[#This Row],[VALOR ACTUAL EN COP]]-Tabla5[[#This Row],[COSTO TOTAL EN COP]]</f>
        <v>247.27681445209919</v>
      </c>
      <c r="L8" s="30">
        <f t="shared" ca="1" si="3"/>
        <v>6.868795663680316E-2</v>
      </c>
      <c r="M8" s="8">
        <f t="shared" si="8"/>
        <v>4353.866</v>
      </c>
    </row>
    <row r="9" spans="2:13">
      <c r="B9" s="1">
        <f t="shared" ca="1" si="7"/>
        <v>45596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4314</v>
      </c>
      <c r="I9" s="22">
        <f t="shared" ref="I9:I14" ca="1" si="10">G9*H9</f>
        <v>4608.5698853399999</v>
      </c>
      <c r="J9" s="8">
        <f t="shared" si="5"/>
        <v>4300.0015903715012</v>
      </c>
      <c r="K9" s="8">
        <f ca="1">Tabla5[[#This Row],[VALOR ACTUAL EN COP]]-Tabla5[[#This Row],[COSTO TOTAL EN COP]]</f>
        <v>308.56829496849878</v>
      </c>
      <c r="L9" s="30">
        <f t="shared" ref="L9:L14" ca="1" si="11">((I9-J9)/J9)</f>
        <v>7.1760042056598361E-2</v>
      </c>
      <c r="M9" s="8">
        <f t="shared" si="8"/>
        <v>4363.348</v>
      </c>
    </row>
    <row r="10" spans="2:13">
      <c r="B10" s="1">
        <f t="shared" ca="1" si="7"/>
        <v>45596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4314</v>
      </c>
      <c r="I10" s="22">
        <f t="shared" ca="1" si="10"/>
        <v>5364.4541683199996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364.45186780429867</v>
      </c>
      <c r="L10" s="30">
        <f t="shared" ca="1" si="11"/>
        <v>7.2890340023785402E-2</v>
      </c>
      <c r="M10" s="8">
        <f t="shared" si="8"/>
        <v>4394.5660000000007</v>
      </c>
    </row>
    <row r="11" spans="2:13">
      <c r="B11" s="1">
        <f t="shared" ref="B11:B16" ca="1" si="14">TODAY()</f>
        <v>45596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4314</v>
      </c>
      <c r="I11" s="22">
        <f t="shared" ca="1" si="10"/>
        <v>6104.2305361200006</v>
      </c>
      <c r="J11" s="8">
        <f t="shared" si="13"/>
        <v>5700.0015412237008</v>
      </c>
      <c r="K11" s="8">
        <f ca="1">Tabla5[[#This Row],[VALOR ACTUAL EN COP]]-Tabla5[[#This Row],[COSTO TOTAL EN COP]]</f>
        <v>404.22899489629981</v>
      </c>
      <c r="L11" s="30">
        <f t="shared" ca="1" si="11"/>
        <v>7.0917348350316101E-2</v>
      </c>
      <c r="M11" s="8">
        <f t="shared" si="8"/>
        <v>4490.2440000000006</v>
      </c>
    </row>
    <row r="12" spans="2:13">
      <c r="B12" s="1">
        <f t="shared" ca="1" si="14"/>
        <v>45596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4314</v>
      </c>
      <c r="I12" s="22">
        <f t="shared" ca="1" si="10"/>
        <v>6834.5838337200003</v>
      </c>
      <c r="J12" s="8">
        <f t="shared" si="13"/>
        <v>6400.0013286877011</v>
      </c>
      <c r="K12" s="8">
        <f ca="1">Tabla5[[#This Row],[VALOR ACTUAL EN COP]]-Tabla5[[#This Row],[COSTO TOTAL EN COP]]</f>
        <v>434.5825050322992</v>
      </c>
      <c r="L12" s="30">
        <f t="shared" ca="1" si="11"/>
        <v>6.7903502314023562E-2</v>
      </c>
      <c r="M12" s="8">
        <f t="shared" si="8"/>
        <v>4548.1810000000005</v>
      </c>
    </row>
    <row r="13" spans="2:13">
      <c r="B13" s="1">
        <f t="shared" ca="1" si="14"/>
        <v>45596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4314</v>
      </c>
      <c r="I13" s="22">
        <f t="shared" ca="1" si="10"/>
        <v>7573.6305315600002</v>
      </c>
      <c r="J13" s="8">
        <f t="shared" si="13"/>
        <v>7100.0005267969009</v>
      </c>
      <c r="K13" s="8">
        <f ca="1">Tabla5[[#This Row],[VALOR ACTUAL EN COP]]-Tabla5[[#This Row],[COSTO TOTAL EN COP]]</f>
        <v>473.63000476309935</v>
      </c>
      <c r="L13" s="30">
        <f t="shared" ca="1" si="11"/>
        <v>6.6708446425534723E-2</v>
      </c>
      <c r="M13" s="8">
        <f t="shared" ref="M13:M18" si="15">D13*1.1</f>
        <v>4494.6770000000006</v>
      </c>
    </row>
    <row r="14" spans="2:13">
      <c r="B14" s="1">
        <f t="shared" ca="1" si="14"/>
        <v>45596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4314</v>
      </c>
      <c r="I14" s="22">
        <f t="shared" ca="1" si="10"/>
        <v>8320.3048128000009</v>
      </c>
      <c r="J14" s="8">
        <f t="shared" si="13"/>
        <v>7799.999876784701</v>
      </c>
      <c r="K14" s="8">
        <f ca="1">Tabla5[[#This Row],[VALOR ACTUAL EN COP]]-Tabla5[[#This Row],[COSTO TOTAL EN COP]]</f>
        <v>520.30493601529997</v>
      </c>
      <c r="L14" s="30">
        <f t="shared" ca="1" si="11"/>
        <v>6.6705762081342351E-2</v>
      </c>
      <c r="M14" s="8">
        <f t="shared" si="15"/>
        <v>4448.7629999999999</v>
      </c>
    </row>
    <row r="15" spans="2:13">
      <c r="B15" s="1">
        <f t="shared" ca="1" si="14"/>
        <v>45596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4314</v>
      </c>
      <c r="I15" s="22">
        <f ca="1">G15*H15</f>
        <v>9068.396286180001</v>
      </c>
      <c r="J15" s="8">
        <f t="shared" si="13"/>
        <v>8499.9995077186013</v>
      </c>
      <c r="K15" s="8">
        <f ca="1">Tabla5[[#This Row],[VALOR ACTUAL EN COP]]-Tabla5[[#This Row],[COSTO TOTAL EN COP]]</f>
        <v>568.39677846139966</v>
      </c>
      <c r="L15" s="30">
        <f ca="1">((I15-J15)/J15)</f>
        <v>6.6870213103571968E-2</v>
      </c>
      <c r="M15" s="8">
        <f t="shared" si="15"/>
        <v>4440.3370000000004</v>
      </c>
    </row>
    <row r="16" spans="2:13">
      <c r="B16" s="1">
        <f t="shared" ca="1" si="14"/>
        <v>45596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4314</v>
      </c>
      <c r="I16" s="22">
        <f ca="1">G16*H16</f>
        <v>9804.7140339000016</v>
      </c>
      <c r="J16" s="8">
        <f>F16+J15</f>
        <v>9199.9997565142021</v>
      </c>
      <c r="K16" s="8">
        <f ca="1">Tabla5[[#This Row],[VALOR ACTUAL EN COP]]-Tabla5[[#This Row],[COSTO TOTAL EN COP]]</f>
        <v>604.71427738579951</v>
      </c>
      <c r="L16" s="30">
        <f ca="1">((I16-J16)/J16)</f>
        <v>6.5729814498921291E-2</v>
      </c>
      <c r="M16" s="8">
        <f t="shared" si="15"/>
        <v>4511.3420000000006</v>
      </c>
    </row>
    <row r="17" spans="2:13">
      <c r="B17" s="1">
        <f ca="1">TODAY()</f>
        <v>45596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4314</v>
      </c>
      <c r="I17" s="22">
        <f ca="1">G17*H17</f>
        <v>10522.162992720001</v>
      </c>
      <c r="J17" s="8">
        <f>F17+J16</f>
        <v>9899.9997712546028</v>
      </c>
      <c r="K17" s="8">
        <f ca="1">Tabla5[[#This Row],[VALOR ACTUAL EN COP]]-Tabla5[[#This Row],[COSTO TOTAL EN COP]]</f>
        <v>622.16322146539824</v>
      </c>
      <c r="L17" s="30">
        <f ca="1">((I17-J17)/J17)</f>
        <v>6.2844771297055596E-2</v>
      </c>
      <c r="M17" s="8">
        <f t="shared" si="15"/>
        <v>4629.9880000000003</v>
      </c>
    </row>
    <row r="18" spans="2:13">
      <c r="B18" s="1">
        <f ca="1">TODAY()</f>
        <v>45596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4314</v>
      </c>
      <c r="I18" s="22">
        <f ca="1">G18*H18</f>
        <v>11234.110781880001</v>
      </c>
      <c r="J18" s="8">
        <f>F18+J17</f>
        <v>10599.999247958604</v>
      </c>
      <c r="K18" s="8">
        <f ca="1">Tabla5[[#This Row],[VALOR ACTUAL EN COP]]-Tabla5[[#This Row],[COSTO TOTAL EN COP]]</f>
        <v>634.11153392139749</v>
      </c>
      <c r="L18" s="30">
        <f ca="1">((I18-J18)/J18)</f>
        <v>5.9821847066971974E-2</v>
      </c>
      <c r="M18" s="8">
        <f t="shared" si="15"/>
        <v>4665.7600000000011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topLeftCell="F1" workbookViewId="0">
      <selection activeCell="K15" sqref="K15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>D15*F15*E15</f>
        <v>14069.857322894881</v>
      </c>
      <c r="K15">
        <f>H15*J15*I15</f>
        <v>0</v>
      </c>
      <c r="L15" s="14">
        <f>H15-D15</f>
        <v>-5.253E-5</v>
      </c>
      <c r="M15" s="8">
        <f>F15-J15</f>
        <v>63785.8</v>
      </c>
      <c r="N15">
        <f>L15*J15*I15</f>
        <v>0</v>
      </c>
      <c r="O15" s="8">
        <f>(K15-G15)/G15</f>
        <v>-1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>D16*F16*E16</f>
        <v>11373.39366623264</v>
      </c>
      <c r="K16">
        <f>H16*J16*I16</f>
        <v>0</v>
      </c>
      <c r="L16" s="14">
        <f>H16-D16</f>
        <v>-1.02962E-3</v>
      </c>
      <c r="M16" s="8">
        <f>F16-J16</f>
        <v>2630.6</v>
      </c>
      <c r="N16">
        <f>L16*J16*I16</f>
        <v>0</v>
      </c>
      <c r="O16" s="8">
        <f>(K16-G16)/G16</f>
        <v>-1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>D17*F17*E17</f>
        <v>6375.4667619334559</v>
      </c>
      <c r="K17">
        <f>H17*J17*I17</f>
        <v>0</v>
      </c>
      <c r="L17" s="14">
        <f>H17-D17</f>
        <v>-0.73703222999999995</v>
      </c>
      <c r="M17" s="8">
        <f>F17-J17</f>
        <v>2.06</v>
      </c>
      <c r="N17">
        <f>L17*J17*I17</f>
        <v>0</v>
      </c>
      <c r="O17" s="8">
        <f>(K17-G17)/G17</f>
        <v>-1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>D18*F18*E18</f>
        <v>8119.6943981663999</v>
      </c>
      <c r="K18">
        <f>H18*J18*I18</f>
        <v>0</v>
      </c>
      <c r="L18" s="14">
        <f>H18-D18</f>
        <v>-1.93366572</v>
      </c>
      <c r="M18" s="8">
        <f>F18-J18</f>
        <v>1</v>
      </c>
      <c r="N18">
        <f>L18*J18*I18</f>
        <v>0</v>
      </c>
      <c r="O18" s="8">
        <f>(K18-G18)/G18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5"/>
  <sheetViews>
    <sheetView tabSelected="1" topLeftCell="G63" workbookViewId="0">
      <selection activeCell="M85" sqref="M85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</sheetData>
  <conditionalFormatting sqref="F3:F85">
    <cfRule type="cellIs" dxfId="51" priority="8" operator="greaterThan">
      <formula>0</formula>
    </cfRule>
    <cfRule type="cellIs" dxfId="50" priority="9" operator="lessThan">
      <formula>0</formula>
    </cfRule>
  </conditionalFormatting>
  <conditionalFormatting sqref="I3:I85">
    <cfRule type="cellIs" dxfId="49" priority="5" operator="lessThan">
      <formula>0</formula>
    </cfRule>
  </conditionalFormatting>
  <conditionalFormatting sqref="I3:I85">
    <cfRule type="cellIs" dxfId="48" priority="4" operator="greaterThan">
      <formula>0</formula>
    </cfRule>
  </conditionalFormatting>
  <conditionalFormatting sqref="L75:L80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45596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45596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45596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45596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45596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45596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45596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45596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45596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45596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45596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45596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2024-10-31T12:23:52Z</dcterms:modified>
</cp:coreProperties>
</file>