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3" l="1"/>
  <c r="I37" i="13"/>
  <c r="H36" i="13"/>
  <c r="I36" i="13"/>
  <c r="H35" i="13"/>
  <c r="I35" i="13"/>
  <c r="H34" i="13"/>
  <c r="I34" i="13"/>
  <c r="H33" i="13"/>
  <c r="I33" i="13"/>
  <c r="H32" i="13"/>
  <c r="I32" i="13"/>
  <c r="H31" i="13"/>
  <c r="I31" i="13"/>
  <c r="G22" i="11"/>
  <c r="O22" i="11" s="1"/>
  <c r="K22" i="11"/>
  <c r="L22" i="11"/>
  <c r="N22" i="11" s="1"/>
  <c r="M22" i="11"/>
  <c r="G21" i="11"/>
  <c r="K21" i="11"/>
  <c r="L21" i="11"/>
  <c r="N21" i="11" s="1"/>
  <c r="M21" i="11"/>
  <c r="G20" i="11"/>
  <c r="K20" i="11"/>
  <c r="L20" i="11"/>
  <c r="N20" i="11" s="1"/>
  <c r="M20" i="11"/>
  <c r="G19" i="11"/>
  <c r="K19" i="11"/>
  <c r="L19" i="11"/>
  <c r="N19" i="11" s="1"/>
  <c r="M19" i="11"/>
  <c r="G16" i="1"/>
  <c r="I16" i="1"/>
  <c r="J16" i="1" s="1"/>
  <c r="G15" i="1"/>
  <c r="I15" i="1"/>
  <c r="J15" i="1" s="1"/>
  <c r="C86" i="7"/>
  <c r="E86" i="7"/>
  <c r="F86" i="7" s="1"/>
  <c r="H86" i="7"/>
  <c r="I86" i="7" s="1"/>
  <c r="K86" i="7"/>
  <c r="L86" i="7" s="1"/>
  <c r="O21" i="11" l="1"/>
  <c r="O20" i="11"/>
  <c r="O19" i="11"/>
  <c r="M86" i="7"/>
  <c r="J86" i="7"/>
  <c r="G86" i="7"/>
  <c r="C85" i="7"/>
  <c r="E85" i="7"/>
  <c r="H85" i="7"/>
  <c r="I85" i="7" s="1"/>
  <c r="K85" i="7"/>
  <c r="L85" i="7" s="1"/>
  <c r="M85" i="7" l="1"/>
  <c r="G85" i="7"/>
  <c r="F85" i="7"/>
  <c r="J85" i="7"/>
  <c r="C84" i="7"/>
  <c r="E84" i="7"/>
  <c r="F84" i="7" s="1"/>
  <c r="H84" i="7"/>
  <c r="I84" i="7" s="1"/>
  <c r="K84" i="7"/>
  <c r="M84" i="7" l="1"/>
  <c r="L84" i="7"/>
  <c r="J84" i="7"/>
  <c r="G84" i="7"/>
  <c r="C83" i="7"/>
  <c r="E83" i="7"/>
  <c r="F83" i="7" s="1"/>
  <c r="H83" i="7"/>
  <c r="I83" i="7" s="1"/>
  <c r="K83" i="7"/>
  <c r="L83" i="7" s="1"/>
  <c r="M83" i="7" l="1"/>
  <c r="J83" i="7"/>
  <c r="G83" i="7"/>
  <c r="B71" i="9"/>
  <c r="C71" i="9" s="1"/>
  <c r="L71" i="9"/>
  <c r="W71" i="9" s="1"/>
  <c r="U71" i="9"/>
  <c r="Y71" i="9" s="1"/>
  <c r="B70" i="9"/>
  <c r="C70" i="9" s="1"/>
  <c r="L70" i="9"/>
  <c r="W70" i="9" s="1"/>
  <c r="U70" i="9"/>
  <c r="Y70" i="9" s="1"/>
  <c r="L69" i="9"/>
  <c r="W69" i="9" s="1"/>
  <c r="B69" i="9"/>
  <c r="D69" i="9" s="1"/>
  <c r="U69" i="9"/>
  <c r="Y69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l="1"/>
  <c r="F71" i="9"/>
  <c r="E71" i="9"/>
  <c r="D71" i="9"/>
  <c r="F70" i="9"/>
  <c r="E70" i="9"/>
  <c r="M70" i="9" s="1"/>
  <c r="D70" i="9"/>
  <c r="N69" i="9"/>
  <c r="Q69" i="9" s="1"/>
  <c r="X69" i="9"/>
  <c r="C69" i="9"/>
  <c r="M69" i="9" s="1"/>
  <c r="E69" i="9"/>
  <c r="F69" i="9"/>
  <c r="I18" i="10"/>
  <c r="J82" i="7"/>
  <c r="G82" i="7"/>
  <c r="L82" i="7"/>
  <c r="C81" i="7"/>
  <c r="E81" i="7"/>
  <c r="F81" i="7" s="1"/>
  <c r="H81" i="7"/>
  <c r="I81" i="7" s="1"/>
  <c r="K81" i="7"/>
  <c r="L81" i="7" s="1"/>
  <c r="N71" i="9" l="1"/>
  <c r="Q71" i="9" s="1"/>
  <c r="V71" i="9"/>
  <c r="X71" i="9"/>
  <c r="M71" i="9"/>
  <c r="V70" i="9"/>
  <c r="X70" i="9"/>
  <c r="N70" i="9"/>
  <c r="Q70" i="9" s="1"/>
  <c r="V69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 s="1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 s="1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M62" i="9" l="1"/>
  <c r="M60" i="9"/>
  <c r="M61" i="9"/>
  <c r="V62" i="9"/>
  <c r="N62" i="9"/>
  <c r="Q62" i="9" s="1"/>
  <c r="X62" i="9"/>
  <c r="V61" i="9"/>
  <c r="X61" i="9"/>
  <c r="N61" i="9"/>
  <c r="Q61" i="9" s="1"/>
  <c r="V60" i="9"/>
  <c r="X60" i="9"/>
  <c r="N60" i="9"/>
  <c r="Q60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K18" i="11"/>
  <c r="L18" i="11"/>
  <c r="N18" i="11" s="1"/>
  <c r="M18" i="11"/>
  <c r="G17" i="11"/>
  <c r="K17" i="11"/>
  <c r="L17" i="11"/>
  <c r="M17" i="11"/>
  <c r="N17" i="11"/>
  <c r="G16" i="11"/>
  <c r="K16" i="11"/>
  <c r="L16" i="11"/>
  <c r="N16" i="11" s="1"/>
  <c r="M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V3" i="13" l="1"/>
  <c r="O17" i="11"/>
  <c r="O18" i="11"/>
  <c r="J63" i="7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M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7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M54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54" i="9"/>
  <c r="Q54" i="9" s="1"/>
  <c r="X54" i="9"/>
  <c r="V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M53" i="9" s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48" i="9"/>
  <c r="H17" i="13"/>
  <c r="U3" i="13" s="1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45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45" i="9"/>
  <c r="X45" i="9"/>
  <c r="N45" i="9"/>
  <c r="Q45" i="9" s="1"/>
  <c r="G40" i="7"/>
  <c r="F44" i="9"/>
  <c r="E44" i="9"/>
  <c r="D44" i="9"/>
  <c r="F43" i="9"/>
  <c r="E43" i="9"/>
  <c r="D43" i="9"/>
  <c r="F42" i="9"/>
  <c r="E42" i="9"/>
  <c r="D42" i="9"/>
  <c r="M42" i="9" s="1"/>
  <c r="G38" i="7"/>
  <c r="F41" i="9"/>
  <c r="M41" i="9" s="1"/>
  <c r="E41" i="9"/>
  <c r="D41" i="9"/>
  <c r="F40" i="9"/>
  <c r="E40" i="9"/>
  <c r="D40" i="9"/>
  <c r="F39" i="9"/>
  <c r="E39" i="9"/>
  <c r="D39" i="9"/>
  <c r="M39" i="9" s="1"/>
  <c r="G34" i="7"/>
  <c r="F38" i="9"/>
  <c r="M38" i="9" s="1"/>
  <c r="E38" i="9"/>
  <c r="D38" i="9"/>
  <c r="F37" i="9"/>
  <c r="E37" i="9"/>
  <c r="D37" i="9"/>
  <c r="F36" i="9"/>
  <c r="E36" i="9"/>
  <c r="D36" i="9"/>
  <c r="M36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N43" i="9" l="1"/>
  <c r="Q43" i="9" s="1"/>
  <c r="M43" i="9"/>
  <c r="N37" i="9"/>
  <c r="Q37" i="9" s="1"/>
  <c r="M37" i="9"/>
  <c r="X44" i="9"/>
  <c r="M44" i="9"/>
  <c r="N40" i="9"/>
  <c r="Q40" i="9" s="1"/>
  <c r="M40" i="9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N44" i="9"/>
  <c r="Q44" i="9" s="1"/>
  <c r="V43" i="9"/>
  <c r="X43" i="9"/>
  <c r="N42" i="9"/>
  <c r="Q42" i="9" s="1"/>
  <c r="V42" i="9"/>
  <c r="X42" i="9"/>
  <c r="V41" i="9"/>
  <c r="N41" i="9"/>
  <c r="Q41" i="9" s="1"/>
  <c r="X41" i="9"/>
  <c r="V40" i="9"/>
  <c r="X40" i="9"/>
  <c r="N39" i="9"/>
  <c r="Q39" i="9" s="1"/>
  <c r="V39" i="9"/>
  <c r="X39" i="9"/>
  <c r="V38" i="9"/>
  <c r="N38" i="9"/>
  <c r="Q38" i="9" s="1"/>
  <c r="X38" i="9"/>
  <c r="X37" i="9"/>
  <c r="V37" i="9"/>
  <c r="N36" i="9"/>
  <c r="Q36" i="9" s="1"/>
  <c r="X36" i="9"/>
  <c r="V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E35" i="9"/>
  <c r="D35" i="9"/>
  <c r="F34" i="9"/>
  <c r="E34" i="9"/>
  <c r="D34" i="9"/>
  <c r="F33" i="9"/>
  <c r="E33" i="9"/>
  <c r="D33" i="9"/>
  <c r="M3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D31" i="9"/>
  <c r="F30" i="9"/>
  <c r="E30" i="9"/>
  <c r="D30" i="9"/>
  <c r="M3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E29" i="9"/>
  <c r="D29" i="9"/>
  <c r="F28" i="9"/>
  <c r="E28" i="9"/>
  <c r="D28" i="9"/>
  <c r="F27" i="9"/>
  <c r="E27" i="9"/>
  <c r="D27" i="9"/>
  <c r="M27" i="9" s="1"/>
  <c r="I3" i="10"/>
  <c r="F26" i="9"/>
  <c r="E26" i="9"/>
  <c r="D26" i="9"/>
  <c r="F25" i="9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1" i="9"/>
  <c r="E21" i="9"/>
  <c r="D21" i="9"/>
  <c r="F20" i="9"/>
  <c r="M20" i="9" s="1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C14" i="9"/>
  <c r="F13" i="9"/>
  <c r="E13" i="9"/>
  <c r="D13" i="9"/>
  <c r="F12" i="9"/>
  <c r="E12" i="9"/>
  <c r="D12" i="9"/>
  <c r="L11" i="9"/>
  <c r="W11" i="9" s="1"/>
  <c r="F11" i="9"/>
  <c r="E11" i="9"/>
  <c r="D11" i="9"/>
  <c r="F10" i="9"/>
  <c r="E10" i="9"/>
  <c r="D10" i="9"/>
  <c r="F9" i="9"/>
  <c r="D9" i="9"/>
  <c r="E9" i="9"/>
  <c r="F8" i="9"/>
  <c r="E8" i="9"/>
  <c r="D8" i="9"/>
  <c r="F7" i="9"/>
  <c r="E7" i="9"/>
  <c r="D7" i="9"/>
  <c r="F6" i="9"/>
  <c r="E6" i="9"/>
  <c r="D6" i="9"/>
  <c r="F5" i="9"/>
  <c r="E5" i="9"/>
  <c r="D5" i="9"/>
  <c r="F3" i="9"/>
  <c r="F4" i="9"/>
  <c r="E4" i="9"/>
  <c r="D4" i="9"/>
  <c r="D3" i="9"/>
  <c r="X6" i="9" l="1"/>
  <c r="M6" i="9"/>
  <c r="X29" i="9"/>
  <c r="M29" i="9"/>
  <c r="X21" i="9"/>
  <c r="M21" i="9"/>
  <c r="X9" i="9"/>
  <c r="M9" i="9"/>
  <c r="X4" i="9"/>
  <c r="M4" i="9"/>
  <c r="X14" i="9"/>
  <c r="M14" i="9"/>
  <c r="X19" i="9"/>
  <c r="M19" i="9"/>
  <c r="N34" i="9"/>
  <c r="Q34" i="9" s="1"/>
  <c r="M34" i="9"/>
  <c r="X8" i="9"/>
  <c r="M8" i="9"/>
  <c r="X12" i="9"/>
  <c r="M12" i="9"/>
  <c r="X17" i="9"/>
  <c r="M17" i="9"/>
  <c r="X7" i="9"/>
  <c r="M7" i="9"/>
  <c r="X10" i="9"/>
  <c r="M10" i="9"/>
  <c r="V25" i="9"/>
  <c r="M25" i="9"/>
  <c r="N31" i="9"/>
  <c r="Q31" i="9" s="1"/>
  <c r="M31" i="9"/>
  <c r="X3" i="9"/>
  <c r="M3" i="9"/>
  <c r="X16" i="9"/>
  <c r="M16" i="9"/>
  <c r="N28" i="9"/>
  <c r="Q28" i="9" s="1"/>
  <c r="M28" i="9"/>
  <c r="X13" i="9"/>
  <c r="M13" i="9"/>
  <c r="X35" i="9"/>
  <c r="M35" i="9"/>
  <c r="X5" i="9"/>
  <c r="M5" i="9"/>
  <c r="X15" i="9"/>
  <c r="M15" i="9"/>
  <c r="X11" i="9"/>
  <c r="M11" i="9"/>
  <c r="X18" i="9"/>
  <c r="M18" i="9"/>
  <c r="X26" i="9"/>
  <c r="M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3" i="9"/>
  <c r="Q33" i="9" s="1"/>
  <c r="X33" i="9"/>
  <c r="V33" i="9"/>
  <c r="V31" i="9"/>
  <c r="V32" i="9"/>
  <c r="N32" i="9"/>
  <c r="Q32" i="9" s="1"/>
  <c r="X32" i="9"/>
  <c r="X31" i="9"/>
  <c r="N30" i="9"/>
  <c r="Q30" i="9" s="1"/>
  <c r="X30" i="9"/>
  <c r="V30" i="9"/>
  <c r="S7" i="12"/>
  <c r="T7" i="12" s="1"/>
  <c r="V29" i="9"/>
  <c r="N29" i="9"/>
  <c r="Q29" i="9" s="1"/>
  <c r="X28" i="9"/>
  <c r="V28" i="9"/>
  <c r="N27" i="9"/>
  <c r="Q27" i="9" s="1"/>
  <c r="X27" i="9"/>
  <c r="V27" i="9"/>
  <c r="V26" i="9"/>
  <c r="N26" i="9"/>
  <c r="Q26" i="9" s="1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3" i="9"/>
  <c r="Q3" i="9" s="1"/>
  <c r="V18" i="9"/>
  <c r="V4" i="9"/>
  <c r="V6" i="9"/>
  <c r="V9" i="9"/>
  <c r="V14" i="9"/>
  <c r="V19" i="9"/>
  <c r="V7" i="9"/>
  <c r="V11" i="9"/>
  <c r="V12" i="9"/>
  <c r="V17" i="9"/>
  <c r="V5" i="9"/>
  <c r="V15" i="9"/>
  <c r="V13" i="9"/>
  <c r="N8" i="9"/>
  <c r="Q8" i="9" s="1"/>
  <c r="V8" i="9"/>
  <c r="V10" i="9"/>
  <c r="V16" i="9"/>
  <c r="V21" i="9"/>
  <c r="V3" i="9"/>
  <c r="N18" i="9"/>
  <c r="Q18" i="9" s="1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<sst xmlns="http://schemas.openxmlformats.org/spreadsheetml/2006/main" count="384" uniqueCount="124">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</sst>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5"/>
      <tableStyleElement type="headerRow" dxfId="134"/>
      <tableStyleElement type="secondRowStripe" dxfId="133"/>
    </tableStyle>
    <tableStyle name="Estilo de tabla 2" pivot="0" count="5">
      <tableStyleElement type="wholeTable" dxfId="132"/>
      <tableStyleElement type="headerRow" dxfId="131"/>
      <tableStyleElement type="firstRowStripe" dxfId="130"/>
      <tableStyleElement type="secondRowStripe" dxfId="129"/>
      <tableStyleElement type="firstColumnStripe" dxfId="128"/>
    </tableStyle>
    <tableStyle name="Estilo de tabla 3" pivot="0" count="3">
      <tableStyleElement type="headerRow" dxfId="127"/>
      <tableStyleElement type="firstRowStripe" dxfId="126"/>
      <tableStyleElement type="secondRowStripe" dxfId="125"/>
    </tableStyle>
    <tableStyle name="Estilo de tabla 4" pivot="0" count="4">
      <tableStyleElement type="wholeTable" dxfId="124"/>
      <tableStyleElement type="headerRow" dxfId="123"/>
      <tableStyleElement type="firstRowStripe" dxfId="122"/>
      <tableStyleElement type="secondRowStripe" dxfId="121"/>
    </tableStyle>
    <tableStyle name="Estilo de tabla 5" pivot="0" count="4">
      <tableStyleElement type="wholeTable" dxfId="120"/>
      <tableStyleElement type="headerRow" dxfId="119"/>
      <tableStyleElement type="firstRowStripe" dxfId="118"/>
      <tableStyleElement type="secondRowStripe" dxfId="117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  <c:pt idx="3">
                  <c:v>-3958.345066650003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CRIPTOS!$B$3:$B$193</c:f>
              <c:numCache>
                <c:formatCode>m/d/yyyy</c:formatCode>
                <c:ptCount val="19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</c:numCache>
            </c:numRef>
          </c:cat>
          <c:val>
            <c:numRef>
              <c:f>CRIPTOS!$C$3:$C$193</c:f>
              <c:numCache>
                <c:formatCode>_-[$$-240A]\ * #,##0.00_-;\-[$$-240A]\ * #,##0.00_-;_-[$$-240A]\ * "-"??_-;_-@_-</c:formatCode>
                <c:ptCount val="191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  <c:pt idx="190">
                  <c:v>4418.63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CRIPTOS!$B$3:$B$193</c:f>
              <c:numCache>
                <c:formatCode>m/d/yyyy</c:formatCode>
                <c:ptCount val="19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</c:numCache>
            </c:numRef>
          </c:cat>
          <c:val>
            <c:numRef>
              <c:f>CRIPTOS!$D$3:$D$193</c:f>
              <c:numCache>
                <c:formatCode>_-[$$-240A]\ * #,##0.00_-;\-[$$-240A]\ * #,##0.00_-;_-[$$-240A]\ * "-"??_-;_-@_-</c:formatCode>
                <c:ptCount val="191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  <c:pt idx="190">
                  <c:v>69923.17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CRIPTOS!$B$3:$B$193</c:f>
              <c:numCache>
                <c:formatCode>m/d/yyyy</c:formatCode>
                <c:ptCount val="19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</c:numCache>
            </c:numRef>
          </c:cat>
          <c:val>
            <c:numRef>
              <c:f>CRIPTOS!$E$3:$E$193</c:f>
              <c:numCache>
                <c:formatCode>_-[$$-240A]\ * #,##0.00_-;\-[$$-240A]\ * #,##0.00_-;_-[$$-240A]\ * "-"??_-;_-@_-</c:formatCode>
                <c:ptCount val="191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  <c:pt idx="190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CRIPTOS!$B$3:$B$193</c:f>
              <c:numCache>
                <c:formatCode>m/d/yyyy</c:formatCode>
                <c:ptCount val="19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</c:numCache>
            </c:numRef>
          </c:cat>
          <c:val>
            <c:numRef>
              <c:f>CRIPTOS!$F$3:$F$193</c:f>
              <c:numCache>
                <c:formatCode>_-[$$-240A]\ * #,##0.00_-;\-[$$-240A]\ * #,##0.00_-;_-[$$-240A]\ * "-"??_-;_-@_-</c:formatCode>
                <c:ptCount val="191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  <c:pt idx="190">
                  <c:v>2517.8000000000002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CRIPTOS!$B$3:$B$193</c:f>
              <c:numCache>
                <c:formatCode>m/d/yyyy</c:formatCode>
                <c:ptCount val="19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</c:numCache>
            </c:numRef>
          </c:cat>
          <c:val>
            <c:numRef>
              <c:f>CRIPTOS!$G$3:$G$193</c:f>
              <c:numCache>
                <c:formatCode>_-[$$-240A]\ * #,##0.00_-;\-[$$-240A]\ * #,##0.00_-;_-[$$-240A]\ * "-"??_-;_-@_-</c:formatCode>
                <c:ptCount val="191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  <c:pt idx="190">
                  <c:v>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Bolsa'!$C$3:$C$86</c:f>
              <c:numCache>
                <c:formatCode>_("$"* #,##0.00_);_("$"* \(#,##0.00\);_("$"* "-"??_);_(@_)</c:formatCode>
                <c:ptCount val="84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  <c:pt idx="83">
                  <c:v>4418.63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Bolsa'!$D$3:$D$86</c:f>
              <c:numCache>
                <c:formatCode>_("$"* #,##0.00_);_("$"* \(#,##0.00\);_("$"* "-"??_);_(@_)</c:formatCode>
                <c:ptCount val="84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  <c:pt idx="83">
                  <c:v>522.66999999999996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Bolsa'!$E$3:$E$86</c:f>
              <c:numCache>
                <c:formatCode>_("$"* #,##0.00_);_("$"* \(#,##0.00\);_("$"* "-"??_);_(@_)</c:formatCode>
                <c:ptCount val="84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  <c:pt idx="83">
                  <c:v>7.9341305999999996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Bolsa'!$F$3:$F$86</c:f>
              <c:numCache>
                <c:formatCode>_("$"* #,##0.00_);_("$"* \(#,##0.00\);_("$"* "-"??_);_(@_)</c:formatCode>
                <c:ptCount val="84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  <c:pt idx="83">
                  <c:v>0.23413059999999941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Bolsa'!$G$3:$G$86</c:f>
              <c:numCache>
                <c:formatCode>_("$"* #,##0.00_);_("$"* \(#,##0.00\);_("$"* "-"??_);_(@_)</c:formatCode>
                <c:ptCount val="84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  <c:pt idx="83">
                  <c:v>35057.987493077999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Bolsa'!$H$3:$H$86</c:f>
              <c:numCache>
                <c:formatCode>_("$"* #,##0.00_);_("$"* \(#,##0.00\);_("$"* "-"??_);_(@_)</c:formatCode>
                <c:ptCount val="84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  <c:pt idx="83">
                  <c:v>7.9811708999999995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Bolsa'!$I$3:$I$86</c:f>
              <c:numCache>
                <c:formatCode>_("$"* #,##0.00_);_("$"* \(#,##0.00\);_("$"* "-"??_);_(@_)</c:formatCode>
                <c:ptCount val="84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  <c:pt idx="83">
                  <c:v>8.1170899999999158E-2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Bolsa'!$J$3:$J$86</c:f>
              <c:numCache>
                <c:formatCode>_("$"* #,##0.00_);_("$"* \(#,##0.00\);_("$"* "-"??_);_(@_)</c:formatCode>
                <c:ptCount val="84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  <c:pt idx="83">
                  <c:v>35265.841173866997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Bolsa'!$K$3:$K$86</c:f>
              <c:numCache>
                <c:formatCode>_("$"* #,##0.00_);_("$"* \(#,##0.00\);_("$"* "-"??_);_(@_)</c:formatCode>
                <c:ptCount val="84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  <c:pt idx="83">
                  <c:v>6.7110827999999998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Bolsa'!$L$3:$L$86</c:f>
              <c:numCache>
                <c:formatCode>_("$"* #,##0.00_);_("$"* \(#,##0.00\);_("$"* "-"??_);_(@_)</c:formatCode>
                <c:ptCount val="84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  <c:pt idx="83">
                  <c:v>-0.18891720000000056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Bolsa'!$M$3:$M$86</c:f>
              <c:numCache>
                <c:formatCode>_("$"* #,##0.00_);_("$"* \(#,##0.00\);_("$"* "-"??_);_(@_)</c:formatCode>
                <c:ptCount val="84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  <c:pt idx="83">
                  <c:v>29653.791792563999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7" totalsRowShown="0">
  <autoFilter ref="B2:I37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2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19">
  <autoFilter ref="B2:T14"/>
  <tableColumns count="19">
    <tableColumn id="1" name="FECHA ACTUAL" dataDxfId="18">
      <calculatedColumnFormula>TODAY()</calculatedColumnFormula>
    </tableColumn>
    <tableColumn id="2" name="PRECIO ACT KO" dataDxfId="17" dataCellStyle="Moneda">
      <calculatedColumnFormula>VLOOKUP(B3,Tabla1[],5,FALSE)</calculatedColumnFormula>
    </tableColumn>
    <tableColumn id="3" name="PRECIO ACT JNJ" dataDxfId="16">
      <calculatedColumnFormula>VLOOKUP(B3,Tabla1[],6,FALSE)</calculatedColumnFormula>
    </tableColumn>
    <tableColumn id="4" name="PRECIO ACT PG" dataDxfId="15">
      <calculatedColumnFormula>VLOOKUP(B3,Tabla1[],7,FALSE)</calculatedColumnFormula>
    </tableColumn>
    <tableColumn id="5" name="PRECIO ACT PEP" dataDxfId="14">
      <calculatedColumnFormula>VLOOKUP(B3,Tabla1[],8,FALSE)</calculatedColumnFormula>
    </tableColumn>
    <tableColumn id="6" name="PRECIO ACT MSFT" dataDxfId="13">
      <calculatedColumnFormula>VLOOKUP(B3,Tabla1[],9,FALSE)</calculatedColumnFormula>
    </tableColumn>
    <tableColumn id="7" name="PRECIO ACT MCD" dataDxfId="12">
      <calculatedColumnFormula>VLOOKUP(B3,Tabla1[],10,FALSE)</calculatedColumnFormula>
    </tableColumn>
    <tableColumn id="20" name="PRECIO ACT VOO" dataDxfId="11">
      <calculatedColumnFormula>VLOOKUP(B3,Tabla2[],3,FALSE)</calculatedColumnFormula>
    </tableColumn>
    <tableColumn id="8" name="EMPRESA" dataDxfId="10"/>
    <tableColumn id="9" name="FECHA COMPRA" dataDxfId="9"/>
    <tableColumn id="10" name="PRECIO COMPRA" dataDxfId="8" dataCellStyle="Moneda"/>
    <tableColumn id="11" name="CAPITAL INVE" dataDxfId="7" dataCellStyle="Moneda"/>
    <tableColumn id="12" name="CANTIDAD DE ACCIONES" dataDxfId="6" dataCellStyle="Moneda">
      <calculatedColumnFormula>(M3/L3)</calculatedColumnFormula>
    </tableColumn>
    <tableColumn id="13" name="VALOR ACTUAL INVE" dataDxfId="5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4"/>
    <tableColumn id="15" name="VALOR DIVIDENDO POR ACCION" dataDxfId="3" dataCellStyle="Moneda"/>
    <tableColumn id="16" name="TOTAL DIVIDENDO RECIBIDO" dataDxfId="2" dataCellStyle="Moneda">
      <calculatedColumnFormula>ROUND(Q3*N3,2)</calculatedColumnFormula>
    </tableColumn>
    <tableColumn id="17" name="GANACIA/PERDIDA" dataDxfId="1" dataCellStyle="Moneda">
      <calculatedColumnFormula>ROUND(O3-M3,2)</calculatedColumnFormula>
    </tableColumn>
    <tableColumn id="18" name="RENTABILIDAD" dataDxfId="0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1" dataDxfId="109" headerRowBorderDxfId="110" tableBorderDxfId="108" totalsRowBorderDxfId="107" dataCellStyle="Moneda">
  <autoFilter ref="L2:Y3"/>
  <tableColumns count="14">
    <tableColumn id="1" name="MES" dataDxfId="106"/>
    <tableColumn id="2" name="ENERO" dataDxfId="105" dataCellStyle="Moneda"/>
    <tableColumn id="3" name="FEBRERO" dataDxfId="104" dataCellStyle="Moneda"/>
    <tableColumn id="4" name="MARZO" dataDxfId="103" dataCellStyle="Moneda"/>
    <tableColumn id="5" name="ABRIL" dataDxfId="102" dataCellStyle="Moneda"/>
    <tableColumn id="6" name="MAYO" dataDxfId="101" dataCellStyle="Moneda"/>
    <tableColumn id="7" name="JUNIO" dataDxfId="100" dataCellStyle="Moneda"/>
    <tableColumn id="8" name="JULIO" dataDxfId="99" dataCellStyle="Moneda">
      <calculatedColumnFormula>SUM(H3:H9)</calculatedColumnFormula>
    </tableColumn>
    <tableColumn id="9" name="AGOSTO" dataDxfId="98" dataCellStyle="Moneda">
      <calculatedColumnFormula>SUM(H10:H16)</calculatedColumnFormula>
    </tableColumn>
    <tableColumn id="10" name="SEPTIEMBRE" dataDxfId="97" dataCellStyle="Moneda">
      <calculatedColumnFormula>SUM(H17:H23)</calculatedColumnFormula>
    </tableColumn>
    <tableColumn id="11" name="OCTUBRE" dataDxfId="96" dataCellStyle="Moneda">
      <calculatedColumnFormula>SUM(H24:H30)</calculatedColumnFormula>
    </tableColumn>
    <tableColumn id="12" name="NOVIEMBRE" dataDxfId="95" dataCellStyle="Moneda"/>
    <tableColumn id="13" name="DICIEMBRE" dataDxfId="94" dataCellStyle="Moneda"/>
    <tableColumn id="14" name="TOTAL ANUAL" dataDxfId="93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6" totalsRowShown="0" headerRowDxfId="92">
  <autoFilter ref="B2:J16"/>
  <tableColumns count="9">
    <tableColumn id="1" name="MES"/>
    <tableColumn id="2" name="CUENTA"/>
    <tableColumn id="3" name="CANTIDAD INICIAL" dataDxfId="91"/>
    <tableColumn id="4" name="CAPITAL INVERTIDO" dataDxfId="90"/>
    <tableColumn id="5" name="INTERES OBTENIDO" dataDxfId="89"/>
    <tableColumn id="6" name="PORCENTAJE DE INTERES" dataDxfId="88" dataCellStyle="Porcentaje">
      <calculatedColumnFormula>(F3/(D3+E3))</calculatedColumnFormula>
    </tableColumn>
    <tableColumn id="7" name="RETIROS DE CAPITAL" dataDxfId="87"/>
    <tableColumn id="8" name="TOTAL CAPITAL FIN DE MES" dataDxfId="86">
      <calculatedColumnFormula>D3+E3+F3-H3</calculatedColumnFormula>
    </tableColumn>
    <tableColumn id="9" name="RENTABILIDAD" dataDxfId="85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93" totalsRowShown="0">
  <autoFilter ref="B2:G193"/>
  <tableColumns count="6">
    <tableColumn id="1" name="FECHA" dataDxfId="84"/>
    <tableColumn id="2" name="DÓLAR" dataDxfId="83"/>
    <tableColumn id="3" name="BITCOIN" dataDxfId="82"/>
    <tableColumn id="5" name="io.net" dataDxfId="81"/>
    <tableColumn id="4" name="ETHEREUM" dataDxfId="80"/>
    <tableColumn id="6" name="USDT" dataDxfId="79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1" totalsRowShown="0">
  <autoFilter ref="B2:Z71">
    <filterColumn colId="23">
      <filters>
        <filter val="ACTIVA"/>
      </filters>
    </filterColumn>
  </autoFilter>
  <tableColumns count="25">
    <tableColumn id="1" name="fecha act" dataDxfId="74">
      <calculatedColumnFormula>TODAY()</calculatedColumnFormula>
    </tableColumn>
    <tableColumn id="2" name="precio actual dólar" dataDxfId="73">
      <calculatedColumnFormula>VLOOKUP(B3,Tabla4[],2,FALSE)</calculatedColumnFormula>
    </tableColumn>
    <tableColumn id="3" name="precio actual btc" dataDxfId="72">
      <calculatedColumnFormula>VLOOKUP(B3,Tabla4[],3,FALSE)</calculatedColumnFormula>
    </tableColumn>
    <tableColumn id="4" name="precio actul eth" dataDxfId="71">
      <calculatedColumnFormula>VLOOKUP(B3,Tabla4[],5,FALSE)</calculatedColumnFormula>
    </tableColumn>
    <tableColumn id="5" name="precio actual io.net" dataDxfId="70">
      <calculatedColumnFormula>VLOOKUP(B3,Tabla4[],4,FALSE)</calculatedColumnFormula>
    </tableColumn>
    <tableColumn id="6" name="moneda"/>
    <tableColumn id="27" name="FECHA COMPRA"/>
    <tableColumn id="20" name="PRECIO DEL DÓLAR, DIA COMPRA" dataDxfId="69">
      <calculatedColumnFormula>VLOOKUP(H3,Tabla4[],2,FALSE)</calculatedColumnFormula>
    </tableColumn>
    <tableColumn id="7" name="precio de compra" dataDxfId="68"/>
    <tableColumn id="8" name="cantidad" dataDxfId="67" dataCellStyle="Porcentaje"/>
    <tableColumn id="18" name="COSTO DE COMPRA" dataDxfId="66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5" dataCellStyle="Porcentaje">
      <calculatedColumnFormula xml:space="preserve"> K3 * (IF(G3="BTC", D3, IF(G3="ETH", E3, IF(G3="IO.NET", F3, 0)))) * C3</calculatedColumnFormula>
    </tableColumn>
    <tableColumn id="9" name="rentabilidad" dataDxfId="64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3" dataCellStyle="Porcentaje"/>
    <tableColumn id="11" name="META2" dataDxfId="62" dataCellStyle="Porcentaje"/>
    <tableColumn id="12" name="ACCION" dataDxfId="61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0"/>
    <tableColumn id="23" name="INVENTARIO" dataDxfId="59">
      <calculatedColumnFormula>Tabla6[[#This Row],[cantidad]]-Tabla6[[#This Row],[CANTIDAD VENDIDA]]</calculatedColumnFormula>
    </tableColumn>
    <tableColumn id="24" name="VALOR ACTUAL" dataDxfId="58">
      <calculatedColumnFormula>IF(G3="BTC", D3 * U3 * C3, IF(G3="ETH", E3 * U3 * C3, IF(G3="IO.NET", F3 * U3 * C3, 0)))</calculatedColumnFormula>
    </tableColumn>
    <tableColumn id="15" name="GANANCIA/PERDIDA" dataDxfId="57">
      <calculatedColumnFormula>IF(G3 = "BTC", ((T3 - L3)), IF(G3 = "ETH", ((T3 - L3)), IF(G3 = "IO.NET", ((T3 - L3)), "Moneda no soportada")))</calculatedColumnFormula>
    </tableColumn>
    <tableColumn id="25" name="RENTABILIDAD TOTAL" dataDxfId="56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5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8" totalsRowShown="0">
  <autoFilter ref="B2:M18"/>
  <tableColumns count="12">
    <tableColumn id="1" name="FECHA ACT" dataDxfId="54">
      <calculatedColumnFormula>TODAY()</calculatedColumnFormula>
    </tableColumn>
    <tableColumn id="11" name="FECHA COMPRA" dataDxfId="53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2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1">
      <calculatedColumnFormula>Tabla5[[#This Row],[VALOR ACTUAL EN COP]]-Tabla5[[#This Row],[COSTO TOTAL EN COP]]</calculatedColumnFormula>
    </tableColumn>
    <tableColumn id="9" name="RENTABILIDAD" dataDxfId="50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22" totalsRowShown="0">
  <autoFilter ref="B2:O22"/>
  <tableColumns count="14">
    <tableColumn id="1" name="MES" dataDxfId="49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48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6" totalsRowShown="0">
  <autoFilter ref="B2:M86"/>
  <tableColumns count="12">
    <tableColumn id="1" name="FECHA" dataDxfId="41"/>
    <tableColumn id="5" name="PRECIO DEL DÓLAR" dataDxfId="40">
      <calculatedColumnFormula>VLOOKUP(B3,Tabla4[],2,FALSE)</calculatedColumnFormula>
    </tableColumn>
    <tableColumn id="2" name="VOO" dataDxfId="39" dataCellStyle="Moneda"/>
    <tableColumn id="3" name="VALOR INVERSION 1" dataDxfId="38">
      <calculatedColumnFormula>0.01518 * D3</calculatedColumnFormula>
    </tableColumn>
    <tableColumn id="4" name="GAN/PER" dataDxfId="37">
      <calculatedColumnFormula>Tabla2[[#This Row],[VALOR INVERSION 1]]-7.7</calculatedColumnFormula>
    </tableColumn>
    <tableColumn id="6" name="VALOR EN COP" dataDxfId="36">
      <calculatedColumnFormula>Tabla2[[#This Row],[VALOR INVERSION 1]]*Tabla2[[#This Row],[PRECIO DEL DÓLAR]]</calculatedColumnFormula>
    </tableColumn>
    <tableColumn id="8" name="VALOR INVERSION 2" dataDxfId="35">
      <calculatedColumnFormula>Tabla2[[#This Row],[VOO]]*0.01527</calculatedColumnFormula>
    </tableColumn>
    <tableColumn id="9" name="GAN/PER2" dataDxfId="34">
      <calculatedColumnFormula>Tabla2[[#This Row],[VALOR INVERSION 2]]-7.9</calculatedColumnFormula>
    </tableColumn>
    <tableColumn id="10" name="VALOR EN COP2" dataDxfId="33">
      <calculatedColumnFormula>Tabla2[[#This Row],[VALOR INVERSION 2]]*Tabla2[[#This Row],[PRECIO DEL DÓLAR]]</calculatedColumnFormula>
    </tableColumn>
    <tableColumn id="7" name="VALOR INVERSION 3" dataDxfId="32">
      <calculatedColumnFormula>Tabla2[[#This Row],[VOO]]*0.01284</calculatedColumnFormula>
    </tableColumn>
    <tableColumn id="11" name="GAN/PER3" dataDxfId="31">
      <calculatedColumnFormula>Tabla2[[#This Row],[VALOR INVERSION 3]]-6.9</calculatedColumnFormula>
    </tableColumn>
    <tableColumn id="12" name="VALOR EN COP3" dataDxfId="30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29">
  <autoFilter ref="B2:K52"/>
  <tableColumns count="10">
    <tableColumn id="1" name="FECHA"/>
    <tableColumn id="2" name="DÓLAR" dataDxfId="28">
      <calculatedColumnFormula>VLOOKUP(B3,Tabla4[],2,FALSE)</calculatedColumnFormula>
    </tableColumn>
    <tableColumn id="3" name="S&amp;P 500" dataDxfId="27"/>
    <tableColumn id="4" name="NASDAQ-100" dataDxfId="26"/>
    <tableColumn id="5" name="KO" dataDxfId="25"/>
    <tableColumn id="6" name="JNJ" dataDxfId="24"/>
    <tableColumn id="7" name="PG" dataDxfId="23"/>
    <tableColumn id="8" name="PEP" dataDxfId="22"/>
    <tableColumn id="13" name="MSFT" dataDxfId="21"/>
    <tableColumn id="9" name="MCD" dataDxfId="2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7"/>
  <sheetViews>
    <sheetView topLeftCell="C1" workbookViewId="0">
      <selection activeCell="F37" sqref="F37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>
        <f>SUM(H24:H30)</f>
        <v>-3958.345066650003</v>
      </c>
      <c r="W3" s="37"/>
      <c r="X3" s="37"/>
      <c r="Y3" s="38">
        <f>SUM(M3:X3)</f>
        <v>-57.792917422632854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>
        <v>44138.1</v>
      </c>
      <c r="H24" s="7">
        <f>(Tabla8[[#This Row],[CAPITAL A FIN DE MES]]-(Tabla8[[#This Row],[CAPITAL A INICIO DE MES]]+Tabla8[[#This Row],[CAPITAL INVERTIDO ESTE MES]]))</f>
        <v>442.09999999999854</v>
      </c>
      <c r="I24" s="9">
        <f>(Tabla8[[#This Row],[CAPITAL A FIN DE MES]]-Tabla8[[#This Row],[CAPITAL A INICIO DE MES]])/Tabla8[[#This Row],[CAPITAL A INICIO DE MES]]</f>
        <v>0.17089611629881152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>
        <v>19138.02</v>
      </c>
      <c r="H25" s="7">
        <f>(Tabla8[[#This Row],[CAPITAL A FIN DE MES]]-(Tabla8[[#This Row],[CAPITAL A INICIO DE MES]]+Tabla8[[#This Row],[CAPITAL INVERTIDO ESTE MES]]))</f>
        <v>197.61000000000058</v>
      </c>
      <c r="I25" s="9">
        <f>(Tabla8[[#This Row],[CAPITAL A FIN DE MES]]-Tabla8[[#This Row],[CAPITAL A INICIO DE MES]])/Tabla8[[#This Row],[CAPITAL A INICIO DE MES]]</f>
        <v>0.47893459326250098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2800</v>
      </c>
      <c r="G26" s="7">
        <v>19782.494933349997</v>
      </c>
      <c r="H26" s="7">
        <f>(Tabla8[[#This Row],[CAPITAL A FIN DE MES]]-(Tabla8[[#This Row],[CAPITAL A INICIO DE MES]]+Tabla8[[#This Row],[CAPITAL INVERTIDO ESTE MES]]))</f>
        <v>2912.6349333499966</v>
      </c>
      <c r="I26" s="9">
        <f>(Tabla8[[#This Row],[CAPITAL A FIN DE MES]]-Tabla8[[#This Row],[CAPITAL A INICIO DE MES]])/Tabla8[[#This Row],[CAPITAL A INICIO DE MES]]</f>
        <v>0.40601931599532592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2800</v>
      </c>
      <c r="G27" s="7">
        <v>14770.53</v>
      </c>
      <c r="H27" s="7">
        <f>(Tabla8[[#This Row],[CAPITAL A FIN DE MES]]-(Tabla8[[#This Row],[CAPITAL A INICIO DE MES]]+Tabla8[[#This Row],[CAPITAL INVERTIDO ESTE MES]]))</f>
        <v>597.14000000000124</v>
      </c>
      <c r="I27" s="9">
        <f>(Tabla8[[#This Row],[CAPITAL A FIN DE MES]]-Tabla8[[#This Row],[CAPITAL A INICIO DE MES]])/Tabla8[[#This Row],[CAPITAL A INICIO DE MES]]</f>
        <v>0.29869194672828431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1400</v>
      </c>
      <c r="G28" s="7">
        <v>6757.24</v>
      </c>
      <c r="H28" s="7">
        <f>(Tabla8[[#This Row],[CAPITAL A FIN DE MES]]-(Tabla8[[#This Row],[CAPITAL A INICIO DE MES]]+Tabla8[[#This Row],[CAPITAL INVERTIDO ESTE MES]]))</f>
        <v>-2762.4499999999989</v>
      </c>
      <c r="I28" s="9">
        <f>(Tabla8[[#This Row],[CAPITAL A FIN DE MES]]-Tabla8[[#This Row],[CAPITAL A INICIO DE MES]])/Tabla8[[#This Row],[CAPITAL A INICIO DE MES]]</f>
        <v>-0.1677958148648532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2800</v>
      </c>
      <c r="G29" s="7">
        <v>11513.11</v>
      </c>
      <c r="H29" s="7">
        <f>(Tabla8[[#This Row],[CAPITAL A FIN DE MES]]-(Tabla8[[#This Row],[CAPITAL A INICIO DE MES]]+Tabla8[[#This Row],[CAPITAL INVERTIDO ESTE MES]]))</f>
        <v>593.42000000000189</v>
      </c>
      <c r="I29" s="9">
        <f>(Tabla8[[#This Row],[CAPITAL A FIN DE MES]]-Tabla8[[#This Row],[CAPITAL A INICIO DE MES]])/Tabla8[[#This Row],[CAPITAL A INICIO DE MES]]</f>
        <v>0.41792482225306643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>
        <v>99977.62</v>
      </c>
      <c r="H30" s="7">
        <f>(Tabla8[[#This Row],[CAPITAL A FIN DE MES]]-(Tabla8[[#This Row],[CAPITAL A INICIO DE MES]]+Tabla8[[#This Row],[CAPITAL INVERTIDO ESTE MES]]))</f>
        <v>-5938.8000000000029</v>
      </c>
      <c r="I30" s="9">
        <f>(Tabla8[[#This Row],[CAPITAL A FIN DE MES]]-Tabla8[[#This Row],[CAPITAL A INICIO DE MES]])/Tabla8[[#This Row],[CAPITAL A INICIO DE MES]]</f>
        <v>0.49659433603848424</v>
      </c>
    </row>
    <row r="31" spans="2:9">
      <c r="B31" t="s">
        <v>112</v>
      </c>
      <c r="C31" t="s">
        <v>101</v>
      </c>
      <c r="D31" t="s">
        <v>93</v>
      </c>
      <c r="E31" s="7">
        <v>44138.1</v>
      </c>
      <c r="F31" s="29">
        <v>6000</v>
      </c>
      <c r="G31" s="7"/>
      <c r="H31" s="7">
        <f>(Tabla8[[#This Row],[CAPITAL A FIN DE MES]]-(Tabla8[[#This Row],[CAPITAL A INICIO DE MES]]+Tabla8[[#This Row],[CAPITAL INVERTIDO ESTE MES]]))</f>
        <v>-50138.1</v>
      </c>
      <c r="I31" s="9">
        <f>(Tabla8[[#This Row],[CAPITAL A FIN DE MES]]-Tabla8[[#This Row],[CAPITAL A INICIO DE MES]])/Tabla8[[#This Row],[CAPITAL A INICIO DE MES]]</f>
        <v>-1</v>
      </c>
    </row>
    <row r="32" spans="2:9">
      <c r="B32" t="s">
        <v>112</v>
      </c>
      <c r="C32" t="s">
        <v>101</v>
      </c>
      <c r="D32" t="s">
        <v>96</v>
      </c>
      <c r="E32" s="7">
        <v>19138.02</v>
      </c>
      <c r="F32" s="29">
        <v>6000</v>
      </c>
      <c r="G32" s="7"/>
      <c r="H32" s="7">
        <f>(Tabla8[[#This Row],[CAPITAL A FIN DE MES]]-(Tabla8[[#This Row],[CAPITAL A INICIO DE MES]]+Tabla8[[#This Row],[CAPITAL INVERTIDO ESTE MES]]))</f>
        <v>-25138.02</v>
      </c>
      <c r="I32" s="9">
        <f>(Tabla8[[#This Row],[CAPITAL A FIN DE MES]]-Tabla8[[#This Row],[CAPITAL A INICIO DE MES]])/Tabla8[[#This Row],[CAPITAL A INICIO DE MES]]</f>
        <v>-1</v>
      </c>
    </row>
    <row r="33" spans="2:9">
      <c r="B33" t="s">
        <v>112</v>
      </c>
      <c r="C33" t="s">
        <v>53</v>
      </c>
      <c r="D33" t="s">
        <v>14</v>
      </c>
      <c r="E33" s="7">
        <v>19782.494933349997</v>
      </c>
      <c r="F33" s="29">
        <v>2800</v>
      </c>
      <c r="G33" s="7"/>
      <c r="H33" s="7">
        <f>(Tabla8[[#This Row],[CAPITAL A FIN DE MES]]-(Tabla8[[#This Row],[CAPITAL A INICIO DE MES]]+Tabla8[[#This Row],[CAPITAL INVERTIDO ESTE MES]]))</f>
        <v>-22582.494933349997</v>
      </c>
      <c r="I33" s="9">
        <f>(Tabla8[[#This Row],[CAPITAL A FIN DE MES]]-Tabla8[[#This Row],[CAPITAL A INICIO DE MES]])/Tabla8[[#This Row],[CAPITAL A INICIO DE MES]]</f>
        <v>-1</v>
      </c>
    </row>
    <row r="34" spans="2:9">
      <c r="B34" t="s">
        <v>112</v>
      </c>
      <c r="C34" t="s">
        <v>53</v>
      </c>
      <c r="D34" t="s">
        <v>15</v>
      </c>
      <c r="E34" s="7">
        <v>14770.53</v>
      </c>
      <c r="F34" s="29">
        <v>2800</v>
      </c>
      <c r="G34" s="7"/>
      <c r="H34" s="7">
        <f>(Tabla8[[#This Row],[CAPITAL A FIN DE MES]]-(Tabla8[[#This Row],[CAPITAL A INICIO DE MES]]+Tabla8[[#This Row],[CAPITAL INVERTIDO ESTE MES]]))</f>
        <v>-17570.53</v>
      </c>
      <c r="I34" s="9">
        <f>(Tabla8[[#This Row],[CAPITAL A FIN DE MES]]-Tabla8[[#This Row],[CAPITAL A INICIO DE MES]])/Tabla8[[#This Row],[CAPITAL A INICIO DE MES]]</f>
        <v>-1</v>
      </c>
    </row>
    <row r="35" spans="2:9">
      <c r="B35" t="s">
        <v>112</v>
      </c>
      <c r="C35" t="s">
        <v>53</v>
      </c>
      <c r="D35" t="s">
        <v>41</v>
      </c>
      <c r="E35" s="7">
        <v>6757.24</v>
      </c>
      <c r="F35" s="29">
        <v>1400</v>
      </c>
      <c r="G35" s="7"/>
      <c r="H35" s="7">
        <f>(Tabla8[[#This Row],[CAPITAL A FIN DE MES]]-(Tabla8[[#This Row],[CAPITAL A INICIO DE MES]]+Tabla8[[#This Row],[CAPITAL INVERTIDO ESTE MES]]))</f>
        <v>-8157.24</v>
      </c>
      <c r="I35" s="9">
        <f>(Tabla8[[#This Row],[CAPITAL A FIN DE MES]]-Tabla8[[#This Row],[CAPITAL A INICIO DE MES]])/Tabla8[[#This Row],[CAPITAL A INICIO DE MES]]</f>
        <v>-1</v>
      </c>
    </row>
    <row r="36" spans="2:9">
      <c r="B36" t="s">
        <v>112</v>
      </c>
      <c r="C36" t="s">
        <v>53</v>
      </c>
      <c r="D36" t="s">
        <v>63</v>
      </c>
      <c r="E36" s="7">
        <v>11513.11</v>
      </c>
      <c r="F36" s="29">
        <v>2800</v>
      </c>
      <c r="G36" s="7"/>
      <c r="H36" s="7">
        <f>(Tabla8[[#This Row],[CAPITAL A FIN DE MES]]-(Tabla8[[#This Row],[CAPITAL A INICIO DE MES]]+Tabla8[[#This Row],[CAPITAL INVERTIDO ESTE MES]]))</f>
        <v>-14313.11</v>
      </c>
      <c r="I36" s="9">
        <f>(Tabla8[[#This Row],[CAPITAL A FIN DE MES]]-Tabla8[[#This Row],[CAPITAL A INICIO DE MES]])/Tabla8[[#This Row],[CAPITAL A INICIO DE MES]]</f>
        <v>-1</v>
      </c>
    </row>
    <row r="37" spans="2:9">
      <c r="B37" t="s">
        <v>112</v>
      </c>
      <c r="C37" t="s">
        <v>103</v>
      </c>
      <c r="D37" t="s">
        <v>13</v>
      </c>
      <c r="E37" s="7">
        <v>99977.62</v>
      </c>
      <c r="F37" s="29"/>
      <c r="G37" s="7"/>
      <c r="H37" s="7">
        <f>(Tabla8[[#This Row],[CAPITAL A FIN DE MES]]-(Tabla8[[#This Row],[CAPITAL A INICIO DE MES]]+Tabla8[[#This Row],[CAPITAL INVERTIDO ESTE MES]]))</f>
        <v>-99977.62</v>
      </c>
      <c r="I37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16" priority="3" operator="lessThan">
      <formula>0</formula>
    </cfRule>
    <cfRule type="cellIs" dxfId="115" priority="4" operator="lessThan">
      <formula>0</formula>
    </cfRule>
  </conditionalFormatting>
  <conditionalFormatting sqref="M3:X3">
    <cfRule type="cellIs" dxfId="114" priority="2" operator="lessThan">
      <formula>0</formula>
    </cfRule>
  </conditionalFormatting>
  <conditionalFormatting sqref="M3:Y3">
    <cfRule type="cellIs" dxfId="113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D1" workbookViewId="0">
      <selection activeCell="I14" sqref="I1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>
        <v>442.1</v>
      </c>
      <c r="G13" s="27">
        <f>(F13/(D13+E13))</f>
        <v>1.0117630904430613E-2</v>
      </c>
      <c r="H13" s="2"/>
      <c r="I13" s="2">
        <f>D13+E13+F13-H13</f>
        <v>44138.1</v>
      </c>
      <c r="J13" s="27">
        <f>((I13-(D13+E13))/(D13+E13))</f>
        <v>1.0117630904430578E-2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>
        <v>197.61</v>
      </c>
      <c r="G14" s="27">
        <f>(F14/(D14+E14))</f>
        <v>1.0433248277096432E-2</v>
      </c>
      <c r="H14" s="2"/>
      <c r="I14" s="2">
        <f>D14+E14+F14-H14</f>
        <v>19138.02</v>
      </c>
      <c r="J14" s="27">
        <f>((I14-(D14+E14))/(D14+E14))</f>
        <v>1.0433248277096461E-2</v>
      </c>
    </row>
    <row r="15" spans="2:10">
      <c r="B15" t="s">
        <v>112</v>
      </c>
      <c r="C15" t="s">
        <v>93</v>
      </c>
      <c r="D15" s="2">
        <v>44138.1</v>
      </c>
      <c r="E15" s="2">
        <v>6000</v>
      </c>
      <c r="F15" s="2"/>
      <c r="G15" s="27">
        <f>(F15/(D15+E15))</f>
        <v>0</v>
      </c>
      <c r="H15" s="2"/>
      <c r="I15" s="2">
        <f>D15+E15+F15-H15</f>
        <v>50138.1</v>
      </c>
      <c r="J15" s="27">
        <f>((I15-(D15+E15))/(D15+E15))</f>
        <v>0</v>
      </c>
    </row>
    <row r="16" spans="2:10">
      <c r="B16" t="s">
        <v>112</v>
      </c>
      <c r="C16" t="s">
        <v>96</v>
      </c>
      <c r="D16" s="2">
        <v>19138.02</v>
      </c>
      <c r="E16" s="2">
        <v>6000</v>
      </c>
      <c r="F16" s="2"/>
      <c r="G16" s="27">
        <f>(F16/(D16+E16))</f>
        <v>0</v>
      </c>
      <c r="H16" s="2"/>
      <c r="I16" s="2">
        <f>D16+E16+F16-H16</f>
        <v>25138.02</v>
      </c>
      <c r="J16" s="27">
        <f>((I16-(D16+E16))/(D16+E16))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3"/>
  <sheetViews>
    <sheetView topLeftCell="A172" zoomScaleNormal="100" workbookViewId="0">
      <selection activeCell="F193" sqref="F193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  <row r="193" spans="2:7">
      <c r="B193" s="1">
        <v>45597</v>
      </c>
      <c r="C193" s="3">
        <v>4418.63</v>
      </c>
      <c r="D193" s="3">
        <v>69923.17</v>
      </c>
      <c r="E193" s="3">
        <v>1.61</v>
      </c>
      <c r="F193" s="3">
        <v>2517.8000000000002</v>
      </c>
      <c r="G193" s="3">
        <v>4293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1"/>
  <sheetViews>
    <sheetView topLeftCell="G1" workbookViewId="0">
      <selection activeCell="Q73" sqref="Q73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45597</v>
      </c>
      <c r="C3" s="2">
        <f ca="1">VLOOKUP(B3,Tabla4[],2,FALSE)</f>
        <v>4418.63</v>
      </c>
      <c r="D3" s="3">
        <f ca="1">VLOOKUP(B3,Tabla4[],3,FALSE)</f>
        <v>69923.17</v>
      </c>
      <c r="E3" s="2">
        <f ca="1">VLOOKUP(B3,Tabla4[],5,FALSE)</f>
        <v>2517.8000000000002</v>
      </c>
      <c r="F3" s="2">
        <f ca="1">VLOOKUP(B3,Tabla4[],4,FALSE)</f>
        <v>1.61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778.590833975892</v>
      </c>
      <c r="N3" s="32">
        <f t="shared" ref="N3:N21" ca="1" si="1">IF(G3 = "BTC", (D3 - J3) / J3,
 IF(G3 = "ETH", (E3 - J3) / J3,
 IF(G3 = "IO.NET", (F3 - J3) / J3,
 "Moneda no soportada")))</f>
        <v>-1.4430913216908422E-2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778.590833975892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-1.4430913216908422E-2</v>
      </c>
      <c r="Y3" s="2" t="str">
        <f>IF(U3=0,"VENDIDA","ACTIVA")</f>
        <v>ACTIVA</v>
      </c>
    </row>
    <row r="4" spans="2:26">
      <c r="B4" s="1">
        <f t="shared" ca="1" si="0"/>
        <v>45597</v>
      </c>
      <c r="C4" s="2">
        <f ca="1">VLOOKUP(B4,Tabla4[],2,FALSE)</f>
        <v>4418.63</v>
      </c>
      <c r="D4" s="3">
        <f ca="1">VLOOKUP(B4,Tabla4[],3,FALSE)</f>
        <v>69923.17</v>
      </c>
      <c r="E4" s="2">
        <f ca="1">VLOOKUP(B4,Tabla4[],5,FALSE)</f>
        <v>2517.8000000000002</v>
      </c>
      <c r="F4" s="2">
        <f ca="1">VLOOKUP(B4,Tabla4[],4,FALSE)</f>
        <v>1.61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525.11069618080012</v>
      </c>
      <c r="N4" s="32">
        <f t="shared" ca="1" si="1"/>
        <v>-0.33764938928948174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525.11069618080012</v>
      </c>
      <c r="W4" s="2">
        <f t="shared" si="3"/>
        <v>-705.39693250799996</v>
      </c>
      <c r="X4" s="9">
        <f t="shared" ca="1" si="4"/>
        <v>-0.33764938928948174</v>
      </c>
      <c r="Y4" s="2" t="str">
        <f t="shared" ref="Y4:Y24" si="7">IF(U4=0,"VENDIDA","ACTIVA")</f>
        <v>ACTIVA</v>
      </c>
    </row>
    <row r="5" spans="2:26">
      <c r="B5" s="1">
        <f t="shared" ca="1" si="0"/>
        <v>45597</v>
      </c>
      <c r="C5" s="2">
        <f ca="1">VLOOKUP(B5,Tabla4[],2,FALSE)</f>
        <v>4418.63</v>
      </c>
      <c r="D5" s="3">
        <f ca="1">VLOOKUP(B5,Tabla4[],3,FALSE)</f>
        <v>69923.17</v>
      </c>
      <c r="E5" s="2">
        <f ca="1">VLOOKUP(B5,Tabla4[],5,FALSE)</f>
        <v>2517.8000000000002</v>
      </c>
      <c r="F5" s="2">
        <f ca="1">VLOOKUP(B5,Tabla4[],4,FALSE)</f>
        <v>1.61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794.03906480874696</v>
      </c>
      <c r="N5" s="32">
        <f t="shared" ca="1" si="1"/>
        <v>9.3419077313932428E-3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794.03906480874696</v>
      </c>
      <c r="W5" s="2">
        <f t="shared" si="3"/>
        <v>-711.38458935120002</v>
      </c>
      <c r="X5" s="9">
        <f t="shared" ca="1" si="4"/>
        <v>9.3419077313932428E-3</v>
      </c>
      <c r="Y5" s="2" t="str">
        <f t="shared" si="7"/>
        <v>ACTIVA</v>
      </c>
    </row>
    <row r="6" spans="2:26">
      <c r="B6" s="1">
        <f t="shared" ca="1" si="0"/>
        <v>45597</v>
      </c>
      <c r="C6" s="2">
        <f ca="1">VLOOKUP(B6,Tabla4[],2,FALSE)</f>
        <v>4418.63</v>
      </c>
      <c r="D6" s="3">
        <f ca="1">VLOOKUP(B6,Tabla4[],3,FALSE)</f>
        <v>69923.17</v>
      </c>
      <c r="E6" s="2">
        <f ca="1">VLOOKUP(B6,Tabla4[],5,FALSE)</f>
        <v>2517.8000000000002</v>
      </c>
      <c r="F6" s="2">
        <f ca="1">VLOOKUP(B6,Tabla4[],4,FALSE)</f>
        <v>1.61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541.46477930338006</v>
      </c>
      <c r="N6" s="32">
        <f t="shared" ca="1" si="1"/>
        <v>-0.3138911294717795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541.46477930338006</v>
      </c>
      <c r="W6" s="2">
        <f t="shared" si="3"/>
        <v>-713.63816396689595</v>
      </c>
      <c r="X6" s="9">
        <f t="shared" ca="1" si="4"/>
        <v>-0.3138911294717795</v>
      </c>
      <c r="Y6" s="2" t="str">
        <f t="shared" si="7"/>
        <v>ACTIVA</v>
      </c>
    </row>
    <row r="7" spans="2:26">
      <c r="B7" s="1">
        <f t="shared" ca="1" si="0"/>
        <v>45597</v>
      </c>
      <c r="C7" s="2">
        <f ca="1">VLOOKUP(B7,Tabla4[],2,FALSE)</f>
        <v>4418.63</v>
      </c>
      <c r="D7" s="3">
        <f ca="1">VLOOKUP(B7,Tabla4[],3,FALSE)</f>
        <v>69923.17</v>
      </c>
      <c r="E7" s="2">
        <f ca="1">VLOOKUP(B7,Tabla4[],5,FALSE)</f>
        <v>2517.8000000000002</v>
      </c>
      <c r="F7" s="2">
        <f ca="1">VLOOKUP(B7,Tabla4[],4,FALSE)</f>
        <v>1.61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812.57694180817293</v>
      </c>
      <c r="N7" s="32">
        <f t="shared" ca="1" si="1"/>
        <v>5.1952387471622563E-2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812.57694180817293</v>
      </c>
      <c r="W7" s="2">
        <f t="shared" si="3"/>
        <v>-721.88976178291</v>
      </c>
      <c r="X7" s="9">
        <f t="shared" ca="1" si="4"/>
        <v>5.1952387471622563E-2</v>
      </c>
      <c r="Y7" s="2" t="str">
        <f t="shared" si="7"/>
        <v>ACTIVA</v>
      </c>
    </row>
    <row r="8" spans="2:26">
      <c r="B8" s="1">
        <f t="shared" ca="1" si="0"/>
        <v>45597</v>
      </c>
      <c r="C8" s="2">
        <f ca="1">VLOOKUP(B8,Tabla4[],2,FALSE)</f>
        <v>4418.63</v>
      </c>
      <c r="D8" s="3">
        <f ca="1">VLOOKUP(B8,Tabla4[],3,FALSE)</f>
        <v>69923.17</v>
      </c>
      <c r="E8" s="2">
        <f ca="1">VLOOKUP(B8,Tabla4[],5,FALSE)</f>
        <v>2517.8000000000002</v>
      </c>
      <c r="F8" s="2">
        <f ca="1">VLOOKUP(B8,Tabla4[],4,FALSE)</f>
        <v>1.61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275.38819712861101</v>
      </c>
      <c r="N8" s="32">
        <f t="shared" ca="1" si="1"/>
        <v>-0.61938534278959811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275.38819712861101</v>
      </c>
      <c r="W8" s="2">
        <f t="shared" si="3"/>
        <v>-676.17994528545319</v>
      </c>
      <c r="X8" s="9">
        <f t="shared" ca="1" si="4"/>
        <v>-0.61938534278959811</v>
      </c>
      <c r="Y8" s="2" t="str">
        <f t="shared" si="7"/>
        <v>ACTIVA</v>
      </c>
    </row>
    <row r="9" spans="2:26">
      <c r="B9" s="1">
        <f t="shared" ca="1" si="0"/>
        <v>45597</v>
      </c>
      <c r="C9" s="2">
        <f ca="1">VLOOKUP(B9,Tabla4[],2,FALSE)</f>
        <v>4418.63</v>
      </c>
      <c r="D9" s="3">
        <f ca="1">VLOOKUP(B9,Tabla4[],3,FALSE)</f>
        <v>69923.17</v>
      </c>
      <c r="E9" s="2">
        <f ca="1">VLOOKUP(B9,Tabla4[],5,FALSE)</f>
        <v>2517.8000000000002</v>
      </c>
      <c r="F9" s="2">
        <f ca="1">VLOOKUP(B9,Tabla4[],4,FALSE)</f>
        <v>1.61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547.36114940880009</v>
      </c>
      <c r="N9" s="32">
        <f t="shared" ca="1" si="1"/>
        <v>-0.28181665188160154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547.36114940880009</v>
      </c>
      <c r="W9" s="2">
        <f t="shared" si="3"/>
        <v>-712.26418846524007</v>
      </c>
      <c r="X9" s="9">
        <f t="shared" ca="1" si="4"/>
        <v>-0.28181665188160154</v>
      </c>
      <c r="Y9" s="2" t="str">
        <f t="shared" si="7"/>
        <v>ACTIVA</v>
      </c>
    </row>
    <row r="10" spans="2:26">
      <c r="B10" s="1">
        <f t="shared" ca="1" si="0"/>
        <v>45597</v>
      </c>
      <c r="C10" s="2">
        <f ca="1">VLOOKUP(B10,Tabla4[],2,FALSE)</f>
        <v>4418.63</v>
      </c>
      <c r="D10" s="3">
        <f ca="1">VLOOKUP(B10,Tabla4[],3,FALSE)</f>
        <v>69923.17</v>
      </c>
      <c r="E10" s="2">
        <f ca="1">VLOOKUP(B10,Tabla4[],5,FALSE)</f>
        <v>2517.8000000000002</v>
      </c>
      <c r="F10" s="2">
        <f ca="1">VLOOKUP(B10,Tabla4[],4,FALSE)</f>
        <v>1.61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840.38375730731195</v>
      </c>
      <c r="N10" s="32">
        <f t="shared" ca="1" si="1"/>
        <v>0.1380502008424315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840.38375730731195</v>
      </c>
      <c r="W10" s="2">
        <f t="shared" si="3"/>
        <v>-692.62576284671991</v>
      </c>
      <c r="X10" s="9">
        <f t="shared" ca="1" si="4"/>
        <v>0.1380502008424315</v>
      </c>
      <c r="Y10" s="2" t="str">
        <f t="shared" si="7"/>
        <v>ACTIVA</v>
      </c>
    </row>
    <row r="11" spans="2:26">
      <c r="B11" s="1">
        <f t="shared" ca="1" si="0"/>
        <v>45597</v>
      </c>
      <c r="C11" s="2">
        <f ca="1">VLOOKUP(B11,Tabla4[],2,FALSE)</f>
        <v>4418.63</v>
      </c>
      <c r="D11" s="3">
        <f ca="1">VLOOKUP(B11,Tabla4[],3,FALSE)</f>
        <v>69923.17</v>
      </c>
      <c r="E11" s="2">
        <f ca="1">VLOOKUP(B11,Tabla4[],5,FALSE)</f>
        <v>2517.8000000000002</v>
      </c>
      <c r="F11" s="2">
        <f ca="1">VLOOKUP(B11,Tabla4[],4,FALSE)</f>
        <v>1.61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837.29411114074105</v>
      </c>
      <c r="N11" s="32">
        <f t="shared" ca="1" si="1"/>
        <v>0.14678154736327639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837.29411114074105</v>
      </c>
      <c r="W11" s="2">
        <f t="shared" si="3"/>
        <v>-682.28056593911992</v>
      </c>
      <c r="X11" s="9">
        <f t="shared" ca="1" si="4"/>
        <v>0.14678154736327639</v>
      </c>
      <c r="Y11" s="2" t="str">
        <f t="shared" si="7"/>
        <v>ACTIVA</v>
      </c>
    </row>
    <row r="12" spans="2:26">
      <c r="B12" s="1">
        <f t="shared" ca="1" si="0"/>
        <v>45597</v>
      </c>
      <c r="C12" s="2">
        <f ca="1">VLOOKUP(B12,Tabla4[],2,FALSE)</f>
        <v>4418.63</v>
      </c>
      <c r="D12" s="3">
        <f ca="1">VLOOKUP(B12,Tabla4[],3,FALSE)</f>
        <v>69923.17</v>
      </c>
      <c r="E12" s="2">
        <f ca="1">VLOOKUP(B12,Tabla4[],5,FALSE)</f>
        <v>2517.8000000000002</v>
      </c>
      <c r="F12" s="2">
        <f ca="1">VLOOKUP(B12,Tabla4[],4,FALSE)</f>
        <v>1.61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936.16278847101296</v>
      </c>
      <c r="N12" s="32">
        <f t="shared" ca="1" si="1"/>
        <v>0.22469401552516527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936.16278847101296</v>
      </c>
      <c r="W12" s="2">
        <f t="shared" si="3"/>
        <v>-705.59026591680004</v>
      </c>
      <c r="X12" s="9">
        <f t="shared" ca="1" si="4"/>
        <v>0.22469401552516527</v>
      </c>
      <c r="Y12" s="2" t="str">
        <f t="shared" si="7"/>
        <v>ACTIVA</v>
      </c>
    </row>
    <row r="13" spans="2:26">
      <c r="B13" s="1">
        <f t="shared" ca="1" si="0"/>
        <v>45597</v>
      </c>
      <c r="C13" s="2">
        <f ca="1">VLOOKUP(B13,Tabla4[],2,FALSE)</f>
        <v>4418.63</v>
      </c>
      <c r="D13" s="3">
        <f ca="1">VLOOKUP(B13,Tabla4[],3,FALSE)</f>
        <v>69923.17</v>
      </c>
      <c r="E13" s="2">
        <f ca="1">VLOOKUP(B13,Tabla4[],5,FALSE)</f>
        <v>2517.8000000000002</v>
      </c>
      <c r="F13" s="2">
        <f ca="1">VLOOKUP(B13,Tabla4[],4,FALSE)</f>
        <v>1.61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868.19057280645109</v>
      </c>
      <c r="N13" s="32">
        <f t="shared" ca="1" si="1"/>
        <v>0.11059849205605467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868.19057280645109</v>
      </c>
      <c r="W13" s="2">
        <f t="shared" si="3"/>
        <v>-706.44677732571006</v>
      </c>
      <c r="X13" s="9">
        <f t="shared" ca="1" si="4"/>
        <v>0.11059849205605467</v>
      </c>
      <c r="Y13" s="2" t="str">
        <f t="shared" si="7"/>
        <v>ACTIVA</v>
      </c>
    </row>
    <row r="14" spans="2:26">
      <c r="B14" s="1">
        <f t="shared" ca="1" si="0"/>
        <v>45597</v>
      </c>
      <c r="C14" s="2">
        <f ca="1">VLOOKUP(B14,Tabla4[],2,FALSE)</f>
        <v>4418.63</v>
      </c>
      <c r="D14" s="3">
        <f ca="1">VLOOKUP(B14,Tabla4[],3,FALSE)</f>
        <v>69923.17</v>
      </c>
      <c r="E14" s="2">
        <f ca="1">VLOOKUP(B14,Tabla4[],5,FALSE)</f>
        <v>2517.8000000000002</v>
      </c>
      <c r="F14" s="2">
        <f ca="1">VLOOKUP(B14,Tabla4[],4,FALSE)</f>
        <v>1.61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563.04771893454006</v>
      </c>
      <c r="N14" s="32">
        <f t="shared" ca="1" si="1"/>
        <v>-0.25460579487893037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563.04771893454006</v>
      </c>
      <c r="W14" s="2">
        <f t="shared" si="3"/>
        <v>-708.50285169316794</v>
      </c>
      <c r="X14" s="9">
        <f t="shared" ca="1" si="4"/>
        <v>-0.25460579487893037</v>
      </c>
      <c r="Y14" s="2" t="str">
        <f t="shared" si="7"/>
        <v>ACTIVA</v>
      </c>
    </row>
    <row r="15" spans="2:26">
      <c r="B15" s="1">
        <f t="shared" ca="1" si="0"/>
        <v>45597</v>
      </c>
      <c r="C15" s="2">
        <f ca="1">VLOOKUP(B15,Tabla4[],2,FALSE)</f>
        <v>4418.63</v>
      </c>
      <c r="D15" s="3">
        <f ca="1">VLOOKUP(B15,Tabla4[],3,FALSE)</f>
        <v>69923.17</v>
      </c>
      <c r="E15" s="2">
        <f ca="1">VLOOKUP(B15,Tabla4[],5,FALSE)</f>
        <v>2517.8000000000002</v>
      </c>
      <c r="F15" s="2">
        <f ca="1">VLOOKUP(B15,Tabla4[],4,FALSE)</f>
        <v>1.61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548.91868113476005</v>
      </c>
      <c r="N15" s="32">
        <f t="shared" ca="1" si="1"/>
        <v>-0.25043837060103658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548.91868113476005</v>
      </c>
      <c r="W15" s="2">
        <f t="shared" si="3"/>
        <v>-684.33117524901604</v>
      </c>
      <c r="X15" s="9">
        <f t="shared" ca="1" si="4"/>
        <v>-0.25043837060103658</v>
      </c>
      <c r="Y15" s="2" t="str">
        <f t="shared" si="7"/>
        <v>ACTIVA</v>
      </c>
    </row>
    <row r="16" spans="2:26">
      <c r="B16" s="1">
        <f t="shared" ca="1" si="0"/>
        <v>45597</v>
      </c>
      <c r="C16" s="2">
        <f ca="1">VLOOKUP(B16,Tabla4[],2,FALSE)</f>
        <v>4418.63</v>
      </c>
      <c r="D16" s="3">
        <f ca="1">VLOOKUP(B16,Tabla4[],3,FALSE)</f>
        <v>69923.17</v>
      </c>
      <c r="E16" s="2">
        <f ca="1">VLOOKUP(B16,Tabla4[],5,FALSE)</f>
        <v>2517.8000000000002</v>
      </c>
      <c r="F16" s="2">
        <f ca="1">VLOOKUP(B16,Tabla4[],4,FALSE)</f>
        <v>1.61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632.35788073976005</v>
      </c>
      <c r="N16" s="32">
        <f t="shared" ca="1" si="1"/>
        <v>-0.17584288052373154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632.35788073976005</v>
      </c>
      <c r="W16" s="2">
        <f t="shared" si="3"/>
        <v>-708.24207363000005</v>
      </c>
      <c r="X16" s="9">
        <f t="shared" ca="1" si="4"/>
        <v>-0.17584288052373154</v>
      </c>
      <c r="Y16" s="2" t="str">
        <f t="shared" si="7"/>
        <v>ACTIVA</v>
      </c>
    </row>
    <row r="17" spans="2:25">
      <c r="B17" s="1">
        <f t="shared" ca="1" si="0"/>
        <v>45597</v>
      </c>
      <c r="C17" s="2">
        <f ca="1">VLOOKUP(B17,Tabla4[],2,FALSE)</f>
        <v>4418.63</v>
      </c>
      <c r="D17" s="3">
        <f ca="1">VLOOKUP(B17,Tabla4[],3,FALSE)</f>
        <v>69923.17</v>
      </c>
      <c r="E17" s="2">
        <f ca="1">VLOOKUP(B17,Tabla4[],5,FALSE)</f>
        <v>2517.8000000000002</v>
      </c>
      <c r="F17" s="2">
        <f ca="1">VLOOKUP(B17,Tabla4[],4,FALSE)</f>
        <v>1.61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585.18691989640013</v>
      </c>
      <c r="N17" s="32">
        <f t="shared" ca="1" si="1"/>
        <v>-0.27191232179520541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585.18691989640013</v>
      </c>
      <c r="W17" s="2">
        <f t="shared" si="3"/>
        <v>-726.32733822540001</v>
      </c>
      <c r="X17" s="9">
        <f t="shared" ca="1" si="4"/>
        <v>-0.27191232179520541</v>
      </c>
      <c r="Y17" s="2" t="str">
        <f t="shared" si="7"/>
        <v>ACTIVA</v>
      </c>
    </row>
    <row r="18" spans="2:25">
      <c r="B18" s="1">
        <f t="shared" ca="1" si="0"/>
        <v>45597</v>
      </c>
      <c r="C18" s="2">
        <f ca="1">VLOOKUP(B18,Tabla4[],2,FALSE)</f>
        <v>4418.63</v>
      </c>
      <c r="D18" s="3">
        <f ca="1">VLOOKUP(B18,Tabla4[],3,FALSE)</f>
        <v>69923.17</v>
      </c>
      <c r="E18" s="2">
        <f ca="1">VLOOKUP(B18,Tabla4[],5,FALSE)</f>
        <v>2517.8000000000002</v>
      </c>
      <c r="F18" s="2">
        <f ca="1">VLOOKUP(B18,Tabla4[],4,FALSE)</f>
        <v>1.61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375.09253460174301</v>
      </c>
      <c r="N18" s="32">
        <f t="shared" ca="1" si="1"/>
        <v>-0.52647058823529402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375.09253460174301</v>
      </c>
      <c r="W18" s="2">
        <f t="shared" si="3"/>
        <v>-742.97443934431988</v>
      </c>
      <c r="X18" s="9">
        <f t="shared" ca="1" si="4"/>
        <v>-0.52647058823529402</v>
      </c>
      <c r="Y18" s="2" t="str">
        <f t="shared" si="7"/>
        <v>ACTIVA</v>
      </c>
    </row>
    <row r="19" spans="2:25">
      <c r="B19" s="1">
        <f t="shared" ca="1" si="0"/>
        <v>45597</v>
      </c>
      <c r="C19" s="2">
        <f ca="1">VLOOKUP(B19,Tabla4[],2,FALSE)</f>
        <v>4418.63</v>
      </c>
      <c r="D19" s="3">
        <f ca="1">VLOOKUP(B19,Tabla4[],3,FALSE)</f>
        <v>69923.17</v>
      </c>
      <c r="E19" s="2">
        <f ca="1">VLOOKUP(B19,Tabla4[],5,FALSE)</f>
        <v>2517.8000000000002</v>
      </c>
      <c r="F19" s="2">
        <f ca="1">VLOOKUP(B19,Tabla4[],4,FALSE)</f>
        <v>1.61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195.54691428045203</v>
      </c>
      <c r="N19" s="32">
        <f t="shared" ca="1" si="1"/>
        <v>-0.43109540636042398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195.54691428045203</v>
      </c>
      <c r="W19" s="2">
        <f t="shared" si="3"/>
        <v>-321.201220736496</v>
      </c>
      <c r="X19" s="9">
        <f t="shared" ca="1" si="4"/>
        <v>-0.43109540636042398</v>
      </c>
      <c r="Y19" s="2" t="str">
        <f t="shared" si="7"/>
        <v>ACTIVA</v>
      </c>
    </row>
    <row r="20" spans="2:25" hidden="1">
      <c r="B20" s="1">
        <f t="shared" ca="1" si="0"/>
        <v>45597</v>
      </c>
      <c r="C20" s="2">
        <f ca="1">VLOOKUP(B20,Tabla4[],2,FALSE)</f>
        <v>4418.63</v>
      </c>
      <c r="D20" s="3">
        <f ca="1">VLOOKUP(B20,Tabla4[],3,FALSE)</f>
        <v>69923.17</v>
      </c>
      <c r="E20" s="2">
        <f ca="1">VLOOKUP(B20,Tabla4[],5,FALSE)</f>
        <v>2517.8000000000002</v>
      </c>
      <c r="F20" s="2">
        <f ca="1">VLOOKUP(B20,Tabla4[],4,FALSE)</f>
        <v>1.61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274.871080882944</v>
      </c>
      <c r="N20" s="12">
        <f t="shared" ca="1" si="1"/>
        <v>-0.29694323144104801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-0.29694323144104801</v>
      </c>
      <c r="Y20" s="2" t="str">
        <f t="shared" si="7"/>
        <v>VENDIDA</v>
      </c>
    </row>
    <row r="21" spans="2:25" hidden="1">
      <c r="B21" s="1">
        <f t="shared" ca="1" si="0"/>
        <v>45597</v>
      </c>
      <c r="C21" s="2">
        <f ca="1">VLOOKUP(B21,Tabla4[],2,FALSE)</f>
        <v>4418.63</v>
      </c>
      <c r="D21" s="3">
        <f ca="1">VLOOKUP(B21,Tabla4[],3,FALSE)</f>
        <v>69923.17</v>
      </c>
      <c r="E21" s="2">
        <f ca="1">VLOOKUP(B21,Tabla4[],5,FALSE)</f>
        <v>2517.8000000000002</v>
      </c>
      <c r="F21" s="2">
        <f ca="1">VLOOKUP(B21,Tabla4[],4,FALSE)</f>
        <v>1.61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264.07075701656998</v>
      </c>
      <c r="N21" s="12">
        <f t="shared" ca="1" si="1"/>
        <v>-0.38549618320610685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-0.38549618320610685</v>
      </c>
      <c r="Y21" s="2" t="str">
        <f t="shared" si="7"/>
        <v>VENDIDA</v>
      </c>
    </row>
    <row r="22" spans="2:25">
      <c r="B22" s="1">
        <f t="shared" ref="B22:B29" ca="1" si="9">TODAY()</f>
        <v>45597</v>
      </c>
      <c r="C22" s="2">
        <f ca="1">VLOOKUP(B22,Tabla4[],2,FALSE)</f>
        <v>4418.63</v>
      </c>
      <c r="D22" s="3">
        <f ca="1">VLOOKUP(B22,Tabla4[],3,FALSE)</f>
        <v>69923.17</v>
      </c>
      <c r="E22" s="2">
        <f ca="1">VLOOKUP(B22,Tabla4[],5,FALSE)</f>
        <v>2517.8000000000002</v>
      </c>
      <c r="F22" s="2">
        <f ca="1">VLOOKUP(B22,Tabla4[],4,FALSE)</f>
        <v>1.61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270.796682927505</v>
      </c>
      <c r="N22" s="32">
        <f t="shared" ref="N22:N29" ca="1" si="11">IF(G22 = "BTC", (D22 - J22) / J22,
 IF(G22 = "ETH", (E22 - J22) / J22,
 IF(G22 = "IO.NET", (F22 - J22) / J22,
 "Moneda no soportada")))</f>
        <v>-0.4014869888475836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0.46489952750499108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-0.4014869888475836</v>
      </c>
      <c r="Y22" s="2" t="str">
        <f t="shared" si="7"/>
        <v>ACTIVA</v>
      </c>
    </row>
    <row r="23" spans="2:25">
      <c r="B23" s="1">
        <f t="shared" ca="1" si="9"/>
        <v>45597</v>
      </c>
      <c r="C23" s="2">
        <f ca="1">VLOOKUP(B23,Tabla4[],2,FALSE)</f>
        <v>4418.63</v>
      </c>
      <c r="D23" s="3">
        <f ca="1">VLOOKUP(B23,Tabla4[],3,FALSE)</f>
        <v>69923.17</v>
      </c>
      <c r="E23" s="2">
        <f ca="1">VLOOKUP(B23,Tabla4[],5,FALSE)</f>
        <v>2517.8000000000002</v>
      </c>
      <c r="F23" s="2">
        <f ca="1">VLOOKUP(B23,Tabla4[],4,FALSE)</f>
        <v>1.61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272.65144352140101</v>
      </c>
      <c r="N23" s="32">
        <f t="shared" ca="1" si="11"/>
        <v>-0.40808823529411764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2.3196601214009842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-0.40808823529411764</v>
      </c>
      <c r="Y23" s="2" t="str">
        <f t="shared" si="7"/>
        <v>ACTIVA</v>
      </c>
    </row>
    <row r="24" spans="2:25">
      <c r="B24" s="1">
        <f t="shared" ca="1" si="9"/>
        <v>45597</v>
      </c>
      <c r="C24" s="2">
        <f ca="1">VLOOKUP(B24,Tabla4[],2,FALSE)</f>
        <v>4418.63</v>
      </c>
      <c r="D24" s="3">
        <f ca="1">VLOOKUP(B24,Tabla4[],3,FALSE)</f>
        <v>69923.17</v>
      </c>
      <c r="E24" s="2">
        <f ca="1">VLOOKUP(B24,Tabla4[],5,FALSE)</f>
        <v>2517.8000000000002</v>
      </c>
      <c r="F24" s="2">
        <f ca="1">VLOOKUP(B24,Tabla4[],4,FALSE)</f>
        <v>1.61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276.48666898847404</v>
      </c>
      <c r="N24" s="32">
        <f t="shared" ca="1" si="11"/>
        <v>-0.41666666666666657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7.8766144889600191</v>
      </c>
      <c r="W24" s="2">
        <f t="shared" si="14"/>
        <v>8.8385908401840538</v>
      </c>
      <c r="X24" s="9">
        <f t="shared" ca="1" si="15"/>
        <v>-0.41666666666666657</v>
      </c>
      <c r="Y24" s="2" t="str">
        <f t="shared" si="7"/>
        <v>ACTIVA</v>
      </c>
    </row>
    <row r="25" spans="2:25">
      <c r="B25" s="1">
        <f t="shared" ca="1" si="9"/>
        <v>45597</v>
      </c>
      <c r="C25" s="2">
        <f ca="1">VLOOKUP(B25,Tabla4[],2,FALSE)</f>
        <v>4418.63</v>
      </c>
      <c r="D25" s="3">
        <f ca="1">VLOOKUP(B25,Tabla4[],3,FALSE)</f>
        <v>69923.17</v>
      </c>
      <c r="E25" s="2">
        <f ca="1">VLOOKUP(B25,Tabla4[],5,FALSE)</f>
        <v>2517.8000000000002</v>
      </c>
      <c r="F25" s="2">
        <f ca="1">VLOOKUP(B25,Tabla4[],4,FALSE)</f>
        <v>1.61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271.82863894066304</v>
      </c>
      <c r="N25" s="32">
        <f t="shared" ca="1" si="11"/>
        <v>-0.42704626334519569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1.4968555406630084</v>
      </c>
      <c r="W25" s="2">
        <f t="shared" si="14"/>
        <v>40.44492107583801</v>
      </c>
      <c r="X25" s="9">
        <f t="shared" ca="1" si="15"/>
        <v>-0.42704626334519569</v>
      </c>
      <c r="Y25" s="2" t="str">
        <f t="shared" ref="Y25:Y32" si="16">IF(U25=0,"VENDIDA","ACTIVA")</f>
        <v>ACTIVA</v>
      </c>
    </row>
    <row r="26" spans="2:25">
      <c r="B26" s="1">
        <f t="shared" ca="1" si="9"/>
        <v>45597</v>
      </c>
      <c r="C26" s="2">
        <f ca="1">VLOOKUP(B26,Tabla4[],2,FALSE)</f>
        <v>4418.63</v>
      </c>
      <c r="D26" s="3">
        <f ca="1">VLOOKUP(B26,Tabla4[],3,FALSE)</f>
        <v>69923.17</v>
      </c>
      <c r="E26" s="2">
        <f ca="1">VLOOKUP(B26,Tabla4[],5,FALSE)</f>
        <v>2517.8000000000002</v>
      </c>
      <c r="F26" s="2">
        <f ca="1">VLOOKUP(B26,Tabla4[],4,FALSE)</f>
        <v>1.61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274.31867922554903</v>
      </c>
      <c r="N26" s="32">
        <f t="shared" ca="1" si="11"/>
        <v>-0.47114974017356798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274.31867922554903</v>
      </c>
      <c r="W26" s="2">
        <f t="shared" si="14"/>
        <v>-474.99592218630107</v>
      </c>
      <c r="X26" s="9">
        <f t="shared" ca="1" si="15"/>
        <v>-0.47114974017356798</v>
      </c>
      <c r="Y26" s="2" t="str">
        <f t="shared" si="16"/>
        <v>ACTIVA</v>
      </c>
    </row>
    <row r="27" spans="2:25">
      <c r="B27" s="1">
        <f t="shared" ca="1" si="9"/>
        <v>45597</v>
      </c>
      <c r="C27" s="2">
        <f ca="1">VLOOKUP(B27,Tabla4[],2,FALSE)</f>
        <v>4418.63</v>
      </c>
      <c r="D27" s="3">
        <f ca="1">VLOOKUP(B27,Tabla4[],3,FALSE)</f>
        <v>69923.17</v>
      </c>
      <c r="E27" s="2">
        <f ca="1">VLOOKUP(B27,Tabla4[],5,FALSE)</f>
        <v>2517.8000000000002</v>
      </c>
      <c r="F27" s="2">
        <f ca="1">VLOOKUP(B27,Tabla4[],4,FALSE)</f>
        <v>1.61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800.21835714188899</v>
      </c>
      <c r="N27" s="32">
        <f t="shared" ca="1" si="11"/>
        <v>4.6830203514806601E-2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800.21835714188899</v>
      </c>
      <c r="W27" s="2">
        <f t="shared" si="14"/>
        <v>-699.14771612275808</v>
      </c>
      <c r="X27" s="9">
        <f t="shared" ca="1" si="15"/>
        <v>4.6830203514806601E-2</v>
      </c>
      <c r="Y27" s="2" t="str">
        <f t="shared" si="16"/>
        <v>ACTIVA</v>
      </c>
    </row>
    <row r="28" spans="2:25">
      <c r="B28" s="1">
        <f t="shared" ca="1" si="9"/>
        <v>45597</v>
      </c>
      <c r="C28" s="2">
        <f ca="1">VLOOKUP(B28,Tabla4[],2,FALSE)</f>
        <v>4418.63</v>
      </c>
      <c r="D28" s="3">
        <f ca="1">VLOOKUP(B28,Tabla4[],3,FALSE)</f>
        <v>69923.17</v>
      </c>
      <c r="E28" s="2">
        <f ca="1">VLOOKUP(B28,Tabla4[],5,FALSE)</f>
        <v>2517.8000000000002</v>
      </c>
      <c r="F28" s="2">
        <f ca="1">VLOOKUP(B28,Tabla4[],4,FALSE)</f>
        <v>1.61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557.93011469210001</v>
      </c>
      <c r="N28" s="32">
        <f t="shared" ca="1" si="11"/>
        <v>-0.27170171531052029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557.93011469210001</v>
      </c>
      <c r="W28" s="2">
        <f t="shared" si="14"/>
        <v>-700.6597894414499</v>
      </c>
      <c r="X28" s="9">
        <f t="shared" ca="1" si="15"/>
        <v>-0.27170171531052029</v>
      </c>
      <c r="Y28" s="2" t="str">
        <f t="shared" si="16"/>
        <v>ACTIVA</v>
      </c>
    </row>
    <row r="29" spans="2:25">
      <c r="B29" s="1">
        <f t="shared" ca="1" si="9"/>
        <v>45597</v>
      </c>
      <c r="C29" s="2">
        <f ca="1">VLOOKUP(B29,Tabla4[],2,FALSE)</f>
        <v>4418.63</v>
      </c>
      <c r="D29" s="3">
        <f ca="1">VLOOKUP(B29,Tabla4[],3,FALSE)</f>
        <v>69923.17</v>
      </c>
      <c r="E29" s="2">
        <f ca="1">VLOOKUP(B29,Tabla4[],5,FALSE)</f>
        <v>2517.8000000000002</v>
      </c>
      <c r="F29" s="2">
        <f ca="1">VLOOKUP(B29,Tabla4[],4,FALSE)</f>
        <v>1.61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211.34673992103703</v>
      </c>
      <c r="N29" s="32">
        <f t="shared" ca="1" si="11"/>
        <v>-0.44863013698630133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211.34673992103703</v>
      </c>
      <c r="W29" s="2">
        <f t="shared" si="14"/>
        <v>-350.58167079212399</v>
      </c>
      <c r="X29" s="9">
        <f t="shared" ca="1" si="15"/>
        <v>-0.44863013698630133</v>
      </c>
      <c r="Y29" s="2" t="str">
        <f t="shared" si="16"/>
        <v>ACTIVA</v>
      </c>
    </row>
    <row r="30" spans="2:25">
      <c r="B30" s="1">
        <f t="shared" ref="B30:B35" ca="1" si="17">TODAY()</f>
        <v>45597</v>
      </c>
      <c r="C30" s="2">
        <f ca="1">VLOOKUP(B30,Tabla4[],2,FALSE)</f>
        <v>4418.63</v>
      </c>
      <c r="D30" s="3">
        <f ca="1">VLOOKUP(B30,Tabla4[],3,FALSE)</f>
        <v>69923.17</v>
      </c>
      <c r="E30" s="2">
        <f ca="1">VLOOKUP(B30,Tabla4[],5,FALSE)</f>
        <v>2517.8000000000002</v>
      </c>
      <c r="F30" s="2">
        <f ca="1">VLOOKUP(B30,Tabla4[],4,FALSE)</f>
        <v>1.61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781.68048014246301</v>
      </c>
      <c r="N30" s="32">
        <f t="shared" ref="N30:N35" ca="1" si="19">IF(G30 = "BTC", (D30 - J30) / J30,
 IF(G30 = "ETH", (E30 - J30) / J30,
 IF(G30 = "IO.NET", (F30 - J30) / J30,
 "Moneda no soportada")))</f>
        <v>1.8097937979213823E-2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781.68048014246301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1.8097937979213823E-2</v>
      </c>
      <c r="Y30" s="2" t="str">
        <f t="shared" si="16"/>
        <v>ACTIVA</v>
      </c>
    </row>
    <row r="31" spans="2:25">
      <c r="B31" s="1">
        <f t="shared" ca="1" si="17"/>
        <v>45597</v>
      </c>
      <c r="C31" s="2">
        <f ca="1">VLOOKUP(B31,Tabla4[],2,FALSE)</f>
        <v>4418.63</v>
      </c>
      <c r="D31" s="3">
        <f ca="1">VLOOKUP(B31,Tabla4[],3,FALSE)</f>
        <v>69923.17</v>
      </c>
      <c r="E31" s="2">
        <f ca="1">VLOOKUP(B31,Tabla4[],5,FALSE)</f>
        <v>2517.8000000000002</v>
      </c>
      <c r="F31" s="2">
        <f ca="1">VLOOKUP(B31,Tabla4[],4,FALSE)</f>
        <v>1.61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582.85062230746007</v>
      </c>
      <c r="N31" s="32">
        <f t="shared" ca="1" si="19"/>
        <v>-0.24059719499321364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582.85062230746007</v>
      </c>
      <c r="W31" s="2">
        <f t="shared" si="22"/>
        <v>-700.01062533089998</v>
      </c>
      <c r="X31" s="9">
        <f t="shared" ca="1" si="23"/>
        <v>-0.24059719499321364</v>
      </c>
      <c r="Y31" s="2" t="str">
        <f t="shared" si="16"/>
        <v>ACTIVA</v>
      </c>
    </row>
    <row r="32" spans="2:25">
      <c r="B32" s="1">
        <f t="shared" ca="1" si="17"/>
        <v>45597</v>
      </c>
      <c r="C32" s="2">
        <f ca="1">VLOOKUP(B32,Tabla4[],2,FALSE)</f>
        <v>4418.63</v>
      </c>
      <c r="D32" s="3">
        <f ca="1">VLOOKUP(B32,Tabla4[],3,FALSE)</f>
        <v>69923.17</v>
      </c>
      <c r="E32" s="2">
        <f ca="1">VLOOKUP(B32,Tabla4[],5,FALSE)</f>
        <v>2517.8000000000002</v>
      </c>
      <c r="F32" s="2">
        <f ca="1">VLOOKUP(B32,Tabla4[],4,FALSE)</f>
        <v>1.61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213.11897818105302</v>
      </c>
      <c r="N32" s="32">
        <f t="shared" ca="1" si="19"/>
        <v>-0.4448275862068965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213.11897818105302</v>
      </c>
      <c r="W32" s="2">
        <f t="shared" si="22"/>
        <v>-350.11749431717993</v>
      </c>
      <c r="X32" s="9">
        <f t="shared" ca="1" si="23"/>
        <v>-0.4448275862068965</v>
      </c>
      <c r="Y32" s="2" t="str">
        <f t="shared" si="16"/>
        <v>ACTIVA</v>
      </c>
    </row>
    <row r="33" spans="2:25">
      <c r="B33" s="1">
        <f t="shared" ca="1" si="17"/>
        <v>45597</v>
      </c>
      <c r="C33" s="2">
        <f ca="1">VLOOKUP(B33,Tabla4[],2,FALSE)</f>
        <v>4418.63</v>
      </c>
      <c r="D33" s="3">
        <f ca="1">VLOOKUP(B33,Tabla4[],3,FALSE)</f>
        <v>69923.17</v>
      </c>
      <c r="E33" s="2">
        <f ca="1">VLOOKUP(B33,Tabla4[],5,FALSE)</f>
        <v>2517.8000000000002</v>
      </c>
      <c r="F33" s="2">
        <f ca="1">VLOOKUP(B33,Tabla4[],4,FALSE)</f>
        <v>1.61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ca="1" xml:space="preserve"> K33 * (IF(G33="BTC", D33, IF(G33="ETH", E33, IF(G33="IO.NET", F33, 0)))) * C33</f>
        <v>982.50748096957795</v>
      </c>
      <c r="N33" s="32">
        <f t="shared" ca="1" si="19"/>
        <v>0.30774536554146192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982.50748096957795</v>
      </c>
      <c r="W33" s="2">
        <f t="shared" si="22"/>
        <v>-699.99737650756197</v>
      </c>
      <c r="X33" s="9">
        <f t="shared" ca="1" si="23"/>
        <v>0.30774536554146192</v>
      </c>
      <c r="Y33" s="2" t="str">
        <f t="shared" ref="Y33:Y38" si="24">IF(U33=0,"VENDIDA","ACTIVA")</f>
        <v>ACTIVA</v>
      </c>
    </row>
    <row r="34" spans="2:25">
      <c r="B34" s="1">
        <f t="shared" ca="1" si="17"/>
        <v>45597</v>
      </c>
      <c r="C34" s="2">
        <f ca="1">VLOOKUP(B34,Tabla4[],2,FALSE)</f>
        <v>4418.63</v>
      </c>
      <c r="D34" s="3">
        <f ca="1">VLOOKUP(B34,Tabla4[],3,FALSE)</f>
        <v>69923.17</v>
      </c>
      <c r="E34" s="2">
        <f ca="1">VLOOKUP(B34,Tabla4[],5,FALSE)</f>
        <v>2517.8000000000002</v>
      </c>
      <c r="F34" s="2">
        <f ca="1">VLOOKUP(B34,Tabla4[],4,FALSE)</f>
        <v>1.61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796.67747782854008</v>
      </c>
      <c r="N34" s="32">
        <f t="shared" ca="1" si="19"/>
        <v>6.0403136818874853E-2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796.67747782854008</v>
      </c>
      <c r="W34" s="2">
        <f t="shared" si="22"/>
        <v>-699.99553871893795</v>
      </c>
      <c r="X34" s="9">
        <f t="shared" ca="1" si="23"/>
        <v>6.0403136818874853E-2</v>
      </c>
      <c r="Y34" s="2" t="str">
        <f t="shared" si="24"/>
        <v>ACTIVA</v>
      </c>
    </row>
    <row r="35" spans="2:25">
      <c r="B35" s="1">
        <f t="shared" ca="1" si="17"/>
        <v>45597</v>
      </c>
      <c r="C35" s="2">
        <f ca="1">VLOOKUP(B35,Tabla4[],2,FALSE)</f>
        <v>4418.63</v>
      </c>
      <c r="D35" s="3">
        <f ca="1">VLOOKUP(B35,Tabla4[],3,FALSE)</f>
        <v>69923.17</v>
      </c>
      <c r="E35" s="2">
        <f ca="1">VLOOKUP(B35,Tabla4[],5,FALSE)</f>
        <v>2517.8000000000002</v>
      </c>
      <c r="F35" s="2">
        <f ca="1">VLOOKUP(B35,Tabla4[],4,FALSE)</f>
        <v>1.61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410.76651269840903</v>
      </c>
      <c r="N35" s="32">
        <f t="shared" ca="1" si="19"/>
        <v>9.3452866069003104E-2</v>
      </c>
      <c r="O35" s="9">
        <v>0.1</v>
      </c>
      <c r="P35" s="9">
        <v>0.3</v>
      </c>
      <c r="Q35" t="str">
        <f t="shared" ca="1" si="20"/>
        <v>MANTENER</v>
      </c>
      <c r="T35" s="2"/>
      <c r="U35" s="14">
        <f>Tabla6[[#This Row],[cantidad]]-Tabla6[[#This Row],[CANTIDAD VENDIDA]]</f>
        <v>5.7740630000000001E-2</v>
      </c>
      <c r="V35" s="2">
        <f t="shared" ca="1" si="21"/>
        <v>410.76651269840903</v>
      </c>
      <c r="W35" s="2">
        <f t="shared" si="22"/>
        <v>-350.00858741327886</v>
      </c>
      <c r="X35" s="9">
        <f t="shared" ca="1" si="23"/>
        <v>9.3452866069003104E-2</v>
      </c>
      <c r="Y35" s="2" t="str">
        <f t="shared" si="24"/>
        <v>ACTIVA</v>
      </c>
    </row>
    <row r="36" spans="2:25">
      <c r="B36" s="1">
        <f t="shared" ref="B36:B41" ca="1" si="25">TODAY()</f>
        <v>45597</v>
      </c>
      <c r="C36" s="2">
        <f ca="1">VLOOKUP(B36,Tabla4[],2,FALSE)</f>
        <v>4418.63</v>
      </c>
      <c r="D36" s="3">
        <f ca="1">VLOOKUP(B36,Tabla4[],3,FALSE)</f>
        <v>69923.17</v>
      </c>
      <c r="E36" s="2">
        <f ca="1">VLOOKUP(B36,Tabla4[],5,FALSE)</f>
        <v>2517.8000000000002</v>
      </c>
      <c r="F36" s="2">
        <f ca="1">VLOOKUP(B36,Tabla4[],4,FALSE)</f>
        <v>1.61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899.08703447216101</v>
      </c>
      <c r="N36" s="41">
        <f t="shared" ref="N36:N41" ca="1" si="27">IF(G36 = "BTC", (D36 - J36) / J36,
 IF(G36 = "ETH", (E36 - J36) / J36,
 IF(G36 = "IO.NET", (F36 - J36) / J36,
 "Moneda no soportada")))</f>
        <v>0.18418931673240208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899.08703447216101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0.18418931673240208</v>
      </c>
      <c r="Y36" s="2" t="str">
        <f t="shared" si="24"/>
        <v>ACTIVA</v>
      </c>
    </row>
    <row r="37" spans="2:25">
      <c r="B37" s="1">
        <f t="shared" ca="1" si="25"/>
        <v>45597</v>
      </c>
      <c r="C37" s="2">
        <f ca="1">VLOOKUP(B37,Tabla4[],2,FALSE)</f>
        <v>4418.63</v>
      </c>
      <c r="D37" s="3">
        <f ca="1">VLOOKUP(B37,Tabla4[],3,FALSE)</f>
        <v>69923.17</v>
      </c>
      <c r="E37" s="2">
        <f ca="1">VLOOKUP(B37,Tabla4[],5,FALSE)</f>
        <v>2517.8000000000002</v>
      </c>
      <c r="F37" s="2">
        <f ca="1">VLOOKUP(B37,Tabla4[],4,FALSE)</f>
        <v>1.61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722.69472084544009</v>
      </c>
      <c r="N37" s="41">
        <f t="shared" ca="1" si="27"/>
        <v>-4.8162709814002586E-2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722.69472084544009</v>
      </c>
      <c r="W37" s="2">
        <f t="shared" si="30"/>
        <v>-700.01513873535998</v>
      </c>
      <c r="X37" s="9">
        <f t="shared" ca="1" si="31"/>
        <v>-4.8162709814002586E-2</v>
      </c>
      <c r="Y37" s="2" t="str">
        <f t="shared" si="24"/>
        <v>ACTIVA</v>
      </c>
    </row>
    <row r="38" spans="2:25">
      <c r="B38" s="1">
        <f t="shared" ca="1" si="25"/>
        <v>45597</v>
      </c>
      <c r="C38" s="2">
        <f ca="1">VLOOKUP(B38,Tabla4[],2,FALSE)</f>
        <v>4418.63</v>
      </c>
      <c r="D38" s="3">
        <f ca="1">VLOOKUP(B38,Tabla4[],3,FALSE)</f>
        <v>69923.17</v>
      </c>
      <c r="E38" s="2">
        <f ca="1">VLOOKUP(B38,Tabla4[],5,FALSE)</f>
        <v>2517.8000000000002</v>
      </c>
      <c r="F38" s="2">
        <f ca="1">VLOOKUP(B38,Tabla4[],4,FALSE)</f>
        <v>1.61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388.71476658709804</v>
      </c>
      <c r="N38" s="41">
        <f t="shared" ca="1" si="27"/>
        <v>2.3951562639123871E-2</v>
      </c>
      <c r="O38" s="28">
        <v>0.1</v>
      </c>
      <c r="P38" s="28">
        <v>0.3</v>
      </c>
      <c r="Q38" t="str">
        <f t="shared" ca="1" si="28"/>
        <v>MANTENER</v>
      </c>
      <c r="T38" s="2"/>
      <c r="U38" s="14">
        <f>Tabla6[[#This Row],[cantidad]]-Tabla6[[#This Row],[CANTIDAD VENDIDA]]</f>
        <v>5.4640859999999999E-2</v>
      </c>
      <c r="V38" s="2">
        <f t="shared" ca="1" si="29"/>
        <v>388.71476658709804</v>
      </c>
      <c r="W38" s="2">
        <f t="shared" si="30"/>
        <v>-349.9990705940495</v>
      </c>
      <c r="X38" s="9">
        <f t="shared" ca="1" si="31"/>
        <v>2.3951562639123871E-2</v>
      </c>
      <c r="Y38" s="2" t="str">
        <f t="shared" si="24"/>
        <v>ACTIVA</v>
      </c>
    </row>
    <row r="39" spans="2:25">
      <c r="B39" s="1">
        <f t="shared" ca="1" si="25"/>
        <v>45597</v>
      </c>
      <c r="C39" s="2">
        <f ca="1">VLOOKUP(B39,Tabla4[],2,FALSE)</f>
        <v>4418.63</v>
      </c>
      <c r="D39" s="3">
        <f ca="1">VLOOKUP(B39,Tabla4[],3,FALSE)</f>
        <v>69923.17</v>
      </c>
      <c r="E39" s="2">
        <f ca="1">VLOOKUP(B39,Tabla4[],5,FALSE)</f>
        <v>2517.8000000000002</v>
      </c>
      <c r="F39" s="2">
        <f ca="1">VLOOKUP(B39,Tabla4[],4,FALSE)</f>
        <v>1.61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936.16278847101296</v>
      </c>
      <c r="N39" s="41">
        <f t="shared" ca="1" si="27"/>
        <v>0.21979300046403055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936.16278847101296</v>
      </c>
      <c r="W39" s="2">
        <f t="shared" si="30"/>
        <v>-700.00297999823999</v>
      </c>
      <c r="X39" s="9">
        <f t="shared" ca="1" si="31"/>
        <v>0.21979300046403055</v>
      </c>
      <c r="Y39" s="2" t="str">
        <f t="shared" ref="Y39:Y44" si="32">IF(U39=0,"VENDIDA","ACTIVA")</f>
        <v>ACTIVA</v>
      </c>
    </row>
    <row r="40" spans="2:25">
      <c r="B40" s="1">
        <f t="shared" ca="1" si="25"/>
        <v>45597</v>
      </c>
      <c r="C40" s="2">
        <f ca="1">VLOOKUP(B40,Tabla4[],2,FALSE)</f>
        <v>4418.63</v>
      </c>
      <c r="D40" s="3">
        <f ca="1">VLOOKUP(B40,Tabla4[],3,FALSE)</f>
        <v>69923.17</v>
      </c>
      <c r="E40" s="2">
        <f ca="1">VLOOKUP(B40,Tabla4[],5,FALSE)</f>
        <v>2517.8000000000002</v>
      </c>
      <c r="F40" s="2">
        <f ca="1">VLOOKUP(B40,Tabla4[],4,FALSE)</f>
        <v>1.61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764.63682518022017</v>
      </c>
      <c r="N40" s="41">
        <f t="shared" ca="1" si="27"/>
        <v>-3.6998199552855625E-3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764.63682518022017</v>
      </c>
      <c r="W40" s="2">
        <f t="shared" si="30"/>
        <v>-700.00259914812</v>
      </c>
      <c r="X40" s="9">
        <f t="shared" ca="1" si="31"/>
        <v>-3.6998199552855625E-3</v>
      </c>
      <c r="Y40" s="2" t="str">
        <f t="shared" si="32"/>
        <v>ACTIVA</v>
      </c>
    </row>
    <row r="41" spans="2:25">
      <c r="B41" s="1">
        <f t="shared" ca="1" si="25"/>
        <v>45597</v>
      </c>
      <c r="C41" s="2">
        <f ca="1">VLOOKUP(B41,Tabla4[],2,FALSE)</f>
        <v>4418.63</v>
      </c>
      <c r="D41" s="3">
        <f ca="1">VLOOKUP(B41,Tabla4[],3,FALSE)</f>
        <v>69923.17</v>
      </c>
      <c r="E41" s="2">
        <f ca="1">VLOOKUP(B41,Tabla4[],5,FALSE)</f>
        <v>2517.8000000000002</v>
      </c>
      <c r="F41" s="2">
        <f ca="1">VLOOKUP(B41,Tabla4[],4,FALSE)</f>
        <v>1.61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383.21017121758706</v>
      </c>
      <c r="N41" s="41">
        <f t="shared" ca="1" si="27"/>
        <v>-1.3645949634040315E-3</v>
      </c>
      <c r="O41" s="28">
        <v>0.1</v>
      </c>
      <c r="P41" s="28">
        <v>0.3</v>
      </c>
      <c r="Q41" t="str">
        <f t="shared" ca="1" si="28"/>
        <v>MANTENER</v>
      </c>
      <c r="T41" s="2"/>
      <c r="U41" s="14">
        <f>Tabla6[[#This Row],[cantidad]]-Tabla6[[#This Row],[CANTIDAD VENDIDA]]</f>
        <v>5.3867089999999999E-2</v>
      </c>
      <c r="V41" s="2">
        <f t="shared" ca="1" si="29"/>
        <v>383.21017121758706</v>
      </c>
      <c r="W41" s="2">
        <f t="shared" si="30"/>
        <v>-349.99732079053973</v>
      </c>
      <c r="X41" s="9">
        <f t="shared" ca="1" si="31"/>
        <v>-1.3645949634040315E-3</v>
      </c>
      <c r="Y41" s="2" t="str">
        <f t="shared" si="32"/>
        <v>ACTIVA</v>
      </c>
    </row>
    <row r="42" spans="2:25">
      <c r="B42" s="1">
        <f t="shared" ref="B42:B47" ca="1" si="33">TODAY()</f>
        <v>45597</v>
      </c>
      <c r="C42" s="2">
        <f ca="1">VLOOKUP(B42,Tabla4[],2,FALSE)</f>
        <v>4418.63</v>
      </c>
      <c r="D42" s="3">
        <f ca="1">VLOOKUP(B42,Tabla4[],3,FALSE)</f>
        <v>69923.17</v>
      </c>
      <c r="E42" s="2">
        <f ca="1">VLOOKUP(B42,Tabla4[],5,FALSE)</f>
        <v>2517.8000000000002</v>
      </c>
      <c r="F42" s="2">
        <f ca="1">VLOOKUP(B42,Tabla4[],4,FALSE)</f>
        <v>1.61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858.92163430673804</v>
      </c>
      <c r="N42" s="41">
        <f t="shared" ref="N42:N47" ca="1" si="35">IF(G42 = "BTC", (D42 - J42) / J42,
 IF(G42 = "ETH", (E42 - J42) / J42,
 IF(G42 = "IO.NET", (F42 - J42) / J42,
 "Moneda no soportada")))</f>
        <v>0.11903928942946304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858.92163430673804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0.11903928942946304</v>
      </c>
      <c r="Y42" s="2" t="str">
        <f t="shared" si="32"/>
        <v>ACTIVA</v>
      </c>
    </row>
    <row r="43" spans="2:25">
      <c r="B43" s="1">
        <f t="shared" ca="1" si="33"/>
        <v>45597</v>
      </c>
      <c r="C43" s="2">
        <f ca="1">VLOOKUP(B43,Tabla4[],2,FALSE)</f>
        <v>4418.63</v>
      </c>
      <c r="D43" s="3">
        <f ca="1">VLOOKUP(B43,Tabla4[],3,FALSE)</f>
        <v>69923.17</v>
      </c>
      <c r="E43" s="2">
        <f ca="1">VLOOKUP(B43,Tabla4[],5,FALSE)</f>
        <v>2517.8000000000002</v>
      </c>
      <c r="F43" s="2">
        <f ca="1">VLOOKUP(B43,Tabla4[],4,FALSE)</f>
        <v>1.61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723.58473897455997</v>
      </c>
      <c r="N43" s="41">
        <f t="shared" ca="1" si="35"/>
        <v>-5.728267666121252E-2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723.58473897455997</v>
      </c>
      <c r="W43" s="2">
        <f t="shared" si="38"/>
        <v>-700.00054480260007</v>
      </c>
      <c r="X43" s="9">
        <f t="shared" ca="1" si="39"/>
        <v>-5.728267666121252E-2</v>
      </c>
      <c r="Y43" s="2" t="str">
        <f t="shared" si="32"/>
        <v>ACTIVA</v>
      </c>
    </row>
    <row r="44" spans="2:25">
      <c r="B44" s="1">
        <f t="shared" ca="1" si="33"/>
        <v>45597</v>
      </c>
      <c r="C44" s="2">
        <f ca="1">VLOOKUP(B44,Tabla4[],2,FALSE)</f>
        <v>4418.63</v>
      </c>
      <c r="D44" s="3">
        <f ca="1">VLOOKUP(B44,Tabla4[],3,FALSE)</f>
        <v>69923.17</v>
      </c>
      <c r="E44" s="2">
        <f ca="1">VLOOKUP(B44,Tabla4[],5,FALSE)</f>
        <v>2517.8000000000002</v>
      </c>
      <c r="F44" s="2">
        <f ca="1">VLOOKUP(B44,Tabla4[],4,FALSE)</f>
        <v>1.61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283.865730716092</v>
      </c>
      <c r="N44" s="41">
        <f t="shared" ca="1" si="35"/>
        <v>-0.26034483550712306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283.865730716092</v>
      </c>
      <c r="W44" s="2">
        <f t="shared" si="38"/>
        <v>-350.00491194757706</v>
      </c>
      <c r="X44" s="9">
        <f t="shared" ca="1" si="39"/>
        <v>-0.26034483550712306</v>
      </c>
      <c r="Y44" s="2" t="str">
        <f t="shared" si="32"/>
        <v>ACTIVA</v>
      </c>
    </row>
    <row r="45" spans="2:25">
      <c r="B45" s="1">
        <f t="shared" ca="1" si="33"/>
        <v>45597</v>
      </c>
      <c r="C45" s="2">
        <f ca="1">VLOOKUP(B45,Tabla4[],2,FALSE)</f>
        <v>4418.63</v>
      </c>
      <c r="D45" s="3">
        <f ca="1">VLOOKUP(B45,Tabla4[],3,FALSE)</f>
        <v>69923.17</v>
      </c>
      <c r="E45" s="2">
        <f ca="1">VLOOKUP(B45,Tabla4[],5,FALSE)</f>
        <v>2517.8000000000002</v>
      </c>
      <c r="F45" s="2">
        <f ca="1">VLOOKUP(B45,Tabla4[],4,FALSE)</f>
        <v>1.61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923.80420380472901</v>
      </c>
      <c r="N45" s="41">
        <f t="shared" ca="1" si="35"/>
        <v>0.24257492074323642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923.80420380472901</v>
      </c>
      <c r="W45" s="2">
        <f t="shared" si="38"/>
        <v>-699.99575477832013</v>
      </c>
      <c r="X45" s="32">
        <f t="shared" ca="1" si="39"/>
        <v>0.24257492074323642</v>
      </c>
      <c r="Y45" s="2" t="str">
        <f t="shared" ref="Y45:Y50" si="40">IF(U45=0,"VENDIDA","ACTIVA")</f>
        <v>ACTIVA</v>
      </c>
    </row>
    <row r="46" spans="2:25">
      <c r="B46" s="1">
        <f t="shared" ca="1" si="33"/>
        <v>45597</v>
      </c>
      <c r="C46" s="2">
        <f ca="1">VLOOKUP(B46,Tabla4[],2,FALSE)</f>
        <v>4418.63</v>
      </c>
      <c r="D46" s="3">
        <f ca="1">VLOOKUP(B46,Tabla4[],3,FALSE)</f>
        <v>69923.17</v>
      </c>
      <c r="E46" s="2">
        <f ca="1">VLOOKUP(B46,Tabla4[],5,FALSE)</f>
        <v>2517.8000000000002</v>
      </c>
      <c r="F46" s="2">
        <f ca="1">VLOOKUP(B46,Tabla4[],4,FALSE)</f>
        <v>1.61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774.87203366510005</v>
      </c>
      <c r="N46" s="41">
        <f t="shared" ca="1" si="35"/>
        <v>4.2239295294234508E-2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774.87203366510005</v>
      </c>
      <c r="W46" s="2">
        <f t="shared" si="38"/>
        <v>-700.00412532204018</v>
      </c>
      <c r="X46" s="32">
        <f t="shared" ca="1" si="39"/>
        <v>4.2239295294234508E-2</v>
      </c>
      <c r="Y46" s="2" t="str">
        <f t="shared" si="40"/>
        <v>ACTIVA</v>
      </c>
    </row>
    <row r="47" spans="2:25">
      <c r="B47" s="1">
        <f t="shared" ca="1" si="33"/>
        <v>45597</v>
      </c>
      <c r="C47" s="2">
        <f ca="1">VLOOKUP(B47,Tabla4[],2,FALSE)</f>
        <v>4418.63</v>
      </c>
      <c r="D47" s="3">
        <f ca="1">VLOOKUP(B47,Tabla4[],3,FALSE)</f>
        <v>69923.17</v>
      </c>
      <c r="E47" s="2">
        <f ca="1">VLOOKUP(B47,Tabla4[],5,FALSE)</f>
        <v>2517.8000000000002</v>
      </c>
      <c r="F47" s="2">
        <f ca="1">VLOOKUP(B47,Tabla4[],4,FALSE)</f>
        <v>1.61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429.66739959430703</v>
      </c>
      <c r="N47" s="41">
        <f t="shared" ca="1" si="35"/>
        <v>0.15586187091679235</v>
      </c>
      <c r="O47" s="28">
        <v>0.1</v>
      </c>
      <c r="P47" s="28">
        <v>0.3</v>
      </c>
      <c r="Q47" s="31" t="str">
        <f t="shared" ca="1" si="36"/>
        <v>VENTA PARCIAL</v>
      </c>
      <c r="T47" s="2"/>
      <c r="U47" s="14">
        <f>Tabla6[[#This Row],[cantidad]]-Tabla6[[#This Row],[CANTIDAD VENDIDA]]</f>
        <v>6.0397489999999998E-2</v>
      </c>
      <c r="V47" s="2">
        <f t="shared" ca="1" si="37"/>
        <v>429.66739959430703</v>
      </c>
      <c r="W47" s="2">
        <f t="shared" si="38"/>
        <v>-349.99716107114455</v>
      </c>
      <c r="X47" s="32">
        <f t="shared" ca="1" si="39"/>
        <v>0.15586187091679235</v>
      </c>
      <c r="Y47" s="2" t="str">
        <f t="shared" si="40"/>
        <v>ACTIVA</v>
      </c>
    </row>
    <row r="48" spans="2:25">
      <c r="B48" s="1">
        <f t="shared" ref="B48:B53" ca="1" si="41">TODAY()</f>
        <v>45597</v>
      </c>
      <c r="C48" s="2">
        <f ca="1">VLOOKUP(B48,Tabla4[],2,FALSE)</f>
        <v>4418.63</v>
      </c>
      <c r="D48" s="3">
        <f ca="1">VLOOKUP(B48,Tabla4[],3,FALSE)</f>
        <v>69923.17</v>
      </c>
      <c r="E48" s="2">
        <f ca="1">VLOOKUP(B48,Tabla4[],5,FALSE)</f>
        <v>2517.8000000000002</v>
      </c>
      <c r="F48" s="2">
        <f ca="1">VLOOKUP(B48,Tabla4[],4,FALSE)</f>
        <v>1.61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957.79031163700995</v>
      </c>
      <c r="N48" s="41">
        <f t="shared" ref="N48:N53" ca="1" si="43">IF(G48 = "BTC", (D48 - J48) / J48,
 IF(G48 = "ETH", (E48 - J48) / J48,
 IF(G48 = "IO.NET", (F48 - J48) / J48,
 "Moneda no soportada")))</f>
        <v>0.28502168559561875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957.79031163700995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0.28502168559561875</v>
      </c>
      <c r="Y48" s="2" t="str">
        <f t="shared" si="40"/>
        <v>ACTIVA</v>
      </c>
    </row>
    <row r="49" spans="2:25">
      <c r="B49" s="1">
        <f t="shared" ca="1" si="41"/>
        <v>45597</v>
      </c>
      <c r="C49" s="2">
        <f ca="1">VLOOKUP(B49,Tabla4[],2,FALSE)</f>
        <v>4418.63</v>
      </c>
      <c r="D49" s="3">
        <f ca="1">VLOOKUP(B49,Tabla4[],3,FALSE)</f>
        <v>69923.17</v>
      </c>
      <c r="E49" s="2">
        <f ca="1">VLOOKUP(B49,Tabla4[],5,FALSE)</f>
        <v>2517.8000000000002</v>
      </c>
      <c r="F49" s="2">
        <f ca="1">VLOOKUP(B49,Tabla4[],4,FALSE)</f>
        <v>1.61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822.1542467746001</v>
      </c>
      <c r="N49" s="41">
        <f t="shared" ca="1" si="43"/>
        <v>0.10304522494184239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822.1542467746001</v>
      </c>
      <c r="W49" s="2">
        <f t="shared" si="46"/>
        <v>-700.00069063578997</v>
      </c>
      <c r="X49" s="32">
        <f t="shared" ca="1" si="47"/>
        <v>0.10304522494184239</v>
      </c>
      <c r="Y49" s="2" t="str">
        <f t="shared" si="40"/>
        <v>ACTIVA</v>
      </c>
    </row>
    <row r="50" spans="2:25">
      <c r="B50" s="1">
        <f t="shared" ca="1" si="41"/>
        <v>45597</v>
      </c>
      <c r="C50" s="2">
        <f ca="1">VLOOKUP(B50,Tabla4[],2,FALSE)</f>
        <v>4418.63</v>
      </c>
      <c r="D50" s="3">
        <f ca="1">VLOOKUP(B50,Tabla4[],3,FALSE)</f>
        <v>69923.17</v>
      </c>
      <c r="E50" s="2">
        <f ca="1">VLOOKUP(B50,Tabla4[],5,FALSE)</f>
        <v>2517.8000000000002</v>
      </c>
      <c r="F50" s="2">
        <f ca="1">VLOOKUP(B50,Tabla4[],4,FALSE)</f>
        <v>1.61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384.26965838868603</v>
      </c>
      <c r="N50" s="41">
        <f t="shared" ca="1" si="43"/>
        <v>3.1125912642500451E-2</v>
      </c>
      <c r="O50" s="28">
        <v>0.1</v>
      </c>
      <c r="P50" s="28">
        <v>0.3</v>
      </c>
      <c r="Q50" s="31" t="str">
        <f t="shared" ca="1" si="44"/>
        <v>MANTENER</v>
      </c>
      <c r="T50" s="2"/>
      <c r="U50" s="14">
        <f>Tabla6[[#This Row],[cantidad]]-Tabla6[[#This Row],[CANTIDAD VENDIDA]]</f>
        <v>5.4016019999999998E-2</v>
      </c>
      <c r="V50" s="2">
        <f t="shared" ca="1" si="45"/>
        <v>384.26965838868603</v>
      </c>
      <c r="W50" s="2">
        <f t="shared" si="46"/>
        <v>-349.9958350273381</v>
      </c>
      <c r="X50" s="32">
        <f t="shared" ca="1" si="47"/>
        <v>3.1125912642500451E-2</v>
      </c>
      <c r="Y50" s="2" t="str">
        <f t="shared" si="40"/>
        <v>ACTIVA</v>
      </c>
    </row>
    <row r="51" spans="2:25">
      <c r="B51" s="1">
        <f t="shared" ca="1" si="41"/>
        <v>45597</v>
      </c>
      <c r="C51" s="2">
        <f ca="1">VLOOKUP(B51,Tabla4[],2,FALSE)</f>
        <v>4418.63</v>
      </c>
      <c r="D51" s="3">
        <f ca="1">VLOOKUP(B51,Tabla4[],3,FALSE)</f>
        <v>69923.17</v>
      </c>
      <c r="E51" s="2">
        <f ca="1">VLOOKUP(B51,Tabla4[],5,FALSE)</f>
        <v>2517.8000000000002</v>
      </c>
      <c r="F51" s="2">
        <f ca="1">VLOOKUP(B51,Tabla4[],4,FALSE)</f>
        <v>1.61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892.90774213901898</v>
      </c>
      <c r="N51" s="41">
        <f t="shared" ca="1" si="43"/>
        <v>0.20441669481495595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892.90774213901898</v>
      </c>
      <c r="W51" s="2">
        <f t="shared" si="46"/>
        <v>-700.00318686059086</v>
      </c>
      <c r="X51" s="32">
        <f t="shared" ca="1" si="47"/>
        <v>0.20441669481495595</v>
      </c>
      <c r="Y51" s="2" t="str">
        <f t="shared" ref="Y51:Y56" si="48">IF(U51=0,"VENDIDA","ACTIVA")</f>
        <v>ACTIVA</v>
      </c>
    </row>
    <row r="52" spans="2:25">
      <c r="B52" s="1">
        <f t="shared" ca="1" si="41"/>
        <v>45597</v>
      </c>
      <c r="C52" s="2">
        <f ca="1">VLOOKUP(B52,Tabla4[],2,FALSE)</f>
        <v>4418.63</v>
      </c>
      <c r="D52" s="3">
        <f ca="1">VLOOKUP(B52,Tabla4[],3,FALSE)</f>
        <v>69923.17</v>
      </c>
      <c r="E52" s="2">
        <f ca="1">VLOOKUP(B52,Tabla4[],5,FALSE)</f>
        <v>2517.8000000000002</v>
      </c>
      <c r="F52" s="2">
        <f ca="1">VLOOKUP(B52,Tabla4[],4,FALSE)</f>
        <v>1.61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822.48800357302014</v>
      </c>
      <c r="N52" s="41">
        <f t="shared" ca="1" si="43"/>
        <v>0.10942691212887654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822.48800357302014</v>
      </c>
      <c r="W52" s="2">
        <f t="shared" si="46"/>
        <v>-700.00488533471412</v>
      </c>
      <c r="X52" s="32">
        <f t="shared" ca="1" si="47"/>
        <v>0.10942691212887654</v>
      </c>
      <c r="Y52" s="2" t="str">
        <f t="shared" si="48"/>
        <v>ACTIVA</v>
      </c>
    </row>
    <row r="53" spans="2:25">
      <c r="B53" s="1">
        <f t="shared" ca="1" si="41"/>
        <v>45597</v>
      </c>
      <c r="C53" s="2">
        <f ca="1">VLOOKUP(B53,Tabla4[],2,FALSE)</f>
        <v>4418.63</v>
      </c>
      <c r="D53" s="3">
        <f ca="1">VLOOKUP(B53,Tabla4[],3,FALSE)</f>
        <v>69923.17</v>
      </c>
      <c r="E53" s="2">
        <f ca="1">VLOOKUP(B53,Tabla4[],5,FALSE)</f>
        <v>2517.8000000000002</v>
      </c>
      <c r="F53" s="2">
        <f ca="1">VLOOKUP(B53,Tabla4[],4,FALSE)</f>
        <v>1.61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346.12755110957801</v>
      </c>
      <c r="N53" s="41">
        <f t="shared" ca="1" si="43"/>
        <v>-6.6233615589838687E-2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346.12755110957801</v>
      </c>
      <c r="W53" s="2">
        <f t="shared" si="46"/>
        <v>-350.00006885889513</v>
      </c>
      <c r="X53" s="32">
        <f t="shared" ca="1" si="47"/>
        <v>-6.6233615589838687E-2</v>
      </c>
      <c r="Y53" s="2" t="str">
        <f t="shared" si="48"/>
        <v>ACTIVA</v>
      </c>
    </row>
    <row r="54" spans="2:25">
      <c r="B54" s="1">
        <f t="shared" ref="B54:B59" ca="1" si="49">TODAY()</f>
        <v>45597</v>
      </c>
      <c r="C54" s="2">
        <f ca="1">VLOOKUP(B54,Tabla4[],2,FALSE)</f>
        <v>4418.63</v>
      </c>
      <c r="D54" s="3">
        <f ca="1">VLOOKUP(B54,Tabla4[],3,FALSE)</f>
        <v>69923.17</v>
      </c>
      <c r="E54" s="2">
        <f ca="1">VLOOKUP(B54,Tabla4[],5,FALSE)</f>
        <v>2517.8000000000002</v>
      </c>
      <c r="F54" s="2">
        <f ca="1">VLOOKUP(B54,Tabla4[],4,FALSE)</f>
        <v>1.61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831.11481880759902</v>
      </c>
      <c r="N54" s="41">
        <f t="shared" ref="N54:N59" ca="1" si="51">IF(G54 = "BTC", (D54 - J54) / J54,
 IF(G54 = "ETH", (E54 - J54) / J54,
 IF(G54 = "IO.NET", (F54 - J54) / J54,
 "Moneda no soportada")))</f>
        <v>0.11619899750973754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831.11481880759902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0.11619899750973754</v>
      </c>
      <c r="Y54" s="2" t="str">
        <f t="shared" si="48"/>
        <v>ACTIVA</v>
      </c>
    </row>
    <row r="55" spans="2:25">
      <c r="B55" s="1">
        <f t="shared" ca="1" si="49"/>
        <v>45597</v>
      </c>
      <c r="C55" s="2">
        <f ca="1">VLOOKUP(B55,Tabla4[],2,FALSE)</f>
        <v>4418.63</v>
      </c>
      <c r="D55" s="3">
        <f ca="1">VLOOKUP(B55,Tabla4[],3,FALSE)</f>
        <v>69923.17</v>
      </c>
      <c r="E55" s="2">
        <f ca="1">VLOOKUP(B55,Tabla4[],5,FALSE)</f>
        <v>2517.8000000000002</v>
      </c>
      <c r="F55" s="2">
        <f ca="1">VLOOKUP(B55,Tabla4[],4,FALSE)</f>
        <v>1.61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721.35969365176004</v>
      </c>
      <c r="N55" s="41">
        <f t="shared" ca="1" si="51"/>
        <v>-3.1212965385621676E-2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721.35969365176004</v>
      </c>
      <c r="W55" s="2">
        <f t="shared" si="54"/>
        <v>-700.0036727317439</v>
      </c>
      <c r="X55" s="32">
        <f t="shared" ca="1" si="55"/>
        <v>-3.1212965385621676E-2</v>
      </c>
      <c r="Y55" s="2" t="str">
        <f t="shared" si="48"/>
        <v>ACTIVA</v>
      </c>
    </row>
    <row r="56" spans="2:25">
      <c r="B56" s="1">
        <f t="shared" ca="1" si="49"/>
        <v>45597</v>
      </c>
      <c r="C56" s="2">
        <f ca="1">VLOOKUP(B56,Tabla4[],2,FALSE)</f>
        <v>4418.63</v>
      </c>
      <c r="D56" s="3">
        <f ca="1">VLOOKUP(B56,Tabla4[],3,FALSE)</f>
        <v>69923.17</v>
      </c>
      <c r="E56" s="2">
        <f ca="1">VLOOKUP(B56,Tabla4[],5,FALSE)</f>
        <v>2517.8000000000002</v>
      </c>
      <c r="F56" s="2">
        <f ca="1">VLOOKUP(B56,Tabla4[],4,FALSE)</f>
        <v>1.61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287.37179166690402</v>
      </c>
      <c r="N56" s="41">
        <f t="shared" ca="1" si="51"/>
        <v>-0.22811391312685772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287.37179166690402</v>
      </c>
      <c r="W56" s="2">
        <f t="shared" si="54"/>
        <v>-349.99971212019545</v>
      </c>
      <c r="X56" s="32">
        <f t="shared" ca="1" si="55"/>
        <v>-0.22811391312685772</v>
      </c>
      <c r="Y56" s="2" t="str">
        <f t="shared" si="48"/>
        <v>ACTIVA</v>
      </c>
    </row>
    <row r="57" spans="2:25">
      <c r="B57" s="1">
        <f t="shared" ca="1" si="49"/>
        <v>45597</v>
      </c>
      <c r="C57" s="2">
        <f ca="1">VLOOKUP(B57,Tabla4[],2,FALSE)</f>
        <v>4418.63</v>
      </c>
      <c r="D57" s="3">
        <f ca="1">VLOOKUP(B57,Tabla4[],3,FALSE)</f>
        <v>69923.17</v>
      </c>
      <c r="E57" s="2">
        <f ca="1">VLOOKUP(B57,Tabla4[],5,FALSE)</f>
        <v>2517.8000000000002</v>
      </c>
      <c r="F57" s="2">
        <f ca="1">VLOOKUP(B57,Tabla4[],4,FALSE)</f>
        <v>1.61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840.38375730731195</v>
      </c>
      <c r="N57" s="41">
        <f t="shared" ca="1" si="51"/>
        <v>8.6807114160554089E-2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840.38375730731195</v>
      </c>
      <c r="W57" s="2">
        <f t="shared" si="54"/>
        <v>-699.99918079999998</v>
      </c>
      <c r="X57" s="32">
        <f t="shared" ca="1" si="55"/>
        <v>8.6807114160554089E-2</v>
      </c>
      <c r="Y57" s="2" t="str">
        <f t="shared" ref="Y57:Y62" si="56">IF(U57=0,"VENDIDA","ACTIVA")</f>
        <v>ACTIVA</v>
      </c>
    </row>
    <row r="58" spans="2:25">
      <c r="B58" s="1">
        <f t="shared" ca="1" si="49"/>
        <v>45597</v>
      </c>
      <c r="C58" s="2">
        <f ca="1">VLOOKUP(B58,Tabla4[],2,FALSE)</f>
        <v>4418.63</v>
      </c>
      <c r="D58" s="3">
        <f ca="1">VLOOKUP(B58,Tabla4[],3,FALSE)</f>
        <v>69923.17</v>
      </c>
      <c r="E58" s="2">
        <f ca="1">VLOOKUP(B58,Tabla4[],5,FALSE)</f>
        <v>2517.8000000000002</v>
      </c>
      <c r="F58" s="2">
        <f ca="1">VLOOKUP(B58,Tabla4[],4,FALSE)</f>
        <v>1.61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742.38637195222009</v>
      </c>
      <c r="N58" s="41">
        <f t="shared" ca="1" si="51"/>
        <v>-3.9923736892278294E-2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742.38637195222009</v>
      </c>
      <c r="W58" s="2">
        <f t="shared" si="54"/>
        <v>-699.99770000000001</v>
      </c>
      <c r="X58" s="32">
        <f t="shared" ca="1" si="55"/>
        <v>-3.9923736892278294E-2</v>
      </c>
      <c r="Y58" s="2" t="str">
        <f t="shared" si="56"/>
        <v>ACTIVA</v>
      </c>
    </row>
    <row r="59" spans="2:25">
      <c r="B59" s="1">
        <f t="shared" ca="1" si="49"/>
        <v>45597</v>
      </c>
      <c r="C59" s="2">
        <f ca="1">VLOOKUP(B59,Tabla4[],2,FALSE)</f>
        <v>4418.63</v>
      </c>
      <c r="D59" s="3">
        <f ca="1">VLOOKUP(B59,Tabla4[],3,FALSE)</f>
        <v>69923.17</v>
      </c>
      <c r="E59" s="2">
        <f ca="1">VLOOKUP(B59,Tabla4[],5,FALSE)</f>
        <v>2517.8000000000002</v>
      </c>
      <c r="F59" s="2">
        <f ca="1">VLOOKUP(B59,Tabla4[],4,FALSE)</f>
        <v>1.61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299.30480570572405</v>
      </c>
      <c r="N59" s="41">
        <f t="shared" ca="1" si="51"/>
        <v>-0.22585732694785832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299.30480570572405</v>
      </c>
      <c r="W59" s="2">
        <f t="shared" si="54"/>
        <v>-349.9975761984</v>
      </c>
      <c r="X59" s="32">
        <f t="shared" ca="1" si="55"/>
        <v>-0.22585732694785832</v>
      </c>
      <c r="Y59" s="2" t="str">
        <f t="shared" si="56"/>
        <v>ACTIVA</v>
      </c>
    </row>
    <row r="60" spans="2:25">
      <c r="B60" s="1">
        <f t="shared" ref="B60:B68" ca="1" si="57">TODAY()</f>
        <v>45597</v>
      </c>
      <c r="C60" s="2">
        <f ca="1">VLOOKUP(B60,Tabla4[],2,FALSE)</f>
        <v>4418.63</v>
      </c>
      <c r="D60" s="3">
        <f ca="1">VLOOKUP(B60,Tabla4[],3,FALSE)</f>
        <v>69923.17</v>
      </c>
      <c r="E60" s="2">
        <f ca="1">VLOOKUP(B60,Tabla4[],5,FALSE)</f>
        <v>2517.8000000000002</v>
      </c>
      <c r="F60" s="2">
        <f ca="1">VLOOKUP(B60,Tabla4[],4,FALSE)</f>
        <v>1.61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849.652695807025</v>
      </c>
      <c r="N60" s="41">
        <f t="shared" ref="N60:N68" ca="1" si="59">IF(G60 = "BTC", (D60 - J60) / J60,
 IF(G60 = "ETH", (E60 - J60) / J60,
 IF(G60 = "IO.NET", (F60 - J60) / J60,
 "Moneda no soportada")))</f>
        <v>0.10887072219226741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849.652695807025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0.10887072219226741</v>
      </c>
      <c r="Y60" s="2" t="str">
        <f t="shared" si="56"/>
        <v>ACTIVA</v>
      </c>
    </row>
    <row r="61" spans="2:25">
      <c r="B61" s="1">
        <f t="shared" ca="1" si="57"/>
        <v>45597</v>
      </c>
      <c r="C61" s="2">
        <f ca="1">VLOOKUP(B61,Tabla4[],2,FALSE)</f>
        <v>4418.63</v>
      </c>
      <c r="D61" s="3">
        <f ca="1">VLOOKUP(B61,Tabla4[],3,FALSE)</f>
        <v>69923.17</v>
      </c>
      <c r="E61" s="2">
        <f ca="1">VLOOKUP(B61,Tabla4[],5,FALSE)</f>
        <v>2517.8000000000002</v>
      </c>
      <c r="F61" s="2">
        <f ca="1">VLOOKUP(B61,Tabla4[],4,FALSE)</f>
        <v>1.61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790.11359412628008</v>
      </c>
      <c r="N61" s="41">
        <f t="shared" ca="1" si="59"/>
        <v>3.1166810009419819E-2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790.11359412628008</v>
      </c>
      <c r="W61" s="2">
        <f t="shared" si="62"/>
        <v>-699.99706361177994</v>
      </c>
      <c r="X61" s="32">
        <f t="shared" ca="1" si="63"/>
        <v>3.1166810009419819E-2</v>
      </c>
      <c r="Y61" s="2" t="str">
        <f t="shared" si="56"/>
        <v>ACTIVA</v>
      </c>
    </row>
    <row r="62" spans="2:25">
      <c r="B62" s="1">
        <f t="shared" ca="1" si="57"/>
        <v>45597</v>
      </c>
      <c r="C62" s="2">
        <f ca="1">VLOOKUP(B62,Tabla4[],2,FALSE)</f>
        <v>4418.63</v>
      </c>
      <c r="D62" s="3">
        <f ca="1">VLOOKUP(B62,Tabla4[],3,FALSE)</f>
        <v>69923.17</v>
      </c>
      <c r="E62" s="2">
        <f ca="1">VLOOKUP(B62,Tabla4[],5,FALSE)</f>
        <v>2517.8000000000002</v>
      </c>
      <c r="F62" s="2">
        <f ca="1">VLOOKUP(B62,Tabla4[],4,FALSE)</f>
        <v>1.61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335.04842980658708</v>
      </c>
      <c r="N62" s="41">
        <f t="shared" ca="1" si="59"/>
        <v>-0.1254752851711026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335.04842980658708</v>
      </c>
      <c r="W62" s="2">
        <f t="shared" si="62"/>
        <v>-350.00247034444232</v>
      </c>
      <c r="X62" s="32">
        <f t="shared" ca="1" si="63"/>
        <v>-0.1254752851711026</v>
      </c>
      <c r="Y62" s="2" t="str">
        <f t="shared" si="56"/>
        <v>ACTIVA</v>
      </c>
    </row>
    <row r="63" spans="2:25">
      <c r="B63" s="1">
        <f t="shared" ca="1" si="57"/>
        <v>45597</v>
      </c>
      <c r="C63" s="2">
        <f ca="1">VLOOKUP(B63,Tabla4[],2,FALSE)</f>
        <v>4418.63</v>
      </c>
      <c r="D63" s="3">
        <f ca="1">VLOOKUP(B63,Tabla4[],3,FALSE)</f>
        <v>69923.17</v>
      </c>
      <c r="E63" s="2">
        <f ca="1">VLOOKUP(B63,Tabla4[],5,FALSE)</f>
        <v>2517.8000000000002</v>
      </c>
      <c r="F63" s="2">
        <f ca="1">VLOOKUP(B63,Tabla4[],4,FALSE)</f>
        <v>1.61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806.39764947503102</v>
      </c>
      <c r="N63" s="41">
        <f t="shared" ca="1" si="59"/>
        <v>9.7850088709550767E-2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806.39764947503102</v>
      </c>
      <c r="W63" s="2">
        <f t="shared" si="62"/>
        <v>-700.00099893449999</v>
      </c>
      <c r="X63" s="32">
        <f t="shared" ca="1" si="63"/>
        <v>9.7850088709550767E-2</v>
      </c>
      <c r="Y63" s="2" t="str">
        <f t="shared" ref="Y63:Y68" si="64">IF(U63=0,"VENDIDA","ACTIVA")</f>
        <v>ACTIVA</v>
      </c>
    </row>
    <row r="64" spans="2:25">
      <c r="B64" s="1">
        <f t="shared" ca="1" si="57"/>
        <v>45597</v>
      </c>
      <c r="C64" s="2">
        <f ca="1">VLOOKUP(B64,Tabla4[],2,FALSE)</f>
        <v>4418.63</v>
      </c>
      <c r="D64" s="3">
        <f ca="1">VLOOKUP(B64,Tabla4[],3,FALSE)</f>
        <v>69923.17</v>
      </c>
      <c r="E64" s="2">
        <f ca="1">VLOOKUP(B64,Tabla4[],5,FALSE)</f>
        <v>2517.8000000000002</v>
      </c>
      <c r="F64" s="2">
        <f ca="1">VLOOKUP(B64,Tabla4[],4,FALSE)</f>
        <v>1.61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739.04880396802002</v>
      </c>
      <c r="N64" s="41">
        <f t="shared" ca="1" si="59"/>
        <v>6.1540920716112897E-3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739.04880396802002</v>
      </c>
      <c r="W64" s="2">
        <f t="shared" si="62"/>
        <v>-700.00488143040002</v>
      </c>
      <c r="X64" s="32">
        <f t="shared" ca="1" si="63"/>
        <v>6.1540920716112897E-3</v>
      </c>
      <c r="Y64" s="2" t="str">
        <f t="shared" si="64"/>
        <v>ACTIVA</v>
      </c>
    </row>
    <row r="65" spans="2:25">
      <c r="B65" s="1">
        <f t="shared" ca="1" si="57"/>
        <v>45597</v>
      </c>
      <c r="C65" s="2">
        <f ca="1">VLOOKUP(B65,Tabla4[],2,FALSE)</f>
        <v>4418.63</v>
      </c>
      <c r="D65" s="3">
        <f ca="1">VLOOKUP(B65,Tabla4[],3,FALSE)</f>
        <v>69923.17</v>
      </c>
      <c r="E65" s="2">
        <f ca="1">VLOOKUP(B65,Tabla4[],5,FALSE)</f>
        <v>2517.8000000000002</v>
      </c>
      <c r="F65" s="2">
        <f ca="1">VLOOKUP(B65,Tabla4[],4,FALSE)</f>
        <v>1.61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305.65632209665</v>
      </c>
      <c r="N65" s="41">
        <f t="shared" ca="1" si="59"/>
        <v>-0.16774360299819074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305.65632209665</v>
      </c>
      <c r="W65" s="2">
        <f t="shared" si="62"/>
        <v>-350.00051946926249</v>
      </c>
      <c r="X65" s="32">
        <f t="shared" ca="1" si="63"/>
        <v>-0.16774360299819074</v>
      </c>
      <c r="Y65" s="2" t="str">
        <f t="shared" si="64"/>
        <v>ACTIVA</v>
      </c>
    </row>
    <row r="66" spans="2:25">
      <c r="B66" s="1">
        <f t="shared" ca="1" si="57"/>
        <v>45597</v>
      </c>
      <c r="C66" s="2">
        <f ca="1">VLOOKUP(B66,Tabla4[],2,FALSE)</f>
        <v>4418.63</v>
      </c>
      <c r="D66" s="3">
        <f ca="1">VLOOKUP(B66,Tabla4[],3,FALSE)</f>
        <v>69923.17</v>
      </c>
      <c r="E66" s="2">
        <f ca="1">VLOOKUP(B66,Tabla4[],5,FALSE)</f>
        <v>2517.8000000000002</v>
      </c>
      <c r="F66" s="2">
        <f ca="1">VLOOKUP(B66,Tabla4[],4,FALSE)</f>
        <v>1.61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750.78401847675298</v>
      </c>
      <c r="N66" s="27">
        <f t="shared" ca="1" si="59"/>
        <v>3.6466952255310291E-2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750.78401847675298</v>
      </c>
      <c r="W66" s="2">
        <f t="shared" si="62"/>
        <v>-700.00283430000002</v>
      </c>
      <c r="X66" s="32">
        <f t="shared" ca="1" si="63"/>
        <v>3.6466952255310291E-2</v>
      </c>
      <c r="Y66" s="2" t="str">
        <f t="shared" si="64"/>
        <v>ACTIVA</v>
      </c>
    </row>
    <row r="67" spans="2:25">
      <c r="B67" s="1">
        <f t="shared" ca="1" si="57"/>
        <v>45597</v>
      </c>
      <c r="C67" s="2">
        <f ca="1">VLOOKUP(B67,Tabla4[],2,FALSE)</f>
        <v>4418.63</v>
      </c>
      <c r="D67" s="3">
        <f ca="1">VLOOKUP(B67,Tabla4[],3,FALSE)</f>
        <v>69923.17</v>
      </c>
      <c r="E67" s="2">
        <f ca="1">VLOOKUP(B67,Tabla4[],5,FALSE)</f>
        <v>2517.8000000000002</v>
      </c>
      <c r="F67" s="2">
        <f ca="1">VLOOKUP(B67,Tabla4[],4,FALSE)</f>
        <v>1.61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684.86895035784005</v>
      </c>
      <c r="N67" s="27">
        <f t="shared" ca="1" si="59"/>
        <v>-5.4524971836274812E-2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684.86895035784005</v>
      </c>
      <c r="W67" s="2">
        <f t="shared" si="62"/>
        <v>-699.99937559999989</v>
      </c>
      <c r="X67" s="32">
        <f t="shared" ca="1" si="63"/>
        <v>-5.4524971836274812E-2</v>
      </c>
      <c r="Y67" s="2" t="str">
        <f t="shared" si="64"/>
        <v>ACTIVA</v>
      </c>
    </row>
    <row r="68" spans="2:25">
      <c r="B68" s="1">
        <f t="shared" ca="1" si="57"/>
        <v>45597</v>
      </c>
      <c r="C68" s="2">
        <f ca="1">VLOOKUP(B68,Tabla4[],2,FALSE)</f>
        <v>4418.63</v>
      </c>
      <c r="D68" s="3">
        <f ca="1">VLOOKUP(B68,Tabla4[],3,FALSE)</f>
        <v>69923.17</v>
      </c>
      <c r="E68" s="2">
        <f ca="1">VLOOKUP(B68,Tabla4[],5,FALSE)</f>
        <v>2517.8000000000002</v>
      </c>
      <c r="F68" s="2">
        <f ca="1">VLOOKUP(B68,Tabla4[],4,FALSE)</f>
        <v>1.61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311.74191738064206</v>
      </c>
      <c r="N68" s="27">
        <f t="shared" ca="1" si="59"/>
        <v>-0.13927677864978716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311.74191738064206</v>
      </c>
      <c r="W68" s="2">
        <f t="shared" si="62"/>
        <v>-350.00312382117602</v>
      </c>
      <c r="X68" s="32">
        <f t="shared" ca="1" si="63"/>
        <v>-0.13927677864978716</v>
      </c>
      <c r="Y68" s="2" t="str">
        <f t="shared" si="64"/>
        <v>ACTIVA</v>
      </c>
    </row>
    <row r="69" spans="2:25">
      <c r="B69" s="1">
        <f ca="1">TODAY()</f>
        <v>45597</v>
      </c>
      <c r="C69" s="2">
        <f ca="1">VLOOKUP(B69,Tabla4[],2,FALSE)</f>
        <v>4418.63</v>
      </c>
      <c r="D69" s="3">
        <f ca="1">VLOOKUP(B69,Tabla4[],3,FALSE)</f>
        <v>69923.17</v>
      </c>
      <c r="E69" s="2">
        <f ca="1">VLOOKUP(B69,Tabla4[],5,FALSE)</f>
        <v>2517.8000000000002</v>
      </c>
      <c r="F69" s="2">
        <f ca="1">VLOOKUP(B69,Tabla4[],4,FALSE)</f>
        <v>1.61</v>
      </c>
      <c r="G69" t="s">
        <v>14</v>
      </c>
      <c r="H69" s="1">
        <v>45593</v>
      </c>
      <c r="I69" s="3">
        <v>4241.6000000000004</v>
      </c>
      <c r="J69" s="3">
        <v>68763</v>
      </c>
      <c r="K69" s="25">
        <v>2.3999999999999999E-6</v>
      </c>
      <c r="L69" s="29">
        <f>Tabla6[[#This Row],[precio de compra]]*Tabla6[[#This Row],[cantidad]]*Tabla6[[#This Row],[PRECIO DEL DÓLAR, DIA COMPRA]]</f>
        <v>699.99633791999997</v>
      </c>
      <c r="M69" s="26">
        <f ca="1" xml:space="preserve"> K69 * (IF(G69="BTC", D69, IF(G69="ETH", E69, IF(G69="IO.NET", F69, 0)))) * C69</f>
        <v>741.51507997703993</v>
      </c>
      <c r="N69" s="27">
        <f ca="1">IF(G69 = "BTC", (D69 - J69) / J69,
 IF(G69 = "ETH", (E69 - J69) / J69,
 IF(G69 = "IO.NET", (F69 - J69) / J69,
 "Moneda no soportada")))</f>
        <v>1.6872009656355862E-2</v>
      </c>
      <c r="O69" s="28">
        <v>0.25</v>
      </c>
      <c r="P69" s="28">
        <v>0.5</v>
      </c>
      <c r="Q69" s="31" t="str">
        <f ca="1">IF(N69 &lt; O69, "MANTENER", IF(N69 &lt; P69, "VENTA PARCIAL", "VENDER"))</f>
        <v>MANTENER</v>
      </c>
      <c r="T69" s="2"/>
      <c r="U69" s="14">
        <f>Tabla6[[#This Row],[cantidad]]-Tabla6[[#This Row],[CANTIDAD VENDIDA]]</f>
        <v>2.3999999999999999E-6</v>
      </c>
      <c r="V69" s="2">
        <f ca="1">IF(G69="BTC", D69 * U69 * C69, IF(G69="ETH", E69 * U69 * C69, IF(G69="IO.NET", F69 * U69 * C69, 0)))</f>
        <v>741.51507997703993</v>
      </c>
      <c r="W69" s="2">
        <f>IF(G69 = "BTC", ((T69 - L69)), IF(G69 = "ETH", ((T69 - L69)), IF(G69 = "IO.NET", ((T69 - L69)), "Moneda no soportada")))</f>
        <v>-699.99633791999997</v>
      </c>
      <c r="X69" s="32">
        <f ca="1">IF(G69 = "BTC", (((D69 - J69) / J69)),IF(G69 = "ETH", ((E69 - J69) / J69), IF(G69 = "IO.NET", ((F69 - J69) / J69), "Moneda no soportada")))</f>
        <v>1.6872009656355862E-2</v>
      </c>
      <c r="Y69" s="2" t="str">
        <f>IF(U69=0,"VENDIDA","ACTIVA")</f>
        <v>ACTIVA</v>
      </c>
    </row>
    <row r="70" spans="2:25">
      <c r="B70" s="1">
        <f ca="1">TODAY()</f>
        <v>45597</v>
      </c>
      <c r="C70" s="2">
        <f ca="1">VLOOKUP(B70,Tabla4[],2,FALSE)</f>
        <v>4418.63</v>
      </c>
      <c r="D70" s="3">
        <f ca="1">VLOOKUP(B70,Tabla4[],3,FALSE)</f>
        <v>69923.17</v>
      </c>
      <c r="E70" s="2">
        <f ca="1">VLOOKUP(B70,Tabla4[],5,FALSE)</f>
        <v>2517.8000000000002</v>
      </c>
      <c r="F70" s="2">
        <f ca="1">VLOOKUP(B70,Tabla4[],4,FALSE)</f>
        <v>1.61</v>
      </c>
      <c r="G70" t="s">
        <v>15</v>
      </c>
      <c r="H70" s="1">
        <v>45593</v>
      </c>
      <c r="I70" s="3">
        <v>4241.6000000000004</v>
      </c>
      <c r="J70" s="3">
        <v>2529.6</v>
      </c>
      <c r="K70" s="25">
        <v>6.5240000000000006E-5</v>
      </c>
      <c r="L70" s="29">
        <f>Tabla6[[#This Row],[precio de compra]]*Tabla6[[#This Row],[cantidad]]*Tabla6[[#This Row],[PRECIO DEL DÓLAR, DIA COMPRA]]</f>
        <v>699.99593072640016</v>
      </c>
      <c r="M70" s="26">
        <f ca="1" xml:space="preserve"> K70 * (IF(G70="BTC", D70, IF(G70="ETH", E70, IF(G70="IO.NET", F70, 0)))) * C70</f>
        <v>725.80978429736012</v>
      </c>
      <c r="N70" s="27">
        <f ca="1">IF(G70 = "BTC", (D70 - J70) / J70,
 IF(G70 = "ETH", (E70 - J70) / J70,
 IF(G70 = "IO.NET", (F70 - J70) / J70,
 "Moneda no soportada")))</f>
        <v>-4.6647691334597277E-3</v>
      </c>
      <c r="O70" s="28">
        <v>0.25</v>
      </c>
      <c r="P70" s="28">
        <v>0.5</v>
      </c>
      <c r="Q70" s="31" t="str">
        <f ca="1">IF(N70 &lt; O70, "MANTENER", IF(N70 &lt; P70, "VENTA PARCIAL", "VENDER"))</f>
        <v>MANTENER</v>
      </c>
      <c r="T70" s="2"/>
      <c r="U70" s="14">
        <f>Tabla6[[#This Row],[cantidad]]-Tabla6[[#This Row],[CANTIDAD VENDIDA]]</f>
        <v>6.5240000000000006E-5</v>
      </c>
      <c r="V70" s="2">
        <f ca="1">IF(G70="BTC", D70 * U70 * C70, IF(G70="ETH", E70 * U70 * C70, IF(G70="IO.NET", F70 * U70 * C70, 0)))</f>
        <v>725.80978429736012</v>
      </c>
      <c r="W70" s="2">
        <f>IF(G70 = "BTC", ((T70 - L70)), IF(G70 = "ETH", ((T70 - L70)), IF(G70 = "IO.NET", ((T70 - L70)), "Moneda no soportada")))</f>
        <v>-699.99593072640016</v>
      </c>
      <c r="X70" s="32">
        <f ca="1">IF(G70 = "BTC", (((D70 - J70) / J70)),IF(G70 = "ETH", ((E70 - J70) / J70), IF(G70 = "IO.NET", ((F70 - J70) / J70), "Moneda no soportada")))</f>
        <v>-4.6647691334597277E-3</v>
      </c>
      <c r="Y70" s="2" t="str">
        <f>IF(U70=0,"VENDIDA","ACTIVA")</f>
        <v>ACTIVA</v>
      </c>
    </row>
    <row r="71" spans="2:25">
      <c r="B71" s="1">
        <f ca="1">TODAY()</f>
        <v>45597</v>
      </c>
      <c r="C71" s="2">
        <f ca="1">VLOOKUP(B71,Tabla4[],2,FALSE)</f>
        <v>4418.63</v>
      </c>
      <c r="D71" s="3">
        <f ca="1">VLOOKUP(B71,Tabla4[],3,FALSE)</f>
        <v>69923.17</v>
      </c>
      <c r="E71" s="2">
        <f ca="1">VLOOKUP(B71,Tabla4[],5,FALSE)</f>
        <v>2517.8000000000002</v>
      </c>
      <c r="F71" s="2">
        <f ca="1">VLOOKUP(B71,Tabla4[],4,FALSE)</f>
        <v>1.61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ca="1" xml:space="preserve"> K71 * (IF(G71="BTC", D71, IF(G71="ETH", E71, IF(G71="IO.NET", F71, 0)))) * C71</f>
        <v>339.38177715454606</v>
      </c>
      <c r="N71" s="27">
        <f ca="1">IF(G71 = "BTC", (D71 - J71) / J71,
 IF(G71 = "ETH", (E71 - J71) / J71,
 IF(G71 = "IO.NET", (F71 - J71) / J71,
 "Moneda no soportada")))</f>
        <v>-6.9197370627106514E-2</v>
      </c>
      <c r="O71" s="28">
        <v>0.1</v>
      </c>
      <c r="P71" s="28">
        <v>0.3</v>
      </c>
      <c r="Q71" s="31" t="str">
        <f ca="1">IF(N71 &lt; O71, "MANTENER", IF(N71 &lt; P71, "VENTA PARCIAL", "VENDER"))</f>
        <v>MANTENER</v>
      </c>
      <c r="T71" s="2"/>
      <c r="U71" s="14">
        <f>Tabla6[[#This Row],[cantidad]]-Tabla6[[#This Row],[CANTIDAD VENDIDA]]</f>
        <v>4.7706220000000001E-2</v>
      </c>
      <c r="V71" s="2">
        <f ca="1">IF(G71="BTC", D71 * U71 * C71, IF(G71="ETH", E71 * U71 * C71, IF(G71="IO.NET", F71 * U71 * C71, 0)))</f>
        <v>339.38177715454606</v>
      </c>
      <c r="W71" s="2">
        <f>IF(G71 = "BTC", ((T71 - L71)), IF(G71 = "ETH", ((T71 - L71)), IF(G71 = "IO.NET", ((T71 - L71)), "Moneda no soportada")))</f>
        <v>-350.00398704310692</v>
      </c>
      <c r="X71" s="32">
        <f ca="1">IF(G71 = "BTC", (((D71 - J71) / J71)),IF(G71 = "ETH", ((E71 - J71) / J71), IF(G71 = "IO.NET", ((F71 - J71) / J71), "Moneda no soportada")))</f>
        <v>-6.9197370627106514E-2</v>
      </c>
      <c r="Y71" s="2" t="str">
        <f>IF(U71=0,"VENDIDA","ACTIVA")</f>
        <v>ACTIVA</v>
      </c>
    </row>
  </sheetData>
  <conditionalFormatting sqref="B3:Z71">
    <cfRule type="expression" dxfId="78" priority="1">
      <formula>$Y:$Y="VENDIDA"</formula>
    </cfRule>
  </conditionalFormatting>
  <conditionalFormatting sqref="Q1:Q1048576">
    <cfRule type="containsText" dxfId="77" priority="9" operator="containsText" text="VENTA PARCIAL">
      <formula>NOT(ISERROR(SEARCH("VENTA PARCIAL",Q1)))</formula>
    </cfRule>
    <cfRule type="containsText" dxfId="76" priority="10" operator="containsText" text="MANTENER">
      <formula>NOT(ISERROR(SEARCH("MANTENER",Q1)))</formula>
    </cfRule>
  </conditionalFormatting>
  <conditionalFormatting sqref="Q3:Q71">
    <cfRule type="containsText" dxfId="75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A11" sqref="A11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45597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4293</v>
      </c>
      <c r="I3" s="7">
        <f t="shared" ref="I3:I8" ca="1" si="2">G3*H3</f>
        <v>754.39656909000007</v>
      </c>
      <c r="J3" s="7">
        <f>F3</f>
        <v>700.0019932698001</v>
      </c>
      <c r="K3" s="7">
        <f ca="1">Tabla5[[#This Row],[VALOR ACTUAL EN COP]]-Tabla5[[#This Row],[COSTO TOTAL EN COP]]</f>
        <v>54.394575820199975</v>
      </c>
      <c r="L3" s="10">
        <f t="shared" ref="L3:L8" ca="1" si="3">((I3-J3)/J3)</f>
        <v>7.7706315615068258E-2</v>
      </c>
      <c r="M3" s="7">
        <f>D3*1.1</f>
        <v>4381.8060000000005</v>
      </c>
    </row>
    <row r="4" spans="2:13">
      <c r="B4" s="1">
        <f t="shared" ca="1" si="0"/>
        <v>45597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4293</v>
      </c>
      <c r="I4" s="7">
        <f t="shared" ca="1" si="2"/>
        <v>862.53887043000009</v>
      </c>
      <c r="J4" s="7">
        <f t="shared" ref="J4:J9" si="5">F4+J3</f>
        <v>800.00200808240015</v>
      </c>
      <c r="K4" s="7">
        <f ca="1">Tabla5[[#This Row],[VALOR ACTUAL EN COP]]-Tabla5[[#This Row],[COSTO TOTAL EN COP]]</f>
        <v>62.536862347599936</v>
      </c>
      <c r="L4" s="10">
        <f t="shared" ca="1" si="3"/>
        <v>7.8170881717535196E-2</v>
      </c>
      <c r="M4" s="7">
        <f t="shared" ref="M4:M6" si="6">D4*1.1</f>
        <v>4366.7470000000003</v>
      </c>
    </row>
    <row r="5" spans="2:13">
      <c r="B5" s="1">
        <f t="shared" ref="B5:B10" ca="1" si="7">TODAY()</f>
        <v>45597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4293</v>
      </c>
      <c r="I5" s="22">
        <f t="shared" ca="1" si="2"/>
        <v>1611.2493610200002</v>
      </c>
      <c r="J5" s="8">
        <f t="shared" si="5"/>
        <v>1500.0018441134002</v>
      </c>
      <c r="K5" s="8">
        <f ca="1">Tabla5[[#This Row],[VALOR ACTUAL EN COP]]-Tabla5[[#This Row],[COSTO TOTAL EN COP]]</f>
        <v>111.24751690659991</v>
      </c>
      <c r="L5" s="10">
        <f t="shared" ca="1" si="3"/>
        <v>7.4164920092051292E-2</v>
      </c>
      <c r="M5" s="7">
        <f t="shared" si="6"/>
        <v>4415.07</v>
      </c>
    </row>
    <row r="6" spans="2:13">
      <c r="B6" s="1">
        <f t="shared" ca="1" si="7"/>
        <v>45597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4293</v>
      </c>
      <c r="I6" s="22">
        <f t="shared" ca="1" si="2"/>
        <v>2326.0879528200003</v>
      </c>
      <c r="J6" s="8">
        <f t="shared" si="5"/>
        <v>2200.0024981274005</v>
      </c>
      <c r="K6" s="8">
        <f ca="1">Tabla5[[#This Row],[VALOR ACTUAL EN COP]]-Tabla5[[#This Row],[COSTO TOTAL EN COP]]</f>
        <v>126.0854546925998</v>
      </c>
      <c r="L6" s="10">
        <f t="shared" ca="1" si="3"/>
        <v>5.731150523689009E-2</v>
      </c>
      <c r="M6" s="7">
        <f t="shared" si="6"/>
        <v>4624.2790000000005</v>
      </c>
    </row>
    <row r="7" spans="2:13">
      <c r="B7" s="1">
        <f t="shared" ca="1" si="7"/>
        <v>45597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4293</v>
      </c>
      <c r="I7" s="22">
        <f t="shared" ca="1" si="2"/>
        <v>3069.3151662299997</v>
      </c>
      <c r="J7" s="8">
        <f t="shared" si="5"/>
        <v>2900.0020379021007</v>
      </c>
      <c r="K7" s="8">
        <f ca="1">Tabla5[[#This Row],[VALOR ACTUAL EN COP]]-Tabla5[[#This Row],[COSTO TOTAL EN COP]]</f>
        <v>169.31312832789899</v>
      </c>
      <c r="L7" s="30">
        <f t="shared" ca="1" si="3"/>
        <v>5.8383796326702694E-2</v>
      </c>
      <c r="M7" s="8">
        <f t="shared" ref="M7:M12" si="8">D7*1.1</f>
        <v>4447.6410000000005</v>
      </c>
    </row>
    <row r="8" spans="2:13">
      <c r="B8" s="1">
        <f t="shared" ca="1" si="7"/>
        <v>45597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4293</v>
      </c>
      <c r="I8" s="22">
        <f t="shared" ca="1" si="2"/>
        <v>3828.55123422</v>
      </c>
      <c r="J8" s="8">
        <f t="shared" si="5"/>
        <v>3600.0024831079008</v>
      </c>
      <c r="K8" s="8">
        <f ca="1">Tabla5[[#This Row],[VALOR ACTUAL EN COP]]-Tabla5[[#This Row],[COSTO TOTAL EN COP]]</f>
        <v>228.54875111209913</v>
      </c>
      <c r="L8" s="30">
        <f t="shared" ca="1" si="3"/>
        <v>6.3485720408390331E-2</v>
      </c>
      <c r="M8" s="8">
        <f t="shared" si="8"/>
        <v>4353.866</v>
      </c>
    </row>
    <row r="9" spans="2:13">
      <c r="B9" s="1">
        <f t="shared" ca="1" si="7"/>
        <v>45597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4293</v>
      </c>
      <c r="I9" s="22">
        <f t="shared" ref="I9:I14" ca="1" si="10">G9*H9</f>
        <v>4586.1359568300004</v>
      </c>
      <c r="J9" s="8">
        <f t="shared" si="5"/>
        <v>4300.0015903715012</v>
      </c>
      <c r="K9" s="8">
        <f ca="1">Tabla5[[#This Row],[VALOR ACTUAL EN COP]]-Tabla5[[#This Row],[COSTO TOTAL EN COP]]</f>
        <v>286.13436645849924</v>
      </c>
      <c r="L9" s="30">
        <f t="shared" ref="L9:L14" ca="1" si="11">((I9-J9)/J9)</f>
        <v>6.6542851309452311E-2</v>
      </c>
      <c r="M9" s="8">
        <f t="shared" si="8"/>
        <v>4363.348</v>
      </c>
    </row>
    <row r="10" spans="2:13">
      <c r="B10" s="1">
        <f t="shared" ca="1" si="7"/>
        <v>45597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4293</v>
      </c>
      <c r="I10" s="22">
        <f t="shared" ca="1" si="10"/>
        <v>5338.3406918399996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338.33839132429875</v>
      </c>
      <c r="L10" s="30">
        <f t="shared" ca="1" si="11"/>
        <v>6.7667647130762815E-2</v>
      </c>
      <c r="M10" s="8">
        <f t="shared" si="8"/>
        <v>4394.5660000000007</v>
      </c>
    </row>
    <row r="11" spans="2:13">
      <c r="B11" s="1">
        <f t="shared" ref="B11:B16" ca="1" si="14">TODAY()</f>
        <v>45597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4293</v>
      </c>
      <c r="I11" s="22">
        <f t="shared" ca="1" si="10"/>
        <v>6074.5159229400006</v>
      </c>
      <c r="J11" s="8">
        <f t="shared" si="13"/>
        <v>5700.0015412237008</v>
      </c>
      <c r="K11" s="8">
        <f ca="1">Tabla5[[#This Row],[VALOR ACTUAL EN COP]]-Tabla5[[#This Row],[COSTO TOTAL EN COP]]</f>
        <v>374.51438171629979</v>
      </c>
      <c r="L11" s="30">
        <f t="shared" ca="1" si="11"/>
        <v>6.570425972830482E-2</v>
      </c>
      <c r="M11" s="8">
        <f t="shared" si="8"/>
        <v>4490.2440000000006</v>
      </c>
    </row>
    <row r="12" spans="2:13">
      <c r="B12" s="1">
        <f t="shared" ca="1" si="14"/>
        <v>45597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4293</v>
      </c>
      <c r="I12" s="22">
        <f t="shared" ca="1" si="10"/>
        <v>6801.3139541400005</v>
      </c>
      <c r="J12" s="8">
        <f t="shared" si="13"/>
        <v>6400.0013286877011</v>
      </c>
      <c r="K12" s="8">
        <f ca="1">Tabla5[[#This Row],[VALOR ACTUAL EN COP]]-Tabla5[[#This Row],[COSTO TOTAL EN COP]]</f>
        <v>401.31262545229947</v>
      </c>
      <c r="L12" s="30">
        <f t="shared" ca="1" si="11"/>
        <v>6.2705084708878853E-2</v>
      </c>
      <c r="M12" s="8">
        <f t="shared" si="8"/>
        <v>4548.1810000000005</v>
      </c>
    </row>
    <row r="13" spans="2:13">
      <c r="B13" s="1">
        <f t="shared" ca="1" si="14"/>
        <v>45597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4293</v>
      </c>
      <c r="I13" s="22">
        <f t="shared" ca="1" si="10"/>
        <v>7536.7630672200003</v>
      </c>
      <c r="J13" s="8">
        <f t="shared" si="13"/>
        <v>7100.0005267969009</v>
      </c>
      <c r="K13" s="8">
        <f ca="1">Tabla5[[#This Row],[VALOR ACTUAL EN COP]]-Tabla5[[#This Row],[COSTO TOTAL EN COP]]</f>
        <v>436.76254042309938</v>
      </c>
      <c r="L13" s="30">
        <f t="shared" ca="1" si="11"/>
        <v>6.151584619954116E-2</v>
      </c>
      <c r="M13" s="8">
        <f t="shared" ref="M13:M18" si="15">D13*1.1</f>
        <v>4494.6770000000006</v>
      </c>
    </row>
    <row r="14" spans="2:13">
      <c r="B14" s="1">
        <f t="shared" ca="1" si="14"/>
        <v>45597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4293</v>
      </c>
      <c r="I14" s="22">
        <f t="shared" ca="1" si="10"/>
        <v>8279.8026336000003</v>
      </c>
      <c r="J14" s="8">
        <f t="shared" si="13"/>
        <v>7799.999876784701</v>
      </c>
      <c r="K14" s="8">
        <f ca="1">Tabla5[[#This Row],[VALOR ACTUAL EN COP]]-Tabla5[[#This Row],[COSTO TOTAL EN COP]]</f>
        <v>479.80275681529929</v>
      </c>
      <c r="L14" s="30">
        <f t="shared" ca="1" si="11"/>
        <v>6.1513174922392763E-2</v>
      </c>
      <c r="M14" s="8">
        <f t="shared" si="15"/>
        <v>4448.7629999999999</v>
      </c>
    </row>
    <row r="15" spans="2:13">
      <c r="B15" s="1">
        <f t="shared" ca="1" si="14"/>
        <v>45597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4293</v>
      </c>
      <c r="I15" s="22">
        <f ca="1">G15*H15</f>
        <v>9024.2524934100002</v>
      </c>
      <c r="J15" s="8">
        <f t="shared" si="13"/>
        <v>8499.9995077186013</v>
      </c>
      <c r="K15" s="8">
        <f ca="1">Tabla5[[#This Row],[VALOR ACTUAL EN COP]]-Tabla5[[#This Row],[COSTO TOTAL EN COP]]</f>
        <v>524.25298569139886</v>
      </c>
      <c r="L15" s="30">
        <f ca="1">((I15-J15)/J15)</f>
        <v>6.1676825418088561E-2</v>
      </c>
      <c r="M15" s="8">
        <f t="shared" si="15"/>
        <v>4440.3370000000004</v>
      </c>
    </row>
    <row r="16" spans="2:13">
      <c r="B16" s="1">
        <f t="shared" ca="1" si="14"/>
        <v>45597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4293</v>
      </c>
      <c r="I16" s="22">
        <f ca="1">G16*H16</f>
        <v>9756.985940550001</v>
      </c>
      <c r="J16" s="8">
        <f>F16+J15</f>
        <v>9199.9997565142021</v>
      </c>
      <c r="K16" s="8">
        <f ca="1">Tabla5[[#This Row],[VALOR ACTUAL EN COP]]-Tabla5[[#This Row],[COSTO TOTAL EN COP]]</f>
        <v>556.98618403579894</v>
      </c>
      <c r="L16" s="30">
        <f ca="1">((I16-J16)/J16)</f>
        <v>6.0541978127925083E-2</v>
      </c>
      <c r="M16" s="8">
        <f t="shared" si="15"/>
        <v>4511.3420000000006</v>
      </c>
    </row>
    <row r="17" spans="2:13">
      <c r="B17" s="1">
        <f ca="1">TODAY()</f>
        <v>45597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4293</v>
      </c>
      <c r="I17" s="22">
        <f ca="1">G17*H17</f>
        <v>10470.942449640001</v>
      </c>
      <c r="J17" s="8">
        <f>F17+J16</f>
        <v>9899.9997712546028</v>
      </c>
      <c r="K17" s="8">
        <f ca="1">Tabla5[[#This Row],[VALOR ACTUAL EN COP]]-Tabla5[[#This Row],[COSTO TOTAL EN COP]]</f>
        <v>570.94267838539781</v>
      </c>
      <c r="L17" s="30">
        <f ca="1">((I17-J17)/J17)</f>
        <v>5.7670978947208969E-2</v>
      </c>
      <c r="M17" s="8">
        <f t="shared" si="15"/>
        <v>4629.9880000000003</v>
      </c>
    </row>
    <row r="18" spans="2:13">
      <c r="B18" s="1">
        <f ca="1">TODAY()</f>
        <v>45597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4293</v>
      </c>
      <c r="I18" s="22">
        <f ca="1">G18*H18</f>
        <v>11179.424568060002</v>
      </c>
      <c r="J18" s="8">
        <f>F18+J17</f>
        <v>10599.999247958604</v>
      </c>
      <c r="K18" s="8">
        <f ca="1">Tabla5[[#This Row],[VALOR ACTUAL EN COP]]-Tabla5[[#This Row],[COSTO TOTAL EN COP]]</f>
        <v>579.42532010139803</v>
      </c>
      <c r="L18" s="30">
        <f ca="1">((I18-J18)/J18)</f>
        <v>5.4662769925477722E-2</v>
      </c>
      <c r="M18" s="8">
        <f t="shared" si="15"/>
        <v>4665.7600000000011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opLeftCell="F1" workbookViewId="0">
      <selection activeCell="K18" sqref="K18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H15">
        <v>6.2749999999999994E-5</v>
      </c>
      <c r="I15" s="7">
        <v>4374.1000000000004</v>
      </c>
      <c r="J15" s="7">
        <v>72074</v>
      </c>
      <c r="K15" s="7">
        <f>H15*J15*I15</f>
        <v>19782.494933349997</v>
      </c>
      <c r="L15" s="14">
        <f>H15-D15</f>
        <v>1.0219999999999994E-5</v>
      </c>
      <c r="M15" s="8">
        <f>F15-J15</f>
        <v>-8288.1999999999971</v>
      </c>
      <c r="N15" s="7">
        <f>L15*J15*I15</f>
        <v>3221.9457883479981</v>
      </c>
      <c r="O15" s="8">
        <f>(K15-G15)/G15</f>
        <v>0.40601958352195555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H16">
        <v>1.28396E-3</v>
      </c>
      <c r="I16" s="7">
        <v>4374.1000000000004</v>
      </c>
      <c r="J16" s="7">
        <v>2630</v>
      </c>
      <c r="K16" s="7">
        <f>H16*J16*I16</f>
        <v>14770.525616680001</v>
      </c>
      <c r="L16" s="14">
        <f>H16-D16</f>
        <v>2.5434000000000003E-4</v>
      </c>
      <c r="M16" s="8">
        <f>F16-J16</f>
        <v>0.59999999999990905</v>
      </c>
      <c r="N16" s="7">
        <f>L16*J16*I16</f>
        <v>2925.8976022200009</v>
      </c>
      <c r="O16" s="8">
        <f>(K16-G16)/G16</f>
        <v>0.29869114269150576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H17">
        <v>0.91954166000000004</v>
      </c>
      <c r="I17" s="7">
        <v>4374.1000000000004</v>
      </c>
      <c r="J17" s="7">
        <v>1.68</v>
      </c>
      <c r="K17" s="7">
        <f>H17*J17*I17</f>
        <v>6757.2408540100814</v>
      </c>
      <c r="L17" s="14">
        <f>H17-D17</f>
        <v>0.18250943000000008</v>
      </c>
      <c r="M17" s="8">
        <f>F17-J17</f>
        <v>0.38000000000000012</v>
      </c>
      <c r="N17" s="7">
        <f>L17*J17*I17</f>
        <v>1341.1683562418407</v>
      </c>
      <c r="O17" s="8">
        <f>(K17-G17)/G17</f>
        <v>5.9881747695104723E-2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H18">
        <v>2.63210867</v>
      </c>
      <c r="I18" s="7">
        <v>4374.1000000000004</v>
      </c>
      <c r="J18" s="7">
        <v>1</v>
      </c>
      <c r="K18" s="7">
        <f>H18*J18*I18</f>
        <v>11513.106533447</v>
      </c>
      <c r="L18" s="14">
        <f>H18-D18</f>
        <v>0.69844295000000001</v>
      </c>
      <c r="M18" s="8">
        <f>F18-J18</f>
        <v>0</v>
      </c>
      <c r="N18" s="7">
        <f>L18*J18*I18</f>
        <v>3055.0593075950001</v>
      </c>
      <c r="O18" s="8">
        <f>(K18-G18)/G18</f>
        <v>0.41792362727923671</v>
      </c>
    </row>
    <row r="19" spans="2:15">
      <c r="B19" s="17" t="s">
        <v>112</v>
      </c>
      <c r="C19" t="s">
        <v>14</v>
      </c>
      <c r="D19">
        <v>6.2749999999999994E-5</v>
      </c>
      <c r="E19" s="7">
        <v>4418.63</v>
      </c>
      <c r="F19" s="7">
        <v>69923.17</v>
      </c>
      <c r="G19" s="7">
        <f>D19*F19*E19</f>
        <v>19387.529695233025</v>
      </c>
      <c r="K19">
        <f>H19*J19*I19</f>
        <v>0</v>
      </c>
      <c r="L19" s="14">
        <f>H19-D19</f>
        <v>-6.2749999999999994E-5</v>
      </c>
      <c r="M19" s="8">
        <f>F19-J19</f>
        <v>69923.17</v>
      </c>
      <c r="N19">
        <f>L19*J19*I19</f>
        <v>0</v>
      </c>
      <c r="O19" s="8">
        <f>(K19-G19)/G19</f>
        <v>-1</v>
      </c>
    </row>
    <row r="20" spans="2:15">
      <c r="B20" s="17" t="s">
        <v>112</v>
      </c>
      <c r="C20" t="s">
        <v>15</v>
      </c>
      <c r="D20">
        <v>1.28396E-3</v>
      </c>
      <c r="E20" s="7">
        <v>4418.63</v>
      </c>
      <c r="F20" s="7">
        <v>2517.8000000000002</v>
      </c>
      <c r="G20" s="7">
        <f>D20*F20*E20</f>
        <v>14284.345963311442</v>
      </c>
      <c r="K20">
        <f>H20*J20*I20</f>
        <v>0</v>
      </c>
      <c r="L20" s="14">
        <f>H20-D20</f>
        <v>-1.28396E-3</v>
      </c>
      <c r="M20" s="8">
        <f>F20-J20</f>
        <v>2517.8000000000002</v>
      </c>
      <c r="N20">
        <f>L20*J20*I20</f>
        <v>0</v>
      </c>
      <c r="O20" s="8">
        <f>(K20-G20)/G20</f>
        <v>-1</v>
      </c>
    </row>
    <row r="21" spans="2:15">
      <c r="B21" s="17" t="s">
        <v>112</v>
      </c>
      <c r="C21" t="s">
        <v>41</v>
      </c>
      <c r="D21">
        <v>0.91954166000000004</v>
      </c>
      <c r="E21" s="7">
        <v>4418.63</v>
      </c>
      <c r="F21" s="7">
        <v>1.61</v>
      </c>
      <c r="G21" s="7">
        <f>D21*F21*E21</f>
        <v>6541.6141278525392</v>
      </c>
      <c r="K21">
        <f>H21*J21*I21</f>
        <v>0</v>
      </c>
      <c r="L21" s="14">
        <f>H21-D21</f>
        <v>-0.91954166000000004</v>
      </c>
      <c r="M21" s="8">
        <f>F21-J21</f>
        <v>1.61</v>
      </c>
      <c r="N21">
        <f>L21*J21*I21</f>
        <v>0</v>
      </c>
      <c r="O21" s="8">
        <f>(K21-G21)/G21</f>
        <v>-1</v>
      </c>
    </row>
    <row r="22" spans="2:15">
      <c r="B22" s="17" t="s">
        <v>112</v>
      </c>
      <c r="C22" t="s">
        <v>63</v>
      </c>
      <c r="D22">
        <v>2.63210867</v>
      </c>
      <c r="E22" s="7">
        <v>4418.63</v>
      </c>
      <c r="F22" s="7">
        <v>1</v>
      </c>
      <c r="G22" s="7">
        <f>D22*F22*E22</f>
        <v>11630.314332522101</v>
      </c>
      <c r="K22">
        <f>H22*J22*I22</f>
        <v>0</v>
      </c>
      <c r="L22" s="14">
        <f>H22-D22</f>
        <v>-2.63210867</v>
      </c>
      <c r="M22" s="8">
        <f>F22-J22</f>
        <v>1</v>
      </c>
      <c r="N22">
        <f>L22*J22*I22</f>
        <v>0</v>
      </c>
      <c r="O22" s="8">
        <f>(K22-G22)/G22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6"/>
  <sheetViews>
    <sheetView tabSelected="1" topLeftCell="A67" workbookViewId="0">
      <selection activeCell="M86" activeCellId="2" sqref="G86 J86 M86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  <row r="83" spans="2:13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</row>
    <row r="84" spans="2:13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</row>
    <row r="85" spans="2:13">
      <c r="B85" s="1">
        <v>45595</v>
      </c>
      <c r="C85" s="8">
        <f>VLOOKUP(B85,Tabla4[],2,FALSE)</f>
        <v>4323.01</v>
      </c>
      <c r="D85" s="24">
        <v>533.16</v>
      </c>
      <c r="E85" s="8">
        <f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</row>
    <row r="86" spans="2:13">
      <c r="B86" s="1">
        <v>45597</v>
      </c>
      <c r="C86" s="8">
        <f>VLOOKUP(B86,Tabla4[],2,FALSE)</f>
        <v>4418.63</v>
      </c>
      <c r="D86" s="24">
        <v>522.66999999999996</v>
      </c>
      <c r="E86" s="8">
        <f>0.01518 * D86</f>
        <v>7.9341305999999996</v>
      </c>
      <c r="F86" s="8">
        <f>Tabla2[[#This Row],[VALOR INVERSION 1]]-7.7</f>
        <v>0.23413059999999941</v>
      </c>
      <c r="G86" s="8">
        <f>Tabla2[[#This Row],[VALOR INVERSION 1]]*Tabla2[[#This Row],[PRECIO DEL DÓLAR]]</f>
        <v>35057.987493077999</v>
      </c>
      <c r="H86" s="8">
        <f>Tabla2[[#This Row],[VOO]]*0.01527</f>
        <v>7.9811708999999995</v>
      </c>
      <c r="I86" s="8">
        <f>Tabla2[[#This Row],[VALOR INVERSION 2]]-7.9</f>
        <v>8.1170899999999158E-2</v>
      </c>
      <c r="J86" s="8">
        <f>Tabla2[[#This Row],[VALOR INVERSION 2]]*Tabla2[[#This Row],[PRECIO DEL DÓLAR]]</f>
        <v>35265.841173866997</v>
      </c>
      <c r="K86" s="8">
        <f>Tabla2[[#This Row],[VOO]]*0.01284</f>
        <v>6.7110827999999998</v>
      </c>
      <c r="L86" s="8">
        <f>Tabla2[[#This Row],[VALOR INVERSION 3]]-6.9</f>
        <v>-0.18891720000000056</v>
      </c>
      <c r="M86" s="8">
        <f>Tabla2[[#This Row],[VALOR INVERSION 3]]*Tabla2[[#This Row],[PRECIO DEL DÓLAR]]</f>
        <v>29653.791792563999</v>
      </c>
    </row>
  </sheetData>
  <conditionalFormatting sqref="F3:F86">
    <cfRule type="cellIs" dxfId="47" priority="8" operator="greaterThan">
      <formula>0</formula>
    </cfRule>
    <cfRule type="cellIs" dxfId="46" priority="9" operator="lessThan">
      <formula>0</formula>
    </cfRule>
  </conditionalFormatting>
  <conditionalFormatting sqref="I3:I86">
    <cfRule type="cellIs" dxfId="45" priority="5" operator="lessThan">
      <formula>0</formula>
    </cfRule>
  </conditionalFormatting>
  <conditionalFormatting sqref="I3:I86">
    <cfRule type="cellIs" dxfId="44" priority="4" operator="greaterThan">
      <formula>0</formula>
    </cfRule>
  </conditionalFormatting>
  <conditionalFormatting sqref="L75:L80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45597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>
        <f ca="1">VLOOKUP(B3,Tabla2[],3,FALSE)</f>
        <v>522.66999999999996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45597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>
        <f ca="1">VLOOKUP(B4,Tabla2[],3,FALSE)</f>
        <v>522.66999999999996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45597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>
        <f ca="1">VLOOKUP(B5,Tabla2[],3,FALSE)</f>
        <v>522.66999999999996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45597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>
        <f ca="1">VLOOKUP(B6,Tabla2[],3,FALSE)</f>
        <v>522.66999999999996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45597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>
        <f ca="1">VLOOKUP(B7,Tabla2[],3,FALSE)</f>
        <v>522.66999999999996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45597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>
        <f ca="1">VLOOKUP(B8,Tabla2[],3,FALSE)</f>
        <v>522.66999999999996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>
        <f ca="1">ROUND(IF(J8="KO",N8*C8,IF(J8="JNJ",N8*D8,IF(J8="PG",N8*E8,IF(J8="PEP",N8*F8,IF(J8="MSFT",N8*G8,IF(J8="MCD",N8*H8,IF(J8="VOO",N8*I8,0))))))),2)</f>
        <v>7.94</v>
      </c>
      <c r="P8" s="18"/>
      <c r="Q8" s="7"/>
      <c r="R8" s="7">
        <f t="shared" si="3"/>
        <v>0</v>
      </c>
      <c r="S8" s="7">
        <f t="shared" ca="1" si="4"/>
        <v>0.24</v>
      </c>
      <c r="T8" s="9">
        <f t="shared" ca="1" si="5"/>
        <v>0.03</v>
      </c>
    </row>
    <row r="9" spans="2:20">
      <c r="B9" s="1">
        <f t="shared" ca="1" si="0"/>
        <v>45597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>
        <f ca="1">VLOOKUP(B9,Tabla2[],3,FALSE)</f>
        <v>522.66999999999996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45597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>
        <f ca="1">VLOOKUP(B10,Tabla2[],3,FALSE)</f>
        <v>522.66999999999996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45597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>
        <f ca="1">VLOOKUP(B11,Tabla2[],3,FALSE)</f>
        <v>522.66999999999996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45597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>
        <f ca="1">VLOOKUP(B12,Tabla2[],3,FALSE)</f>
        <v>522.66999999999996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45597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>
        <f ca="1">VLOOKUP(B13,Tabla2[],3,FALSE)</f>
        <v>522.66999999999996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45597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>
        <f ca="1">VLOOKUP(B14,Tabla2[],3,FALSE)</f>
        <v>522.66999999999996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2024-11-01T16:27:42Z</dcterms:modified>
</cp:coreProperties>
</file>