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LZA RAMIREZ\sebastian carrero\programacion\proyectos2024\documentos\"/>
    </mc:Choice>
  </mc:AlternateContent>
  <bookViews>
    <workbookView xWindow="-120" yWindow="-120" windowWidth="20640" windowHeight="11160" tabRatio="748" firstSheet="2" activeTab="2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7" l="1"/>
  <c r="G34" i="7" s="1"/>
  <c r="E34" i="7"/>
  <c r="F34" i="7"/>
  <c r="C46" i="6" l="1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K7" i="10" l="1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H16" i="13"/>
  <c r="H15" i="13"/>
  <c r="H14" i="13"/>
  <c r="H13" i="13"/>
  <c r="H12" i="1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H11" i="13"/>
  <c r="H10" i="13"/>
  <c r="H4" i="13"/>
  <c r="H5" i="13"/>
  <c r="H6" i="13"/>
  <c r="H7" i="13"/>
  <c r="H8" i="13"/>
  <c r="H9" i="13"/>
  <c r="N5" i="13" s="1"/>
  <c r="H3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M37" i="9" l="1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<sst xmlns="http://schemas.openxmlformats.org/spreadsheetml/2006/main" count="239" uniqueCount="114">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</sst>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44" fontId="4" fillId="2" borderId="0" xfId="2" applyFont="1" applyFill="1"/>
  </cellXfs>
  <cellStyles count="3">
    <cellStyle name="Moneda" xfId="2" builtinId="4"/>
    <cellStyle name="Normal" xfId="0" builtinId="0"/>
    <cellStyle name="Porcentaje" xfId="1" builtinId="5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02"/>
      <tableStyleElement type="headerRow" dxfId="101"/>
      <tableStyleElement type="secondRowStripe" dxfId="100"/>
    </tableStyle>
    <tableStyle name="Estilo de tabla 2" pivot="0" count="5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>
      <tableStyleElement type="headerRow" dxfId="94"/>
      <tableStyleElement type="firstRowStripe" dxfId="93"/>
      <tableStyleElement type="secondRowStripe" dxfId="92"/>
    </tableStyle>
    <tableStyle name="Estilo de tabla 4" pivot="0" count="4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CRIPTOS!$C$3:$C$119</c:f>
              <c:numCache>
                <c:formatCode>_-[$$-240A]\ * #,##0.00_-;\-[$$-240A]\ * #,##0.00_-;_-[$$-240A]\ * "-"??_-;_-@_-</c:formatCode>
                <c:ptCount val="117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CRIPTOS!$D$3:$D$119</c:f>
              <c:numCache>
                <c:formatCode>_-[$$-240A]\ * #,##0.00_-;\-[$$-240A]\ * #,##0.00_-;_-[$$-240A]\ * "-"??_-;_-@_-</c:formatCode>
                <c:ptCount val="117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59441.99</c:v>
                </c:pt>
                <c:pt idx="115">
                  <c:v>58427.35</c:v>
                </c:pt>
                <c:pt idx="116">
                  <c:v>59064.9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CRIPTOS!$E$3:$E$119</c:f>
              <c:numCache>
                <c:formatCode>_-[$$-240A]\ * #,##0.00_-;\-[$$-240A]\ * #,##0.00_-;_-[$$-240A]\ * "-"??_-;_-@_-</c:formatCode>
                <c:ptCount val="117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1.74</c:v>
                </c:pt>
                <c:pt idx="115">
                  <c:v>1.72</c:v>
                </c:pt>
                <c:pt idx="116">
                  <c:v>1.69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CRIPTOS!$F$3:$F$119</c:f>
              <c:numCache>
                <c:formatCode>_-[$$-240A]\ * #,##0.00_-;\-[$$-240A]\ * #,##0.00_-;_-[$$-240A]\ * "-"??_-;_-@_-</c:formatCode>
                <c:ptCount val="117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2614.6999999999998</c:v>
                </c:pt>
                <c:pt idx="115">
                  <c:v>2611.4</c:v>
                </c:pt>
                <c:pt idx="116">
                  <c:v>2617.6999999999998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CRIPTOS!$G$3:$G$119</c:f>
              <c:numCache>
                <c:formatCode>_-[$$-240A]\ * #,##0.00_-;\-[$$-240A]\ * #,##0.00_-;_-[$$-240A]\ * "-"??_-;_-@_-</c:formatCode>
                <c:ptCount val="117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3948</c:v>
                </c:pt>
                <c:pt idx="115">
                  <c:v>3883</c:v>
                </c:pt>
                <c:pt idx="116">
                  <c:v>3937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01288512"/>
        <c:axId val="-1501292320"/>
      </c:lineChart>
      <c:dateAx>
        <c:axId val="-150128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92320"/>
        <c:crosses val="autoZero"/>
        <c:auto val="1"/>
        <c:lblOffset val="100"/>
        <c:baseTimeUnit val="days"/>
      </c:dateAx>
      <c:valAx>
        <c:axId val="-15012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45523</c:v>
                </c:pt>
              </c:numCache>
            </c:numRef>
          </c:cat>
          <c:val>
            <c:numRef>
              <c:f>'Inv Bolsa'!$C$3:$C$34</c:f>
              <c:numCache>
                <c:formatCode>_("$"* #,##0.00_);_("$"* \(#,##0.00\);_("$"* "-"??_);_(@_)</c:formatCode>
                <c:ptCount val="32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4030.16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45523</c:v>
                </c:pt>
              </c:numCache>
            </c:numRef>
          </c:cat>
          <c:val>
            <c:numRef>
              <c:f>'Inv Bolsa'!$D$3:$D$34</c:f>
              <c:numCache>
                <c:formatCode>_("$"* #,##0.00_);_("$"* \(#,##0.00\);_("$"* "-"??_);_(@_)</c:formatCode>
                <c:ptCount val="32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514.35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45523</c:v>
                </c:pt>
              </c:numCache>
            </c:numRef>
          </c:cat>
          <c:val>
            <c:numRef>
              <c:f>'Inv Bolsa'!$E$3:$E$34</c:f>
              <c:numCache>
                <c:formatCode>_("$"* #,##0.00_);_("$"* \(#,##0.00\);_("$"* "-"??_);_(@_)</c:formatCode>
                <c:ptCount val="32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7.8078330000000005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45523</c:v>
                </c:pt>
              </c:numCache>
            </c:numRef>
          </c:cat>
          <c:val>
            <c:numRef>
              <c:f>'Inv Bolsa'!$F$3:$F$34</c:f>
              <c:numCache>
                <c:formatCode>_("$"* #,##0.00_);_("$"* \(#,##0.00\);_("$"* "-"??_);_(@_)</c:formatCode>
                <c:ptCount val="32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0.10783300000000029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45523</c:v>
                </c:pt>
              </c:numCache>
            </c:numRef>
          </c:cat>
          <c:val>
            <c:numRef>
              <c:f>'Inv Bolsa'!$G$3:$G$34</c:f>
              <c:numCache>
                <c:formatCode>_("$"* #,##0.00_);_("$"* \(#,##0.00\);_("$"* "-"??_);_(@_)</c:formatCode>
                <c:ptCount val="32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31466.816243280002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1287968"/>
        <c:axId val="-1501291776"/>
      </c:lineChart>
      <c:dateAx>
        <c:axId val="-150128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91776"/>
        <c:crosses val="autoZero"/>
        <c:auto val="1"/>
        <c:lblOffset val="100"/>
        <c:baseTimeUnit val="days"/>
      </c:dateAx>
      <c:valAx>
        <c:axId val="-1501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BOLSA!$C$3:$C$46</c:f>
              <c:numCache>
                <c:formatCode>_-[$$-240A]\ * #,##0.00_-;\-[$$-240A]\ * #,##0.00_-;_-[$$-240A]\ * "-"??_-;_-@_-</c:formatCode>
                <c:ptCount val="44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BOLSA!$D$3:$D$46</c:f>
              <c:numCache>
                <c:formatCode>_-[$$-240A]\ * #,##0.00_-;\-[$$-240A]\ * #,##0.00_-;_-[$$-240A]\ * "-"??_-;_-@_-</c:formatCode>
                <c:ptCount val="44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BOLSA!$E$3:$E$46</c:f>
              <c:numCache>
                <c:formatCode>_-[$$-240A]\ * #,##0.00_-;\-[$$-240A]\ * #,##0.00_-;_-[$$-240A]\ * "-"??_-;_-@_-</c:formatCode>
                <c:ptCount val="44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01285248"/>
        <c:axId val="-1501297760"/>
      </c:lineChart>
      <c:dateAx>
        <c:axId val="-150128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97760"/>
        <c:crosses val="autoZero"/>
        <c:auto val="1"/>
        <c:lblOffset val="100"/>
        <c:baseTimeUnit val="days"/>
      </c:dateAx>
      <c:valAx>
        <c:axId val="-1501297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BOLSA!$F$3:$F$46</c:f>
              <c:numCache>
                <c:formatCode>_-[$$-240A]\ * #,##0.00_-;\-[$$-240A]\ * #,##0.00_-;_-[$$-240A]\ * "-"??_-;_-@_-</c:formatCode>
                <c:ptCount val="44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BOLSA!$G$3:$G$46</c:f>
              <c:numCache>
                <c:formatCode>_-[$$-240A]\ * #,##0.00_-;\-[$$-240A]\ * #,##0.00_-;_-[$$-240A]\ * "-"??_-;_-@_-</c:formatCode>
                <c:ptCount val="44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BOLSA!$H$3:$H$46</c:f>
              <c:numCache>
                <c:formatCode>_-[$$-240A]\ * #,##0.00_-;\-[$$-240A]\ * #,##0.00_-;_-[$$-240A]\ * "-"??_-;_-@_-</c:formatCode>
                <c:ptCount val="44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BOLSA!$I$3:$I$46</c:f>
              <c:numCache>
                <c:formatCode>_-[$$-240A]\ * #,##0.00_-;\-[$$-240A]\ * #,##0.00_-;_-[$$-240A]\ * "-"??_-;_-@_-</c:formatCode>
                <c:ptCount val="44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BOLSA!$J$3:$J$46</c:f>
              <c:numCache>
                <c:formatCode>_-[$$-240A]\ * #,##0.00_-;\-[$$-240A]\ * #,##0.00_-;_-[$$-240A]\ * "-"??_-;_-@_-</c:formatCode>
                <c:ptCount val="44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BOLSA!$K$3:$K$46</c:f>
              <c:numCache>
                <c:formatCode>_-[$$-240A]\ * #,##0.00_-;\-[$$-240A]\ * #,##0.00_-;_-[$$-240A]\ * "-"??_-;_-@_-</c:formatCode>
                <c:ptCount val="44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01295584"/>
        <c:axId val="-1501297216"/>
      </c:lineChart>
      <c:dateAx>
        <c:axId val="-150129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97216"/>
        <c:crosses val="autoZero"/>
        <c:auto val="1"/>
        <c:lblOffset val="100"/>
        <c:baseTimeUnit val="days"/>
      </c:dateAx>
      <c:valAx>
        <c:axId val="-15012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012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16" totalsRowShown="0">
  <autoFilter ref="B2:I16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81" dataCellStyle="Moneda"/>
    <tableColumn id="4" name="CAPITAL A FIN DE MES" dataCellStyle="Moneda"/>
    <tableColumn id="5" name="GANANCIA/PERDIDA" dataCellStyle="Moneda">
      <calculatedColumnFormula>G3-E3</calculatedColumnFormula>
    </tableColumn>
    <tableColumn id="6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K2:O6" totalsRowShown="0">
  <autoFilter ref="K2:O6"/>
  <tableColumns count="5">
    <tableColumn id="1" name="TIPO DE INVERSION"/>
    <tableColumn id="2" name="CAPITAL INICIAL TOTAL" dataCellStyle="Moneda"/>
    <tableColumn id="3" name="CAPITAL FINAL TOTAL" dataCellStyle="Moneda"/>
    <tableColumn id="6" name="TOTAL G/P" dataDxfId="80" dataCellStyle="Moneda">
      <calculatedColumnFormula>SUMIF(C:C,"CRIPTOMONEDA",H:H)</calculatedColumnFormula>
    </tableColumn>
    <tableColumn id="4" name="% DEL TOTAL CAPITAL" dataDxfId="79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0" totalsRowShown="0" headerRowDxfId="78">
  <autoFilter ref="B2:J10"/>
  <tableColumns count="9">
    <tableColumn id="1" name="MES"/>
    <tableColumn id="2" name="CUENTA"/>
    <tableColumn id="3" name="CANTIDAD INICIAL" dataDxfId="77"/>
    <tableColumn id="4" name="CAPITAL INVERTIDO" dataDxfId="76"/>
    <tableColumn id="5" name="INTERES OBTENIDO" dataDxfId="75"/>
    <tableColumn id="6" name="PORCENTAJE DE INTERES" dataDxfId="74" dataCellStyle="Porcentaje">
      <calculatedColumnFormula>(F3/(D3+E3))</calculatedColumnFormula>
    </tableColumn>
    <tableColumn id="7" name="RETIROS DE CAPITAL" dataDxfId="73"/>
    <tableColumn id="8" name="TOTAL CAPITAL FIN DE MES" dataDxfId="72">
      <calculatedColumnFormula>D3+E3+F3-H3</calculatedColumnFormula>
    </tableColumn>
    <tableColumn id="9" name="RENTABILIDAD" dataDxfId="71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19" totalsRowShown="0">
  <autoFilter ref="B2:G119"/>
  <tableColumns count="6">
    <tableColumn id="1" name="FECHA" dataDxfId="70"/>
    <tableColumn id="2" name="DÓLAR" dataDxfId="69"/>
    <tableColumn id="3" name="BITCOIN" dataDxfId="68"/>
    <tableColumn id="5" name="io.net" dataDxfId="67"/>
    <tableColumn id="4" name="ETHEREUM" dataDxfId="66"/>
    <tableColumn id="6" name="USDT" dataDxfId="65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38" totalsRowShown="0">
  <autoFilter ref="B2:Z38">
    <filterColumn colId="23">
      <filters>
        <filter val="ACTIVA"/>
      </filters>
    </filterColumn>
  </autoFilter>
  <tableColumns count="25">
    <tableColumn id="1" name="fecha act" dataDxfId="60">
      <calculatedColumnFormula>TODAY()</calculatedColumnFormula>
    </tableColumn>
    <tableColumn id="2" name="precio actual dólar" dataDxfId="59">
      <calculatedColumnFormula>VLOOKUP(B3,Tabla4[],2,FALSE)</calculatedColumnFormula>
    </tableColumn>
    <tableColumn id="3" name="precio actual btc" dataDxfId="58">
      <calculatedColumnFormula>VLOOKUP(B3,Tabla4[],3,FALSE)</calculatedColumnFormula>
    </tableColumn>
    <tableColumn id="4" name="precio actul eth" dataDxfId="57">
      <calculatedColumnFormula>VLOOKUP(B3,Tabla4[],5,FALSE)</calculatedColumnFormula>
    </tableColumn>
    <tableColumn id="5" name="precio actual io.net" dataDxfId="56">
      <calculatedColumnFormula>VLOOKUP(B3,Tabla4[],4,FALSE)</calculatedColumnFormula>
    </tableColumn>
    <tableColumn id="6" name="moneda"/>
    <tableColumn id="27" name="FECHA COMPRA"/>
    <tableColumn id="20" name="PRECIO DEL DÓLAR, DIA COMPRA" dataDxfId="55">
      <calculatedColumnFormula>VLOOKUP(H3,Tabla4[],2,FALSE)</calculatedColumnFormula>
    </tableColumn>
    <tableColumn id="7" name="precio de compra" dataDxfId="54"/>
    <tableColumn id="8" name="cantidad" dataDxfId="53" dataCellStyle="Porcentaje"/>
    <tableColumn id="18" name="COSTO DE COMPRA" dataDxfId="52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51" dataCellStyle="Porcentaje">
      <calculatedColumnFormula xml:space="preserve"> K3 * (IF(G3="BTC", D3, IF(G3="ETH", E3, IF(G3="IO.NET", F3, 0)))) * C3</calculatedColumnFormula>
    </tableColumn>
    <tableColumn id="9" name="rentabilidad" dataDxfId="50" dataCellStyle="Porcentaje">
      <calculatedColumnFormula>IF(G3 = "BTC", (D3 - J3) / J3,
 IF(G3 = "ETH", (E3 - J3) / J3,
 IF(G3 = "IO.NET", (F3 - J3) / J3,
 "Moneda no soportada")))</calculatedColumnFormula>
    </tableColumn>
    <tableColumn id="10" name="meta1" dataDxfId="49" dataCellStyle="Porcentaje"/>
    <tableColumn id="11" name="META2" dataDxfId="48" dataCellStyle="Porcentaje"/>
    <tableColumn id="12" name="ACCION" dataDxfId="47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46"/>
    <tableColumn id="23" name="INVENTARIO" dataDxfId="45">
      <calculatedColumnFormula>Tabla6[[#This Row],[cantidad]]-Tabla6[[#This Row],[CANTIDAD VENDIDA]]</calculatedColumnFormula>
    </tableColumn>
    <tableColumn id="24" name="VALOR ACTUAL" dataDxfId="44">
      <calculatedColumnFormula>IF(G3="BTC", D3 * U3 * C3, IF(G3="ETH", E3 * U3 * C3, IF(G3="IO.NET", F3 * U3 * C3, 0)))</calculatedColumnFormula>
    </tableColumn>
    <tableColumn id="15" name="GANANCIA/PERDIDA" dataDxfId="43">
      <calculatedColumnFormula>IF(G3 = "BTC", ((T3 - L3)), IF(G3 = "ETH", ((T3 - L3)), IF(G3 = "IO.NET", ((T3 - L3)), "Moneda no soportada")))</calculatedColumnFormula>
    </tableColumn>
    <tableColumn id="25" name="RENTABILIDAD TOTAL" dataDxfId="42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41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L7" totalsRowShown="0">
  <autoFilter ref="B2:L7"/>
  <tableColumns count="11">
    <tableColumn id="1" name="FECHA ACT" dataDxfId="40">
      <calculatedColumnFormula>TODAY()</calculatedColumnFormula>
    </tableColumn>
    <tableColumn id="11" name="FECHA COMPRA" dataDxfId="39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38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9" name="RENTABILIDAD" dataDxfId="37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0" totalsRowShown="0">
  <autoFilter ref="B2:O10"/>
  <tableColumns count="14">
    <tableColumn id="1" name="MES" dataDxfId="36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>
      <calculatedColumnFormula>J3-F3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G34" totalsRowShown="0">
  <autoFilter ref="B2:G34"/>
  <tableColumns count="6">
    <tableColumn id="1" name="FECHA" dataDxfId="35"/>
    <tableColumn id="5" name="PRECIO DEL DÓLAR" dataDxfId="34">
      <calculatedColumnFormula>VLOOKUP(B3,Tabla4[],2,FALSE)</calculatedColumnFormula>
    </tableColumn>
    <tableColumn id="2" name="VOO" dataDxfId="33" dataCellStyle="Moneda"/>
    <tableColumn id="3" name="VALOR INVERSION 1" dataDxfId="32">
      <calculatedColumnFormula>0.01518 * D3</calculatedColumnFormula>
    </tableColumn>
    <tableColumn id="4" name="GAN/PER" dataDxfId="31">
      <calculatedColumnFormula>Tabla2[[#This Row],[VALOR INVERSION 1]]-7.7</calculatedColumnFormula>
    </tableColumn>
    <tableColumn id="6" name="VALOR EN COP" dataDxfId="30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46" totalsRowShown="0" headerRowDxfId="29">
  <autoFilter ref="B2:K46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workbookViewId="0">
      <selection activeCell="F16" sqref="F16"/>
    </sheetView>
  </sheetViews>
  <sheetFormatPr baseColWidth="10" defaultRowHeight="14.25"/>
  <cols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1" max="11" width="20.875" customWidth="1"/>
    <col min="12" max="12" width="23.75" customWidth="1"/>
    <col min="13" max="14" width="22.125" customWidth="1"/>
    <col min="15" max="15" width="22.625" customWidth="1"/>
  </cols>
  <sheetData>
    <row r="2" spans="2:1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>
      <c r="B3" t="s">
        <v>65</v>
      </c>
      <c r="C3" t="s">
        <v>102</v>
      </c>
      <c r="D3" t="s">
        <v>94</v>
      </c>
      <c r="E3" s="7">
        <v>18566.62</v>
      </c>
      <c r="F3" s="7">
        <v>6000</v>
      </c>
      <c r="G3" s="7">
        <v>24997.599999999999</v>
      </c>
      <c r="H3" s="7">
        <f>(Tabla8[[#This Row],[CAPITAL A FIN DE MES]]-(Tabla8[[#This Row],[CAPITAL A INICIO DE MES]]+Tabla8[[#This Row],[CAPITAL INVERTIDO ESTE MES]]))</f>
        <v>430.97999999999956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-31296.62</v>
      </c>
      <c r="O3" s="9">
        <f>M3/SUM(M3:M5)</f>
        <v>0.36574904245808215</v>
      </c>
    </row>
    <row r="4" spans="2:1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-17275.829999999998</v>
      </c>
      <c r="O4" s="9">
        <f t="shared" ref="O4" si="0">M4/SUM(M4:M6)</f>
        <v>0.12148300694401998</v>
      </c>
    </row>
    <row r="5" spans="2:1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-80069.299999999988</v>
      </c>
      <c r="O6" s="9">
        <f>M6/SUM(M6:M9)</f>
        <v>1</v>
      </c>
    </row>
    <row r="7" spans="2:1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 t="shared" ref="H11:H16" si="1">G11-E11</f>
        <v>-743.13</v>
      </c>
    </row>
    <row r="12" spans="2:15">
      <c r="B12" t="s">
        <v>86</v>
      </c>
      <c r="C12" t="s">
        <v>54</v>
      </c>
      <c r="D12" t="s">
        <v>15</v>
      </c>
      <c r="E12" s="7">
        <v>6780.1</v>
      </c>
      <c r="F12" s="7">
        <v>1400</v>
      </c>
      <c r="G12" s="7"/>
      <c r="H12" s="7">
        <f t="shared" si="1"/>
        <v>-6780.1</v>
      </c>
    </row>
    <row r="13" spans="2:15">
      <c r="B13" t="s">
        <v>86</v>
      </c>
      <c r="C13" t="s">
        <v>54</v>
      </c>
      <c r="D13" t="s">
        <v>16</v>
      </c>
      <c r="E13" s="7">
        <v>3942.9</v>
      </c>
      <c r="F13" s="7">
        <v>1400</v>
      </c>
      <c r="G13" s="7"/>
      <c r="H13" s="7">
        <f t="shared" si="1"/>
        <v>-3942.9</v>
      </c>
    </row>
    <row r="14" spans="2:15">
      <c r="B14" t="s">
        <v>86</v>
      </c>
      <c r="C14" t="s">
        <v>54</v>
      </c>
      <c r="D14" t="s">
        <v>42</v>
      </c>
      <c r="E14" s="7">
        <v>2535.48</v>
      </c>
      <c r="F14" s="7">
        <v>700</v>
      </c>
      <c r="G14" s="7"/>
      <c r="H14" s="7">
        <f t="shared" si="1"/>
        <v>-2535.48</v>
      </c>
    </row>
    <row r="15" spans="2:15">
      <c r="B15" t="s">
        <v>86</v>
      </c>
      <c r="C15" t="s">
        <v>54</v>
      </c>
      <c r="D15" t="s">
        <v>64</v>
      </c>
      <c r="E15" s="7">
        <v>1529.58</v>
      </c>
      <c r="F15" s="7">
        <v>1400</v>
      </c>
      <c r="G15" s="7"/>
      <c r="H15" s="7">
        <f t="shared" si="1"/>
        <v>-1529.58</v>
      </c>
    </row>
    <row r="16" spans="2:1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 t="shared" si="1"/>
        <v>-30664.959999999999</v>
      </c>
    </row>
  </sheetData>
  <conditionalFormatting sqref="H1:H1048576">
    <cfRule type="cellIs" dxfId="83" priority="1" operator="lessThan">
      <formula>0</formula>
    </cfRule>
    <cfRule type="cellIs" dxfId="82" priority="2" operator="lessThan">
      <formula>0</formula>
    </cfRule>
  </conditionalFormatting>
  <pageMargins left="0.7" right="0.7" top="0.75" bottom="0.75" header="0.3" footer="0.3"/>
  <ignoredErrors>
    <ignoredError sqref="N3 N5:N6 H9:H10 H3:H8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F19" sqref="F19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9"/>
  <sheetViews>
    <sheetView tabSelected="1" topLeftCell="A108" zoomScaleNormal="100" workbookViewId="0">
      <selection activeCell="I116" sqref="I116"/>
    </sheetView>
  </sheetViews>
  <sheetFormatPr baseColWidth="10" defaultRowHeight="14.25"/>
  <cols>
    <col min="3" max="3" width="11.625" bestFit="1" customWidth="1"/>
    <col min="4" max="4" width="12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>
      <c r="B117" s="1">
        <v>45521</v>
      </c>
      <c r="C117" s="3">
        <v>3999.63</v>
      </c>
      <c r="D117" s="3">
        <v>59441.99</v>
      </c>
      <c r="E117" s="3">
        <v>1.74</v>
      </c>
      <c r="F117" s="3">
        <v>2614.6999999999998</v>
      </c>
      <c r="G117" s="3">
        <v>3948</v>
      </c>
    </row>
    <row r="118" spans="2:7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>
      <c r="B119" s="1">
        <v>45523</v>
      </c>
      <c r="C119" s="3">
        <v>4030.16</v>
      </c>
      <c r="D119" s="4">
        <v>59064.9</v>
      </c>
      <c r="E119" s="4">
        <v>1.69</v>
      </c>
      <c r="F119" s="4">
        <v>2617.6999999999998</v>
      </c>
      <c r="G119" s="4">
        <v>3937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8"/>
  <sheetViews>
    <sheetView topLeftCell="J19" workbookViewId="0">
      <selection activeCell="Q38" sqref="Q38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>
      <c r="B3" s="1">
        <f t="shared" ref="B3:B21" ca="1" si="0">TODAY()</f>
        <v>45523</v>
      </c>
      <c r="C3" s="2">
        <f ca="1">VLOOKUP(B3,Tabla4[],2,FALSE)</f>
        <v>4030.16</v>
      </c>
      <c r="D3" s="3">
        <f ca="1">VLOOKUP(B3,Tabla4[],3,FALSE)</f>
        <v>59064.9</v>
      </c>
      <c r="E3" s="2">
        <f ca="1">VLOOKUP(B3,Tabla4[],5,FALSE)</f>
        <v>2617.6999999999998</v>
      </c>
      <c r="F3" s="2">
        <f ca="1">VLOOKUP(B3,Tabla4[],4,FALSE)</f>
        <v>1.69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599.86331340767993</v>
      </c>
      <c r="N3" s="10">
        <f t="shared" ref="N3:N21" ca="1" si="1">IF(G3 = "BTC", (D3 - J3) / J3,
 IF(G3 = "ETH", (E3 - J3) / J3,
 IF(G3 = "IO.NET", (F3 - J3) / J3,
 "Moneda no soportada")))</f>
        <v>-0.16747854031882953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599.86331340767993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-0.16747854031882953</v>
      </c>
      <c r="Y3" s="2" t="str">
        <f>IF(U3=0,"VENDIDA","ACTIVA")</f>
        <v>ACTIVA</v>
      </c>
    </row>
    <row r="4" spans="2:26">
      <c r="B4" s="1">
        <f t="shared" ca="1" si="0"/>
        <v>45523</v>
      </c>
      <c r="C4" s="2">
        <f ca="1">VLOOKUP(B4,Tabla4[],2,FALSE)</f>
        <v>4030.16</v>
      </c>
      <c r="D4" s="3">
        <f ca="1">VLOOKUP(B4,Tabla4[],3,FALSE)</f>
        <v>59064.9</v>
      </c>
      <c r="E4" s="2">
        <f ca="1">VLOOKUP(B4,Tabla4[],5,FALSE)</f>
        <v>2617.6999999999998</v>
      </c>
      <c r="F4" s="2">
        <f ca="1">VLOOKUP(B4,Tabla4[],4,FALSE)</f>
        <v>1.69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497.94819207040001</v>
      </c>
      <c r="N4" s="10">
        <f t="shared" ca="1" si="1"/>
        <v>-0.31136897543215369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497.94819207040001</v>
      </c>
      <c r="W4" s="2">
        <f t="shared" si="3"/>
        <v>-705.39693250799996</v>
      </c>
      <c r="X4" s="9">
        <f t="shared" ca="1" si="4"/>
        <v>-0.31136897543215369</v>
      </c>
      <c r="Y4" s="2" t="str">
        <f t="shared" ref="Y4:Y24" si="7">IF(U4=0,"VENDIDA","ACTIVA")</f>
        <v>ACTIVA</v>
      </c>
    </row>
    <row r="5" spans="2:26">
      <c r="B5" s="1">
        <f t="shared" ca="1" si="0"/>
        <v>45523</v>
      </c>
      <c r="C5" s="2">
        <f ca="1">VLOOKUP(B5,Tabla4[],2,FALSE)</f>
        <v>4030.16</v>
      </c>
      <c r="D5" s="3">
        <f ca="1">VLOOKUP(B5,Tabla4[],3,FALSE)</f>
        <v>59064.9</v>
      </c>
      <c r="E5" s="2">
        <f ca="1">VLOOKUP(B5,Tabla4[],5,FALSE)</f>
        <v>2617.6999999999998</v>
      </c>
      <c r="F5" s="2">
        <f ca="1">VLOOKUP(B5,Tabla4[],4,FALSE)</f>
        <v>1.69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611.76536327688007</v>
      </c>
      <c r="N5" s="10">
        <f t="shared" ca="1" si="1"/>
        <v>-0.14739736705352502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611.76536327688007</v>
      </c>
      <c r="W5" s="2">
        <f t="shared" si="3"/>
        <v>-711.38458935120002</v>
      </c>
      <c r="X5" s="9">
        <f t="shared" ca="1" si="4"/>
        <v>-0.14739736705352502</v>
      </c>
      <c r="Y5" s="2" t="str">
        <f t="shared" si="7"/>
        <v>ACTIVA</v>
      </c>
    </row>
    <row r="6" spans="2:26">
      <c r="B6" s="1">
        <f t="shared" ca="1" si="0"/>
        <v>45523</v>
      </c>
      <c r="C6" s="2">
        <f ca="1">VLOOKUP(B6,Tabla4[],2,FALSE)</f>
        <v>4030.16</v>
      </c>
      <c r="D6" s="3">
        <f ca="1">VLOOKUP(B6,Tabla4[],3,FALSE)</f>
        <v>59064.9</v>
      </c>
      <c r="E6" s="2">
        <f ca="1">VLOOKUP(B6,Tabla4[],5,FALSE)</f>
        <v>2617.6999999999998</v>
      </c>
      <c r="F6" s="2">
        <f ca="1">VLOOKUP(B6,Tabla4[],4,FALSE)</f>
        <v>1.69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513.45632432343996</v>
      </c>
      <c r="N6" s="10">
        <f t="shared" ca="1" si="1"/>
        <v>-0.2866680473501777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513.45632432343996</v>
      </c>
      <c r="W6" s="2">
        <f t="shared" si="3"/>
        <v>-713.63816396689595</v>
      </c>
      <c r="X6" s="9">
        <f t="shared" ca="1" si="4"/>
        <v>-0.2866680473501777</v>
      </c>
      <c r="Y6" s="2" t="str">
        <f t="shared" si="7"/>
        <v>ACTIVA</v>
      </c>
    </row>
    <row r="7" spans="2:26">
      <c r="B7" s="1">
        <f t="shared" ca="1" si="0"/>
        <v>45523</v>
      </c>
      <c r="C7" s="2">
        <f ca="1">VLOOKUP(B7,Tabla4[],2,FALSE)</f>
        <v>4030.16</v>
      </c>
      <c r="D7" s="3">
        <f ca="1">VLOOKUP(B7,Tabla4[],3,FALSE)</f>
        <v>59064.9</v>
      </c>
      <c r="E7" s="2">
        <f ca="1">VLOOKUP(B7,Tabla4[],5,FALSE)</f>
        <v>2617.6999999999998</v>
      </c>
      <c r="F7" s="2">
        <f ca="1">VLOOKUP(B7,Tabla4[],4,FALSE)</f>
        <v>1.69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626.04782311992005</v>
      </c>
      <c r="N7" s="10">
        <f t="shared" ca="1" si="1"/>
        <v>-0.11140380834031634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626.04782311992005</v>
      </c>
      <c r="W7" s="2">
        <f t="shared" si="3"/>
        <v>-721.88976178291</v>
      </c>
      <c r="X7" s="9">
        <f t="shared" ca="1" si="4"/>
        <v>-0.11140380834031634</v>
      </c>
      <c r="Y7" s="2" t="str">
        <f t="shared" si="7"/>
        <v>ACTIVA</v>
      </c>
    </row>
    <row r="8" spans="2:26">
      <c r="B8" s="1">
        <f t="shared" ca="1" si="0"/>
        <v>45523</v>
      </c>
      <c r="C8" s="2">
        <f ca="1">VLOOKUP(B8,Tabla4[],2,FALSE)</f>
        <v>4030.16</v>
      </c>
      <c r="D8" s="3">
        <f ca="1">VLOOKUP(B8,Tabla4[],3,FALSE)</f>
        <v>59064.9</v>
      </c>
      <c r="E8" s="2">
        <f ca="1">VLOOKUP(B8,Tabla4[],5,FALSE)</f>
        <v>2617.6999999999998</v>
      </c>
      <c r="F8" s="2">
        <f ca="1">VLOOKUP(B8,Tabla4[],4,FALSE)</f>
        <v>1.69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263.65790863120799</v>
      </c>
      <c r="N8" s="10">
        <f t="shared" ca="1" si="1"/>
        <v>-0.60047281323877078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263.65790863120799</v>
      </c>
      <c r="W8" s="2">
        <f t="shared" si="3"/>
        <v>-676.17994528545319</v>
      </c>
      <c r="X8" s="9">
        <f t="shared" ca="1" si="4"/>
        <v>-0.60047281323877078</v>
      </c>
      <c r="Y8" s="2" t="str">
        <f t="shared" si="7"/>
        <v>ACTIVA</v>
      </c>
    </row>
    <row r="9" spans="2:26">
      <c r="B9" s="1">
        <f t="shared" ca="1" si="0"/>
        <v>45523</v>
      </c>
      <c r="C9" s="2">
        <f ca="1">VLOOKUP(B9,Tabla4[],2,FALSE)</f>
        <v>4030.16</v>
      </c>
      <c r="D9" s="3">
        <f ca="1">VLOOKUP(B9,Tabla4[],3,FALSE)</f>
        <v>59064.9</v>
      </c>
      <c r="E9" s="2">
        <f ca="1">VLOOKUP(B9,Tabla4[],5,FALSE)</f>
        <v>2617.6999999999998</v>
      </c>
      <c r="F9" s="2">
        <f ca="1">VLOOKUP(B9,Tabla4[],4,FALSE)</f>
        <v>1.69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519.0476917343999</v>
      </c>
      <c r="N9" s="10">
        <f t="shared" ca="1" si="1"/>
        <v>-0.2533209347964368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519.0476917343999</v>
      </c>
      <c r="W9" s="2">
        <f t="shared" si="3"/>
        <v>-712.26418846524007</v>
      </c>
      <c r="X9" s="9">
        <f t="shared" ca="1" si="4"/>
        <v>-0.2533209347964368</v>
      </c>
      <c r="Y9" s="2" t="str">
        <f t="shared" si="7"/>
        <v>ACTIVA</v>
      </c>
    </row>
    <row r="10" spans="2:26">
      <c r="B10" s="1">
        <f t="shared" ca="1" si="0"/>
        <v>45523</v>
      </c>
      <c r="C10" s="2">
        <f ca="1">VLOOKUP(B10,Tabla4[],2,FALSE)</f>
        <v>4030.16</v>
      </c>
      <c r="D10" s="3">
        <f ca="1">VLOOKUP(B10,Tabla4[],3,FALSE)</f>
        <v>59064.9</v>
      </c>
      <c r="E10" s="2">
        <f ca="1">VLOOKUP(B10,Tabla4[],5,FALSE)</f>
        <v>2617.6999999999998</v>
      </c>
      <c r="F10" s="2">
        <f ca="1">VLOOKUP(B10,Tabla4[],4,FALSE)</f>
        <v>1.69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647.47151288447992</v>
      </c>
      <c r="N10" s="10">
        <f t="shared" ca="1" si="1"/>
        <v>-3.8676002421827629E-2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647.47151288447992</v>
      </c>
      <c r="W10" s="2">
        <f t="shared" si="3"/>
        <v>-692.62576284671991</v>
      </c>
      <c r="X10" s="9">
        <f t="shared" ca="1" si="4"/>
        <v>-3.8676002421827629E-2</v>
      </c>
      <c r="Y10" s="2" t="str">
        <f t="shared" si="7"/>
        <v>ACTIVA</v>
      </c>
    </row>
    <row r="11" spans="2:26">
      <c r="B11" s="1">
        <f t="shared" ca="1" si="0"/>
        <v>45523</v>
      </c>
      <c r="C11" s="2">
        <f ca="1">VLOOKUP(B11,Tabla4[],2,FALSE)</f>
        <v>4030.16</v>
      </c>
      <c r="D11" s="3">
        <f ca="1">VLOOKUP(B11,Tabla4[],3,FALSE)</f>
        <v>59064.9</v>
      </c>
      <c r="E11" s="2">
        <f ca="1">VLOOKUP(B11,Tabla4[],5,FALSE)</f>
        <v>2617.6999999999998</v>
      </c>
      <c r="F11" s="2">
        <f ca="1">VLOOKUP(B11,Tabla4[],4,FALSE)</f>
        <v>1.69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645.09110291063996</v>
      </c>
      <c r="N11" s="10">
        <f t="shared" ca="1" si="1"/>
        <v>-3.130053433136417E-2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645.09110291063996</v>
      </c>
      <c r="W11" s="2">
        <f t="shared" si="3"/>
        <v>-682.28056593911992</v>
      </c>
      <c r="X11" s="9">
        <f t="shared" ca="1" si="4"/>
        <v>-3.130053433136417E-2</v>
      </c>
      <c r="Y11" s="2" t="str">
        <f t="shared" si="7"/>
        <v>ACTIVA</v>
      </c>
    </row>
    <row r="12" spans="2:26">
      <c r="B12" s="1">
        <f t="shared" ca="1" si="0"/>
        <v>45523</v>
      </c>
      <c r="C12" s="2">
        <f ca="1">VLOOKUP(B12,Tabla4[],2,FALSE)</f>
        <v>4030.16</v>
      </c>
      <c r="D12" s="3">
        <f ca="1">VLOOKUP(B12,Tabla4[],3,FALSE)</f>
        <v>59064.9</v>
      </c>
      <c r="E12" s="2">
        <f ca="1">VLOOKUP(B12,Tabla4[],5,FALSE)</f>
        <v>2617.6999999999998</v>
      </c>
      <c r="F12" s="2">
        <f ca="1">VLOOKUP(B12,Tabla4[],4,FALSE)</f>
        <v>1.69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721.26422207351993</v>
      </c>
      <c r="N12" s="10">
        <f t="shared" ca="1" si="1"/>
        <v>3.4513017038448605E-2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721.26422207351993</v>
      </c>
      <c r="W12" s="2">
        <f t="shared" si="3"/>
        <v>-705.59026591680004</v>
      </c>
      <c r="X12" s="9">
        <f t="shared" ca="1" si="4"/>
        <v>3.4513017038448605E-2</v>
      </c>
      <c r="Y12" s="2" t="str">
        <f t="shared" si="7"/>
        <v>ACTIVA</v>
      </c>
    </row>
    <row r="13" spans="2:26">
      <c r="B13" s="1">
        <f t="shared" ca="1" si="0"/>
        <v>45523</v>
      </c>
      <c r="C13" s="2">
        <f ca="1">VLOOKUP(B13,Tabla4[],2,FALSE)</f>
        <v>4030.16</v>
      </c>
      <c r="D13" s="3">
        <f ca="1">VLOOKUP(B13,Tabla4[],3,FALSE)</f>
        <v>59064.9</v>
      </c>
      <c r="E13" s="2">
        <f ca="1">VLOOKUP(B13,Tabla4[],5,FALSE)</f>
        <v>2617.6999999999998</v>
      </c>
      <c r="F13" s="2">
        <f ca="1">VLOOKUP(B13,Tabla4[],4,FALSE)</f>
        <v>1.69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668.89520264904002</v>
      </c>
      <c r="N13" s="10">
        <f t="shared" ca="1" si="1"/>
        <v>-6.1864774245194161E-2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668.89520264904002</v>
      </c>
      <c r="W13" s="2">
        <f t="shared" si="3"/>
        <v>-706.44677732571006</v>
      </c>
      <c r="X13" s="9">
        <f t="shared" ca="1" si="4"/>
        <v>-6.1864774245194161E-2</v>
      </c>
      <c r="Y13" s="2" t="str">
        <f t="shared" si="7"/>
        <v>ACTIVA</v>
      </c>
    </row>
    <row r="14" spans="2:26">
      <c r="B14" s="1">
        <f t="shared" ca="1" si="0"/>
        <v>45523</v>
      </c>
      <c r="C14" s="2">
        <f ca="1">VLOOKUP(B14,Tabla4[],2,FALSE)</f>
        <v>4030.16</v>
      </c>
      <c r="D14" s="3">
        <f ca="1">VLOOKUP(B14,Tabla4[],3,FALSE)</f>
        <v>59064.9</v>
      </c>
      <c r="E14" s="2">
        <f ca="1">VLOOKUP(B14,Tabla4[],5,FALSE)</f>
        <v>2617.6999999999998</v>
      </c>
      <c r="F14" s="2">
        <f ca="1">VLOOKUP(B14,Tabla4[],4,FALSE)</f>
        <v>1.69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533.92283899751988</v>
      </c>
      <c r="N14" s="10">
        <f t="shared" ca="1" si="1"/>
        <v>-0.2250304191177124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533.92283899751988</v>
      </c>
      <c r="W14" s="2">
        <f t="shared" si="3"/>
        <v>-708.50285169316794</v>
      </c>
      <c r="X14" s="9">
        <f t="shared" ca="1" si="4"/>
        <v>-0.2250304191177124</v>
      </c>
      <c r="Y14" s="2" t="str">
        <f t="shared" si="7"/>
        <v>ACTIVA</v>
      </c>
    </row>
    <row r="15" spans="2:26">
      <c r="B15" s="1">
        <f t="shared" ca="1" si="0"/>
        <v>45523</v>
      </c>
      <c r="C15" s="2">
        <f ca="1">VLOOKUP(B15,Tabla4[],2,FALSE)</f>
        <v>4030.16</v>
      </c>
      <c r="D15" s="3">
        <f ca="1">VLOOKUP(B15,Tabla4[],3,FALSE)</f>
        <v>59064.9</v>
      </c>
      <c r="E15" s="2">
        <f ca="1">VLOOKUP(B15,Tabla4[],5,FALSE)</f>
        <v>2617.6999999999998</v>
      </c>
      <c r="F15" s="2">
        <f ca="1">VLOOKUP(B15,Tabla4[],4,FALSE)</f>
        <v>1.69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520.52465671087998</v>
      </c>
      <c r="N15" s="10">
        <f t="shared" ca="1" si="1"/>
        <v>-0.22069764187875676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520.52465671087998</v>
      </c>
      <c r="W15" s="2">
        <f t="shared" si="3"/>
        <v>-684.33117524901604</v>
      </c>
      <c r="X15" s="9">
        <f t="shared" ca="1" si="4"/>
        <v>-0.22069764187875676</v>
      </c>
      <c r="Y15" s="2" t="str">
        <f t="shared" si="7"/>
        <v>ACTIVA</v>
      </c>
    </row>
    <row r="16" spans="2:26">
      <c r="B16" s="1">
        <f t="shared" ca="1" si="0"/>
        <v>45523</v>
      </c>
      <c r="C16" s="2">
        <f ca="1">VLOOKUP(B16,Tabla4[],2,FALSE)</f>
        <v>4030.16</v>
      </c>
      <c r="D16" s="3">
        <f ca="1">VLOOKUP(B16,Tabla4[],3,FALSE)</f>
        <v>59064.9</v>
      </c>
      <c r="E16" s="2">
        <f ca="1">VLOOKUP(B16,Tabla4[],5,FALSE)</f>
        <v>2617.6999999999998</v>
      </c>
      <c r="F16" s="2">
        <f ca="1">VLOOKUP(B16,Tabla4[],4,FALSE)</f>
        <v>1.69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599.64778045087996</v>
      </c>
      <c r="N16" s="10">
        <f t="shared" ca="1" si="1"/>
        <v>-0.14314238952536831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599.64778045087996</v>
      </c>
      <c r="W16" s="2">
        <f t="shared" si="3"/>
        <v>-708.24207363000005</v>
      </c>
      <c r="X16" s="9">
        <f t="shared" ca="1" si="4"/>
        <v>-0.14314238952536831</v>
      </c>
      <c r="Y16" s="2" t="str">
        <f t="shared" si="7"/>
        <v>ACTIVA</v>
      </c>
    </row>
    <row r="17" spans="2:25">
      <c r="B17" s="1">
        <f t="shared" ca="1" si="0"/>
        <v>45523</v>
      </c>
      <c r="C17" s="2">
        <f ca="1">VLOOKUP(B17,Tabla4[],2,FALSE)</f>
        <v>4030.16</v>
      </c>
      <c r="D17" s="3">
        <f ca="1">VLOOKUP(B17,Tabla4[],3,FALSE)</f>
        <v>59064.9</v>
      </c>
      <c r="E17" s="2">
        <f ca="1">VLOOKUP(B17,Tabla4[],5,FALSE)</f>
        <v>2617.6999999999998</v>
      </c>
      <c r="F17" s="2">
        <f ca="1">VLOOKUP(B17,Tabla4[],4,FALSE)</f>
        <v>1.69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554.91684116319993</v>
      </c>
      <c r="N17" s="10">
        <f t="shared" ca="1" si="1"/>
        <v>-0.24302362569040806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554.91684116319993</v>
      </c>
      <c r="W17" s="2">
        <f t="shared" si="3"/>
        <v>-726.32733822540001</v>
      </c>
      <c r="X17" s="9">
        <f t="shared" ca="1" si="4"/>
        <v>-0.24302362569040806</v>
      </c>
      <c r="Y17" s="2" t="str">
        <f t="shared" si="7"/>
        <v>ACTIVA</v>
      </c>
    </row>
    <row r="18" spans="2:25">
      <c r="B18" s="1">
        <f t="shared" ca="1" si="0"/>
        <v>45523</v>
      </c>
      <c r="C18" s="2">
        <f ca="1">VLOOKUP(B18,Tabla4[],2,FALSE)</f>
        <v>4030.16</v>
      </c>
      <c r="D18" s="3">
        <f ca="1">VLOOKUP(B18,Tabla4[],3,FALSE)</f>
        <v>59064.9</v>
      </c>
      <c r="E18" s="2">
        <f ca="1">VLOOKUP(B18,Tabla4[],5,FALSE)</f>
        <v>2617.6999999999998</v>
      </c>
      <c r="F18" s="2">
        <f ca="1">VLOOKUP(B18,Tabla4[],4,FALSE)</f>
        <v>1.69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359.11529342010397</v>
      </c>
      <c r="N18" s="12">
        <f t="shared" ca="1" si="1"/>
        <v>-0.50294117647058822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359.11529342010397</v>
      </c>
      <c r="W18" s="2">
        <f t="shared" si="3"/>
        <v>-742.97443934431988</v>
      </c>
      <c r="X18" s="9">
        <f t="shared" ca="1" si="4"/>
        <v>-0.50294117647058822</v>
      </c>
      <c r="Y18" s="2" t="str">
        <f t="shared" si="7"/>
        <v>ACTIVA</v>
      </c>
    </row>
    <row r="19" spans="2:25">
      <c r="B19" s="1">
        <f t="shared" ca="1" si="0"/>
        <v>45523</v>
      </c>
      <c r="C19" s="2">
        <f ca="1">VLOOKUP(B19,Tabla4[],2,FALSE)</f>
        <v>4030.16</v>
      </c>
      <c r="D19" s="3">
        <f ca="1">VLOOKUP(B19,Tabla4[],3,FALSE)</f>
        <v>59064.9</v>
      </c>
      <c r="E19" s="2">
        <f ca="1">VLOOKUP(B19,Tabla4[],5,FALSE)</f>
        <v>2617.6999999999998</v>
      </c>
      <c r="F19" s="2">
        <f ca="1">VLOOKUP(B19,Tabla4[],4,FALSE)</f>
        <v>1.69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187.21750240585598</v>
      </c>
      <c r="N19" s="12">
        <f t="shared" ca="1" si="1"/>
        <v>-0.40282685512367494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187.21750240585598</v>
      </c>
      <c r="W19" s="2">
        <f t="shared" si="3"/>
        <v>-321.201220736496</v>
      </c>
      <c r="X19" s="9">
        <f t="shared" ca="1" si="4"/>
        <v>-0.40282685512367494</v>
      </c>
      <c r="Y19" s="2" t="str">
        <f t="shared" si="7"/>
        <v>ACTIVA</v>
      </c>
    </row>
    <row r="20" spans="2:25" hidden="1">
      <c r="B20" s="1">
        <f t="shared" ca="1" si="0"/>
        <v>45523</v>
      </c>
      <c r="C20" s="2">
        <f ca="1">VLOOKUP(B20,Tabla4[],2,FALSE)</f>
        <v>4030.16</v>
      </c>
      <c r="D20" s="3">
        <f ca="1">VLOOKUP(B20,Tabla4[],3,FALSE)</f>
        <v>59064.9</v>
      </c>
      <c r="E20" s="2">
        <f ca="1">VLOOKUP(B20,Tabla4[],5,FALSE)</f>
        <v>2617.6999999999998</v>
      </c>
      <c r="F20" s="2">
        <f ca="1">VLOOKUP(B20,Tabla4[],4,FALSE)</f>
        <v>1.69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263.16281919283193</v>
      </c>
      <c r="N20" s="12">
        <f t="shared" ca="1" si="1"/>
        <v>-0.2620087336244542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-0.2620087336244542</v>
      </c>
      <c r="Y20" s="2" t="str">
        <f t="shared" si="7"/>
        <v>VENDIDA</v>
      </c>
    </row>
    <row r="21" spans="2:25" hidden="1">
      <c r="B21" s="1">
        <f t="shared" ca="1" si="0"/>
        <v>45523</v>
      </c>
      <c r="C21" s="2">
        <f ca="1">VLOOKUP(B21,Tabla4[],2,FALSE)</f>
        <v>4030.16</v>
      </c>
      <c r="D21" s="3">
        <f ca="1">VLOOKUP(B21,Tabla4[],3,FALSE)</f>
        <v>59064.9</v>
      </c>
      <c r="E21" s="2">
        <f ca="1">VLOOKUP(B21,Tabla4[],5,FALSE)</f>
        <v>2617.6999999999998</v>
      </c>
      <c r="F21" s="2">
        <f ca="1">VLOOKUP(B21,Tabla4[],4,FALSE)</f>
        <v>1.69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252.82254015095998</v>
      </c>
      <c r="N21" s="12">
        <f t="shared" ca="1" si="1"/>
        <v>-0.35496183206106874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-0.35496183206106874</v>
      </c>
      <c r="Y21" s="2" t="str">
        <f t="shared" si="7"/>
        <v>VENDIDA</v>
      </c>
    </row>
    <row r="22" spans="2:25">
      <c r="B22" s="1">
        <f t="shared" ref="B22:B29" ca="1" si="9">TODAY()</f>
        <v>45523</v>
      </c>
      <c r="C22" s="2">
        <f ca="1">VLOOKUP(B22,Tabla4[],2,FALSE)</f>
        <v>4030.16</v>
      </c>
      <c r="D22" s="3">
        <f ca="1">VLOOKUP(B22,Tabla4[],3,FALSE)</f>
        <v>59064.9</v>
      </c>
      <c r="E22" s="2">
        <f ca="1">VLOOKUP(B22,Tabla4[],5,FALSE)</f>
        <v>2617.6999999999998</v>
      </c>
      <c r="F22" s="2">
        <f ca="1">VLOOKUP(B22,Tabla4[],4,FALSE)</f>
        <v>1.69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259.26197211563994</v>
      </c>
      <c r="N22" s="12">
        <f t="shared" ref="N22:N29" ca="1" si="11">IF(G22 = "BTC", (D22 - J22) / J22,
 IF(G22 = "ETH", (E22 - J22) / J22,
 IF(G22 = "IO.NET", (F22 - J22) / J22,
 "Moneda no soportada")))</f>
        <v>-0.37174721189591081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0.44509691563999143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-0.37174721189591081</v>
      </c>
      <c r="Y22" s="2" t="str">
        <f t="shared" si="7"/>
        <v>ACTIVA</v>
      </c>
    </row>
    <row r="23" spans="2:25">
      <c r="B23" s="1">
        <f t="shared" ca="1" si="9"/>
        <v>45523</v>
      </c>
      <c r="C23" s="2">
        <f ca="1">VLOOKUP(B23,Tabla4[],2,FALSE)</f>
        <v>4030.16</v>
      </c>
      <c r="D23" s="3">
        <f ca="1">VLOOKUP(B23,Tabla4[],3,FALSE)</f>
        <v>59064.9</v>
      </c>
      <c r="E23" s="2">
        <f ca="1">VLOOKUP(B23,Tabla4[],5,FALSE)</f>
        <v>2617.6999999999998</v>
      </c>
      <c r="F23" s="2">
        <f ca="1">VLOOKUP(B23,Tabla4[],4,FALSE)</f>
        <v>1.69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261.03772831832794</v>
      </c>
      <c r="N23" s="12">
        <f t="shared" ca="1" si="11"/>
        <v>-0.37867647058823534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2.2208531183279847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-0.37867647058823534</v>
      </c>
      <c r="Y23" s="2" t="str">
        <f t="shared" si="7"/>
        <v>ACTIVA</v>
      </c>
    </row>
    <row r="24" spans="2:25">
      <c r="B24" s="1">
        <f t="shared" ca="1" si="9"/>
        <v>45523</v>
      </c>
      <c r="C24" s="2">
        <f ca="1">VLOOKUP(B24,Tabla4[],2,FALSE)</f>
        <v>4030.16</v>
      </c>
      <c r="D24" s="3">
        <f ca="1">VLOOKUP(B24,Tabla4[],3,FALSE)</f>
        <v>59064.9</v>
      </c>
      <c r="E24" s="2">
        <f ca="1">VLOOKUP(B24,Tabla4[],5,FALSE)</f>
        <v>2617.6999999999998</v>
      </c>
      <c r="F24" s="2">
        <f ca="1">VLOOKUP(B24,Tabla4[],4,FALSE)</f>
        <v>1.69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264.70959057067199</v>
      </c>
      <c r="N24" s="12">
        <f t="shared" ca="1" si="11"/>
        <v>-0.3876811594202898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7.5411064268800176</v>
      </c>
      <c r="W24" s="2">
        <f t="shared" si="14"/>
        <v>8.8385908401840538</v>
      </c>
      <c r="X24" s="9">
        <f t="shared" ca="1" si="15"/>
        <v>-0.3876811594202898</v>
      </c>
      <c r="Y24" s="2" t="str">
        <f t="shared" si="7"/>
        <v>ACTIVA</v>
      </c>
    </row>
    <row r="25" spans="2:25">
      <c r="B25" s="1">
        <f t="shared" ca="1" si="9"/>
        <v>45523</v>
      </c>
      <c r="C25" s="2">
        <f ca="1">VLOOKUP(B25,Tabla4[],2,FALSE)</f>
        <v>4030.16</v>
      </c>
      <c r="D25" s="3">
        <f ca="1">VLOOKUP(B25,Tabla4[],3,FALSE)</f>
        <v>59064.9</v>
      </c>
      <c r="E25" s="2">
        <f ca="1">VLOOKUP(B25,Tabla4[],5,FALSE)</f>
        <v>2617.6999999999998</v>
      </c>
      <c r="F25" s="2">
        <f ca="1">VLOOKUP(B25,Tabla4[],4,FALSE)</f>
        <v>1.69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260.24997148186395</v>
      </c>
      <c r="N25" s="12">
        <f t="shared" ca="1" si="11"/>
        <v>-0.39857651245551606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1.4330962818640078</v>
      </c>
      <c r="W25" s="2">
        <f t="shared" si="14"/>
        <v>40.44492107583801</v>
      </c>
      <c r="X25" s="9">
        <f t="shared" ca="1" si="15"/>
        <v>-0.39857651245551606</v>
      </c>
      <c r="Y25" s="2" t="str">
        <f t="shared" ref="Y25:Y32" si="16">IF(U25=0,"VENDIDA","ACTIVA")</f>
        <v>ACTIVA</v>
      </c>
    </row>
    <row r="26" spans="2:25">
      <c r="B26" s="1">
        <f t="shared" ca="1" si="9"/>
        <v>45523</v>
      </c>
      <c r="C26" s="2">
        <f ca="1">VLOOKUP(B26,Tabla4[],2,FALSE)</f>
        <v>4030.16</v>
      </c>
      <c r="D26" s="3">
        <f ca="1">VLOOKUP(B26,Tabla4[],3,FALSE)</f>
        <v>59064.9</v>
      </c>
      <c r="E26" s="2">
        <f ca="1">VLOOKUP(B26,Tabla4[],5,FALSE)</f>
        <v>2617.6999999999998</v>
      </c>
      <c r="F26" s="2">
        <f ca="1">VLOOKUP(B26,Tabla4[],4,FALSE)</f>
        <v>1.69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262.63394734127195</v>
      </c>
      <c r="N26" s="12">
        <f t="shared" ca="1" si="11"/>
        <v>-0.44487146639337266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262.63394734127195</v>
      </c>
      <c r="W26" s="2">
        <f t="shared" si="14"/>
        <v>-474.99592218630107</v>
      </c>
      <c r="X26" s="9">
        <f t="shared" ca="1" si="15"/>
        <v>-0.44487146639337266</v>
      </c>
      <c r="Y26" s="2" t="str">
        <f t="shared" si="16"/>
        <v>ACTIVA</v>
      </c>
    </row>
    <row r="27" spans="2:25">
      <c r="B27" s="1">
        <f t="shared" ca="1" si="9"/>
        <v>45523</v>
      </c>
      <c r="C27" s="2">
        <f ca="1">VLOOKUP(B27,Tabla4[],2,FALSE)</f>
        <v>4030.16</v>
      </c>
      <c r="D27" s="3">
        <f ca="1">VLOOKUP(B27,Tabla4[],3,FALSE)</f>
        <v>59064.9</v>
      </c>
      <c r="E27" s="2">
        <f ca="1">VLOOKUP(B27,Tabla4[],5,FALSE)</f>
        <v>2617.6999999999998</v>
      </c>
      <c r="F27" s="2">
        <f ca="1">VLOOKUP(B27,Tabla4[],4,FALSE)</f>
        <v>1.69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616.52618322455999</v>
      </c>
      <c r="N27" s="12">
        <f t="shared" ca="1" si="11"/>
        <v>-0.11573057560774629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616.52618322455999</v>
      </c>
      <c r="W27" s="2">
        <f t="shared" si="14"/>
        <v>-699.14771612275808</v>
      </c>
      <c r="X27" s="9">
        <f t="shared" ca="1" si="15"/>
        <v>-0.11573057560774629</v>
      </c>
      <c r="Y27" s="2" t="str">
        <f t="shared" si="16"/>
        <v>ACTIVA</v>
      </c>
    </row>
    <row r="28" spans="2:25">
      <c r="B28" s="1">
        <f t="shared" ca="1" si="9"/>
        <v>45523</v>
      </c>
      <c r="C28" s="2">
        <f ca="1">VLOOKUP(B28,Tabla4[],2,FALSE)</f>
        <v>4030.16</v>
      </c>
      <c r="D28" s="3">
        <f ca="1">VLOOKUP(B28,Tabla4[],3,FALSE)</f>
        <v>59064.9</v>
      </c>
      <c r="E28" s="2">
        <f ca="1">VLOOKUP(B28,Tabla4[],5,FALSE)</f>
        <v>2617.6999999999998</v>
      </c>
      <c r="F28" s="2">
        <f ca="1">VLOOKUP(B28,Tabla4[],4,FALSE)</f>
        <v>1.69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529.06995407479997</v>
      </c>
      <c r="N28" s="12">
        <f t="shared" ca="1" si="11"/>
        <v>-0.24280466286772154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529.06995407479997</v>
      </c>
      <c r="W28" s="2">
        <f t="shared" si="14"/>
        <v>-700.6597894414499</v>
      </c>
      <c r="X28" s="9">
        <f t="shared" ca="1" si="15"/>
        <v>-0.24280466286772154</v>
      </c>
      <c r="Y28" s="2" t="str">
        <f t="shared" si="16"/>
        <v>ACTIVA</v>
      </c>
    </row>
    <row r="29" spans="2:25">
      <c r="B29" s="1">
        <f t="shared" ca="1" si="9"/>
        <v>45523</v>
      </c>
      <c r="C29" s="2">
        <f ca="1">VLOOKUP(B29,Tabla4[],2,FALSE)</f>
        <v>4030.16</v>
      </c>
      <c r="D29" s="3">
        <f ca="1">VLOOKUP(B29,Tabla4[],3,FALSE)</f>
        <v>59064.9</v>
      </c>
      <c r="E29" s="2">
        <f ca="1">VLOOKUP(B29,Tabla4[],5,FALSE)</f>
        <v>2617.6999999999998</v>
      </c>
      <c r="F29" s="2">
        <f ca="1">VLOOKUP(B29,Tabla4[],4,FALSE)</f>
        <v>1.69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202.34432711573601</v>
      </c>
      <c r="N29" s="12">
        <f t="shared" ca="1" si="11"/>
        <v>-0.42123287671232879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202.34432711573601</v>
      </c>
      <c r="W29" s="2">
        <f t="shared" si="14"/>
        <v>-350.58167079212399</v>
      </c>
      <c r="X29" s="9">
        <f t="shared" ca="1" si="15"/>
        <v>-0.42123287671232879</v>
      </c>
      <c r="Y29" s="2" t="str">
        <f t="shared" si="16"/>
        <v>ACTIVA</v>
      </c>
    </row>
    <row r="30" spans="2:25">
      <c r="B30" s="1">
        <f t="shared" ref="B30:B35" ca="1" si="17">TODAY()</f>
        <v>45523</v>
      </c>
      <c r="C30" s="2">
        <f ca="1">VLOOKUP(B30,Tabla4[],2,FALSE)</f>
        <v>4030.16</v>
      </c>
      <c r="D30" s="3">
        <f ca="1">VLOOKUP(B30,Tabla4[],3,FALSE)</f>
        <v>59064.9</v>
      </c>
      <c r="E30" s="2">
        <f ca="1">VLOOKUP(B30,Tabla4[],5,FALSE)</f>
        <v>2617.6999999999998</v>
      </c>
      <c r="F30" s="2">
        <f ca="1">VLOOKUP(B30,Tabla4[],4,FALSE)</f>
        <v>1.69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602.24372338151989</v>
      </c>
      <c r="N30" s="12">
        <f t="shared" ref="N30:N35" ca="1" si="19">IF(G30 = "BTC", (D30 - J30) / J30,
 IF(G30 = "ETH", (E30 - J30) / J30,
 IF(G30 = "IO.NET", (F30 - J30) / J30,
 "Moneda no soportada")))</f>
        <v>-0.14000104833707525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602.24372338151989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-0.14000104833707525</v>
      </c>
      <c r="Y30" s="2" t="str">
        <f t="shared" si="16"/>
        <v>ACTIVA</v>
      </c>
    </row>
    <row r="31" spans="2:25">
      <c r="B31" s="1">
        <f t="shared" ca="1" si="17"/>
        <v>45523</v>
      </c>
      <c r="C31" s="2">
        <f ca="1">VLOOKUP(B31,Tabla4[],2,FALSE)</f>
        <v>4030.16</v>
      </c>
      <c r="D31" s="3">
        <f ca="1">VLOOKUP(B31,Tabla4[],3,FALSE)</f>
        <v>59064.9</v>
      </c>
      <c r="E31" s="2">
        <f ca="1">VLOOKUP(B31,Tabla4[],5,FALSE)</f>
        <v>2617.6999999999998</v>
      </c>
      <c r="F31" s="2">
        <f ca="1">VLOOKUP(B31,Tabla4[],4,FALSE)</f>
        <v>1.69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552.70139369847993</v>
      </c>
      <c r="N31" s="12">
        <f t="shared" ca="1" si="19"/>
        <v>-0.21046599306288649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552.70139369847993</v>
      </c>
      <c r="W31" s="2">
        <f t="shared" si="22"/>
        <v>-700.01062533089998</v>
      </c>
      <c r="X31" s="9">
        <f t="shared" ca="1" si="23"/>
        <v>-0.21046599306288649</v>
      </c>
      <c r="Y31" s="2" t="str">
        <f t="shared" si="16"/>
        <v>ACTIVA</v>
      </c>
    </row>
    <row r="32" spans="2:25">
      <c r="B32" s="1">
        <f t="shared" ca="1" si="17"/>
        <v>45523</v>
      </c>
      <c r="C32" s="2">
        <f ca="1">VLOOKUP(B32,Tabla4[],2,FALSE)</f>
        <v>4030.16</v>
      </c>
      <c r="D32" s="3">
        <f ca="1">VLOOKUP(B32,Tabla4[],3,FALSE)</f>
        <v>59064.9</v>
      </c>
      <c r="E32" s="2">
        <f ca="1">VLOOKUP(B32,Tabla4[],5,FALSE)</f>
        <v>2617.6999999999998</v>
      </c>
      <c r="F32" s="2">
        <f ca="1">VLOOKUP(B32,Tabla4[],4,FALSE)</f>
        <v>1.69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204.04107606178397</v>
      </c>
      <c r="N32" s="12">
        <f t="shared" ca="1" si="19"/>
        <v>-0.41724137931034483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204.04107606178397</v>
      </c>
      <c r="W32" s="2">
        <f t="shared" si="22"/>
        <v>-350.11749431717993</v>
      </c>
      <c r="X32" s="9">
        <f t="shared" ca="1" si="23"/>
        <v>-0.41724137931034483</v>
      </c>
      <c r="Y32" s="2" t="str">
        <f t="shared" si="16"/>
        <v>ACTIVA</v>
      </c>
    </row>
    <row r="33" spans="2:25">
      <c r="B33" s="1">
        <f t="shared" ca="1" si="17"/>
        <v>45523</v>
      </c>
      <c r="C33" s="2">
        <f ca="1">VLOOKUP(B33,Tabla4[],2,FALSE)</f>
        <v>4030.16</v>
      </c>
      <c r="D33" s="3">
        <f ca="1">VLOOKUP(B33,Tabla4[],3,FALSE)</f>
        <v>59064.9</v>
      </c>
      <c r="E33" s="2">
        <f ca="1">VLOOKUP(B33,Tabla4[],5,FALSE)</f>
        <v>2617.6999999999998</v>
      </c>
      <c r="F33" s="2">
        <f ca="1">VLOOKUP(B33,Tabla4[],4,FALSE)</f>
        <v>1.69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756.97037168112001</v>
      </c>
      <c r="N33" s="12">
        <f t="shared" ca="1" si="19"/>
        <v>0.10466744058042417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756.97037168112001</v>
      </c>
      <c r="W33" s="2">
        <f t="shared" si="22"/>
        <v>-699.99737650756197</v>
      </c>
      <c r="X33" s="9">
        <f t="shared" ca="1" si="23"/>
        <v>0.10466744058042417</v>
      </c>
      <c r="Y33" s="2" t="str">
        <f t="shared" ref="Y33:Y38" si="24">IF(U33=0,"VENDIDA","ACTIVA")</f>
        <v>ACTIVA</v>
      </c>
    </row>
    <row r="34" spans="2:25">
      <c r="B34" s="1">
        <f t="shared" ca="1" si="17"/>
        <v>45523</v>
      </c>
      <c r="C34" s="2">
        <f ca="1">VLOOKUP(B34,Tabla4[],2,FALSE)</f>
        <v>4030.16</v>
      </c>
      <c r="D34" s="3">
        <f ca="1">VLOOKUP(B34,Tabla4[],3,FALSE)</f>
        <v>59064.9</v>
      </c>
      <c r="E34" s="2">
        <f ca="1">VLOOKUP(B34,Tabla4[],5,FALSE)</f>
        <v>2617.6999999999998</v>
      </c>
      <c r="F34" s="2">
        <f ca="1">VLOOKUP(B34,Tabla4[],4,FALSE)</f>
        <v>1.69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755.46758546951992</v>
      </c>
      <c r="N34" s="12">
        <f t="shared" ca="1" si="19"/>
        <v>0.10247727827896112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755.46758546951992</v>
      </c>
      <c r="W34" s="2">
        <f t="shared" si="22"/>
        <v>-699.99553871893795</v>
      </c>
      <c r="X34" s="9">
        <f t="shared" ca="1" si="23"/>
        <v>0.10247727827896112</v>
      </c>
      <c r="Y34" s="2" t="str">
        <f t="shared" si="24"/>
        <v>ACTIVA</v>
      </c>
    </row>
    <row r="35" spans="2:25">
      <c r="B35" s="1">
        <f t="shared" ca="1" si="17"/>
        <v>45523</v>
      </c>
      <c r="C35" s="2">
        <f ca="1">VLOOKUP(B35,Tabla4[],2,FALSE)</f>
        <v>4030.16</v>
      </c>
      <c r="D35" s="3">
        <f ca="1">VLOOKUP(B35,Tabla4[],3,FALSE)</f>
        <v>59064.9</v>
      </c>
      <c r="E35" s="2">
        <f ca="1">VLOOKUP(B35,Tabla4[],5,FALSE)</f>
        <v>2617.6999999999998</v>
      </c>
      <c r="F35" s="2">
        <f ca="1">VLOOKUP(B35,Tabla4[],4,FALSE)</f>
        <v>1.69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393.26972180735197</v>
      </c>
      <c r="N35" s="12">
        <f t="shared" ca="1" si="19"/>
        <v>0.14778592773702801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393.26972180735197</v>
      </c>
      <c r="W35" s="2">
        <f t="shared" si="22"/>
        <v>-350.00858741327886</v>
      </c>
      <c r="X35" s="9">
        <f t="shared" ca="1" si="23"/>
        <v>0.14778592773702801</v>
      </c>
      <c r="Y35" s="2" t="str">
        <f t="shared" si="24"/>
        <v>ACTIVA</v>
      </c>
    </row>
    <row r="36" spans="2:25">
      <c r="B36" s="1">
        <f ca="1">TODAY()</f>
        <v>45523</v>
      </c>
      <c r="C36" s="2">
        <f ca="1">VLOOKUP(B36,Tabla4[],2,FALSE)</f>
        <v>4030.16</v>
      </c>
      <c r="D36" s="3">
        <f ca="1">VLOOKUP(B36,Tabla4[],3,FALSE)</f>
        <v>59064.9</v>
      </c>
      <c r="E36" s="2">
        <f ca="1">VLOOKUP(B36,Tabla4[],5,FALSE)</f>
        <v>2617.6999999999998</v>
      </c>
      <c r="F36" s="2">
        <f ca="1">VLOOKUP(B36,Tabla4[],4,FALSE)</f>
        <v>1.69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ca="1" xml:space="preserve"> K36 * (IF(G36="BTC", D36, IF(G36="ETH", E36, IF(G36="IO.NET", F36, 0)))) * C36</f>
        <v>692.69930238744007</v>
      </c>
      <c r="N36" s="27">
        <f ca="1">IF(G36 = "BTC", (D36 - J36) / J36,
 IF(G36 = "ETH", (E36 - J36) / J36,
 IF(G36 = "IO.NET", (F36 - J36) / J36,
 "Moneda no soportada")))</f>
        <v>2.9823553290931015E-4</v>
      </c>
      <c r="O36" s="28">
        <v>0.25</v>
      </c>
      <c r="P36" s="28">
        <v>0.5</v>
      </c>
      <c r="Q36" t="str">
        <f ca="1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ca="1">IF(G36="BTC", D36 * U36 * C36, IF(G36="ETH", E36 * U36 * C36, IF(G36="IO.NET", F36 * U36 * C36, 0)))</f>
        <v>692.69930238744007</v>
      </c>
      <c r="W36" s="2">
        <f>IF(G36 = "BTC", ((T36 - L36)), IF(G36 = "ETH", ((T36 - L36)), IF(G36 = "IO.NET", ((T36 - L36)), "Moneda no soportada")))</f>
        <v>-699.99648833423703</v>
      </c>
      <c r="X36" s="9">
        <f ca="1">IF(G36 = "BTC", (((D36 - J36) / J36)),IF(G36 = "ETH", ((E36 - J36) / J36), IF(G36 = "IO.NET", ((F36 - J36) / J36), "Moneda no soportada")))</f>
        <v>2.9823553290931015E-4</v>
      </c>
      <c r="Y36" s="2" t="str">
        <f t="shared" si="24"/>
        <v>ACTIVA</v>
      </c>
    </row>
    <row r="37" spans="2:25">
      <c r="B37" s="1">
        <f ca="1">TODAY()</f>
        <v>45523</v>
      </c>
      <c r="C37" s="2">
        <f ca="1">VLOOKUP(B37,Tabla4[],2,FALSE)</f>
        <v>4030.16</v>
      </c>
      <c r="D37" s="3">
        <f ca="1">VLOOKUP(B37,Tabla4[],3,FALSE)</f>
        <v>59064.9</v>
      </c>
      <c r="E37" s="2">
        <f ca="1">VLOOKUP(B37,Tabla4[],5,FALSE)</f>
        <v>2617.6999999999998</v>
      </c>
      <c r="F37" s="2">
        <f ca="1">VLOOKUP(B37,Tabla4[],4,FALSE)</f>
        <v>1.69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ca="1" xml:space="preserve"> K37 * (IF(G37="BTC", D37, IF(G37="ETH", E37, IF(G37="IO.NET", F37, 0)))) * C37</f>
        <v>685.31174908671994</v>
      </c>
      <c r="N37" s="27">
        <f ca="1">IF(G37 = "BTC", (D37 - J37) / J37,
 IF(G37 = "ETH", (E37 - J37) / J37,
 IF(G37 = "IO.NET", (F37 - J37) / J37,
 "Moneda no soportada")))</f>
        <v>-1.0396189324058672E-2</v>
      </c>
      <c r="O37" s="28">
        <v>0.25</v>
      </c>
      <c r="P37" s="28">
        <v>0.5</v>
      </c>
      <c r="Q37" t="str">
        <f ca="1">IF(N37 &lt; O37, "MANTENER", IF(N37 &lt; P37, "VENTA PARCIAL", "VENDER"))</f>
        <v>MANTENER</v>
      </c>
      <c r="T37" s="2"/>
      <c r="U37" s="14">
        <f>Tabla6[[#This Row],[cantidad]]-Tabla6[[#This Row],[CANTIDAD VENDIDA]]</f>
        <v>6.4960000000000001E-5</v>
      </c>
      <c r="V37" s="2">
        <f ca="1">IF(G37="BTC", D37 * U37 * C37, IF(G37="ETH", E37 * U37 * C37, IF(G37="IO.NET", F37 * U37 * C37, 0)))</f>
        <v>685.31174908671994</v>
      </c>
      <c r="W37" s="2">
        <f>IF(G37 = "BTC", ((T37 - L37)), IF(G37 = "ETH", ((T37 - L37)), IF(G37 = "IO.NET", ((T37 - L37)), "Moneda no soportada")))</f>
        <v>-700.01513873535998</v>
      </c>
      <c r="X37" s="9">
        <f ca="1">IF(G37 = "BTC", (((D37 - J37) / J37)),IF(G37 = "ETH", ((E37 - J37) / J37), IF(G37 = "IO.NET", ((F37 - J37) / J37), "Moneda no soportada")))</f>
        <v>-1.0396189324058672E-2</v>
      </c>
      <c r="Y37" s="2" t="str">
        <f t="shared" si="24"/>
        <v>ACTIVA</v>
      </c>
    </row>
    <row r="38" spans="2:25">
      <c r="B38" s="1">
        <f ca="1">TODAY()</f>
        <v>45523</v>
      </c>
      <c r="C38" s="2">
        <f ca="1">VLOOKUP(B38,Tabla4[],2,FALSE)</f>
        <v>4030.16</v>
      </c>
      <c r="D38" s="3">
        <f ca="1">VLOOKUP(B38,Tabla4[],3,FALSE)</f>
        <v>59064.9</v>
      </c>
      <c r="E38" s="2">
        <f ca="1">VLOOKUP(B38,Tabla4[],5,FALSE)</f>
        <v>2617.6999999999998</v>
      </c>
      <c r="F38" s="2">
        <f ca="1">VLOOKUP(B38,Tabla4[],4,FALSE)</f>
        <v>1.69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ca="1" xml:space="preserve"> K38 * (IF(G38="BTC", D38, IF(G38="ETH", E38, IF(G38="IO.NET", F38, 0)))) * C38</f>
        <v>372.15728009054396</v>
      </c>
      <c r="N38" s="27">
        <f ca="1">IF(G38 = "BTC", (D38 - J38) / J38,
 IF(G38 = "ETH", (E38 - J38) / J38,
 IF(G38 = "IO.NET", (F38 - J38) / J38,
 "Moneda no soportada")))</f>
        <v>7.4831143391378377E-2</v>
      </c>
      <c r="O38" s="28">
        <v>0.1</v>
      </c>
      <c r="P38" s="28">
        <v>0.3</v>
      </c>
      <c r="Q38" t="str">
        <f ca="1">IF(N38 &lt; O38, "MANTENER", IF(N38 &lt; P38, "VENTA PARCIAL", "VENDER"))</f>
        <v>MANTENER</v>
      </c>
      <c r="T38" s="2"/>
      <c r="U38" s="14">
        <f>Tabla6[[#This Row],[cantidad]]-Tabla6[[#This Row],[CANTIDAD VENDIDA]]</f>
        <v>5.4640859999999999E-2</v>
      </c>
      <c r="V38" s="2">
        <f ca="1">IF(G38="BTC", D38 * U38 * C38, IF(G38="ETH", E38 * U38 * C38, IF(G38="IO.NET", F38 * U38 * C38, 0)))</f>
        <v>372.15728009054396</v>
      </c>
      <c r="W38" s="2">
        <f>IF(G38 = "BTC", ((T38 - L38)), IF(G38 = "ETH", ((T38 - L38)), IF(G38 = "IO.NET", ((T38 - L38)), "Moneda no soportada")))</f>
        <v>-349.9990705940495</v>
      </c>
      <c r="X38" s="9">
        <f ca="1">IF(G38 = "BTC", (((D38 - J38) / J38)),IF(G38 = "ETH", ((E38 - J38) / J38), IF(G38 = "IO.NET", ((F38 - J38) / J38), "Moneda no soportada")))</f>
        <v>7.4831143391378377E-2</v>
      </c>
      <c r="Y38" s="2" t="str">
        <f t="shared" si="24"/>
        <v>ACTIVA</v>
      </c>
    </row>
  </sheetData>
  <conditionalFormatting sqref="B3:Z38">
    <cfRule type="expression" dxfId="64" priority="1">
      <formula>$Y:$Y="VENDIDA"</formula>
    </cfRule>
  </conditionalFormatting>
  <conditionalFormatting sqref="Q1:Q1048576">
    <cfRule type="containsText" dxfId="63" priority="9" operator="containsText" text="VENTA PARCIAL">
      <formula>NOT(ISERROR(SEARCH("VENTA PARCIAL",Q1)))</formula>
    </cfRule>
    <cfRule type="containsText" dxfId="62" priority="10" operator="containsText" text="MANTENER">
      <formula>NOT(ISERROR(SEARCH("MANTENER",Q1)))</formula>
    </cfRule>
  </conditionalFormatting>
  <conditionalFormatting sqref="Q3:Q38">
    <cfRule type="containsText" dxfId="61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I7" sqref="I7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0" width="23" customWidth="1"/>
    <col min="11" max="11" width="16.375" customWidth="1"/>
    <col min="12" max="12" width="12" customWidth="1"/>
  </cols>
  <sheetData>
    <row r="2" spans="2:12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>
      <c r="B3" s="1">
        <f t="shared" ref="B3:B4" ca="1" si="0">TODAY()</f>
        <v>45523</v>
      </c>
      <c r="C3" s="1">
        <v>45495</v>
      </c>
      <c r="D3" s="7">
        <v>3983.25</v>
      </c>
      <c r="E3" s="14">
        <v>0.17572713000000001</v>
      </c>
      <c r="F3" s="7">
        <f>D3*E3</f>
        <v>699.9650905725</v>
      </c>
      <c r="G3" s="14">
        <f>E3</f>
        <v>0.17572713000000001</v>
      </c>
      <c r="H3" s="7">
        <f ca="1">VLOOKUP(B3,Tabla4[],6,FALSE)</f>
        <v>3937</v>
      </c>
      <c r="I3" s="7">
        <f ca="1">G3*H3</f>
        <v>691.83771081000009</v>
      </c>
      <c r="J3" s="7">
        <f>F3</f>
        <v>699.9650905725</v>
      </c>
      <c r="K3" s="10">
        <f ca="1">((I3-J3)/J3)</f>
        <v>-1.1611121571580871E-2</v>
      </c>
      <c r="L3" s="7">
        <f>D3*1.1</f>
        <v>4381.5750000000007</v>
      </c>
    </row>
    <row r="4" spans="2:12">
      <c r="B4" s="1">
        <f t="shared" ca="1" si="0"/>
        <v>45523</v>
      </c>
      <c r="C4" s="1">
        <v>45496</v>
      </c>
      <c r="D4" s="7">
        <v>3969.77</v>
      </c>
      <c r="E4">
        <v>2.5190379999999998E-2</v>
      </c>
      <c r="F4" s="7">
        <f>D4*E4</f>
        <v>100.0000148126</v>
      </c>
      <c r="G4" s="14">
        <f>G3+E4</f>
        <v>0.20091751000000002</v>
      </c>
      <c r="H4" s="7">
        <f ca="1">VLOOKUP(B4,Tabla4[],6,FALSE)</f>
        <v>3937</v>
      </c>
      <c r="I4" s="7">
        <f ca="1">G4*H4</f>
        <v>791.01223687000004</v>
      </c>
      <c r="J4" s="7">
        <f>F4+J3</f>
        <v>799.96510538510006</v>
      </c>
      <c r="K4" s="10">
        <f ca="1">((I4-J4)/J4)</f>
        <v>-1.1191573800947412E-2</v>
      </c>
      <c r="L4" s="7">
        <f t="shared" ref="L4:L6" si="1">D4*1.1</f>
        <v>4366.7470000000003</v>
      </c>
    </row>
    <row r="5" spans="2:12">
      <c r="B5" s="1">
        <f ca="1">TODAY()</f>
        <v>45523</v>
      </c>
      <c r="C5" s="1">
        <v>45502</v>
      </c>
      <c r="D5" s="7">
        <v>4013.7</v>
      </c>
      <c r="E5">
        <v>0.17440263</v>
      </c>
      <c r="F5" s="7">
        <f>D5*E5</f>
        <v>699.99983603099997</v>
      </c>
      <c r="G5" s="14">
        <f>G4+E5</f>
        <v>0.37532014000000002</v>
      </c>
      <c r="H5" s="7">
        <f ca="1">VLOOKUP(B5,Tabla4[],6,FALSE)</f>
        <v>3937</v>
      </c>
      <c r="I5" s="22">
        <f ca="1">G5*H5</f>
        <v>1477.6353911800002</v>
      </c>
      <c r="J5" s="8">
        <f>F5+J4</f>
        <v>1499.9649414160999</v>
      </c>
      <c r="K5" s="10">
        <f ca="1">((I5-J5)/J5)</f>
        <v>-1.4886714762158823E-2</v>
      </c>
      <c r="L5" s="7">
        <f t="shared" si="1"/>
        <v>4415.07</v>
      </c>
    </row>
    <row r="6" spans="2:12">
      <c r="B6" s="1">
        <f ca="1">TODAY()</f>
        <v>45523</v>
      </c>
      <c r="C6" s="1">
        <v>45509</v>
      </c>
      <c r="D6" s="7">
        <v>4203.8900000000003</v>
      </c>
      <c r="E6">
        <v>0.16651260000000001</v>
      </c>
      <c r="F6" s="22">
        <f>D6*E6</f>
        <v>700.00065401400013</v>
      </c>
      <c r="G6" s="14">
        <f>G5+E6</f>
        <v>0.54183274000000003</v>
      </c>
      <c r="H6" s="7">
        <f ca="1">VLOOKUP(B6,Tabla4[],6,FALSE)</f>
        <v>3937</v>
      </c>
      <c r="I6" s="22">
        <f ca="1">G6*H6</f>
        <v>2133.1954973800002</v>
      </c>
      <c r="J6" s="8">
        <f>F6+J5</f>
        <v>2199.9655954301002</v>
      </c>
      <c r="K6" s="10">
        <f ca="1">((I6-J6)/J6)</f>
        <v>-3.0350519203026977E-2</v>
      </c>
      <c r="L6" s="7">
        <f t="shared" si="1"/>
        <v>4624.2790000000005</v>
      </c>
    </row>
    <row r="7" spans="2:12">
      <c r="B7" s="1">
        <f ca="1">TODAY()</f>
        <v>45523</v>
      </c>
      <c r="C7" s="1">
        <v>45516</v>
      </c>
      <c r="D7" s="7">
        <v>4043.31</v>
      </c>
      <c r="E7">
        <v>0.17312537</v>
      </c>
      <c r="F7" s="7">
        <f>D7*E7</f>
        <v>699.9995397747</v>
      </c>
      <c r="G7" s="14">
        <f>G6+E7</f>
        <v>0.71495810999999998</v>
      </c>
      <c r="H7" s="7">
        <f ca="1">VLOOKUP(B7,Tabla4[],6,FALSE)</f>
        <v>3937</v>
      </c>
      <c r="I7" s="22">
        <f ca="1">G7*H7</f>
        <v>2814.79007907</v>
      </c>
      <c r="J7" s="8">
        <f>F7+J6</f>
        <v>2899.9651352048004</v>
      </c>
      <c r="K7" s="30">
        <f ca="1">((I7-J7)/J7)</f>
        <v>-2.9371062120988271E-2</v>
      </c>
      <c r="L7" s="8">
        <f>D7*1.1</f>
        <v>4447.6410000000005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F9" sqref="F9"/>
    </sheetView>
  </sheetViews>
  <sheetFormatPr baseColWidth="10" defaultRowHeight="14.25"/>
  <cols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opLeftCell="A16" workbookViewId="0">
      <selection activeCell="E34" sqref="E34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</cols>
  <sheetData>
    <row r="2" spans="2:7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  <row r="34" spans="2:7">
      <c r="B34" s="1">
        <v>45523</v>
      </c>
      <c r="C34" s="8">
        <f>VLOOKUP(B34,Tabla4[],2,FALSE)</f>
        <v>4030.16</v>
      </c>
      <c r="D34" s="31">
        <v>514.35</v>
      </c>
      <c r="E34" s="8">
        <f>0.01518 * D34</f>
        <v>7.8078330000000005</v>
      </c>
      <c r="F34" s="8">
        <f>Tabla2[[#This Row],[VALOR INVERSION 1]]-7.7</f>
        <v>0.10783300000000029</v>
      </c>
      <c r="G34" s="8">
        <f>Tabla2[[#This Row],[VALOR INVERSION 1]]*Tabla2[[#This Row],[PRECIO DEL DÓLAR]]</f>
        <v>31466.816243280002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opLeftCell="A40" workbookViewId="0">
      <selection activeCell="L46" sqref="L46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>
      <c r="B3" s="1">
        <f t="shared" ref="B3:B14" ca="1" si="0">TODAY()</f>
        <v>45523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>
        <f ca="1">VLOOKUP(B3,Tabla2[],3,FALSE)</f>
        <v>514.35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45523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>
        <f ca="1">VLOOKUP(B4,Tabla2[],3,FALSE)</f>
        <v>514.35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45523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>
        <f ca="1">VLOOKUP(B5,Tabla2[],3,FALSE)</f>
        <v>514.35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45523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>
        <f ca="1">VLOOKUP(B6,Tabla2[],3,FALSE)</f>
        <v>514.35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45523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>
        <f ca="1">VLOOKUP(B7,Tabla2[],3,FALSE)</f>
        <v>514.35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45523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>
        <f ca="1">VLOOKUP(B8,Tabla2[],3,FALSE)</f>
        <v>514.35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7.81</v>
      </c>
      <c r="P8" s="18"/>
      <c r="Q8" s="7"/>
      <c r="R8" s="7">
        <f t="shared" si="3"/>
        <v>0</v>
      </c>
      <c r="S8" s="7">
        <f t="shared" ca="1" si="4"/>
        <v>0.11</v>
      </c>
      <c r="T8" s="9">
        <f t="shared" ca="1" si="5"/>
        <v>0.01</v>
      </c>
    </row>
    <row r="9" spans="2:20">
      <c r="B9" s="1">
        <f t="shared" ca="1" si="0"/>
        <v>45523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>
        <f ca="1">VLOOKUP(B9,Tabla2[],3,FALSE)</f>
        <v>514.35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45523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>
        <f ca="1">VLOOKUP(B10,Tabla2[],3,FALSE)</f>
        <v>514.35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45523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>
        <f ca="1">VLOOKUP(B11,Tabla2[],3,FALSE)</f>
        <v>514.35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45523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>
        <f ca="1">VLOOKUP(B12,Tabla2[],3,FALSE)</f>
        <v>514.35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45523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>
        <f ca="1">VLOOKUP(B13,Tabla2[],3,FALSE)</f>
        <v>514.35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45523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>
        <f ca="1">VLOOKUP(B14,Tabla2[],3,FALSE)</f>
        <v>514.35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DILZA RAMIREZ</cp:lastModifiedBy>
  <dcterms:created xsi:type="dcterms:W3CDTF">2024-04-08T04:15:12Z</dcterms:created>
  <dcterms:modified xsi:type="dcterms:W3CDTF">2024-08-20T02:22:19Z</dcterms:modified>
</cp:coreProperties>
</file>