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activeTab="6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7" l="1"/>
  <c r="M87" i="7" s="1"/>
  <c r="E87" i="7"/>
  <c r="F87" i="7" s="1"/>
  <c r="H87" i="7"/>
  <c r="J87" i="7" s="1"/>
  <c r="I87" i="7"/>
  <c r="K87" i="7"/>
  <c r="L87" i="7" s="1"/>
  <c r="G87" i="7" l="1"/>
  <c r="B74" i="9"/>
  <c r="C74" i="9" s="1"/>
  <c r="L74" i="9"/>
  <c r="W74" i="9" s="1"/>
  <c r="U74" i="9"/>
  <c r="Y74" i="9" s="1"/>
  <c r="B73" i="9"/>
  <c r="C73" i="9" s="1"/>
  <c r="L73" i="9"/>
  <c r="W73" i="9" s="1"/>
  <c r="U73" i="9"/>
  <c r="Y73" i="9" s="1"/>
  <c r="B72" i="9"/>
  <c r="E72" i="9" s="1"/>
  <c r="L72" i="9"/>
  <c r="W72" i="9" s="1"/>
  <c r="U72" i="9"/>
  <c r="Y72" i="9" s="1"/>
  <c r="B19" i="10"/>
  <c r="H19" i="10" s="1"/>
  <c r="I19" i="10" s="1"/>
  <c r="F19" i="10"/>
  <c r="J19" i="10" s="1"/>
  <c r="G19" i="10"/>
  <c r="M19" i="10"/>
  <c r="F74" i="9" l="1"/>
  <c r="E74" i="9"/>
  <c r="D74" i="9"/>
  <c r="F73" i="9"/>
  <c r="E73" i="9"/>
  <c r="M73" i="9" s="1"/>
  <c r="D73" i="9"/>
  <c r="D72" i="9"/>
  <c r="C72" i="9"/>
  <c r="F72" i="9"/>
  <c r="K19" i="10"/>
  <c r="L19" i="10"/>
  <c r="H37" i="13"/>
  <c r="I37" i="13"/>
  <c r="H36" i="13"/>
  <c r="I36" i="13"/>
  <c r="H35" i="13"/>
  <c r="I35" i="13"/>
  <c r="H34" i="13"/>
  <c r="I34" i="13"/>
  <c r="H33" i="13"/>
  <c r="I33" i="13"/>
  <c r="H32" i="13"/>
  <c r="I32" i="13"/>
  <c r="H31" i="13"/>
  <c r="I31" i="13"/>
  <c r="G22" i="11"/>
  <c r="O22" i="11" s="1"/>
  <c r="K22" i="11"/>
  <c r="L22" i="11"/>
  <c r="N22" i="11" s="1"/>
  <c r="M22" i="11"/>
  <c r="G21" i="11"/>
  <c r="K21" i="11"/>
  <c r="L21" i="11"/>
  <c r="N21" i="11" s="1"/>
  <c r="M21" i="11"/>
  <c r="G20" i="11"/>
  <c r="K20" i="11"/>
  <c r="L20" i="11"/>
  <c r="N20" i="11" s="1"/>
  <c r="M20" i="11"/>
  <c r="G19" i="11"/>
  <c r="K19" i="11"/>
  <c r="L19" i="11"/>
  <c r="N19" i="11" s="1"/>
  <c r="M19" i="11"/>
  <c r="G16" i="1"/>
  <c r="I16" i="1"/>
  <c r="J16" i="1" s="1"/>
  <c r="G15" i="1"/>
  <c r="I15" i="1"/>
  <c r="J15" i="1" s="1"/>
  <c r="C86" i="7"/>
  <c r="E86" i="7"/>
  <c r="F86" i="7" s="1"/>
  <c r="H86" i="7"/>
  <c r="I86" i="7" s="1"/>
  <c r="K86" i="7"/>
  <c r="L86" i="7" s="1"/>
  <c r="V74" i="9" l="1"/>
  <c r="X74" i="9"/>
  <c r="N74" i="9"/>
  <c r="Q74" i="9" s="1"/>
  <c r="M74" i="9"/>
  <c r="N73" i="9"/>
  <c r="Q73" i="9" s="1"/>
  <c r="V73" i="9"/>
  <c r="X73" i="9"/>
  <c r="N72" i="9"/>
  <c r="Q72" i="9" s="1"/>
  <c r="V72" i="9"/>
  <c r="X72" i="9"/>
  <c r="M72" i="9"/>
  <c r="O21" i="11"/>
  <c r="O20" i="11"/>
  <c r="O19" i="11"/>
  <c r="M86" i="7"/>
  <c r="J86" i="7"/>
  <c r="G86" i="7"/>
  <c r="C85" i="7"/>
  <c r="E85" i="7"/>
  <c r="H85" i="7"/>
  <c r="I85" i="7" s="1"/>
  <c r="K85" i="7"/>
  <c r="L85" i="7" s="1"/>
  <c r="M85" i="7" l="1"/>
  <c r="G85" i="7"/>
  <c r="F85" i="7"/>
  <c r="J85" i="7"/>
  <c r="C84" i="7"/>
  <c r="E84" i="7"/>
  <c r="F84" i="7" s="1"/>
  <c r="H84" i="7"/>
  <c r="I84" i="7" s="1"/>
  <c r="K84" i="7"/>
  <c r="M84" i="7" l="1"/>
  <c r="L84" i="7"/>
  <c r="J84" i="7"/>
  <c r="G84" i="7"/>
  <c r="C83" i="7"/>
  <c r="E83" i="7"/>
  <c r="F83" i="7" s="1"/>
  <c r="H83" i="7"/>
  <c r="I83" i="7" s="1"/>
  <c r="K83" i="7"/>
  <c r="L83" i="7" s="1"/>
  <c r="M83" i="7" l="1"/>
  <c r="J83" i="7"/>
  <c r="G83" i="7"/>
  <c r="B71" i="9"/>
  <c r="C71" i="9" s="1"/>
  <c r="L71" i="9"/>
  <c r="W71" i="9" s="1"/>
  <c r="U71" i="9"/>
  <c r="Y71" i="9" s="1"/>
  <c r="B70" i="9"/>
  <c r="C70" i="9" s="1"/>
  <c r="L70" i="9"/>
  <c r="W70" i="9" s="1"/>
  <c r="U70" i="9"/>
  <c r="Y70" i="9" s="1"/>
  <c r="L69" i="9"/>
  <c r="W69" i="9" s="1"/>
  <c r="B69" i="9"/>
  <c r="D69" i="9" s="1"/>
  <c r="U69" i="9"/>
  <c r="Y69" i="9" s="1"/>
  <c r="B18" i="10"/>
  <c r="H18" i="10" s="1"/>
  <c r="F18" i="10"/>
  <c r="J18" i="10" s="1"/>
  <c r="G18" i="10"/>
  <c r="M18" i="10"/>
  <c r="C82" i="7"/>
  <c r="E82" i="7"/>
  <c r="F82" i="7" s="1"/>
  <c r="H82" i="7"/>
  <c r="I82" i="7" s="1"/>
  <c r="K82" i="7"/>
  <c r="M82" i="7" l="1"/>
  <c r="F71" i="9"/>
  <c r="E71" i="9"/>
  <c r="D71" i="9"/>
  <c r="F70" i="9"/>
  <c r="E70" i="9"/>
  <c r="M70" i="9" s="1"/>
  <c r="D70" i="9"/>
  <c r="N69" i="9"/>
  <c r="Q69" i="9" s="1"/>
  <c r="X69" i="9"/>
  <c r="C69" i="9"/>
  <c r="M69" i="9" s="1"/>
  <c r="E69" i="9"/>
  <c r="F69" i="9"/>
  <c r="I18" i="10"/>
  <c r="J82" i="7"/>
  <c r="G82" i="7"/>
  <c r="L82" i="7"/>
  <c r="C81" i="7"/>
  <c r="E81" i="7"/>
  <c r="F81" i="7" s="1"/>
  <c r="H81" i="7"/>
  <c r="I81" i="7" s="1"/>
  <c r="K81" i="7"/>
  <c r="L81" i="7" s="1"/>
  <c r="N71" i="9" l="1"/>
  <c r="Q71" i="9" s="1"/>
  <c r="V71" i="9"/>
  <c r="X71" i="9"/>
  <c r="M71" i="9"/>
  <c r="V70" i="9"/>
  <c r="X70" i="9"/>
  <c r="N70" i="9"/>
  <c r="Q70" i="9" s="1"/>
  <c r="V69" i="9"/>
  <c r="K18" i="10"/>
  <c r="L18" i="10"/>
  <c r="J81" i="7"/>
  <c r="M81" i="7"/>
  <c r="G81" i="7"/>
  <c r="C80" i="7"/>
  <c r="E80" i="7"/>
  <c r="F80" i="7" s="1"/>
  <c r="H80" i="7"/>
  <c r="I80" i="7" s="1"/>
  <c r="K80" i="7"/>
  <c r="L80" i="7" s="1"/>
  <c r="M80" i="7" l="1"/>
  <c r="J80" i="7"/>
  <c r="G80" i="7"/>
  <c r="C79" i="7"/>
  <c r="E79" i="7"/>
  <c r="F79" i="7" s="1"/>
  <c r="H79" i="7"/>
  <c r="I79" i="7" s="1"/>
  <c r="K79" i="7"/>
  <c r="L79" i="7" s="1"/>
  <c r="M79" i="7" l="1"/>
  <c r="G79" i="7"/>
  <c r="J79" i="7"/>
  <c r="C78" i="7"/>
  <c r="E78" i="7"/>
  <c r="F78" i="7"/>
  <c r="H78" i="7"/>
  <c r="I78" i="7" s="1"/>
  <c r="K78" i="7"/>
  <c r="L78" i="7" s="1"/>
  <c r="G78" i="7" l="1"/>
  <c r="M78" i="7"/>
  <c r="J78" i="7"/>
  <c r="B17" i="10"/>
  <c r="H17" i="10" s="1"/>
  <c r="F17" i="10"/>
  <c r="G17" i="10"/>
  <c r="M17" i="10"/>
  <c r="B68" i="9"/>
  <c r="C68" i="9" s="1"/>
  <c r="I68" i="9"/>
  <c r="L68" i="9" s="1"/>
  <c r="W68" i="9" s="1"/>
  <c r="U68" i="9"/>
  <c r="Y68" i="9" s="1"/>
  <c r="B67" i="9"/>
  <c r="C67" i="9" s="1"/>
  <c r="I67" i="9"/>
  <c r="L67" i="9" s="1"/>
  <c r="W67" i="9" s="1"/>
  <c r="U67" i="9"/>
  <c r="Y67" i="9" s="1"/>
  <c r="B66" i="9"/>
  <c r="D66" i="9" s="1"/>
  <c r="I66" i="9"/>
  <c r="L66" i="9" s="1"/>
  <c r="W66" i="9" s="1"/>
  <c r="U66" i="9"/>
  <c r="Y66" i="9" s="1"/>
  <c r="B65" i="9"/>
  <c r="D65" i="9" s="1"/>
  <c r="I65" i="9"/>
  <c r="L65" i="9" s="1"/>
  <c r="W65" i="9" s="1"/>
  <c r="U65" i="9"/>
  <c r="Y65" i="9" s="1"/>
  <c r="N66" i="9" l="1"/>
  <c r="Q66" i="9" s="1"/>
  <c r="I17" i="10"/>
  <c r="F68" i="9"/>
  <c r="M68" i="9" s="1"/>
  <c r="E68" i="9"/>
  <c r="D68" i="9"/>
  <c r="F67" i="9"/>
  <c r="E67" i="9"/>
  <c r="M67" i="9" s="1"/>
  <c r="D67" i="9"/>
  <c r="X66" i="9"/>
  <c r="C66" i="9"/>
  <c r="M66" i="9" s="1"/>
  <c r="F66" i="9"/>
  <c r="E66" i="9"/>
  <c r="C65" i="9"/>
  <c r="E65" i="9"/>
  <c r="F65" i="9"/>
  <c r="B64" i="9"/>
  <c r="E64" i="9" s="1"/>
  <c r="I64" i="9"/>
  <c r="L64" i="9" s="1"/>
  <c r="W64" i="9" s="1"/>
  <c r="U64" i="9"/>
  <c r="Y64" i="9" s="1"/>
  <c r="B63" i="9"/>
  <c r="C63" i="9" s="1"/>
  <c r="I63" i="9"/>
  <c r="L63" i="9" s="1"/>
  <c r="W63" i="9" s="1"/>
  <c r="U63" i="9"/>
  <c r="Y63" i="9" s="1"/>
  <c r="C77" i="7"/>
  <c r="E77" i="7"/>
  <c r="H77" i="7"/>
  <c r="I77" i="7" s="1"/>
  <c r="K77" i="7"/>
  <c r="L77" i="7" s="1"/>
  <c r="M65" i="9" l="1"/>
  <c r="N68" i="9"/>
  <c r="Q68" i="9" s="1"/>
  <c r="V68" i="9"/>
  <c r="X68" i="9"/>
  <c r="V67" i="9"/>
  <c r="X67" i="9"/>
  <c r="N67" i="9"/>
  <c r="Q67" i="9" s="1"/>
  <c r="V66" i="9"/>
  <c r="V65" i="9"/>
  <c r="X65" i="9"/>
  <c r="N65" i="9"/>
  <c r="Q65" i="9" s="1"/>
  <c r="C64" i="9"/>
  <c r="M64" i="9" s="1"/>
  <c r="D64" i="9"/>
  <c r="X64" i="9"/>
  <c r="N64" i="9"/>
  <c r="Q64" i="9" s="1"/>
  <c r="F64" i="9"/>
  <c r="F63" i="9"/>
  <c r="E63" i="9"/>
  <c r="D63" i="9"/>
  <c r="M63" i="9" s="1"/>
  <c r="G77" i="7"/>
  <c r="F77" i="7"/>
  <c r="M77" i="7"/>
  <c r="J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C76" i="7"/>
  <c r="E76" i="7"/>
  <c r="F76" i="7" s="1"/>
  <c r="H76" i="7"/>
  <c r="I76" i="7" s="1"/>
  <c r="C75" i="7"/>
  <c r="E75" i="7"/>
  <c r="F75" i="7" s="1"/>
  <c r="H75" i="7"/>
  <c r="M75" i="7" l="1"/>
  <c r="V64" i="9"/>
  <c r="N63" i="9"/>
  <c r="Q63" i="9" s="1"/>
  <c r="V63" i="9"/>
  <c r="X63" i="9"/>
  <c r="M76" i="7"/>
  <c r="J75" i="7"/>
  <c r="J76" i="7"/>
  <c r="G75" i="7"/>
  <c r="G76" i="7"/>
  <c r="I75" i="7"/>
  <c r="C74" i="7"/>
  <c r="M74" i="7" s="1"/>
  <c r="E74" i="7"/>
  <c r="F74" i="7" s="1"/>
  <c r="I74" i="7"/>
  <c r="C73" i="7"/>
  <c r="M73" i="7" s="1"/>
  <c r="E73" i="7"/>
  <c r="F73" i="7" s="1"/>
  <c r="H73" i="7"/>
  <c r="J73" i="7" l="1"/>
  <c r="J74" i="7"/>
  <c r="G74" i="7"/>
  <c r="G73" i="7"/>
  <c r="I73" i="7"/>
  <c r="B16" i="10"/>
  <c r="H16" i="10" s="1"/>
  <c r="F16" i="10"/>
  <c r="G16" i="10"/>
  <c r="M16" i="10"/>
  <c r="C72" i="7"/>
  <c r="E72" i="7"/>
  <c r="F72" i="7" s="1"/>
  <c r="H72" i="7"/>
  <c r="I72" i="7" s="1"/>
  <c r="G72" i="7" l="1"/>
  <c r="M72" i="7"/>
  <c r="J72" i="7"/>
  <c r="I16" i="10"/>
  <c r="C71" i="7"/>
  <c r="M71" i="7" s="1"/>
  <c r="E71" i="7"/>
  <c r="H71" i="7"/>
  <c r="I71" i="7" s="1"/>
  <c r="G71" i="7" l="1"/>
  <c r="F71" i="7"/>
  <c r="J71" i="7"/>
  <c r="C70" i="7"/>
  <c r="M70" i="7" s="1"/>
  <c r="E70" i="7"/>
  <c r="F70" i="7" s="1"/>
  <c r="H70" i="7"/>
  <c r="I70" i="7" s="1"/>
  <c r="J70" i="7" l="1"/>
  <c r="G70" i="7"/>
  <c r="C69" i="7"/>
  <c r="M69" i="7" s="1"/>
  <c r="E69" i="7"/>
  <c r="H69" i="7"/>
  <c r="I69" i="7" s="1"/>
  <c r="J69" i="7" l="1"/>
  <c r="G69" i="7"/>
  <c r="F69" i="7"/>
  <c r="C68" i="7"/>
  <c r="M68" i="7" s="1"/>
  <c r="E68" i="7"/>
  <c r="F68" i="7"/>
  <c r="H68" i="7"/>
  <c r="I68" i="7" s="1"/>
  <c r="J68" i="7" l="1"/>
  <c r="G68" i="7"/>
  <c r="C67" i="7"/>
  <c r="E67" i="7"/>
  <c r="F67" i="7"/>
  <c r="H67" i="7"/>
  <c r="I67" i="7" s="1"/>
  <c r="B15" i="10"/>
  <c r="H15" i="10" s="1"/>
  <c r="I15" i="10" s="1"/>
  <c r="F15" i="10"/>
  <c r="G15" i="10"/>
  <c r="M15" i="10"/>
  <c r="B62" i="9"/>
  <c r="E62" i="9" s="1"/>
  <c r="L62" i="9"/>
  <c r="W62" i="9" s="1"/>
  <c r="U62" i="9"/>
  <c r="Y62" i="9" s="1"/>
  <c r="B61" i="9"/>
  <c r="D61" i="9" s="1"/>
  <c r="L61" i="9"/>
  <c r="W61" i="9" s="1"/>
  <c r="U61" i="9"/>
  <c r="Y61" i="9" s="1"/>
  <c r="B60" i="9"/>
  <c r="E60" i="9" s="1"/>
  <c r="L60" i="9"/>
  <c r="W60" i="9" s="1"/>
  <c r="U60" i="9"/>
  <c r="Y60" i="9" s="1"/>
  <c r="G67" i="7" l="1"/>
  <c r="M67" i="7"/>
  <c r="J67" i="7"/>
  <c r="D62" i="9"/>
  <c r="C62" i="9"/>
  <c r="F62" i="9"/>
  <c r="C61" i="9"/>
  <c r="F61" i="9"/>
  <c r="E61" i="9"/>
  <c r="C60" i="9"/>
  <c r="D60" i="9"/>
  <c r="F60" i="9"/>
  <c r="C66" i="7"/>
  <c r="M66" i="7" s="1"/>
  <c r="E66" i="7"/>
  <c r="F66" i="7"/>
  <c r="H66" i="7"/>
  <c r="I66" i="7" s="1"/>
  <c r="M62" i="9" l="1"/>
  <c r="M60" i="9"/>
  <c r="M61" i="9"/>
  <c r="V62" i="9"/>
  <c r="N62" i="9"/>
  <c r="Q62" i="9" s="1"/>
  <c r="X62" i="9"/>
  <c r="V61" i="9"/>
  <c r="X61" i="9"/>
  <c r="N61" i="9"/>
  <c r="Q61" i="9" s="1"/>
  <c r="V60" i="9"/>
  <c r="X60" i="9"/>
  <c r="N60" i="9"/>
  <c r="Q60" i="9" s="1"/>
  <c r="J66" i="7"/>
  <c r="G66" i="7"/>
  <c r="C65" i="7"/>
  <c r="M65" i="7" s="1"/>
  <c r="E65" i="7"/>
  <c r="F65" i="7" s="1"/>
  <c r="H65" i="7"/>
  <c r="I65" i="7" s="1"/>
  <c r="G65" i="7" l="1"/>
  <c r="J65" i="7"/>
  <c r="C64" i="7"/>
  <c r="E64" i="7"/>
  <c r="F64" i="7" s="1"/>
  <c r="H64" i="7"/>
  <c r="I64" i="7" s="1"/>
  <c r="G64" i="7" l="1"/>
  <c r="M64" i="7"/>
  <c r="J64" i="7"/>
  <c r="G18" i="11"/>
  <c r="K18" i="11"/>
  <c r="L18" i="11"/>
  <c r="N18" i="11" s="1"/>
  <c r="M18" i="11"/>
  <c r="G17" i="11"/>
  <c r="K17" i="11"/>
  <c r="L17" i="11"/>
  <c r="M17" i="11"/>
  <c r="N17" i="11"/>
  <c r="G16" i="11"/>
  <c r="K16" i="11"/>
  <c r="L16" i="11"/>
  <c r="N16" i="11" s="1"/>
  <c r="M16" i="11"/>
  <c r="G15" i="11"/>
  <c r="K15" i="11"/>
  <c r="L15" i="11"/>
  <c r="N15" i="11" s="1"/>
  <c r="M15" i="1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M63" i="7" s="1"/>
  <c r="E63" i="7"/>
  <c r="F63" i="7" s="1"/>
  <c r="H63" i="7"/>
  <c r="V3" i="13" l="1"/>
  <c r="O17" i="11"/>
  <c r="O18" i="11"/>
  <c r="J63" i="7"/>
  <c r="O16" i="11"/>
  <c r="O15" i="11"/>
  <c r="I14" i="1"/>
  <c r="J14" i="1" s="1"/>
  <c r="I13" i="1"/>
  <c r="J13" i="1" s="1"/>
  <c r="I63" i="7"/>
  <c r="G63" i="7"/>
  <c r="C62" i="7"/>
  <c r="M62" i="7" s="1"/>
  <c r="E62" i="7"/>
  <c r="H62" i="7"/>
  <c r="I62" i="7" s="1"/>
  <c r="B14" i="10"/>
  <c r="H14" i="10" s="1"/>
  <c r="F14" i="10"/>
  <c r="G14" i="10"/>
  <c r="M14" i="10"/>
  <c r="B59" i="9"/>
  <c r="C59" i="9" s="1"/>
  <c r="L59" i="9"/>
  <c r="W59" i="9" s="1"/>
  <c r="U59" i="9"/>
  <c r="Y59" i="9" s="1"/>
  <c r="B58" i="9"/>
  <c r="E58" i="9" s="1"/>
  <c r="L58" i="9"/>
  <c r="W58" i="9" s="1"/>
  <c r="U58" i="9"/>
  <c r="Y58" i="9" s="1"/>
  <c r="B57" i="9"/>
  <c r="D57" i="9" s="1"/>
  <c r="L57" i="9"/>
  <c r="W57" i="9" s="1"/>
  <c r="U57" i="9"/>
  <c r="Y57" i="9" s="1"/>
  <c r="J62" i="7" l="1"/>
  <c r="G62" i="7"/>
  <c r="F62" i="7"/>
  <c r="I14" i="10"/>
  <c r="F59" i="9"/>
  <c r="M59" i="9" s="1"/>
  <c r="D59" i="9"/>
  <c r="E59" i="9"/>
  <c r="C58" i="9"/>
  <c r="M58" i="9" s="1"/>
  <c r="D58" i="9"/>
  <c r="X58" i="9"/>
  <c r="N58" i="9"/>
  <c r="Q58" i="9" s="1"/>
  <c r="F58" i="9"/>
  <c r="C57" i="9"/>
  <c r="M57" i="9" s="1"/>
  <c r="N57" i="9"/>
  <c r="Q57" i="9" s="1"/>
  <c r="X57" i="9"/>
  <c r="F57" i="9"/>
  <c r="E57" i="9"/>
  <c r="C61" i="7"/>
  <c r="M61" i="7" s="1"/>
  <c r="E61" i="7"/>
  <c r="F61" i="7" s="1"/>
  <c r="H61" i="7"/>
  <c r="I61" i="7" s="1"/>
  <c r="V57" i="9" l="1"/>
  <c r="V59" i="9"/>
  <c r="N59" i="9"/>
  <c r="Q59" i="9" s="1"/>
  <c r="X59" i="9"/>
  <c r="V58" i="9"/>
  <c r="J61" i="7"/>
  <c r="G61" i="7"/>
  <c r="C60" i="7"/>
  <c r="M60" i="7" s="1"/>
  <c r="E60" i="7"/>
  <c r="F60" i="7" s="1"/>
  <c r="H60" i="7"/>
  <c r="I60" i="7" s="1"/>
  <c r="C59" i="7"/>
  <c r="M59" i="7" s="1"/>
  <c r="E59" i="7"/>
  <c r="F59" i="7" s="1"/>
  <c r="H59" i="7"/>
  <c r="I59" i="7" s="1"/>
  <c r="G60" i="7" l="1"/>
  <c r="J60" i="7"/>
  <c r="G59" i="7"/>
  <c r="J59" i="7"/>
  <c r="C58" i="7"/>
  <c r="E58" i="7"/>
  <c r="F58" i="7"/>
  <c r="H58" i="7"/>
  <c r="I58" i="7" s="1"/>
  <c r="G58" i="7" l="1"/>
  <c r="M58" i="7"/>
  <c r="J58" i="7"/>
  <c r="B13" i="10"/>
  <c r="H13" i="10" s="1"/>
  <c r="I13" i="10" s="1"/>
  <c r="F13" i="10"/>
  <c r="G13" i="10"/>
  <c r="M13" i="10"/>
  <c r="B56" i="9"/>
  <c r="D56" i="9" s="1"/>
  <c r="I56" i="9"/>
  <c r="L56" i="9" s="1"/>
  <c r="W56" i="9" s="1"/>
  <c r="U56" i="9"/>
  <c r="Y56" i="9" s="1"/>
  <c r="B55" i="9"/>
  <c r="E55" i="9" s="1"/>
  <c r="I55" i="9"/>
  <c r="L55" i="9" s="1"/>
  <c r="W55" i="9" s="1"/>
  <c r="U55" i="9"/>
  <c r="Y55" i="9" s="1"/>
  <c r="B54" i="9"/>
  <c r="C54" i="9" s="1"/>
  <c r="I54" i="9"/>
  <c r="L54" i="9" s="1"/>
  <c r="W54" i="9" s="1"/>
  <c r="U54" i="9"/>
  <c r="Y54" i="9" s="1"/>
  <c r="C56" i="9" l="1"/>
  <c r="F56" i="9"/>
  <c r="E56" i="9"/>
  <c r="D55" i="9"/>
  <c r="C55" i="9"/>
  <c r="M55" i="9" s="1"/>
  <c r="F55" i="9"/>
  <c r="N55" i="9"/>
  <c r="Q55" i="9" s="1"/>
  <c r="X55" i="9"/>
  <c r="F54" i="9"/>
  <c r="E54" i="9"/>
  <c r="D54" i="9"/>
  <c r="M54" i="9" s="1"/>
  <c r="H18" i="13"/>
  <c r="H19" i="13"/>
  <c r="H20" i="13"/>
  <c r="H21" i="13"/>
  <c r="H22" i="13"/>
  <c r="H23" i="13"/>
  <c r="M56" i="9" l="1"/>
  <c r="N56" i="9"/>
  <c r="Q56" i="9" s="1"/>
  <c r="V56" i="9"/>
  <c r="X56" i="9"/>
  <c r="V55" i="9"/>
  <c r="N54" i="9"/>
  <c r="Q54" i="9" s="1"/>
  <c r="X54" i="9"/>
  <c r="V54" i="9"/>
  <c r="C57" i="7"/>
  <c r="M57" i="7" s="1"/>
  <c r="E57" i="7"/>
  <c r="F57" i="7" s="1"/>
  <c r="H57" i="7"/>
  <c r="I57" i="7" s="1"/>
  <c r="G57" i="7" l="1"/>
  <c r="J57" i="7"/>
  <c r="C56" i="7"/>
  <c r="M56" i="7" s="1"/>
  <c r="E56" i="7"/>
  <c r="F56" i="7" s="1"/>
  <c r="H56" i="7"/>
  <c r="I56" i="7" s="1"/>
  <c r="J56" i="7" l="1"/>
  <c r="G56" i="7"/>
  <c r="C55" i="7"/>
  <c r="E55" i="7"/>
  <c r="F55" i="7" s="1"/>
  <c r="H55" i="7"/>
  <c r="I55" i="7" s="1"/>
  <c r="G55" i="7" l="1"/>
  <c r="M55" i="7"/>
  <c r="J55" i="7"/>
  <c r="B12" i="10"/>
  <c r="H12" i="10" s="1"/>
  <c r="I12" i="10" s="1"/>
  <c r="F12" i="10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51" i="9"/>
  <c r="D51" i="9" s="1"/>
  <c r="I51" i="9"/>
  <c r="L51" i="9" s="1"/>
  <c r="W51" i="9" s="1"/>
  <c r="U51" i="9"/>
  <c r="Y51" i="9" s="1"/>
  <c r="F53" i="9" l="1"/>
  <c r="M53" i="9" s="1"/>
  <c r="E53" i="9"/>
  <c r="D53" i="9"/>
  <c r="C52" i="9"/>
  <c r="F52" i="9"/>
  <c r="E52" i="9"/>
  <c r="C51" i="9"/>
  <c r="M51" i="9" s="1"/>
  <c r="N51" i="9"/>
  <c r="Q51" i="9" s="1"/>
  <c r="X51" i="9"/>
  <c r="F51" i="9"/>
  <c r="E51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M54" i="7" s="1"/>
  <c r="E54" i="7"/>
  <c r="F54" i="7" s="1"/>
  <c r="C53" i="7"/>
  <c r="M53" i="7" s="1"/>
  <c r="M52" i="9" l="1"/>
  <c r="J53" i="7"/>
  <c r="N53" i="9"/>
  <c r="Q53" i="9" s="1"/>
  <c r="V53" i="9"/>
  <c r="X53" i="9"/>
  <c r="V52" i="9"/>
  <c r="X52" i="9"/>
  <c r="N52" i="9"/>
  <c r="Q52" i="9" s="1"/>
  <c r="V51" i="9"/>
  <c r="J54" i="7"/>
  <c r="G54" i="7"/>
  <c r="G53" i="7"/>
  <c r="C52" i="7"/>
  <c r="E52" i="7"/>
  <c r="F52" i="7" s="1"/>
  <c r="J52" i="7" l="1"/>
  <c r="M52" i="7"/>
  <c r="G52" i="7"/>
  <c r="C51" i="7"/>
  <c r="M51" i="7" s="1"/>
  <c r="E51" i="7"/>
  <c r="F51" i="7" s="1"/>
  <c r="G51" i="7" l="1"/>
  <c r="J51" i="7"/>
  <c r="C50" i="7"/>
  <c r="E50" i="7"/>
  <c r="F50" i="7" s="1"/>
  <c r="B11" i="10"/>
  <c r="H11" i="10" s="1"/>
  <c r="I11" i="10" s="1"/>
  <c r="F11" i="10"/>
  <c r="G11" i="10"/>
  <c r="M11" i="10"/>
  <c r="B50" i="9"/>
  <c r="C50" i="9" s="1"/>
  <c r="I50" i="9"/>
  <c r="L50" i="9" s="1"/>
  <c r="W50" i="9" s="1"/>
  <c r="U50" i="9"/>
  <c r="Y50" i="9" s="1"/>
  <c r="J50" i="7" l="1"/>
  <c r="M50" i="7"/>
  <c r="G50" i="7"/>
  <c r="E50" i="9"/>
  <c r="F50" i="9"/>
  <c r="M50" i="9" s="1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E49" i="7"/>
  <c r="F49" i="7" s="1"/>
  <c r="J49" i="7" l="1"/>
  <c r="M49" i="7"/>
  <c r="G49" i="7"/>
  <c r="V50" i="9"/>
  <c r="X50" i="9"/>
  <c r="N50" i="9"/>
  <c r="Q50" i="9" s="1"/>
  <c r="F49" i="9"/>
  <c r="E49" i="9"/>
  <c r="M49" i="9" s="1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49" i="9" l="1"/>
  <c r="Q49" i="9" s="1"/>
  <c r="V49" i="9"/>
  <c r="X49" i="9"/>
  <c r="V48" i="9"/>
  <c r="H17" i="13"/>
  <c r="U3" i="13" s="1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G10" i="10"/>
  <c r="M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E48" i="7"/>
  <c r="F48" i="7" s="1"/>
  <c r="C47" i="7"/>
  <c r="E47" i="7"/>
  <c r="F47" i="7" s="1"/>
  <c r="C46" i="7"/>
  <c r="E46" i="7"/>
  <c r="F46" i="7" s="1"/>
  <c r="C45" i="7"/>
  <c r="E45" i="7"/>
  <c r="F45" i="7" s="1"/>
  <c r="C44" i="7"/>
  <c r="E44" i="7"/>
  <c r="F44" i="7" s="1"/>
  <c r="C43" i="7"/>
  <c r="E43" i="7"/>
  <c r="F43" i="7" s="1"/>
  <c r="C42" i="7"/>
  <c r="E42" i="7"/>
  <c r="F42" i="7" s="1"/>
  <c r="C41" i="7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G44" i="7"/>
  <c r="G47" i="7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F9" i="10"/>
  <c r="G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E39" i="7"/>
  <c r="F39" i="7" s="1"/>
  <c r="C51" i="6"/>
  <c r="C50" i="6"/>
  <c r="C38" i="7"/>
  <c r="E38" i="7"/>
  <c r="F38" i="7" s="1"/>
  <c r="C37" i="7"/>
  <c r="E37" i="7"/>
  <c r="F37" i="7" s="1"/>
  <c r="C49" i="6"/>
  <c r="C48" i="6"/>
  <c r="B8" i="10"/>
  <c r="H8" i="10" s="1"/>
  <c r="I8" i="10" s="1"/>
  <c r="F8" i="10"/>
  <c r="G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E36" i="7"/>
  <c r="F36" i="7" s="1"/>
  <c r="C35" i="7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E33" i="7"/>
  <c r="F33" i="7" s="1"/>
  <c r="C45" i="6"/>
  <c r="C32" i="7"/>
  <c r="E32" i="7"/>
  <c r="F32" i="7" s="1"/>
  <c r="C44" i="6"/>
  <c r="C31" i="7"/>
  <c r="E31" i="7"/>
  <c r="F31" i="7" s="1"/>
  <c r="C43" i="6"/>
  <c r="C30" i="7"/>
  <c r="E30" i="7"/>
  <c r="F30" i="7" s="1"/>
  <c r="G3" i="11"/>
  <c r="K3" i="11"/>
  <c r="B7" i="10"/>
  <c r="H7" i="10" s="1"/>
  <c r="I7" i="10" s="1"/>
  <c r="F7" i="10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E27" i="7"/>
  <c r="F27" i="7" s="1"/>
  <c r="C26" i="7"/>
  <c r="E26" i="7"/>
  <c r="F26" i="7" s="1"/>
  <c r="M47" i="9" l="1"/>
  <c r="M45" i="9"/>
  <c r="J28" i="7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V45" i="9"/>
  <c r="X45" i="9"/>
  <c r="N45" i="9"/>
  <c r="Q45" i="9" s="1"/>
  <c r="G40" i="7"/>
  <c r="F44" i="9"/>
  <c r="E44" i="9"/>
  <c r="D44" i="9"/>
  <c r="F43" i="9"/>
  <c r="E43" i="9"/>
  <c r="D43" i="9"/>
  <c r="F42" i="9"/>
  <c r="E42" i="9"/>
  <c r="D42" i="9"/>
  <c r="M42" i="9" s="1"/>
  <c r="G38" i="7"/>
  <c r="F41" i="9"/>
  <c r="M41" i="9" s="1"/>
  <c r="E41" i="9"/>
  <c r="D41" i="9"/>
  <c r="F40" i="9"/>
  <c r="E40" i="9"/>
  <c r="D40" i="9"/>
  <c r="F39" i="9"/>
  <c r="E39" i="9"/>
  <c r="D39" i="9"/>
  <c r="M39" i="9" s="1"/>
  <c r="G34" i="7"/>
  <c r="F38" i="9"/>
  <c r="M38" i="9" s="1"/>
  <c r="E38" i="9"/>
  <c r="D38" i="9"/>
  <c r="F37" i="9"/>
  <c r="E37" i="9"/>
  <c r="D37" i="9"/>
  <c r="F36" i="9"/>
  <c r="E36" i="9"/>
  <c r="D36" i="9"/>
  <c r="M36" i="9" s="1"/>
  <c r="G28" i="7"/>
  <c r="G26" i="7"/>
  <c r="C25" i="7"/>
  <c r="E25" i="7"/>
  <c r="F25" i="7" s="1"/>
  <c r="M4" i="10"/>
  <c r="M5" i="10"/>
  <c r="M6" i="10"/>
  <c r="C24" i="7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N43" i="9" l="1"/>
  <c r="Q43" i="9" s="1"/>
  <c r="M43" i="9"/>
  <c r="N37" i="9"/>
  <c r="Q37" i="9" s="1"/>
  <c r="M37" i="9"/>
  <c r="X44" i="9"/>
  <c r="M44" i="9"/>
  <c r="N40" i="9"/>
  <c r="Q40" i="9" s="1"/>
  <c r="M40" i="9"/>
  <c r="J5" i="10"/>
  <c r="J15" i="7"/>
  <c r="M15" i="7"/>
  <c r="J23" i="7"/>
  <c r="M23" i="7"/>
  <c r="J7" i="7"/>
  <c r="M7" i="7"/>
  <c r="J14" i="7"/>
  <c r="M14" i="7"/>
  <c r="J19" i="7"/>
  <c r="M19" i="7"/>
  <c r="J11" i="7"/>
  <c r="M11" i="7"/>
  <c r="J3" i="7"/>
  <c r="M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Y3" i="13"/>
  <c r="G24" i="7"/>
  <c r="O10" i="11"/>
  <c r="J9" i="1"/>
  <c r="D11" i="1"/>
  <c r="V44" i="9"/>
  <c r="N44" i="9"/>
  <c r="Q44" i="9" s="1"/>
  <c r="V43" i="9"/>
  <c r="X43" i="9"/>
  <c r="N42" i="9"/>
  <c r="Q42" i="9" s="1"/>
  <c r="V42" i="9"/>
  <c r="X42" i="9"/>
  <c r="V41" i="9"/>
  <c r="N41" i="9"/>
  <c r="Q41" i="9" s="1"/>
  <c r="X41" i="9"/>
  <c r="V40" i="9"/>
  <c r="X40" i="9"/>
  <c r="N39" i="9"/>
  <c r="Q39" i="9" s="1"/>
  <c r="V39" i="9"/>
  <c r="X39" i="9"/>
  <c r="V38" i="9"/>
  <c r="N38" i="9"/>
  <c r="Q38" i="9" s="1"/>
  <c r="X38" i="9"/>
  <c r="X37" i="9"/>
  <c r="V37" i="9"/>
  <c r="N36" i="9"/>
  <c r="Q36" i="9" s="1"/>
  <c r="X36" i="9"/>
  <c r="V36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J7" i="10" s="1"/>
  <c r="F35" i="9"/>
  <c r="E35" i="9"/>
  <c r="D35" i="9"/>
  <c r="F34" i="9"/>
  <c r="E34" i="9"/>
  <c r="D34" i="9"/>
  <c r="F33" i="9"/>
  <c r="E33" i="9"/>
  <c r="D33" i="9"/>
  <c r="M33" i="9" s="1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D31" i="9"/>
  <c r="F30" i="9"/>
  <c r="E30" i="9"/>
  <c r="D30" i="9"/>
  <c r="M30" i="9" s="1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E29" i="9"/>
  <c r="D29" i="9"/>
  <c r="F28" i="9"/>
  <c r="E28" i="9"/>
  <c r="D28" i="9"/>
  <c r="F27" i="9"/>
  <c r="E27" i="9"/>
  <c r="D27" i="9"/>
  <c r="M27" i="9" s="1"/>
  <c r="I3" i="10"/>
  <c r="F26" i="9"/>
  <c r="E26" i="9"/>
  <c r="D26" i="9"/>
  <c r="F25" i="9"/>
  <c r="E25" i="9"/>
  <c r="D25" i="9"/>
  <c r="F24" i="9"/>
  <c r="M24" i="9" s="1"/>
  <c r="E24" i="9"/>
  <c r="D24" i="9"/>
  <c r="F23" i="9"/>
  <c r="M23" i="9" s="1"/>
  <c r="E23" i="9"/>
  <c r="D23" i="9"/>
  <c r="F22" i="9"/>
  <c r="M22" i="9" s="1"/>
  <c r="E22" i="9"/>
  <c r="D22" i="9"/>
  <c r="F21" i="9"/>
  <c r="E21" i="9"/>
  <c r="D21" i="9"/>
  <c r="F20" i="9"/>
  <c r="M20" i="9" s="1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C14" i="9"/>
  <c r="F13" i="9"/>
  <c r="E13" i="9"/>
  <c r="D13" i="9"/>
  <c r="F12" i="9"/>
  <c r="E12" i="9"/>
  <c r="D12" i="9"/>
  <c r="L11" i="9"/>
  <c r="W11" i="9" s="1"/>
  <c r="F11" i="9"/>
  <c r="E11" i="9"/>
  <c r="D11" i="9"/>
  <c r="F10" i="9"/>
  <c r="E10" i="9"/>
  <c r="D10" i="9"/>
  <c r="F9" i="9"/>
  <c r="D9" i="9"/>
  <c r="E9" i="9"/>
  <c r="F8" i="9"/>
  <c r="E8" i="9"/>
  <c r="D8" i="9"/>
  <c r="F7" i="9"/>
  <c r="E7" i="9"/>
  <c r="D7" i="9"/>
  <c r="F6" i="9"/>
  <c r="E6" i="9"/>
  <c r="D6" i="9"/>
  <c r="F5" i="9"/>
  <c r="E5" i="9"/>
  <c r="D5" i="9"/>
  <c r="F3" i="9"/>
  <c r="F4" i="9"/>
  <c r="E4" i="9"/>
  <c r="D4" i="9"/>
  <c r="D3" i="9"/>
  <c r="X6" i="9" l="1"/>
  <c r="M6" i="9"/>
  <c r="X29" i="9"/>
  <c r="M29" i="9"/>
  <c r="X21" i="9"/>
  <c r="M21" i="9"/>
  <c r="X9" i="9"/>
  <c r="M9" i="9"/>
  <c r="X4" i="9"/>
  <c r="M4" i="9"/>
  <c r="X14" i="9"/>
  <c r="M14" i="9"/>
  <c r="X19" i="9"/>
  <c r="M19" i="9"/>
  <c r="N34" i="9"/>
  <c r="Q34" i="9" s="1"/>
  <c r="M34" i="9"/>
  <c r="X8" i="9"/>
  <c r="M8" i="9"/>
  <c r="X12" i="9"/>
  <c r="M12" i="9"/>
  <c r="X17" i="9"/>
  <c r="M17" i="9"/>
  <c r="X7" i="9"/>
  <c r="M7" i="9"/>
  <c r="X10" i="9"/>
  <c r="M10" i="9"/>
  <c r="V25" i="9"/>
  <c r="M25" i="9"/>
  <c r="N31" i="9"/>
  <c r="Q31" i="9" s="1"/>
  <c r="M31" i="9"/>
  <c r="X3" i="9"/>
  <c r="M3" i="9"/>
  <c r="X16" i="9"/>
  <c r="M16" i="9"/>
  <c r="N28" i="9"/>
  <c r="Q28" i="9" s="1"/>
  <c r="M28" i="9"/>
  <c r="X13" i="9"/>
  <c r="M13" i="9"/>
  <c r="X35" i="9"/>
  <c r="M35" i="9"/>
  <c r="X5" i="9"/>
  <c r="M5" i="9"/>
  <c r="X15" i="9"/>
  <c r="M15" i="9"/>
  <c r="X11" i="9"/>
  <c r="M11" i="9"/>
  <c r="X18" i="9"/>
  <c r="M18" i="9"/>
  <c r="X26" i="9"/>
  <c r="M26" i="9"/>
  <c r="J8" i="10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35" i="9"/>
  <c r="N35" i="9"/>
  <c r="Q35" i="9" s="1"/>
  <c r="X34" i="9"/>
  <c r="V34" i="9"/>
  <c r="N33" i="9"/>
  <c r="Q33" i="9" s="1"/>
  <c r="X33" i="9"/>
  <c r="V33" i="9"/>
  <c r="V31" i="9"/>
  <c r="V32" i="9"/>
  <c r="N32" i="9"/>
  <c r="Q32" i="9" s="1"/>
  <c r="X32" i="9"/>
  <c r="X31" i="9"/>
  <c r="N30" i="9"/>
  <c r="Q30" i="9" s="1"/>
  <c r="X30" i="9"/>
  <c r="V30" i="9"/>
  <c r="S7" i="12"/>
  <c r="T7" i="12" s="1"/>
  <c r="V29" i="9"/>
  <c r="N29" i="9"/>
  <c r="Q29" i="9" s="1"/>
  <c r="X28" i="9"/>
  <c r="V28" i="9"/>
  <c r="N27" i="9"/>
  <c r="Q27" i="9" s="1"/>
  <c r="X27" i="9"/>
  <c r="V27" i="9"/>
  <c r="V26" i="9"/>
  <c r="N26" i="9"/>
  <c r="Q26" i="9" s="1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X22" i="9"/>
  <c r="V22" i="9"/>
  <c r="N22" i="9"/>
  <c r="Q22" i="9" s="1"/>
  <c r="N3" i="9"/>
  <c r="Q3" i="9" s="1"/>
  <c r="V18" i="9"/>
  <c r="V4" i="9"/>
  <c r="V6" i="9"/>
  <c r="V9" i="9"/>
  <c r="V14" i="9"/>
  <c r="V19" i="9"/>
  <c r="V7" i="9"/>
  <c r="V11" i="9"/>
  <c r="V12" i="9"/>
  <c r="V17" i="9"/>
  <c r="V5" i="9"/>
  <c r="V15" i="9"/>
  <c r="V13" i="9"/>
  <c r="N8" i="9"/>
  <c r="Q8" i="9" s="1"/>
  <c r="V8" i="9"/>
  <c r="V10" i="9"/>
  <c r="V16" i="9"/>
  <c r="V21" i="9"/>
  <c r="V3" i="9"/>
  <c r="N18" i="9"/>
  <c r="Q18" i="9" s="1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J9" i="10" l="1"/>
  <c r="K8" i="10"/>
  <c r="L8" i="10"/>
  <c r="S8" i="12"/>
  <c r="T8" i="12" s="1"/>
  <c r="J10" i="10" l="1"/>
  <c r="L9" i="10"/>
  <c r="K9" i="10"/>
  <c r="J11" i="10" l="1"/>
  <c r="L10" i="10"/>
  <c r="K10" i="10"/>
  <c r="J12" i="10" l="1"/>
  <c r="L11" i="10"/>
  <c r="K11" i="10"/>
  <c r="J13" i="10" l="1"/>
  <c r="L12" i="10"/>
  <c r="K12" i="10"/>
  <c r="J14" i="10" l="1"/>
  <c r="L13" i="10"/>
  <c r="K13" i="10"/>
  <c r="J15" i="10" l="1"/>
  <c r="K14" i="10"/>
  <c r="L14" i="10"/>
  <c r="J16" i="10" l="1"/>
  <c r="L15" i="10"/>
  <c r="K15" i="10"/>
  <c r="J17" i="10" l="1"/>
  <c r="L16" i="10"/>
  <c r="K16" i="10"/>
  <c r="L17" i="10" l="1"/>
  <c r="K17" i="10"/>
</calcChain>
</file>

<file path=xl/sharedStrings.xml><?xml version="1.0" encoding="utf-8"?>
<sst xmlns="http://schemas.openxmlformats.org/spreadsheetml/2006/main" count="387" uniqueCount="124">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</sst>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140"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39"/>
      <tableStyleElement type="headerRow" dxfId="138"/>
      <tableStyleElement type="secondRowStripe" dxfId="137"/>
    </tableStyle>
    <tableStyle name="Estilo de tabla 2" pivot="0" count="5">
      <tableStyleElement type="wholeTable" dxfId="136"/>
      <tableStyleElement type="headerRow" dxfId="135"/>
      <tableStyleElement type="firstRowStripe" dxfId="134"/>
      <tableStyleElement type="secondRowStripe" dxfId="133"/>
      <tableStyleElement type="firstColumnStripe" dxfId="132"/>
    </tableStyle>
    <tableStyle name="Estilo de tabla 3" pivot="0" count="3">
      <tableStyleElement type="headerRow" dxfId="131"/>
      <tableStyleElement type="firstRowStripe" dxfId="130"/>
      <tableStyleElement type="secondRowStripe" dxfId="129"/>
    </tableStyle>
    <tableStyle name="Estilo de tabla 4" pivot="0" count="4">
      <tableStyleElement type="wholeTable" dxfId="128"/>
      <tableStyleElement type="headerRow" dxfId="127"/>
      <tableStyleElement type="firstRowStripe" dxfId="126"/>
      <tableStyleElement type="secondRowStripe" dxfId="125"/>
    </tableStyle>
    <tableStyle name="Estilo de tabla 5" pivot="0" count="4">
      <tableStyleElement type="wholeTable" dxfId="124"/>
      <tableStyleElement type="headerRow" dxfId="123"/>
      <tableStyleElement type="firstRowStripe" dxfId="122"/>
      <tableStyleElement type="secondRowStripe" dxfId="121"/>
    </tableStyle>
  </tableStyles>
  <colors>
    <mruColors>
      <color rgb="FFFF2D2D"/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  <c:pt idx="3">
                  <c:v>-3958.345066650003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CRIPTOS!$B$3:$B$197</c:f>
              <c:numCache>
                <c:formatCode>m/d/yyyy</c:formatCode>
                <c:ptCount val="195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</c:numCache>
            </c:numRef>
          </c:cat>
          <c:val>
            <c:numRef>
              <c:f>CRIPTOS!$C$3:$C$197</c:f>
              <c:numCache>
                <c:formatCode>_-[$$-240A]\ * #,##0.00_-;\-[$$-240A]\ * #,##0.00_-;_-[$$-240A]\ * "-"??_-;_-@_-</c:formatCode>
                <c:ptCount val="195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  <c:pt idx="180">
                  <c:v>4280.04</c:v>
                </c:pt>
                <c:pt idx="181">
                  <c:v>4270.37</c:v>
                </c:pt>
                <c:pt idx="182">
                  <c:v>4323.92</c:v>
                </c:pt>
                <c:pt idx="183">
                  <c:v>4323.1099999999997</c:v>
                </c:pt>
                <c:pt idx="184">
                  <c:v>4321.6400000000003</c:v>
                </c:pt>
                <c:pt idx="185">
                  <c:v>4321.6400000000003</c:v>
                </c:pt>
                <c:pt idx="186">
                  <c:v>4321.6400000000003</c:v>
                </c:pt>
                <c:pt idx="187">
                  <c:v>4345.13</c:v>
                </c:pt>
                <c:pt idx="188">
                  <c:v>4323.01</c:v>
                </c:pt>
                <c:pt idx="189">
                  <c:v>4374.1000000000004</c:v>
                </c:pt>
                <c:pt idx="190">
                  <c:v>4418.63</c:v>
                </c:pt>
                <c:pt idx="191">
                  <c:v>4414</c:v>
                </c:pt>
                <c:pt idx="192">
                  <c:v>4418.12</c:v>
                </c:pt>
                <c:pt idx="193">
                  <c:v>4445.3500000000004</c:v>
                </c:pt>
                <c:pt idx="194">
                  <c:v>4438.62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CRIPTOS!$B$3:$B$197</c:f>
              <c:numCache>
                <c:formatCode>m/d/yyyy</c:formatCode>
                <c:ptCount val="195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</c:numCache>
            </c:numRef>
          </c:cat>
          <c:val>
            <c:numRef>
              <c:f>CRIPTOS!$D$3:$D$197</c:f>
              <c:numCache>
                <c:formatCode>_-[$$-240A]\ * #,##0.00_-;\-[$$-240A]\ * #,##0.00_-;_-[$$-240A]\ * "-"??_-;_-@_-</c:formatCode>
                <c:ptCount val="195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  <c:pt idx="180">
                  <c:v>67353.34</c:v>
                </c:pt>
                <c:pt idx="181">
                  <c:v>66410.070000000007</c:v>
                </c:pt>
                <c:pt idx="182">
                  <c:v>67293.87</c:v>
                </c:pt>
                <c:pt idx="183">
                  <c:v>68253.88</c:v>
                </c:pt>
                <c:pt idx="184">
                  <c:v>67092.759999999995</c:v>
                </c:pt>
                <c:pt idx="185">
                  <c:v>68021.7</c:v>
                </c:pt>
                <c:pt idx="186">
                  <c:v>69615</c:v>
                </c:pt>
                <c:pt idx="187">
                  <c:v>71200.91</c:v>
                </c:pt>
                <c:pt idx="188">
                  <c:v>72187.039999999994</c:v>
                </c:pt>
                <c:pt idx="189">
                  <c:v>72074</c:v>
                </c:pt>
                <c:pt idx="190">
                  <c:v>69923.17</c:v>
                </c:pt>
                <c:pt idx="191">
                  <c:v>69374.740000000005</c:v>
                </c:pt>
                <c:pt idx="192">
                  <c:v>68306.28</c:v>
                </c:pt>
                <c:pt idx="193">
                  <c:v>67722.23</c:v>
                </c:pt>
                <c:pt idx="194">
                  <c:v>68825.05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CRIPTOS!$B$3:$B$197</c:f>
              <c:numCache>
                <c:formatCode>m/d/yyyy</c:formatCode>
                <c:ptCount val="195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</c:numCache>
            </c:numRef>
          </c:cat>
          <c:val>
            <c:numRef>
              <c:f>CRIPTOS!$E$3:$E$197</c:f>
              <c:numCache>
                <c:formatCode>_-[$$-240A]\ * #,##0.00_-;\-[$$-240A]\ * #,##0.00_-;_-[$$-240A]\ * "-"??_-;_-@_-</c:formatCode>
                <c:ptCount val="195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  <c:pt idx="180">
                  <c:v>1.84</c:v>
                </c:pt>
                <c:pt idx="181">
                  <c:v>1.79</c:v>
                </c:pt>
                <c:pt idx="182">
                  <c:v>1.89</c:v>
                </c:pt>
                <c:pt idx="183">
                  <c:v>1.97</c:v>
                </c:pt>
                <c:pt idx="184">
                  <c:v>1.71</c:v>
                </c:pt>
                <c:pt idx="185">
                  <c:v>1.75</c:v>
                </c:pt>
                <c:pt idx="186">
                  <c:v>1.73</c:v>
                </c:pt>
                <c:pt idx="187">
                  <c:v>1.75</c:v>
                </c:pt>
                <c:pt idx="188">
                  <c:v>1.74</c:v>
                </c:pt>
                <c:pt idx="189">
                  <c:v>1.68</c:v>
                </c:pt>
                <c:pt idx="190">
                  <c:v>1.61</c:v>
                </c:pt>
                <c:pt idx="191">
                  <c:v>1.54</c:v>
                </c:pt>
                <c:pt idx="192">
                  <c:v>1.47</c:v>
                </c:pt>
                <c:pt idx="193">
                  <c:v>1.47</c:v>
                </c:pt>
                <c:pt idx="19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CRIPTOS!$B$3:$B$197</c:f>
              <c:numCache>
                <c:formatCode>m/d/yyyy</c:formatCode>
                <c:ptCount val="195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</c:numCache>
            </c:numRef>
          </c:cat>
          <c:val>
            <c:numRef>
              <c:f>CRIPTOS!$F$3:$F$197</c:f>
              <c:numCache>
                <c:formatCode>_-[$$-240A]\ * #,##0.00_-;\-[$$-240A]\ * #,##0.00_-;_-[$$-240A]\ * "-"??_-;_-@_-</c:formatCode>
                <c:ptCount val="195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  <c:pt idx="180">
                  <c:v>2632.9</c:v>
                </c:pt>
                <c:pt idx="181">
                  <c:v>2579.1</c:v>
                </c:pt>
                <c:pt idx="182">
                  <c:v>2527.3000000000002</c:v>
                </c:pt>
                <c:pt idx="183">
                  <c:v>2548.9</c:v>
                </c:pt>
                <c:pt idx="184">
                  <c:v>2479.6</c:v>
                </c:pt>
                <c:pt idx="185">
                  <c:v>2505.4</c:v>
                </c:pt>
                <c:pt idx="186">
                  <c:v>2524.6</c:v>
                </c:pt>
                <c:pt idx="187">
                  <c:v>2619.9</c:v>
                </c:pt>
                <c:pt idx="188">
                  <c:v>2664</c:v>
                </c:pt>
                <c:pt idx="189">
                  <c:v>2630</c:v>
                </c:pt>
                <c:pt idx="190">
                  <c:v>2517.8000000000002</c:v>
                </c:pt>
                <c:pt idx="191">
                  <c:v>2493.4</c:v>
                </c:pt>
                <c:pt idx="192">
                  <c:v>2445.3000000000002</c:v>
                </c:pt>
                <c:pt idx="193">
                  <c:v>2412</c:v>
                </c:pt>
                <c:pt idx="194">
                  <c:v>2438.6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CRIPTOS!$B$3:$B$197</c:f>
              <c:numCache>
                <c:formatCode>m/d/yyyy</c:formatCode>
                <c:ptCount val="195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</c:numCache>
            </c:numRef>
          </c:cat>
          <c:val>
            <c:numRef>
              <c:f>CRIPTOS!$G$3:$G$197</c:f>
              <c:numCache>
                <c:formatCode>_-[$$-240A]\ * #,##0.00_-;\-[$$-240A]\ * #,##0.00_-;_-[$$-240A]\ * "-"??_-;_-@_-</c:formatCode>
                <c:ptCount val="195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  <c:pt idx="180">
                  <c:v>4189</c:v>
                </c:pt>
                <c:pt idx="181">
                  <c:v>4176</c:v>
                </c:pt>
                <c:pt idx="182">
                  <c:v>4214</c:v>
                </c:pt>
                <c:pt idx="183">
                  <c:v>4202</c:v>
                </c:pt>
                <c:pt idx="184">
                  <c:v>4200</c:v>
                </c:pt>
                <c:pt idx="185">
                  <c:v>4215</c:v>
                </c:pt>
                <c:pt idx="186">
                  <c:v>4207</c:v>
                </c:pt>
                <c:pt idx="187">
                  <c:v>4254</c:v>
                </c:pt>
                <c:pt idx="188">
                  <c:v>4288</c:v>
                </c:pt>
                <c:pt idx="189">
                  <c:v>4314</c:v>
                </c:pt>
                <c:pt idx="190">
                  <c:v>4293</c:v>
                </c:pt>
                <c:pt idx="191">
                  <c:v>4327</c:v>
                </c:pt>
                <c:pt idx="192">
                  <c:v>4328</c:v>
                </c:pt>
                <c:pt idx="193">
                  <c:v>4338</c:v>
                </c:pt>
                <c:pt idx="194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Bolsa'!$B$3:$B$87</c:f>
              <c:numCache>
                <c:formatCode>m/d/yyyy</c:formatCode>
                <c:ptCount val="8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</c:numCache>
            </c:numRef>
          </c:cat>
          <c:val>
            <c:numRef>
              <c:f>'Inv Bolsa'!$C$3:$C$87</c:f>
              <c:numCache>
                <c:formatCode>_("$"* #,##0.00_);_("$"* \(#,##0.00\);_("$"* "-"??_);_(@_)</c:formatCode>
                <c:ptCount val="85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  <c:pt idx="75">
                  <c:v>4270</c:v>
                </c:pt>
                <c:pt idx="76">
                  <c:v>4280.04</c:v>
                </c:pt>
                <c:pt idx="77">
                  <c:v>4270.37</c:v>
                </c:pt>
                <c:pt idx="78">
                  <c:v>4323.92</c:v>
                </c:pt>
                <c:pt idx="79">
                  <c:v>4323.1099999999997</c:v>
                </c:pt>
                <c:pt idx="80">
                  <c:v>4321.6400000000003</c:v>
                </c:pt>
                <c:pt idx="81">
                  <c:v>4345.13</c:v>
                </c:pt>
                <c:pt idx="82">
                  <c:v>4323.01</c:v>
                </c:pt>
                <c:pt idx="83">
                  <c:v>4418.63</c:v>
                </c:pt>
                <c:pt idx="84">
                  <c:v>4445.3500000000004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Bolsa'!$B$3:$B$87</c:f>
              <c:numCache>
                <c:formatCode>m/d/yyyy</c:formatCode>
                <c:ptCount val="8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</c:numCache>
            </c:numRef>
          </c:cat>
          <c:val>
            <c:numRef>
              <c:f>'Inv Bolsa'!$D$3:$D$87</c:f>
              <c:numCache>
                <c:formatCode>_("$"* #,##0.00_);_("$"* \(#,##0.00\);_("$"* "-"??_);_(@_)</c:formatCode>
                <c:ptCount val="85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  <c:pt idx="75">
                  <c:v>536.53</c:v>
                </c:pt>
                <c:pt idx="76">
                  <c:v>536.16</c:v>
                </c:pt>
                <c:pt idx="77">
                  <c:v>531.27</c:v>
                </c:pt>
                <c:pt idx="78">
                  <c:v>532.47</c:v>
                </c:pt>
                <c:pt idx="79">
                  <c:v>532.26</c:v>
                </c:pt>
                <c:pt idx="80">
                  <c:v>533.91999999999996</c:v>
                </c:pt>
                <c:pt idx="81">
                  <c:v>534.77</c:v>
                </c:pt>
                <c:pt idx="82">
                  <c:v>533.16</c:v>
                </c:pt>
                <c:pt idx="83">
                  <c:v>522.66999999999996</c:v>
                </c:pt>
                <c:pt idx="84">
                  <c:v>523.79999999999995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Bolsa'!$B$3:$B$87</c:f>
              <c:numCache>
                <c:formatCode>m/d/yyyy</c:formatCode>
                <c:ptCount val="8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</c:numCache>
            </c:numRef>
          </c:cat>
          <c:val>
            <c:numRef>
              <c:f>'Inv Bolsa'!$E$3:$E$87</c:f>
              <c:numCache>
                <c:formatCode>_("$"* #,##0.00_);_("$"* \(#,##0.00\);_("$"* "-"??_);_(@_)</c:formatCode>
                <c:ptCount val="85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  <c:pt idx="75">
                  <c:v>8.1445253999999991</c:v>
                </c:pt>
                <c:pt idx="76">
                  <c:v>8.1389087999999994</c:v>
                </c:pt>
                <c:pt idx="77">
                  <c:v>8.0646786000000006</c:v>
                </c:pt>
                <c:pt idx="78">
                  <c:v>8.0828946000000013</c:v>
                </c:pt>
                <c:pt idx="79">
                  <c:v>8.0797068000000003</c:v>
                </c:pt>
                <c:pt idx="80">
                  <c:v>8.1049056000000004</c:v>
                </c:pt>
                <c:pt idx="81">
                  <c:v>8.1178086</c:v>
                </c:pt>
                <c:pt idx="82">
                  <c:v>8.0933688000000004</c:v>
                </c:pt>
                <c:pt idx="83">
                  <c:v>7.9341305999999996</c:v>
                </c:pt>
                <c:pt idx="84">
                  <c:v>7.9512839999999994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Bolsa'!$B$3:$B$87</c:f>
              <c:numCache>
                <c:formatCode>m/d/yyyy</c:formatCode>
                <c:ptCount val="8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</c:numCache>
            </c:numRef>
          </c:cat>
          <c:val>
            <c:numRef>
              <c:f>'Inv Bolsa'!$F$3:$F$87</c:f>
              <c:numCache>
                <c:formatCode>_("$"* #,##0.00_);_("$"* \(#,##0.00\);_("$"* "-"??_);_(@_)</c:formatCode>
                <c:ptCount val="85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  <c:pt idx="75">
                  <c:v>0.44452539999999896</c:v>
                </c:pt>
                <c:pt idx="76">
                  <c:v>0.43890879999999921</c:v>
                </c:pt>
                <c:pt idx="77">
                  <c:v>0.36467860000000041</c:v>
                </c:pt>
                <c:pt idx="78">
                  <c:v>0.38289460000000108</c:v>
                </c:pt>
                <c:pt idx="79">
                  <c:v>0.37970680000000012</c:v>
                </c:pt>
                <c:pt idx="80">
                  <c:v>0.4049056000000002</c:v>
                </c:pt>
                <c:pt idx="81">
                  <c:v>0.41780859999999986</c:v>
                </c:pt>
                <c:pt idx="82">
                  <c:v>0.39336880000000018</c:v>
                </c:pt>
                <c:pt idx="83">
                  <c:v>0.23413059999999941</c:v>
                </c:pt>
                <c:pt idx="84">
                  <c:v>0.25128399999999917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Bolsa'!$B$3:$B$87</c:f>
              <c:numCache>
                <c:formatCode>m/d/yyyy</c:formatCode>
                <c:ptCount val="8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</c:numCache>
            </c:numRef>
          </c:cat>
          <c:val>
            <c:numRef>
              <c:f>'Inv Bolsa'!$G$3:$G$87</c:f>
              <c:numCache>
                <c:formatCode>_("$"* #,##0.00_);_("$"* \(#,##0.00\);_("$"* "-"??_);_(@_)</c:formatCode>
                <c:ptCount val="85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  <c:pt idx="75">
                  <c:v>34777.123457999995</c:v>
                </c:pt>
                <c:pt idx="76">
                  <c:v>34834.855220351994</c:v>
                </c:pt>
                <c:pt idx="77">
                  <c:v>34439.161553081998</c:v>
                </c:pt>
                <c:pt idx="78">
                  <c:v>34949.789618832008</c:v>
                </c:pt>
                <c:pt idx="79">
                  <c:v>34929.461264147998</c:v>
                </c:pt>
                <c:pt idx="80">
                  <c:v>35026.484237184006</c:v>
                </c:pt>
                <c:pt idx="81">
                  <c:v>35272.933682118004</c:v>
                </c:pt>
                <c:pt idx="82">
                  <c:v>34987.714256088002</c:v>
                </c:pt>
                <c:pt idx="83">
                  <c:v>35057.987493077999</c:v>
                </c:pt>
                <c:pt idx="84">
                  <c:v>35346.240329400003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Bolsa'!$B$3:$B$87</c:f>
              <c:numCache>
                <c:formatCode>m/d/yyyy</c:formatCode>
                <c:ptCount val="8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</c:numCache>
            </c:numRef>
          </c:cat>
          <c:val>
            <c:numRef>
              <c:f>'Inv Bolsa'!$H$3:$H$87</c:f>
              <c:numCache>
                <c:formatCode>_("$"* #,##0.00_);_("$"* \(#,##0.00\);_("$"* "-"??_);_(@_)</c:formatCode>
                <c:ptCount val="85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  <c:pt idx="75">
                  <c:v>8.1928131000000004</c:v>
                </c:pt>
                <c:pt idx="76">
                  <c:v>8.1871632000000005</c:v>
                </c:pt>
                <c:pt idx="77">
                  <c:v>8.1124928999999995</c:v>
                </c:pt>
                <c:pt idx="78">
                  <c:v>8.130816900000001</c:v>
                </c:pt>
                <c:pt idx="79">
                  <c:v>8.1276101999999995</c:v>
                </c:pt>
                <c:pt idx="80">
                  <c:v>8.1529583999999993</c:v>
                </c:pt>
                <c:pt idx="81">
                  <c:v>8.1659378999999994</c:v>
                </c:pt>
                <c:pt idx="82">
                  <c:v>8.1413531999999993</c:v>
                </c:pt>
                <c:pt idx="83">
                  <c:v>7.9811708999999995</c:v>
                </c:pt>
                <c:pt idx="84">
                  <c:v>7.9984259999999994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Bolsa'!$B$3:$B$87</c:f>
              <c:numCache>
                <c:formatCode>m/d/yyyy</c:formatCode>
                <c:ptCount val="8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</c:numCache>
            </c:numRef>
          </c:cat>
          <c:val>
            <c:numRef>
              <c:f>'Inv Bolsa'!$I$3:$I$87</c:f>
              <c:numCache>
                <c:formatCode>_("$"* #,##0.00_);_("$"* \(#,##0.00\);_("$"* "-"??_);_(@_)</c:formatCode>
                <c:ptCount val="85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  <c:pt idx="75">
                  <c:v>0.29281310000000005</c:v>
                </c:pt>
                <c:pt idx="76">
                  <c:v>0.28716320000000017</c:v>
                </c:pt>
                <c:pt idx="77">
                  <c:v>0.2124928999999991</c:v>
                </c:pt>
                <c:pt idx="78">
                  <c:v>0.23081690000000066</c:v>
                </c:pt>
                <c:pt idx="79">
                  <c:v>0.2276101999999991</c:v>
                </c:pt>
                <c:pt idx="80">
                  <c:v>0.25295839999999892</c:v>
                </c:pt>
                <c:pt idx="81">
                  <c:v>0.26593789999999906</c:v>
                </c:pt>
                <c:pt idx="82">
                  <c:v>0.24135319999999894</c:v>
                </c:pt>
                <c:pt idx="83">
                  <c:v>8.1170899999999158E-2</c:v>
                </c:pt>
                <c:pt idx="84">
                  <c:v>9.8425999999999014E-2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Bolsa'!$B$3:$B$87</c:f>
              <c:numCache>
                <c:formatCode>m/d/yyyy</c:formatCode>
                <c:ptCount val="8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</c:numCache>
            </c:numRef>
          </c:cat>
          <c:val>
            <c:numRef>
              <c:f>'Inv Bolsa'!$J$3:$J$87</c:f>
              <c:numCache>
                <c:formatCode>_("$"* #,##0.00_);_("$"* \(#,##0.00\);_("$"* "-"??_);_(@_)</c:formatCode>
                <c:ptCount val="85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  <c:pt idx="75">
                  <c:v>34983.311936999999</c:v>
                </c:pt>
                <c:pt idx="76">
                  <c:v>35041.385982528001</c:v>
                </c:pt>
                <c:pt idx="77">
                  <c:v>34643.346305372994</c:v>
                </c:pt>
                <c:pt idx="78">
                  <c:v>35157.001810248003</c:v>
                </c:pt>
                <c:pt idx="79">
                  <c:v>35136.552931721992</c:v>
                </c:pt>
                <c:pt idx="80">
                  <c:v>35234.151139775997</c:v>
                </c:pt>
                <c:pt idx="81">
                  <c:v>35482.061747426997</c:v>
                </c:pt>
                <c:pt idx="82">
                  <c:v>35195.151297131997</c:v>
                </c:pt>
                <c:pt idx="83">
                  <c:v>35265.841173866997</c:v>
                </c:pt>
                <c:pt idx="84">
                  <c:v>35555.8030191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Bolsa'!$B$3:$B$87</c:f>
              <c:numCache>
                <c:formatCode>m/d/yyyy</c:formatCode>
                <c:ptCount val="8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</c:numCache>
            </c:numRef>
          </c:cat>
          <c:val>
            <c:numRef>
              <c:f>'Inv Bolsa'!$K$3:$K$87</c:f>
              <c:numCache>
                <c:formatCode>_("$"* #,##0.00_);_("$"* \(#,##0.00\);_("$"* "-"??_);_(@_)</c:formatCode>
                <c:ptCount val="85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  <c:pt idx="75">
                  <c:v>6.8890452</c:v>
                </c:pt>
                <c:pt idx="76">
                  <c:v>6.8842943999999999</c:v>
                </c:pt>
                <c:pt idx="77">
                  <c:v>6.8215067999999999</c:v>
                </c:pt>
                <c:pt idx="78">
                  <c:v>6.8369148000000006</c:v>
                </c:pt>
                <c:pt idx="79">
                  <c:v>6.8342184000000001</c:v>
                </c:pt>
                <c:pt idx="80">
                  <c:v>6.8555327999999998</c:v>
                </c:pt>
                <c:pt idx="81">
                  <c:v>6.8664468000000003</c:v>
                </c:pt>
                <c:pt idx="82">
                  <c:v>6.8457743999999998</c:v>
                </c:pt>
                <c:pt idx="83">
                  <c:v>6.7110827999999998</c:v>
                </c:pt>
                <c:pt idx="84">
                  <c:v>6.7255919999999998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Bolsa'!$B$3:$B$87</c:f>
              <c:numCache>
                <c:formatCode>m/d/yyyy</c:formatCode>
                <c:ptCount val="8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</c:numCache>
            </c:numRef>
          </c:cat>
          <c:val>
            <c:numRef>
              <c:f>'Inv Bolsa'!$L$3:$L$87</c:f>
              <c:numCache>
                <c:formatCode>_("$"* #,##0.00_);_("$"* \(#,##0.00\);_("$"* "-"??_);_(@_)</c:formatCode>
                <c:ptCount val="85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  <c:pt idx="75">
                  <c:v>-1.0954800000000375E-2</c:v>
                </c:pt>
                <c:pt idx="76">
                  <c:v>-1.570560000000043E-2</c:v>
                </c:pt>
                <c:pt idx="77">
                  <c:v>-7.8493200000000485E-2</c:v>
                </c:pt>
                <c:pt idx="78">
                  <c:v>-6.308519999999973E-2</c:v>
                </c:pt>
                <c:pt idx="79">
                  <c:v>-6.5781600000000218E-2</c:v>
                </c:pt>
                <c:pt idx="80">
                  <c:v>-4.4467200000000595E-2</c:v>
                </c:pt>
                <c:pt idx="81">
                  <c:v>-3.3553200000000061E-2</c:v>
                </c:pt>
                <c:pt idx="82">
                  <c:v>-5.422560000000054E-2</c:v>
                </c:pt>
                <c:pt idx="83">
                  <c:v>-0.18891720000000056</c:v>
                </c:pt>
                <c:pt idx="84">
                  <c:v>-0.17440800000000056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Bolsa'!$B$3:$B$87</c:f>
              <c:numCache>
                <c:formatCode>m/d/yyyy</c:formatCode>
                <c:ptCount val="85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</c:numCache>
            </c:numRef>
          </c:cat>
          <c:val>
            <c:numRef>
              <c:f>'Inv Bolsa'!$M$3:$M$87</c:f>
              <c:numCache>
                <c:formatCode>_("$"* #,##0.00_);_("$"* \(#,##0.00\);_("$"* "-"??_);_(@_)</c:formatCode>
                <c:ptCount val="85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  <c:pt idx="75">
                  <c:v>29416.223003999999</c:v>
                </c:pt>
                <c:pt idx="76">
                  <c:v>29465.055403776001</c:v>
                </c:pt>
                <c:pt idx="77">
                  <c:v>29130.357993515998</c:v>
                </c:pt>
                <c:pt idx="78">
                  <c:v>29562.272642016003</c:v>
                </c:pt>
                <c:pt idx="79">
                  <c:v>29545.077907223997</c:v>
                </c:pt>
                <c:pt idx="80">
                  <c:v>29627.144769792001</c:v>
                </c:pt>
                <c:pt idx="81">
                  <c:v>29835.603984084002</c:v>
                </c:pt>
                <c:pt idx="82">
                  <c:v>29594.351188944001</c:v>
                </c:pt>
                <c:pt idx="83">
                  <c:v>29653.791792563999</c:v>
                </c:pt>
                <c:pt idx="84">
                  <c:v>29897.610397200002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166687</xdr:rowOff>
    </xdr:from>
    <xdr:to>
      <xdr:col>34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37" totalsRowShown="0">
  <autoFilter ref="B2:I37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16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23">
  <autoFilter ref="B2:T14"/>
  <tableColumns count="19">
    <tableColumn id="1" name="FECHA ACTUAL" dataDxfId="22">
      <calculatedColumnFormula>TODAY()</calculatedColumnFormula>
    </tableColumn>
    <tableColumn id="2" name="PRECIO ACT KO" dataDxfId="21" dataCellStyle="Moneda">
      <calculatedColumnFormula>VLOOKUP(B3,Tabla1[],5,FALSE)</calculatedColumnFormula>
    </tableColumn>
    <tableColumn id="3" name="PRECIO ACT JNJ" dataDxfId="20">
      <calculatedColumnFormula>VLOOKUP(B3,Tabla1[],6,FALSE)</calculatedColumnFormula>
    </tableColumn>
    <tableColumn id="4" name="PRECIO ACT PG" dataDxfId="19">
      <calculatedColumnFormula>VLOOKUP(B3,Tabla1[],7,FALSE)</calculatedColumnFormula>
    </tableColumn>
    <tableColumn id="5" name="PRECIO ACT PEP" dataDxfId="18">
      <calculatedColumnFormula>VLOOKUP(B3,Tabla1[],8,FALSE)</calculatedColumnFormula>
    </tableColumn>
    <tableColumn id="6" name="PRECIO ACT MSFT" dataDxfId="17">
      <calculatedColumnFormula>VLOOKUP(B3,Tabla1[],9,FALSE)</calculatedColumnFormula>
    </tableColumn>
    <tableColumn id="7" name="PRECIO ACT MCD" dataDxfId="16">
      <calculatedColumnFormula>VLOOKUP(B3,Tabla1[],10,FALSE)</calculatedColumnFormula>
    </tableColumn>
    <tableColumn id="20" name="PRECIO ACT VOO" dataDxfId="15">
      <calculatedColumnFormula>VLOOKUP(B3,Tabla2[],3,FALSE)</calculatedColumnFormula>
    </tableColumn>
    <tableColumn id="8" name="EMPRESA" dataDxfId="14"/>
    <tableColumn id="9" name="FECHA COMPRA" dataDxfId="13"/>
    <tableColumn id="10" name="PRECIO COMPRA" dataDxfId="12" dataCellStyle="Moneda"/>
    <tableColumn id="11" name="CAPITAL INVE" dataDxfId="11" dataCellStyle="Moneda"/>
    <tableColumn id="12" name="CANTIDAD DE ACCIONES" dataDxfId="10" dataCellStyle="Moneda">
      <calculatedColumnFormula>(M3/L3)</calculatedColumnFormula>
    </tableColumn>
    <tableColumn id="13" name="VALOR ACTUAL INVE" dataDxfId="9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8"/>
    <tableColumn id="15" name="VALOR DIVIDENDO POR ACCION" dataDxfId="7" dataCellStyle="Moneda"/>
    <tableColumn id="16" name="TOTAL DIVIDENDO RECIBIDO" dataDxfId="6" dataCellStyle="Moneda">
      <calculatedColumnFormula>ROUND(Q3*N3,2)</calculatedColumnFormula>
    </tableColumn>
    <tableColumn id="17" name="GANACIA/PERDIDA" dataDxfId="5" dataCellStyle="Moneda">
      <calculatedColumnFormula>ROUND(O3-M3,2)</calculatedColumnFormula>
    </tableColumn>
    <tableColumn id="18" name="RENTABILIDAD" dataDxfId="4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15" dataDxfId="113" headerRowBorderDxfId="114" tableBorderDxfId="112" totalsRowBorderDxfId="111" dataCellStyle="Moneda">
  <autoFilter ref="L2:Y3"/>
  <tableColumns count="14">
    <tableColumn id="1" name="MES" dataDxfId="110"/>
    <tableColumn id="2" name="ENERO" dataDxfId="109" dataCellStyle="Moneda"/>
    <tableColumn id="3" name="FEBRERO" dataDxfId="108" dataCellStyle="Moneda"/>
    <tableColumn id="4" name="MARZO" dataDxfId="107" dataCellStyle="Moneda"/>
    <tableColumn id="5" name="ABRIL" dataDxfId="106" dataCellStyle="Moneda"/>
    <tableColumn id="6" name="MAYO" dataDxfId="105" dataCellStyle="Moneda"/>
    <tableColumn id="7" name="JUNIO" dataDxfId="104" dataCellStyle="Moneda"/>
    <tableColumn id="8" name="JULIO" dataDxfId="103" dataCellStyle="Moneda">
      <calculatedColumnFormula>SUM(H3:H9)</calculatedColumnFormula>
    </tableColumn>
    <tableColumn id="9" name="AGOSTO" dataDxfId="102" dataCellStyle="Moneda">
      <calculatedColumnFormula>SUM(H10:H16)</calculatedColumnFormula>
    </tableColumn>
    <tableColumn id="10" name="SEPTIEMBRE" dataDxfId="101" dataCellStyle="Moneda">
      <calculatedColumnFormula>SUM(H17:H23)</calculatedColumnFormula>
    </tableColumn>
    <tableColumn id="11" name="OCTUBRE" dataDxfId="100" dataCellStyle="Moneda">
      <calculatedColumnFormula>SUM(H24:H30)</calculatedColumnFormula>
    </tableColumn>
    <tableColumn id="12" name="NOVIEMBRE" dataDxfId="99" dataCellStyle="Moneda"/>
    <tableColumn id="13" name="DICIEMBRE" dataDxfId="98" dataCellStyle="Moneda"/>
    <tableColumn id="14" name="TOTAL ANUAL" dataDxfId="97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6" totalsRowShown="0" headerRowDxfId="96">
  <autoFilter ref="B2:J16"/>
  <tableColumns count="9">
    <tableColumn id="1" name="MES"/>
    <tableColumn id="2" name="CUENTA"/>
    <tableColumn id="3" name="CANTIDAD INICIAL" dataDxfId="95"/>
    <tableColumn id="4" name="CAPITAL INVERTIDO" dataDxfId="94"/>
    <tableColumn id="5" name="INTERES OBTENIDO" dataDxfId="93"/>
    <tableColumn id="6" name="PORCENTAJE DE INTERES" dataDxfId="92" dataCellStyle="Porcentaje">
      <calculatedColumnFormula>(F3/(D3+E3))</calculatedColumnFormula>
    </tableColumn>
    <tableColumn id="7" name="RETIROS DE CAPITAL" dataDxfId="91"/>
    <tableColumn id="8" name="TOTAL CAPITAL FIN DE MES" dataDxfId="90">
      <calculatedColumnFormula>D3+E3+F3-H3</calculatedColumnFormula>
    </tableColumn>
    <tableColumn id="9" name="RENTABILIDAD" dataDxfId="89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97" totalsRowShown="0">
  <autoFilter ref="B2:G197"/>
  <tableColumns count="6">
    <tableColumn id="1" name="FECHA" dataDxfId="88"/>
    <tableColumn id="2" name="DÓLAR" dataDxfId="87"/>
    <tableColumn id="3" name="BITCOIN" dataDxfId="86"/>
    <tableColumn id="5" name="io.net" dataDxfId="85"/>
    <tableColumn id="4" name="ETHEREUM" dataDxfId="84"/>
    <tableColumn id="6" name="USDT" dataDxfId="83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74" totalsRowShown="0">
  <autoFilter ref="B2:Z74">
    <filterColumn colId="23">
      <filters>
        <filter val="ACTIVA"/>
      </filters>
    </filterColumn>
  </autoFilter>
  <tableColumns count="25">
    <tableColumn id="1" name="fecha act" dataDxfId="78">
      <calculatedColumnFormula>TODAY()</calculatedColumnFormula>
    </tableColumn>
    <tableColumn id="2" name="precio actual dólar" dataDxfId="77">
      <calculatedColumnFormula>VLOOKUP(B3,Tabla4[],2,FALSE)</calculatedColumnFormula>
    </tableColumn>
    <tableColumn id="3" name="precio actual btc" dataDxfId="76">
      <calculatedColumnFormula>VLOOKUP(B3,Tabla4[],3,FALSE)</calculatedColumnFormula>
    </tableColumn>
    <tableColumn id="4" name="precio actul eth" dataDxfId="75">
      <calculatedColumnFormula>VLOOKUP(B3,Tabla4[],5,FALSE)</calculatedColumnFormula>
    </tableColumn>
    <tableColumn id="5" name="precio actual io.net" dataDxfId="74">
      <calculatedColumnFormula>VLOOKUP(B3,Tabla4[],4,FALSE)</calculatedColumnFormula>
    </tableColumn>
    <tableColumn id="6" name="moneda"/>
    <tableColumn id="27" name="FECHA COMPRA"/>
    <tableColumn id="20" name="PRECIO DEL DÓLAR, DIA COMPRA" dataDxfId="73">
      <calculatedColumnFormula>VLOOKUP(H3,Tabla4[],2,FALSE)</calculatedColumnFormula>
    </tableColumn>
    <tableColumn id="7" name="precio de compra" dataDxfId="72"/>
    <tableColumn id="8" name="cantidad" dataDxfId="71" dataCellStyle="Porcentaje"/>
    <tableColumn id="18" name="COSTO DE COMPRA" dataDxfId="70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69" dataCellStyle="Porcentaje">
      <calculatedColumnFormula xml:space="preserve"> K3 * (IF(G3="BTC", D3, IF(G3="ETH", E3, IF(G3="IO.NET", F3, 0)))) * C3</calculatedColumnFormula>
    </tableColumn>
    <tableColumn id="9" name="rentabilidad" dataDxfId="68" dataCellStyle="Porcentaje">
      <calculatedColumnFormula>IF(G3 = "BTC", (D3 - J3) / J3,
 IF(G3 = "ETH", (E3 - J3) / J3,
 IF(G3 = "IO.NET", (F3 - J3) / J3,
 "Moneda no soportada")))</calculatedColumnFormula>
    </tableColumn>
    <tableColumn id="10" name="meta1" dataDxfId="67" dataCellStyle="Porcentaje"/>
    <tableColumn id="11" name="META2" dataDxfId="66" dataCellStyle="Porcentaje"/>
    <tableColumn id="12" name="ACCION" dataDxfId="65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64"/>
    <tableColumn id="23" name="INVENTARIO" dataDxfId="63">
      <calculatedColumnFormula>Tabla6[[#This Row],[cantidad]]-Tabla6[[#This Row],[CANTIDAD VENDIDA]]</calculatedColumnFormula>
    </tableColumn>
    <tableColumn id="24" name="VALOR ACTUAL" dataDxfId="62">
      <calculatedColumnFormula>IF(G3="BTC", D3 * U3 * C3, IF(G3="ETH", E3 * U3 * C3, IF(G3="IO.NET", F3 * U3 * C3, 0)))</calculatedColumnFormula>
    </tableColumn>
    <tableColumn id="15" name="GANANCIA/PERDIDA" dataDxfId="61">
      <calculatedColumnFormula>IF(G3 = "BTC", ((T3 - L3)), IF(G3 = "ETH", ((T3 - L3)), IF(G3 = "IO.NET", ((T3 - L3)), "Moneda no soportada")))</calculatedColumnFormula>
    </tableColumn>
    <tableColumn id="25" name="RENTABILIDAD TOTAL" dataDxfId="60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59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19" totalsRowShown="0">
  <autoFilter ref="B2:M19"/>
  <tableColumns count="12">
    <tableColumn id="1" name="FECHA ACT" dataDxfId="58">
      <calculatedColumnFormula>TODAY()</calculatedColumnFormula>
    </tableColumn>
    <tableColumn id="11" name="FECHA COMPRA" dataDxfId="57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56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55">
      <calculatedColumnFormula>Tabla5[[#This Row],[VALOR ACTUAL EN COP]]-Tabla5[[#This Row],[COSTO TOTAL EN COP]]</calculatedColumnFormula>
    </tableColumn>
    <tableColumn id="9" name="RENTABILIDAD" dataDxfId="54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22" totalsRowShown="0">
  <autoFilter ref="B2:O22"/>
  <tableColumns count="14">
    <tableColumn id="1" name="MES" dataDxfId="53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52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M87" totalsRowShown="0">
  <autoFilter ref="B2:M87"/>
  <tableColumns count="12">
    <tableColumn id="1" name="FECHA" dataDxfId="45"/>
    <tableColumn id="5" name="PRECIO DEL DÓLAR" dataDxfId="44">
      <calculatedColumnFormula>VLOOKUP(B3,Tabla4[],2,FALSE)</calculatedColumnFormula>
    </tableColumn>
    <tableColumn id="2" name="VOO" dataDxfId="43" dataCellStyle="Moneda"/>
    <tableColumn id="3" name="VALOR INVERSION 1" dataDxfId="42">
      <calculatedColumnFormula>0.01518 * D3</calculatedColumnFormula>
    </tableColumn>
    <tableColumn id="4" name="GAN/PER" dataDxfId="41">
      <calculatedColumnFormula>Tabla2[[#This Row],[VALOR INVERSION 1]]-7.7</calculatedColumnFormula>
    </tableColumn>
    <tableColumn id="6" name="VALOR EN COP" dataDxfId="40">
      <calculatedColumnFormula>Tabla2[[#This Row],[VALOR INVERSION 1]]*Tabla2[[#This Row],[PRECIO DEL DÓLAR]]</calculatedColumnFormula>
    </tableColumn>
    <tableColumn id="8" name="VALOR INVERSION 2" dataDxfId="39">
      <calculatedColumnFormula>Tabla2[[#This Row],[VOO]]*0.01527</calculatedColumnFormula>
    </tableColumn>
    <tableColumn id="9" name="GAN/PER2" dataDxfId="38">
      <calculatedColumnFormula>Tabla2[[#This Row],[VALOR INVERSION 2]]-7.9</calculatedColumnFormula>
    </tableColumn>
    <tableColumn id="10" name="VALOR EN COP2" dataDxfId="37">
      <calculatedColumnFormula>Tabla2[[#This Row],[VALOR INVERSION 2]]*Tabla2[[#This Row],[PRECIO DEL DÓLAR]]</calculatedColumnFormula>
    </tableColumn>
    <tableColumn id="7" name="VALOR INVERSION 3" dataDxfId="36">
      <calculatedColumnFormula>Tabla2[[#This Row],[VOO]]*0.01284</calculatedColumnFormula>
    </tableColumn>
    <tableColumn id="11" name="GAN/PER3" dataDxfId="35">
      <calculatedColumnFormula>Tabla2[[#This Row],[VALOR INVERSION 3]]-6.9</calculatedColumnFormula>
    </tableColumn>
    <tableColumn id="12" name="VALOR EN COP3" dataDxfId="34">
      <calculatedColumnFormula>Tabla2[[#This Row],[VALOR INVERSION 3]]*Tabla2[[#This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33">
  <autoFilter ref="B2:K52"/>
  <tableColumns count="10">
    <tableColumn id="1" name="FECHA"/>
    <tableColumn id="2" name="DÓLAR" dataDxfId="32">
      <calculatedColumnFormula>VLOOKUP(B3,Tabla4[],2,FALSE)</calculatedColumnFormula>
    </tableColumn>
    <tableColumn id="3" name="S&amp;P 500" dataDxfId="31"/>
    <tableColumn id="4" name="NASDAQ-100" dataDxfId="30"/>
    <tableColumn id="5" name="KO" dataDxfId="29"/>
    <tableColumn id="6" name="JNJ" dataDxfId="28"/>
    <tableColumn id="7" name="PG" dataDxfId="27"/>
    <tableColumn id="8" name="PEP" dataDxfId="26"/>
    <tableColumn id="13" name="MSFT" dataDxfId="25"/>
    <tableColumn id="9" name="MCD" dataDxfId="2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7"/>
  <sheetViews>
    <sheetView topLeftCell="C18" workbookViewId="0">
      <selection activeCell="F37" sqref="F37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>
        <f>SUM(H24:H30)</f>
        <v>-3958.345066650003</v>
      </c>
      <c r="W3" s="37"/>
      <c r="X3" s="37"/>
      <c r="Y3" s="38">
        <f>SUM(M3:X3)</f>
        <v>-57.792917422632854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>
        <v>44138.1</v>
      </c>
      <c r="H24" s="7">
        <f>(Tabla8[[#This Row],[CAPITAL A FIN DE MES]]-(Tabla8[[#This Row],[CAPITAL A INICIO DE MES]]+Tabla8[[#This Row],[CAPITAL INVERTIDO ESTE MES]]))</f>
        <v>442.09999999999854</v>
      </c>
      <c r="I24" s="9">
        <f>(Tabla8[[#This Row],[CAPITAL A FIN DE MES]]-Tabla8[[#This Row],[CAPITAL A INICIO DE MES]])/Tabla8[[#This Row],[CAPITAL A INICIO DE MES]]</f>
        <v>0.17089611629881152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>
        <v>19138.02</v>
      </c>
      <c r="H25" s="7">
        <f>(Tabla8[[#This Row],[CAPITAL A FIN DE MES]]-(Tabla8[[#This Row],[CAPITAL A INICIO DE MES]]+Tabla8[[#This Row],[CAPITAL INVERTIDO ESTE MES]]))</f>
        <v>197.61000000000058</v>
      </c>
      <c r="I25" s="9">
        <f>(Tabla8[[#This Row],[CAPITAL A FIN DE MES]]-Tabla8[[#This Row],[CAPITAL A INICIO DE MES]])/Tabla8[[#This Row],[CAPITAL A INICIO DE MES]]</f>
        <v>0.47893459326250098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2800</v>
      </c>
      <c r="G26" s="7">
        <v>19782.494933349997</v>
      </c>
      <c r="H26" s="7">
        <f>(Tabla8[[#This Row],[CAPITAL A FIN DE MES]]-(Tabla8[[#This Row],[CAPITAL A INICIO DE MES]]+Tabla8[[#This Row],[CAPITAL INVERTIDO ESTE MES]]))</f>
        <v>2912.6349333499966</v>
      </c>
      <c r="I26" s="9">
        <f>(Tabla8[[#This Row],[CAPITAL A FIN DE MES]]-Tabla8[[#This Row],[CAPITAL A INICIO DE MES]])/Tabla8[[#This Row],[CAPITAL A INICIO DE MES]]</f>
        <v>0.40601931599532592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2800</v>
      </c>
      <c r="G27" s="7">
        <v>14770.53</v>
      </c>
      <c r="H27" s="7">
        <f>(Tabla8[[#This Row],[CAPITAL A FIN DE MES]]-(Tabla8[[#This Row],[CAPITAL A INICIO DE MES]]+Tabla8[[#This Row],[CAPITAL INVERTIDO ESTE MES]]))</f>
        <v>597.14000000000124</v>
      </c>
      <c r="I27" s="9">
        <f>(Tabla8[[#This Row],[CAPITAL A FIN DE MES]]-Tabla8[[#This Row],[CAPITAL A INICIO DE MES]])/Tabla8[[#This Row],[CAPITAL A INICIO DE MES]]</f>
        <v>0.29869194672828431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1400</v>
      </c>
      <c r="G28" s="7">
        <v>6757.24</v>
      </c>
      <c r="H28" s="7">
        <f>(Tabla8[[#This Row],[CAPITAL A FIN DE MES]]-(Tabla8[[#This Row],[CAPITAL A INICIO DE MES]]+Tabla8[[#This Row],[CAPITAL INVERTIDO ESTE MES]]))</f>
        <v>-2762.4499999999989</v>
      </c>
      <c r="I28" s="9">
        <f>(Tabla8[[#This Row],[CAPITAL A FIN DE MES]]-Tabla8[[#This Row],[CAPITAL A INICIO DE MES]])/Tabla8[[#This Row],[CAPITAL A INICIO DE MES]]</f>
        <v>-0.1677958148648532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2800</v>
      </c>
      <c r="G29" s="7">
        <v>11513.11</v>
      </c>
      <c r="H29" s="7">
        <f>(Tabla8[[#This Row],[CAPITAL A FIN DE MES]]-(Tabla8[[#This Row],[CAPITAL A INICIO DE MES]]+Tabla8[[#This Row],[CAPITAL INVERTIDO ESTE MES]]))</f>
        <v>593.42000000000189</v>
      </c>
      <c r="I29" s="9">
        <f>(Tabla8[[#This Row],[CAPITAL A FIN DE MES]]-Tabla8[[#This Row],[CAPITAL A INICIO DE MES]])/Tabla8[[#This Row],[CAPITAL A INICIO DE MES]]</f>
        <v>0.41792482225306643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>
        <v>99977.62</v>
      </c>
      <c r="H30" s="7">
        <f>(Tabla8[[#This Row],[CAPITAL A FIN DE MES]]-(Tabla8[[#This Row],[CAPITAL A INICIO DE MES]]+Tabla8[[#This Row],[CAPITAL INVERTIDO ESTE MES]]))</f>
        <v>-5938.8000000000029</v>
      </c>
      <c r="I30" s="9">
        <f>(Tabla8[[#This Row],[CAPITAL A FIN DE MES]]-Tabla8[[#This Row],[CAPITAL A INICIO DE MES]])/Tabla8[[#This Row],[CAPITAL A INICIO DE MES]]</f>
        <v>0.49659433603848424</v>
      </c>
    </row>
    <row r="31" spans="2:9">
      <c r="B31" t="s">
        <v>112</v>
      </c>
      <c r="C31" t="s">
        <v>101</v>
      </c>
      <c r="D31" t="s">
        <v>93</v>
      </c>
      <c r="E31" s="7">
        <v>44138.1</v>
      </c>
      <c r="F31" s="29">
        <v>6000</v>
      </c>
      <c r="G31" s="7"/>
      <c r="H31" s="7">
        <f>(Tabla8[[#This Row],[CAPITAL A FIN DE MES]]-(Tabla8[[#This Row],[CAPITAL A INICIO DE MES]]+Tabla8[[#This Row],[CAPITAL INVERTIDO ESTE MES]]))</f>
        <v>-50138.1</v>
      </c>
      <c r="I31" s="9">
        <f>(Tabla8[[#This Row],[CAPITAL A FIN DE MES]]-Tabla8[[#This Row],[CAPITAL A INICIO DE MES]])/Tabla8[[#This Row],[CAPITAL A INICIO DE MES]]</f>
        <v>-1</v>
      </c>
    </row>
    <row r="32" spans="2:9">
      <c r="B32" t="s">
        <v>112</v>
      </c>
      <c r="C32" t="s">
        <v>101</v>
      </c>
      <c r="D32" t="s">
        <v>96</v>
      </c>
      <c r="E32" s="7">
        <v>19138.02</v>
      </c>
      <c r="F32" s="29">
        <v>6000</v>
      </c>
      <c r="G32" s="7"/>
      <c r="H32" s="7">
        <f>(Tabla8[[#This Row],[CAPITAL A FIN DE MES]]-(Tabla8[[#This Row],[CAPITAL A INICIO DE MES]]+Tabla8[[#This Row],[CAPITAL INVERTIDO ESTE MES]]))</f>
        <v>-25138.02</v>
      </c>
      <c r="I32" s="9">
        <f>(Tabla8[[#This Row],[CAPITAL A FIN DE MES]]-Tabla8[[#This Row],[CAPITAL A INICIO DE MES]])/Tabla8[[#This Row],[CAPITAL A INICIO DE MES]]</f>
        <v>-1</v>
      </c>
    </row>
    <row r="33" spans="2:9">
      <c r="B33" t="s">
        <v>112</v>
      </c>
      <c r="C33" t="s">
        <v>53</v>
      </c>
      <c r="D33" t="s">
        <v>14</v>
      </c>
      <c r="E33" s="7">
        <v>19782.494933349997</v>
      </c>
      <c r="F33" s="29">
        <v>2800</v>
      </c>
      <c r="G33" s="7"/>
      <c r="H33" s="7">
        <f>(Tabla8[[#This Row],[CAPITAL A FIN DE MES]]-(Tabla8[[#This Row],[CAPITAL A INICIO DE MES]]+Tabla8[[#This Row],[CAPITAL INVERTIDO ESTE MES]]))</f>
        <v>-22582.494933349997</v>
      </c>
      <c r="I33" s="9">
        <f>(Tabla8[[#This Row],[CAPITAL A FIN DE MES]]-Tabla8[[#This Row],[CAPITAL A INICIO DE MES]])/Tabla8[[#This Row],[CAPITAL A INICIO DE MES]]</f>
        <v>-1</v>
      </c>
    </row>
    <row r="34" spans="2:9">
      <c r="B34" t="s">
        <v>112</v>
      </c>
      <c r="C34" t="s">
        <v>53</v>
      </c>
      <c r="D34" t="s">
        <v>15</v>
      </c>
      <c r="E34" s="7">
        <v>14770.53</v>
      </c>
      <c r="F34" s="29">
        <v>2800</v>
      </c>
      <c r="G34" s="7"/>
      <c r="H34" s="7">
        <f>(Tabla8[[#This Row],[CAPITAL A FIN DE MES]]-(Tabla8[[#This Row],[CAPITAL A INICIO DE MES]]+Tabla8[[#This Row],[CAPITAL INVERTIDO ESTE MES]]))</f>
        <v>-17570.53</v>
      </c>
      <c r="I34" s="9">
        <f>(Tabla8[[#This Row],[CAPITAL A FIN DE MES]]-Tabla8[[#This Row],[CAPITAL A INICIO DE MES]])/Tabla8[[#This Row],[CAPITAL A INICIO DE MES]]</f>
        <v>-1</v>
      </c>
    </row>
    <row r="35" spans="2:9">
      <c r="B35" t="s">
        <v>112</v>
      </c>
      <c r="C35" t="s">
        <v>53</v>
      </c>
      <c r="D35" t="s">
        <v>41</v>
      </c>
      <c r="E35" s="7">
        <v>6757.24</v>
      </c>
      <c r="F35" s="29">
        <v>1400</v>
      </c>
      <c r="G35" s="7"/>
      <c r="H35" s="7">
        <f>(Tabla8[[#This Row],[CAPITAL A FIN DE MES]]-(Tabla8[[#This Row],[CAPITAL A INICIO DE MES]]+Tabla8[[#This Row],[CAPITAL INVERTIDO ESTE MES]]))</f>
        <v>-8157.24</v>
      </c>
      <c r="I35" s="9">
        <f>(Tabla8[[#This Row],[CAPITAL A FIN DE MES]]-Tabla8[[#This Row],[CAPITAL A INICIO DE MES]])/Tabla8[[#This Row],[CAPITAL A INICIO DE MES]]</f>
        <v>-1</v>
      </c>
    </row>
    <row r="36" spans="2:9">
      <c r="B36" t="s">
        <v>112</v>
      </c>
      <c r="C36" t="s">
        <v>53</v>
      </c>
      <c r="D36" t="s">
        <v>63</v>
      </c>
      <c r="E36" s="7">
        <v>11513.11</v>
      </c>
      <c r="F36" s="29">
        <v>2800</v>
      </c>
      <c r="G36" s="7"/>
      <c r="H36" s="7">
        <f>(Tabla8[[#This Row],[CAPITAL A FIN DE MES]]-(Tabla8[[#This Row],[CAPITAL A INICIO DE MES]]+Tabla8[[#This Row],[CAPITAL INVERTIDO ESTE MES]]))</f>
        <v>-14313.11</v>
      </c>
      <c r="I36" s="9">
        <f>(Tabla8[[#This Row],[CAPITAL A FIN DE MES]]-Tabla8[[#This Row],[CAPITAL A INICIO DE MES]])/Tabla8[[#This Row],[CAPITAL A INICIO DE MES]]</f>
        <v>-1</v>
      </c>
    </row>
    <row r="37" spans="2:9">
      <c r="B37" t="s">
        <v>112</v>
      </c>
      <c r="C37" t="s">
        <v>103</v>
      </c>
      <c r="D37" t="s">
        <v>13</v>
      </c>
      <c r="E37" s="7">
        <v>99977.62</v>
      </c>
      <c r="F37" s="29"/>
      <c r="G37" s="7"/>
      <c r="H37" s="7">
        <f>(Tabla8[[#This Row],[CAPITAL A FIN DE MES]]-(Tabla8[[#This Row],[CAPITAL A INICIO DE MES]]+Tabla8[[#This Row],[CAPITAL INVERTIDO ESTE MES]]))</f>
        <v>-99977.62</v>
      </c>
      <c r="I37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20" priority="3" operator="lessThan">
      <formula>0</formula>
    </cfRule>
    <cfRule type="cellIs" dxfId="119" priority="4" operator="lessThan">
      <formula>0</formula>
    </cfRule>
  </conditionalFormatting>
  <conditionalFormatting sqref="M3:X3">
    <cfRule type="cellIs" dxfId="118" priority="2" operator="lessThan">
      <formula>0</formula>
    </cfRule>
  </conditionalFormatting>
  <conditionalFormatting sqref="M3:Y3">
    <cfRule type="cellIs" dxfId="117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opLeftCell="D1" workbookViewId="0">
      <selection activeCell="I14" sqref="I14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 t="shared" ref="G11:G16" si="3">(F11/(D11+E11))</f>
        <v>9.3869559442866374E-3</v>
      </c>
      <c r="H11" s="2"/>
      <c r="I11" s="2">
        <f t="shared" ref="I11:I16" si="4">D11+E11+F11-H11</f>
        <v>37696</v>
      </c>
      <c r="J11" s="27">
        <f t="shared" ref="J11:J16" si="5"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 t="shared" si="3"/>
        <v>9.8602628675064728E-3</v>
      </c>
      <c r="H12" s="2"/>
      <c r="I12" s="2">
        <f t="shared" si="4"/>
        <v>12940.41</v>
      </c>
      <c r="J12" s="27">
        <f t="shared" si="5"/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>
        <v>442.1</v>
      </c>
      <c r="G13" s="27">
        <f t="shared" si="3"/>
        <v>1.0117630904430613E-2</v>
      </c>
      <c r="H13" s="2"/>
      <c r="I13" s="2">
        <f t="shared" si="4"/>
        <v>44138.1</v>
      </c>
      <c r="J13" s="27">
        <f t="shared" si="5"/>
        <v>1.0117630904430578E-2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>
        <v>197.61</v>
      </c>
      <c r="G14" s="27">
        <f t="shared" si="3"/>
        <v>1.0433248277096432E-2</v>
      </c>
      <c r="H14" s="2"/>
      <c r="I14" s="2">
        <f t="shared" si="4"/>
        <v>19138.02</v>
      </c>
      <c r="J14" s="27">
        <f t="shared" si="5"/>
        <v>1.0433248277096461E-2</v>
      </c>
    </row>
    <row r="15" spans="2:10">
      <c r="B15" t="s">
        <v>112</v>
      </c>
      <c r="C15" t="s">
        <v>93</v>
      </c>
      <c r="D15" s="2">
        <v>44138.1</v>
      </c>
      <c r="E15" s="2">
        <v>6000</v>
      </c>
      <c r="F15" s="2"/>
      <c r="G15" s="27">
        <f t="shared" si="3"/>
        <v>0</v>
      </c>
      <c r="H15" s="2"/>
      <c r="I15" s="2">
        <f t="shared" si="4"/>
        <v>50138.1</v>
      </c>
      <c r="J15" s="27">
        <f t="shared" si="5"/>
        <v>0</v>
      </c>
    </row>
    <row r="16" spans="2:10">
      <c r="B16" t="s">
        <v>112</v>
      </c>
      <c r="C16" t="s">
        <v>96</v>
      </c>
      <c r="D16" s="2">
        <v>19138.02</v>
      </c>
      <c r="E16" s="2">
        <v>6000</v>
      </c>
      <c r="F16" s="2"/>
      <c r="G16" s="27">
        <f t="shared" si="3"/>
        <v>0</v>
      </c>
      <c r="H16" s="2"/>
      <c r="I16" s="2">
        <f t="shared" si="4"/>
        <v>25138.02</v>
      </c>
      <c r="J16" s="27">
        <f t="shared" si="5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7"/>
  <sheetViews>
    <sheetView topLeftCell="A177" zoomScaleNormal="100" workbookViewId="0">
      <selection activeCell="H197" sqref="H197"/>
    </sheetView>
  </sheetViews>
  <sheetFormatPr baseColWidth="10" defaultRowHeight="14.25"/>
  <cols>
    <col min="3" max="3" width="11.625" bestFit="1" customWidth="1"/>
    <col min="4" max="4" width="14.125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  <row r="183" spans="2:8">
      <c r="B183" s="1">
        <v>45587</v>
      </c>
      <c r="C183" s="3">
        <v>4280.04</v>
      </c>
      <c r="D183" s="3">
        <v>67353.34</v>
      </c>
      <c r="E183" s="3">
        <v>1.84</v>
      </c>
      <c r="F183" s="3">
        <v>2632.9</v>
      </c>
      <c r="G183" s="3">
        <v>4189</v>
      </c>
    </row>
    <row r="184" spans="2:8">
      <c r="B184" s="1">
        <v>45588</v>
      </c>
      <c r="C184" s="3">
        <v>4270.37</v>
      </c>
      <c r="D184" s="3">
        <v>66410.070000000007</v>
      </c>
      <c r="E184" s="3">
        <v>1.79</v>
      </c>
      <c r="F184" s="3">
        <v>2579.1</v>
      </c>
      <c r="G184" s="3">
        <v>4176</v>
      </c>
    </row>
    <row r="185" spans="2:8">
      <c r="B185" s="1">
        <v>45589</v>
      </c>
      <c r="C185" s="3">
        <v>4323.92</v>
      </c>
      <c r="D185" s="3">
        <v>67293.87</v>
      </c>
      <c r="E185" s="3">
        <v>1.89</v>
      </c>
      <c r="F185" s="3">
        <v>2527.3000000000002</v>
      </c>
      <c r="G185" s="3">
        <v>4214</v>
      </c>
    </row>
    <row r="186" spans="2:8">
      <c r="B186" s="1">
        <v>45590</v>
      </c>
      <c r="C186" s="3">
        <v>4323.1099999999997</v>
      </c>
      <c r="D186" s="3">
        <v>68253.88</v>
      </c>
      <c r="E186" s="3">
        <v>1.97</v>
      </c>
      <c r="F186" s="3">
        <v>2548.9</v>
      </c>
      <c r="G186" s="3">
        <v>4202</v>
      </c>
    </row>
    <row r="187" spans="2:8">
      <c r="B187" s="1">
        <v>45591</v>
      </c>
      <c r="C187" s="3">
        <v>4321.6400000000003</v>
      </c>
      <c r="D187" s="3">
        <v>67092.759999999995</v>
      </c>
      <c r="E187" s="3">
        <v>1.71</v>
      </c>
      <c r="F187" s="3">
        <v>2479.6</v>
      </c>
      <c r="G187" s="3">
        <v>4200</v>
      </c>
    </row>
    <row r="188" spans="2:8">
      <c r="B188" s="1">
        <v>45592</v>
      </c>
      <c r="C188" s="3">
        <v>4321.6400000000003</v>
      </c>
      <c r="D188" s="3">
        <v>68021.7</v>
      </c>
      <c r="E188" s="3">
        <v>1.75</v>
      </c>
      <c r="F188" s="3">
        <v>2505.4</v>
      </c>
      <c r="G188" s="3">
        <v>4215</v>
      </c>
    </row>
    <row r="189" spans="2:8">
      <c r="B189" s="1">
        <v>45593</v>
      </c>
      <c r="C189" s="3">
        <v>4321.6400000000003</v>
      </c>
      <c r="D189" s="4">
        <v>69615</v>
      </c>
      <c r="E189" s="4">
        <v>1.73</v>
      </c>
      <c r="F189" s="4">
        <v>2524.6</v>
      </c>
      <c r="G189" s="4">
        <v>4207</v>
      </c>
      <c r="H189">
        <v>22</v>
      </c>
    </row>
    <row r="190" spans="2:8">
      <c r="B190" s="1">
        <v>45594</v>
      </c>
      <c r="C190" s="3">
        <v>4345.13</v>
      </c>
      <c r="D190" s="3">
        <v>71200.91</v>
      </c>
      <c r="E190" s="3">
        <v>1.75</v>
      </c>
      <c r="F190" s="3">
        <v>2619.9</v>
      </c>
      <c r="G190" s="3">
        <v>4254</v>
      </c>
    </row>
    <row r="191" spans="2:8">
      <c r="B191" s="1">
        <v>45595</v>
      </c>
      <c r="C191" s="3">
        <v>4323.01</v>
      </c>
      <c r="D191" s="3">
        <v>72187.039999999994</v>
      </c>
      <c r="E191" s="3">
        <v>1.74</v>
      </c>
      <c r="F191" s="3">
        <v>2664</v>
      </c>
      <c r="G191" s="3">
        <v>4288</v>
      </c>
    </row>
    <row r="192" spans="2:8">
      <c r="B192" s="1">
        <v>45596</v>
      </c>
      <c r="C192" s="3">
        <v>4374.1000000000004</v>
      </c>
      <c r="D192" s="3">
        <v>72074</v>
      </c>
      <c r="E192" s="3">
        <v>1.68</v>
      </c>
      <c r="F192" s="3">
        <v>2630</v>
      </c>
      <c r="G192" s="3">
        <v>4314</v>
      </c>
    </row>
    <row r="193" spans="2:8">
      <c r="B193" s="1">
        <v>45597</v>
      </c>
      <c r="C193" s="3">
        <v>4418.63</v>
      </c>
      <c r="D193" s="3">
        <v>69923.17</v>
      </c>
      <c r="E193" s="3">
        <v>1.61</v>
      </c>
      <c r="F193" s="3">
        <v>2517.8000000000002</v>
      </c>
      <c r="G193" s="3">
        <v>4293</v>
      </c>
    </row>
    <row r="194" spans="2:8">
      <c r="B194" s="1">
        <v>45598</v>
      </c>
      <c r="C194" s="3">
        <v>4414</v>
      </c>
      <c r="D194" s="3">
        <v>69374.740000000005</v>
      </c>
      <c r="E194" s="3">
        <v>1.54</v>
      </c>
      <c r="F194" s="3">
        <v>2493.4</v>
      </c>
      <c r="G194" s="3">
        <v>4327</v>
      </c>
    </row>
    <row r="195" spans="2:8">
      <c r="B195" s="1">
        <v>45599</v>
      </c>
      <c r="C195" s="3">
        <v>4418.12</v>
      </c>
      <c r="D195" s="3">
        <v>68306.28</v>
      </c>
      <c r="E195" s="3">
        <v>1.47</v>
      </c>
      <c r="F195" s="3">
        <v>2445.3000000000002</v>
      </c>
      <c r="G195" s="3">
        <v>4328</v>
      </c>
    </row>
    <row r="196" spans="2:8">
      <c r="B196" s="1">
        <v>45600</v>
      </c>
      <c r="C196" s="3">
        <v>4445.3500000000004</v>
      </c>
      <c r="D196" s="4">
        <v>67722.23</v>
      </c>
      <c r="E196" s="4">
        <v>1.47</v>
      </c>
      <c r="F196" s="4">
        <v>2412</v>
      </c>
      <c r="G196" s="4">
        <v>4338</v>
      </c>
      <c r="H196">
        <v>23</v>
      </c>
    </row>
    <row r="197" spans="2:8">
      <c r="B197" s="1">
        <v>45601</v>
      </c>
      <c r="C197" s="3">
        <v>4438.62</v>
      </c>
      <c r="D197" s="3">
        <v>68825.05</v>
      </c>
      <c r="E197" s="3">
        <v>1.5</v>
      </c>
      <c r="F197" s="3">
        <v>2438.6</v>
      </c>
      <c r="G197" s="3">
        <v>4287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4"/>
  <sheetViews>
    <sheetView topLeftCell="G63" workbookViewId="0">
      <selection activeCell="Q86" sqref="Q86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21" ca="1" si="0">TODAY()</f>
        <v>45601</v>
      </c>
      <c r="C3" s="2">
        <f ca="1">VLOOKUP(B3,Tabla4[],2,FALSE)</f>
        <v>4438.62</v>
      </c>
      <c r="D3" s="3">
        <f ca="1">VLOOKUP(B3,Tabla4[],3,FALSE)</f>
        <v>68825.05</v>
      </c>
      <c r="E3" s="2">
        <f ca="1">VLOOKUP(B3,Tabla4[],5,FALSE)</f>
        <v>2438.6</v>
      </c>
      <c r="F3" s="2">
        <f ca="1">VLOOKUP(B3,Tabla4[],4,FALSE)</f>
        <v>1.5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769.83037344612001</v>
      </c>
      <c r="N3" s="32">
        <f t="shared" ref="N3:N21" ca="1" si="1">IF(G3 = "BTC", (D3 - J3) / J3,
 IF(G3 = "ETH", (E3 - J3) / J3,
 IF(G3 = "IO.NET", (F3 - J3) / J3,
 "Moneda no soportada")))</f>
        <v>-2.9908946114705303E-2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769.83037344612001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-2.9908946114705303E-2</v>
      </c>
      <c r="Y3" s="2" t="str">
        <f>IF(U3=0,"VENDIDA","ACTIVA")</f>
        <v>ACTIVA</v>
      </c>
    </row>
    <row r="4" spans="2:26">
      <c r="B4" s="1">
        <f t="shared" ca="1" si="0"/>
        <v>45601</v>
      </c>
      <c r="C4" s="2">
        <f ca="1">VLOOKUP(B4,Tabla4[],2,FALSE)</f>
        <v>4438.62</v>
      </c>
      <c r="D4" s="3">
        <f ca="1">VLOOKUP(B4,Tabla4[],3,FALSE)</f>
        <v>68825.05</v>
      </c>
      <c r="E4" s="2">
        <f ca="1">VLOOKUP(B4,Tabla4[],5,FALSE)</f>
        <v>2438.6</v>
      </c>
      <c r="F4" s="2">
        <f ca="1">VLOOKUP(B4,Tabla4[],4,FALSE)</f>
        <v>1.5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510.89368415039996</v>
      </c>
      <c r="N4" s="32">
        <f t="shared" ca="1" si="1"/>
        <v>-0.35848431198718339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510.89368415039996</v>
      </c>
      <c r="W4" s="2">
        <f t="shared" si="3"/>
        <v>-705.39693250799996</v>
      </c>
      <c r="X4" s="9">
        <f t="shared" ca="1" si="4"/>
        <v>-0.35848431198718339</v>
      </c>
      <c r="Y4" s="2" t="str">
        <f t="shared" ref="Y4:Y24" si="7">IF(U4=0,"VENDIDA","ACTIVA")</f>
        <v>ACTIVA</v>
      </c>
    </row>
    <row r="5" spans="2:26">
      <c r="B5" s="1">
        <f t="shared" ca="1" si="0"/>
        <v>45601</v>
      </c>
      <c r="C5" s="2">
        <f ca="1">VLOOKUP(B5,Tabla4[],2,FALSE)</f>
        <v>4438.62</v>
      </c>
      <c r="D5" s="3">
        <f ca="1">VLOOKUP(B5,Tabla4[],3,FALSE)</f>
        <v>68825.05</v>
      </c>
      <c r="E5" s="2">
        <f ca="1">VLOOKUP(B5,Tabla4[],5,FALSE)</f>
        <v>2438.6</v>
      </c>
      <c r="F5" s="2">
        <f ca="1">VLOOKUP(B5,Tabla4[],4,FALSE)</f>
        <v>1.5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785.10478561767002</v>
      </c>
      <c r="N5" s="32">
        <f t="shared" ca="1" si="1"/>
        <v>-6.5094693689011643E-3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785.10478561767002</v>
      </c>
      <c r="W5" s="2">
        <f t="shared" si="3"/>
        <v>-711.38458935120002</v>
      </c>
      <c r="X5" s="9">
        <f t="shared" ca="1" si="4"/>
        <v>-6.5094693689011643E-3</v>
      </c>
      <c r="Y5" s="2" t="str">
        <f t="shared" si="7"/>
        <v>ACTIVA</v>
      </c>
    </row>
    <row r="6" spans="2:26">
      <c r="B6" s="1">
        <f t="shared" ca="1" si="0"/>
        <v>45601</v>
      </c>
      <c r="C6" s="2">
        <f ca="1">VLOOKUP(B6,Tabla4[],2,FALSE)</f>
        <v>4438.62</v>
      </c>
      <c r="D6" s="3">
        <f ca="1">VLOOKUP(B6,Tabla4[],3,FALSE)</f>
        <v>68825.05</v>
      </c>
      <c r="E6" s="2">
        <f ca="1">VLOOKUP(B6,Tabla4[],5,FALSE)</f>
        <v>2438.6</v>
      </c>
      <c r="F6" s="2">
        <f ca="1">VLOOKUP(B6,Tabla4[],4,FALSE)</f>
        <v>1.5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526.80499168643996</v>
      </c>
      <c r="N6" s="32">
        <f t="shared" ca="1" si="1"/>
        <v>-0.33547339277539184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526.80499168643996</v>
      </c>
      <c r="W6" s="2">
        <f t="shared" si="3"/>
        <v>-713.63816396689595</v>
      </c>
      <c r="X6" s="9">
        <f t="shared" ca="1" si="4"/>
        <v>-0.33547339277539184</v>
      </c>
      <c r="Y6" s="2" t="str">
        <f t="shared" si="7"/>
        <v>ACTIVA</v>
      </c>
    </row>
    <row r="7" spans="2:26">
      <c r="B7" s="1">
        <f t="shared" ca="1" si="0"/>
        <v>45601</v>
      </c>
      <c r="C7" s="2">
        <f ca="1">VLOOKUP(B7,Tabla4[],2,FALSE)</f>
        <v>4438.62</v>
      </c>
      <c r="D7" s="3">
        <f ca="1">VLOOKUP(B7,Tabla4[],3,FALSE)</f>
        <v>68825.05</v>
      </c>
      <c r="E7" s="2">
        <f ca="1">VLOOKUP(B7,Tabla4[],5,FALSE)</f>
        <v>2438.6</v>
      </c>
      <c r="F7" s="2">
        <f ca="1">VLOOKUP(B7,Tabla4[],4,FALSE)</f>
        <v>1.5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803.43408022352992</v>
      </c>
      <c r="N7" s="32">
        <f t="shared" ca="1" si="1"/>
        <v>3.5431827037501321E-2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803.43408022352992</v>
      </c>
      <c r="W7" s="2">
        <f t="shared" si="3"/>
        <v>-721.88976178291</v>
      </c>
      <c r="X7" s="9">
        <f t="shared" ca="1" si="4"/>
        <v>3.5431827037501321E-2</v>
      </c>
      <c r="Y7" s="2" t="str">
        <f t="shared" si="7"/>
        <v>ACTIVA</v>
      </c>
    </row>
    <row r="8" spans="2:26">
      <c r="B8" s="1">
        <f t="shared" ca="1" si="0"/>
        <v>45601</v>
      </c>
      <c r="C8" s="2">
        <f ca="1">VLOOKUP(B8,Tabla4[],2,FALSE)</f>
        <v>4438.62</v>
      </c>
      <c r="D8" s="3">
        <f ca="1">VLOOKUP(B8,Tabla4[],3,FALSE)</f>
        <v>68825.05</v>
      </c>
      <c r="E8" s="2">
        <f ca="1">VLOOKUP(B8,Tabla4[],5,FALSE)</f>
        <v>2438.6</v>
      </c>
      <c r="F8" s="2">
        <f ca="1">VLOOKUP(B8,Tabla4[],4,FALSE)</f>
        <v>1.5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257.73359690609999</v>
      </c>
      <c r="N8" s="32">
        <f t="shared" ca="1" si="1"/>
        <v>-0.64539007092198586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257.73359690609999</v>
      </c>
      <c r="W8" s="2">
        <f t="shared" si="3"/>
        <v>-676.17994528545319</v>
      </c>
      <c r="X8" s="9">
        <f t="shared" ca="1" si="4"/>
        <v>-0.64539007092198586</v>
      </c>
      <c r="Y8" s="2" t="str">
        <f t="shared" si="7"/>
        <v>ACTIVA</v>
      </c>
    </row>
    <row r="9" spans="2:26">
      <c r="B9" s="1">
        <f t="shared" ca="1" si="0"/>
        <v>45601</v>
      </c>
      <c r="C9" s="2">
        <f ca="1">VLOOKUP(B9,Tabla4[],2,FALSE)</f>
        <v>4438.62</v>
      </c>
      <c r="D9" s="3">
        <f ca="1">VLOOKUP(B9,Tabla4[],3,FALSE)</f>
        <v>68825.05</v>
      </c>
      <c r="E9" s="2">
        <f ca="1">VLOOKUP(B9,Tabla4[],5,FALSE)</f>
        <v>2438.6</v>
      </c>
      <c r="F9" s="2">
        <f ca="1">VLOOKUP(B9,Tabla4[],4,FALSE)</f>
        <v>1.5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532.54172161439999</v>
      </c>
      <c r="N9" s="32">
        <f t="shared" ca="1" si="1"/>
        <v>-0.30440785101218271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532.54172161439999</v>
      </c>
      <c r="W9" s="2">
        <f t="shared" si="3"/>
        <v>-712.26418846524007</v>
      </c>
      <c r="X9" s="9">
        <f t="shared" ca="1" si="4"/>
        <v>-0.30440785101218271</v>
      </c>
      <c r="Y9" s="2" t="str">
        <f t="shared" si="7"/>
        <v>ACTIVA</v>
      </c>
    </row>
    <row r="10" spans="2:26">
      <c r="B10" s="1">
        <f t="shared" ca="1" si="0"/>
        <v>45601</v>
      </c>
      <c r="C10" s="2">
        <f ca="1">VLOOKUP(B10,Tabla4[],2,FALSE)</f>
        <v>4438.62</v>
      </c>
      <c r="D10" s="3">
        <f ca="1">VLOOKUP(B10,Tabla4[],3,FALSE)</f>
        <v>68825.05</v>
      </c>
      <c r="E10" s="2">
        <f ca="1">VLOOKUP(B10,Tabla4[],5,FALSE)</f>
        <v>2438.6</v>
      </c>
      <c r="F10" s="2">
        <f ca="1">VLOOKUP(B10,Tabla4[],4,FALSE)</f>
        <v>1.5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830.92802213231994</v>
      </c>
      <c r="N10" s="32">
        <f t="shared" ca="1" si="1"/>
        <v>0.12017750304356045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830.92802213231994</v>
      </c>
      <c r="W10" s="2">
        <f t="shared" si="3"/>
        <v>-692.62576284671991</v>
      </c>
      <c r="X10" s="9">
        <f t="shared" ca="1" si="4"/>
        <v>0.12017750304356045</v>
      </c>
      <c r="Y10" s="2" t="str">
        <f t="shared" si="7"/>
        <v>ACTIVA</v>
      </c>
    </row>
    <row r="11" spans="2:26">
      <c r="B11" s="1">
        <f t="shared" ca="1" si="0"/>
        <v>45601</v>
      </c>
      <c r="C11" s="2">
        <f ca="1">VLOOKUP(B11,Tabla4[],2,FALSE)</f>
        <v>4438.62</v>
      </c>
      <c r="D11" s="3">
        <f ca="1">VLOOKUP(B11,Tabla4[],3,FALSE)</f>
        <v>68825.05</v>
      </c>
      <c r="E11" s="2">
        <f ca="1">VLOOKUP(B11,Tabla4[],5,FALSE)</f>
        <v>2438.6</v>
      </c>
      <c r="F11" s="2">
        <f ca="1">VLOOKUP(B11,Tabla4[],4,FALSE)</f>
        <v>1.5</v>
      </c>
      <c r="G11" t="s">
        <v>14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827.87313969801005</v>
      </c>
      <c r="N11" s="32">
        <f t="shared" ca="1" si="1"/>
        <v>0.12877172668737516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827.87313969801005</v>
      </c>
      <c r="W11" s="2">
        <f t="shared" si="3"/>
        <v>-682.28056593911992</v>
      </c>
      <c r="X11" s="9">
        <f t="shared" ca="1" si="4"/>
        <v>0.12877172668737516</v>
      </c>
      <c r="Y11" s="2" t="str">
        <f t="shared" si="7"/>
        <v>ACTIVA</v>
      </c>
    </row>
    <row r="12" spans="2:26">
      <c r="B12" s="1">
        <f t="shared" ca="1" si="0"/>
        <v>45601</v>
      </c>
      <c r="C12" s="2">
        <f ca="1">VLOOKUP(B12,Tabla4[],2,FALSE)</f>
        <v>4438.62</v>
      </c>
      <c r="D12" s="3">
        <f ca="1">VLOOKUP(B12,Tabla4[],3,FALSE)</f>
        <v>68825.05</v>
      </c>
      <c r="E12" s="2">
        <f ca="1">VLOOKUP(B12,Tabla4[],5,FALSE)</f>
        <v>2438.6</v>
      </c>
      <c r="F12" s="2">
        <f ca="1">VLOOKUP(B12,Tabla4[],4,FALSE)</f>
        <v>1.5</v>
      </c>
      <c r="G12" t="s">
        <v>14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925.6293775959299</v>
      </c>
      <c r="N12" s="32">
        <f t="shared" ca="1" si="1"/>
        <v>0.20546060559354334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925.6293775959299</v>
      </c>
      <c r="W12" s="2">
        <f t="shared" si="3"/>
        <v>-705.59026591680004</v>
      </c>
      <c r="X12" s="9">
        <f t="shared" ca="1" si="4"/>
        <v>0.20546060559354334</v>
      </c>
      <c r="Y12" s="2" t="str">
        <f t="shared" si="7"/>
        <v>ACTIVA</v>
      </c>
    </row>
    <row r="13" spans="2:26">
      <c r="B13" s="1">
        <f t="shared" ca="1" si="0"/>
        <v>45601</v>
      </c>
      <c r="C13" s="2">
        <f ca="1">VLOOKUP(B13,Tabla4[],2,FALSE)</f>
        <v>4438.62</v>
      </c>
      <c r="D13" s="3">
        <f ca="1">VLOOKUP(B13,Tabla4[],3,FALSE)</f>
        <v>68825.05</v>
      </c>
      <c r="E13" s="2">
        <f ca="1">VLOOKUP(B13,Tabla4[],5,FALSE)</f>
        <v>2438.6</v>
      </c>
      <c r="F13" s="2">
        <f ca="1">VLOOKUP(B13,Tabla4[],4,FALSE)</f>
        <v>1.5</v>
      </c>
      <c r="G13" t="s">
        <v>14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858.42196404111007</v>
      </c>
      <c r="N13" s="32">
        <f t="shared" ca="1" si="1"/>
        <v>9.3156914162824289E-2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858.42196404111007</v>
      </c>
      <c r="W13" s="2">
        <f t="shared" si="3"/>
        <v>-706.44677732571006</v>
      </c>
      <c r="X13" s="9">
        <f t="shared" ca="1" si="4"/>
        <v>9.3156914162824289E-2</v>
      </c>
      <c r="Y13" s="2" t="str">
        <f t="shared" si="7"/>
        <v>ACTIVA</v>
      </c>
    </row>
    <row r="14" spans="2:26">
      <c r="B14" s="1">
        <f t="shared" ca="1" si="0"/>
        <v>45601</v>
      </c>
      <c r="C14" s="2">
        <f ca="1">VLOOKUP(B14,Tabla4[],2,FALSE)</f>
        <v>4438.62</v>
      </c>
      <c r="D14" s="3">
        <f ca="1">VLOOKUP(B14,Tabla4[],3,FALSE)</f>
        <v>68825.05</v>
      </c>
      <c r="E14" s="2">
        <f ca="1">VLOOKUP(B14,Tabla4[],5,FALSE)</f>
        <v>2438.6</v>
      </c>
      <c r="F14" s="2">
        <f ca="1">VLOOKUP(B14,Tabla4[],4,FALSE)</f>
        <v>1.5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547.80358802651995</v>
      </c>
      <c r="N14" s="32">
        <f t="shared" ca="1" si="1"/>
        <v>-0.2780529396265628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547.80358802651995</v>
      </c>
      <c r="W14" s="2">
        <f t="shared" si="3"/>
        <v>-708.50285169316794</v>
      </c>
      <c r="X14" s="9">
        <f t="shared" ca="1" si="4"/>
        <v>-0.2780529396265628</v>
      </c>
      <c r="Y14" s="2" t="str">
        <f t="shared" si="7"/>
        <v>ACTIVA</v>
      </c>
    </row>
    <row r="15" spans="2:26">
      <c r="B15" s="1">
        <f t="shared" ca="1" si="0"/>
        <v>45601</v>
      </c>
      <c r="C15" s="2">
        <f ca="1">VLOOKUP(B15,Tabla4[],2,FALSE)</f>
        <v>4438.62</v>
      </c>
      <c r="D15" s="3">
        <f ca="1">VLOOKUP(B15,Tabla4[],3,FALSE)</f>
        <v>68825.05</v>
      </c>
      <c r="E15" s="2">
        <f ca="1">VLOOKUP(B15,Tabla4[],5,FALSE)</f>
        <v>2438.6</v>
      </c>
      <c r="F15" s="2">
        <f ca="1">VLOOKUP(B15,Tabla4[],4,FALSE)</f>
        <v>1.5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534.05708423687997</v>
      </c>
      <c r="N15" s="32">
        <f t="shared" ca="1" si="1"/>
        <v>-0.27401660598446581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534.05708423687997</v>
      </c>
      <c r="W15" s="2">
        <f t="shared" si="3"/>
        <v>-684.33117524901604</v>
      </c>
      <c r="X15" s="9">
        <f t="shared" ca="1" si="4"/>
        <v>-0.27401660598446581</v>
      </c>
      <c r="Y15" s="2" t="str">
        <f t="shared" si="7"/>
        <v>ACTIVA</v>
      </c>
    </row>
    <row r="16" spans="2:26">
      <c r="B16" s="1">
        <f t="shared" ca="1" si="0"/>
        <v>45601</v>
      </c>
      <c r="C16" s="2">
        <f ca="1">VLOOKUP(B16,Tabla4[],2,FALSE)</f>
        <v>4438.62</v>
      </c>
      <c r="D16" s="3">
        <f ca="1">VLOOKUP(B16,Tabla4[],3,FALSE)</f>
        <v>68825.05</v>
      </c>
      <c r="E16" s="2">
        <f ca="1">VLOOKUP(B16,Tabla4[],5,FALSE)</f>
        <v>2438.6</v>
      </c>
      <c r="F16" s="2">
        <f ca="1">VLOOKUP(B16,Tabla4[],4,FALSE)</f>
        <v>1.5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615.23722472687996</v>
      </c>
      <c r="N16" s="32">
        <f t="shared" ca="1" si="1"/>
        <v>-0.20176759410801967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615.23722472687996</v>
      </c>
      <c r="W16" s="2">
        <f t="shared" si="3"/>
        <v>-708.24207363000005</v>
      </c>
      <c r="X16" s="9">
        <f t="shared" ca="1" si="4"/>
        <v>-0.20176759410801967</v>
      </c>
      <c r="Y16" s="2" t="str">
        <f t="shared" si="7"/>
        <v>ACTIVA</v>
      </c>
    </row>
    <row r="17" spans="2:25">
      <c r="B17" s="1">
        <f t="shared" ca="1" si="0"/>
        <v>45601</v>
      </c>
      <c r="C17" s="2">
        <f ca="1">VLOOKUP(B17,Tabla4[],2,FALSE)</f>
        <v>4438.62</v>
      </c>
      <c r="D17" s="3">
        <f ca="1">VLOOKUP(B17,Tabla4[],3,FALSE)</f>
        <v>68825.05</v>
      </c>
      <c r="E17" s="2">
        <f ca="1">VLOOKUP(B17,Tabla4[],5,FALSE)</f>
        <v>2438.6</v>
      </c>
      <c r="F17" s="2">
        <f ca="1">VLOOKUP(B17,Tabla4[],4,FALSE)</f>
        <v>1.5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569.34338530319997</v>
      </c>
      <c r="N17" s="32">
        <f t="shared" ca="1" si="1"/>
        <v>-0.29481507186027012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569.34338530319997</v>
      </c>
      <c r="W17" s="2">
        <f t="shared" si="3"/>
        <v>-726.32733822540001</v>
      </c>
      <c r="X17" s="9">
        <f t="shared" ca="1" si="4"/>
        <v>-0.29481507186027012</v>
      </c>
      <c r="Y17" s="2" t="str">
        <f t="shared" si="7"/>
        <v>ACTIVA</v>
      </c>
    </row>
    <row r="18" spans="2:25">
      <c r="B18" s="1">
        <f t="shared" ca="1" si="0"/>
        <v>45601</v>
      </c>
      <c r="C18" s="2">
        <f ca="1">VLOOKUP(B18,Tabla4[],2,FALSE)</f>
        <v>4438.62</v>
      </c>
      <c r="D18" s="3">
        <f ca="1">VLOOKUP(B18,Tabla4[],3,FALSE)</f>
        <v>68825.05</v>
      </c>
      <c r="E18" s="2">
        <f ca="1">VLOOKUP(B18,Tabla4[],5,FALSE)</f>
        <v>2438.6</v>
      </c>
      <c r="F18" s="2">
        <f ca="1">VLOOKUP(B18,Tabla4[],4,FALSE)</f>
        <v>1.5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351.04608375929996</v>
      </c>
      <c r="N18" s="32">
        <f t="shared" ca="1" si="1"/>
        <v>-0.55882352941176472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351.04608375929996</v>
      </c>
      <c r="W18" s="2">
        <f t="shared" si="3"/>
        <v>-742.97443934431988</v>
      </c>
      <c r="X18" s="9">
        <f t="shared" ca="1" si="4"/>
        <v>-0.55882352941176472</v>
      </c>
      <c r="Y18" s="2" t="str">
        <f t="shared" si="7"/>
        <v>ACTIVA</v>
      </c>
    </row>
    <row r="19" spans="2:25">
      <c r="B19" s="1">
        <f t="shared" ca="1" si="0"/>
        <v>45601</v>
      </c>
      <c r="C19" s="2">
        <f ca="1">VLOOKUP(B19,Tabla4[],2,FALSE)</f>
        <v>4438.62</v>
      </c>
      <c r="D19" s="3">
        <f ca="1">VLOOKUP(B19,Tabla4[],3,FALSE)</f>
        <v>68825.05</v>
      </c>
      <c r="E19" s="2">
        <f ca="1">VLOOKUP(B19,Tabla4[],5,FALSE)</f>
        <v>2438.6</v>
      </c>
      <c r="F19" s="2">
        <f ca="1">VLOOKUP(B19,Tabla4[],4,FALSE)</f>
        <v>1.5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183.0107829852</v>
      </c>
      <c r="N19" s="32">
        <f t="shared" ca="1" si="1"/>
        <v>-0.46996466431095407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183.0107829852</v>
      </c>
      <c r="W19" s="2">
        <f t="shared" si="3"/>
        <v>-321.201220736496</v>
      </c>
      <c r="X19" s="9">
        <f t="shared" ca="1" si="4"/>
        <v>-0.46996466431095407</v>
      </c>
      <c r="Y19" s="2" t="str">
        <f t="shared" si="7"/>
        <v>ACTIVA</v>
      </c>
    </row>
    <row r="20" spans="2:25" hidden="1">
      <c r="B20" s="1">
        <f t="shared" ca="1" si="0"/>
        <v>45601</v>
      </c>
      <c r="C20" s="2">
        <f ca="1">VLOOKUP(B20,Tabla4[],2,FALSE)</f>
        <v>4438.62</v>
      </c>
      <c r="D20" s="3">
        <f ca="1">VLOOKUP(B20,Tabla4[],3,FALSE)</f>
        <v>68825.05</v>
      </c>
      <c r="E20" s="2">
        <f ca="1">VLOOKUP(B20,Tabla4[],5,FALSE)</f>
        <v>2438.6</v>
      </c>
      <c r="F20" s="2">
        <f ca="1">VLOOKUP(B20,Tabla4[],4,FALSE)</f>
        <v>1.5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257.24963197440002</v>
      </c>
      <c r="N20" s="12">
        <f t="shared" ca="1" si="1"/>
        <v>-0.34497816593886466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-0.34497816593886466</v>
      </c>
      <c r="Y20" s="2" t="str">
        <f t="shared" si="7"/>
        <v>VENDIDA</v>
      </c>
    </row>
    <row r="21" spans="2:25" hidden="1">
      <c r="B21" s="1">
        <f t="shared" ca="1" si="0"/>
        <v>45601</v>
      </c>
      <c r="C21" s="2">
        <f ca="1">VLOOKUP(B21,Tabla4[],2,FALSE)</f>
        <v>4438.62</v>
      </c>
      <c r="D21" s="3">
        <f ca="1">VLOOKUP(B21,Tabla4[],3,FALSE)</f>
        <v>68825.05</v>
      </c>
      <c r="E21" s="2">
        <f ca="1">VLOOKUP(B21,Tabla4[],5,FALSE)</f>
        <v>2438.6</v>
      </c>
      <c r="F21" s="2">
        <f ca="1">VLOOKUP(B21,Tabla4[],4,FALSE)</f>
        <v>1.5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247.14169580699996</v>
      </c>
      <c r="N21" s="12">
        <f t="shared" ca="1" si="1"/>
        <v>-0.4274809160305344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-0.4274809160305344</v>
      </c>
      <c r="Y21" s="2" t="str">
        <f t="shared" si="7"/>
        <v>VENDIDA</v>
      </c>
    </row>
    <row r="22" spans="2:25">
      <c r="B22" s="1">
        <f t="shared" ref="B22:B29" ca="1" si="9">TODAY()</f>
        <v>45601</v>
      </c>
      <c r="C22" s="2">
        <f ca="1">VLOOKUP(B22,Tabla4[],2,FALSE)</f>
        <v>4438.62</v>
      </c>
      <c r="D22" s="3">
        <f ca="1">VLOOKUP(B22,Tabla4[],3,FALSE)</f>
        <v>68825.05</v>
      </c>
      <c r="E22" s="2">
        <f ca="1">VLOOKUP(B22,Tabla4[],5,FALSE)</f>
        <v>2438.6</v>
      </c>
      <c r="F22" s="2">
        <f ca="1">VLOOKUP(B22,Tabla4[],4,FALSE)</f>
        <v>1.5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253.43643572549999</v>
      </c>
      <c r="N22" s="32">
        <f t="shared" ref="N22:N29" ca="1" si="11">IF(G22 = "BTC", (D22 - J22) / J22,
 IF(G22 = "ETH", (E22 - J22) / J22,
 IF(G22 = "IO.NET", (F22 - J22) / J22,
 "Moneda no soportada")))</f>
        <v>-0.44237918215613381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0.43509572549999159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-0.44237918215613381</v>
      </c>
      <c r="Y22" s="2" t="str">
        <f t="shared" si="7"/>
        <v>ACTIVA</v>
      </c>
    </row>
    <row r="23" spans="2:25">
      <c r="B23" s="1">
        <f t="shared" ca="1" si="9"/>
        <v>45601</v>
      </c>
      <c r="C23" s="2">
        <f ca="1">VLOOKUP(B23,Tabla4[],2,FALSE)</f>
        <v>4438.62</v>
      </c>
      <c r="D23" s="3">
        <f ca="1">VLOOKUP(B23,Tabla4[],3,FALSE)</f>
        <v>68825.05</v>
      </c>
      <c r="E23" s="2">
        <f ca="1">VLOOKUP(B23,Tabla4[],5,FALSE)</f>
        <v>2438.6</v>
      </c>
      <c r="F23" s="2">
        <f ca="1">VLOOKUP(B23,Tabla4[],4,FALSE)</f>
        <v>1.5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255.17229123509998</v>
      </c>
      <c r="N23" s="32">
        <f t="shared" ca="1" si="11"/>
        <v>-0.4485294117647059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2.1709512350999849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-0.4485294117647059</v>
      </c>
      <c r="Y23" s="2" t="str">
        <f t="shared" si="7"/>
        <v>ACTIVA</v>
      </c>
    </row>
    <row r="24" spans="2:25">
      <c r="B24" s="1">
        <f t="shared" ca="1" si="9"/>
        <v>45601</v>
      </c>
      <c r="C24" s="2">
        <f ca="1">VLOOKUP(B24,Tabla4[],2,FALSE)</f>
        <v>4438.62</v>
      </c>
      <c r="D24" s="3">
        <f ca="1">VLOOKUP(B24,Tabla4[],3,FALSE)</f>
        <v>68825.05</v>
      </c>
      <c r="E24" s="2">
        <f ca="1">VLOOKUP(B24,Tabla4[],5,FALSE)</f>
        <v>2438.6</v>
      </c>
      <c r="F24" s="2">
        <f ca="1">VLOOKUP(B24,Tabla4[],4,FALSE)</f>
        <v>1.5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258.76164787739998</v>
      </c>
      <c r="N24" s="32">
        <f t="shared" ca="1" si="11"/>
        <v>-0.45652173913043476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7.3716600960000171</v>
      </c>
      <c r="W24" s="2">
        <f t="shared" si="14"/>
        <v>8.8385908401840538</v>
      </c>
      <c r="X24" s="9">
        <f t="shared" ca="1" si="15"/>
        <v>-0.45652173913043476</v>
      </c>
      <c r="Y24" s="2" t="str">
        <f t="shared" si="7"/>
        <v>ACTIVA</v>
      </c>
    </row>
    <row r="25" spans="2:25">
      <c r="B25" s="1">
        <f t="shared" ca="1" si="9"/>
        <v>45601</v>
      </c>
      <c r="C25" s="2">
        <f ca="1">VLOOKUP(B25,Tabla4[],2,FALSE)</f>
        <v>4438.62</v>
      </c>
      <c r="D25" s="3">
        <f ca="1">VLOOKUP(B25,Tabla4[],3,FALSE)</f>
        <v>68825.05</v>
      </c>
      <c r="E25" s="2">
        <f ca="1">VLOOKUP(B25,Tabla4[],5,FALSE)</f>
        <v>2438.6</v>
      </c>
      <c r="F25" s="2">
        <f ca="1">VLOOKUP(B25,Tabla4[],4,FALSE)</f>
        <v>1.5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254.40223505129998</v>
      </c>
      <c r="N25" s="32">
        <f t="shared" ca="1" si="11"/>
        <v>-0.46619217081850534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1.4008950513000076</v>
      </c>
      <c r="W25" s="2">
        <f t="shared" si="14"/>
        <v>40.44492107583801</v>
      </c>
      <c r="X25" s="9">
        <f t="shared" ca="1" si="15"/>
        <v>-0.46619217081850534</v>
      </c>
      <c r="Y25" s="2" t="str">
        <f t="shared" ref="Y25:Y32" si="16">IF(U25=0,"VENDIDA","ACTIVA")</f>
        <v>ACTIVA</v>
      </c>
    </row>
    <row r="26" spans="2:25">
      <c r="B26" s="1">
        <f t="shared" ca="1" si="9"/>
        <v>45601</v>
      </c>
      <c r="C26" s="2">
        <f ca="1">VLOOKUP(B26,Tabla4[],2,FALSE)</f>
        <v>4438.62</v>
      </c>
      <c r="D26" s="3">
        <f ca="1">VLOOKUP(B26,Tabla4[],3,FALSE)</f>
        <v>68825.05</v>
      </c>
      <c r="E26" s="2">
        <f ca="1">VLOOKUP(B26,Tabla4[],5,FALSE)</f>
        <v>2438.6</v>
      </c>
      <c r="F26" s="2">
        <f ca="1">VLOOKUP(B26,Tabla4[],4,FALSE)</f>
        <v>1.5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256.7326437099</v>
      </c>
      <c r="N26" s="32">
        <f t="shared" ca="1" si="11"/>
        <v>-0.50728236662133663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256.7326437099</v>
      </c>
      <c r="W26" s="2">
        <f t="shared" si="14"/>
        <v>-474.99592218630107</v>
      </c>
      <c r="X26" s="9">
        <f t="shared" ca="1" si="15"/>
        <v>-0.50728236662133663</v>
      </c>
      <c r="Y26" s="2" t="str">
        <f t="shared" si="16"/>
        <v>ACTIVA</v>
      </c>
    </row>
    <row r="27" spans="2:25">
      <c r="B27" s="1">
        <f t="shared" ca="1" si="9"/>
        <v>45601</v>
      </c>
      <c r="C27" s="2">
        <f ca="1">VLOOKUP(B27,Tabla4[],2,FALSE)</f>
        <v>4438.62</v>
      </c>
      <c r="D27" s="3">
        <f ca="1">VLOOKUP(B27,Tabla4[],3,FALSE)</f>
        <v>68825.05</v>
      </c>
      <c r="E27" s="2">
        <f ca="1">VLOOKUP(B27,Tabla4[],5,FALSE)</f>
        <v>2438.6</v>
      </c>
      <c r="F27" s="2">
        <f ca="1">VLOOKUP(B27,Tabla4[],4,FALSE)</f>
        <v>1.5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791.21455048629002</v>
      </c>
      <c r="N27" s="32">
        <f t="shared" ca="1" si="11"/>
        <v>3.0390085266682628E-2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791.21455048629002</v>
      </c>
      <c r="W27" s="2">
        <f t="shared" si="14"/>
        <v>-699.14771612275808</v>
      </c>
      <c r="X27" s="9">
        <f t="shared" ca="1" si="15"/>
        <v>3.0390085266682628E-2</v>
      </c>
      <c r="Y27" s="2" t="str">
        <f t="shared" si="16"/>
        <v>ACTIVA</v>
      </c>
    </row>
    <row r="28" spans="2:25">
      <c r="B28" s="1">
        <f t="shared" ca="1" si="9"/>
        <v>45601</v>
      </c>
      <c r="C28" s="2">
        <f ca="1">VLOOKUP(B28,Tabla4[],2,FALSE)</f>
        <v>4438.62</v>
      </c>
      <c r="D28" s="3">
        <f ca="1">VLOOKUP(B28,Tabla4[],3,FALSE)</f>
        <v>68825.05</v>
      </c>
      <c r="E28" s="2">
        <f ca="1">VLOOKUP(B28,Tabla4[],5,FALSE)</f>
        <v>2438.6</v>
      </c>
      <c r="F28" s="2">
        <f ca="1">VLOOKUP(B28,Tabla4[],4,FALSE)</f>
        <v>1.5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542.82453940979997</v>
      </c>
      <c r="N28" s="32">
        <f t="shared" ca="1" si="11"/>
        <v>-0.29461109022012671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542.82453940979997</v>
      </c>
      <c r="W28" s="2">
        <f t="shared" si="14"/>
        <v>-700.6597894414499</v>
      </c>
      <c r="X28" s="9">
        <f t="shared" ca="1" si="15"/>
        <v>-0.29461109022012671</v>
      </c>
      <c r="Y28" s="2" t="str">
        <f t="shared" si="16"/>
        <v>ACTIVA</v>
      </c>
    </row>
    <row r="29" spans="2:25">
      <c r="B29" s="1">
        <f t="shared" ca="1" si="9"/>
        <v>45601</v>
      </c>
      <c r="C29" s="2">
        <f ca="1">VLOOKUP(B29,Tabla4[],2,FALSE)</f>
        <v>4438.62</v>
      </c>
      <c r="D29" s="3">
        <f ca="1">VLOOKUP(B29,Tabla4[],3,FALSE)</f>
        <v>68825.05</v>
      </c>
      <c r="E29" s="2">
        <f ca="1">VLOOKUP(B29,Tabla4[],5,FALSE)</f>
        <v>2438.6</v>
      </c>
      <c r="F29" s="2">
        <f ca="1">VLOOKUP(B29,Tabla4[],4,FALSE)</f>
        <v>1.5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197.79771261869999</v>
      </c>
      <c r="N29" s="32">
        <f t="shared" ca="1" si="11"/>
        <v>-0.4863013698630137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197.79771261869999</v>
      </c>
      <c r="W29" s="2">
        <f t="shared" si="14"/>
        <v>-350.58167079212399</v>
      </c>
      <c r="X29" s="9">
        <f t="shared" ca="1" si="15"/>
        <v>-0.4863013698630137</v>
      </c>
      <c r="Y29" s="2" t="str">
        <f t="shared" si="16"/>
        <v>ACTIVA</v>
      </c>
    </row>
    <row r="30" spans="2:25">
      <c r="B30" s="1">
        <f t="shared" ref="B30:B35" ca="1" si="17">TODAY()</f>
        <v>45601</v>
      </c>
      <c r="C30" s="2">
        <f ca="1">VLOOKUP(B30,Tabla4[],2,FALSE)</f>
        <v>4438.62</v>
      </c>
      <c r="D30" s="3">
        <f ca="1">VLOOKUP(B30,Tabla4[],3,FALSE)</f>
        <v>68825.05</v>
      </c>
      <c r="E30" s="2">
        <f ca="1">VLOOKUP(B30,Tabla4[],5,FALSE)</f>
        <v>2438.6</v>
      </c>
      <c r="F30" s="2">
        <f ca="1">VLOOKUP(B30,Tabla4[],4,FALSE)</f>
        <v>1.5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772.88525588043001</v>
      </c>
      <c r="N30" s="32">
        <f t="shared" ref="N30:N35" ca="1" si="19">IF(G30 = "BTC", (D30 - J30) / J30,
 IF(G30 = "ETH", (E30 - J30) / J30,
 IF(G30 = "IO.NET", (F30 - J30) / J30,
 "Moneda no soportada")))</f>
        <v>2.1090503522122215E-3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772.88525588043001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2.1090503522122215E-3</v>
      </c>
      <c r="Y30" s="2" t="str">
        <f t="shared" si="16"/>
        <v>ACTIVA</v>
      </c>
    </row>
    <row r="31" spans="2:25">
      <c r="B31" s="1">
        <f t="shared" ca="1" si="17"/>
        <v>45601</v>
      </c>
      <c r="C31" s="2">
        <f ca="1">VLOOKUP(B31,Tabla4[],2,FALSE)</f>
        <v>4438.62</v>
      </c>
      <c r="D31" s="3">
        <f ca="1">VLOOKUP(B31,Tabla4[],3,FALSE)</f>
        <v>68825.05</v>
      </c>
      <c r="E31" s="2">
        <f ca="1">VLOOKUP(B31,Tabla4[],5,FALSE)</f>
        <v>2438.6</v>
      </c>
      <c r="F31" s="2">
        <f ca="1">VLOOKUP(B31,Tabla4[],4,FALSE)</f>
        <v>1.5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567.07034136947993</v>
      </c>
      <c r="N31" s="32">
        <f t="shared" ca="1" si="19"/>
        <v>-0.26448499472176146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567.07034136947993</v>
      </c>
      <c r="W31" s="2">
        <f t="shared" si="22"/>
        <v>-700.01062533089998</v>
      </c>
      <c r="X31" s="9">
        <f t="shared" ca="1" si="23"/>
        <v>-0.26448499472176146</v>
      </c>
      <c r="Y31" s="2" t="str">
        <f t="shared" si="16"/>
        <v>ACTIVA</v>
      </c>
    </row>
    <row r="32" spans="2:25">
      <c r="B32" s="1">
        <f t="shared" ca="1" si="17"/>
        <v>45601</v>
      </c>
      <c r="C32" s="2">
        <f ca="1">VLOOKUP(B32,Tabla4[],2,FALSE)</f>
        <v>4438.62</v>
      </c>
      <c r="D32" s="3">
        <f ca="1">VLOOKUP(B32,Tabla4[],3,FALSE)</f>
        <v>68825.05</v>
      </c>
      <c r="E32" s="2">
        <f ca="1">VLOOKUP(B32,Tabla4[],5,FALSE)</f>
        <v>2438.6</v>
      </c>
      <c r="F32" s="2">
        <f ca="1">VLOOKUP(B32,Tabla4[],4,FALSE)</f>
        <v>1.5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199.45633614029998</v>
      </c>
      <c r="N32" s="32">
        <f t="shared" ca="1" si="19"/>
        <v>-0.48275862068965514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199.45633614029998</v>
      </c>
      <c r="W32" s="2">
        <f t="shared" si="22"/>
        <v>-350.11749431717993</v>
      </c>
      <c r="X32" s="9">
        <f t="shared" ca="1" si="23"/>
        <v>-0.48275862068965514</v>
      </c>
      <c r="Y32" s="2" t="str">
        <f t="shared" si="16"/>
        <v>ACTIVA</v>
      </c>
    </row>
    <row r="33" spans="2:25">
      <c r="B33" s="1">
        <f t="shared" ca="1" si="17"/>
        <v>45601</v>
      </c>
      <c r="C33" s="2">
        <f ca="1">VLOOKUP(B33,Tabla4[],2,FALSE)</f>
        <v>4438.62</v>
      </c>
      <c r="D33" s="3">
        <f ca="1">VLOOKUP(B33,Tabla4[],3,FALSE)</f>
        <v>68825.05</v>
      </c>
      <c r="E33" s="2">
        <f ca="1">VLOOKUP(B33,Tabla4[],5,FALSE)</f>
        <v>2438.6</v>
      </c>
      <c r="F33" s="2">
        <f ca="1">VLOOKUP(B33,Tabla4[],4,FALSE)</f>
        <v>1.5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ca="1" xml:space="preserve"> K33 * (IF(G33="BTC", D33, IF(G33="ETH", E33, IF(G33="IO.NET", F33, 0)))) * C33</f>
        <v>971.45261411058004</v>
      </c>
      <c r="N33" s="32">
        <f t="shared" ca="1" si="19"/>
        <v>0.28720766193322472</v>
      </c>
      <c r="O33" s="9">
        <v>0.25</v>
      </c>
      <c r="P33" s="9">
        <v>0.5</v>
      </c>
      <c r="Q33" t="str">
        <f t="shared" ca="1" si="20"/>
        <v>VENTA PARCIAL</v>
      </c>
      <c r="T33" s="2"/>
      <c r="U33" s="14">
        <f>Tabla6[[#This Row],[cantidad]]-Tabla6[[#This Row],[CANTIDAD VENDIDA]]</f>
        <v>3.18E-6</v>
      </c>
      <c r="V33" s="2">
        <f t="shared" ca="1" si="21"/>
        <v>971.45261411058004</v>
      </c>
      <c r="W33" s="2">
        <f t="shared" si="22"/>
        <v>-699.99737650756197</v>
      </c>
      <c r="X33" s="9">
        <f t="shared" ca="1" si="23"/>
        <v>0.28720766193322472</v>
      </c>
      <c r="Y33" s="2" t="str">
        <f t="shared" ref="Y33:Y38" si="24">IF(U33=0,"VENDIDA","ACTIVA")</f>
        <v>ACTIVA</v>
      </c>
    </row>
    <row r="34" spans="2:25">
      <c r="B34" s="1">
        <f t="shared" ca="1" si="17"/>
        <v>45601</v>
      </c>
      <c r="C34" s="2">
        <f ca="1">VLOOKUP(B34,Tabla4[],2,FALSE)</f>
        <v>4438.62</v>
      </c>
      <c r="D34" s="3">
        <f ca="1">VLOOKUP(B34,Tabla4[],3,FALSE)</f>
        <v>68825.05</v>
      </c>
      <c r="E34" s="2">
        <f ca="1">VLOOKUP(B34,Tabla4[],5,FALSE)</f>
        <v>2438.6</v>
      </c>
      <c r="F34" s="2">
        <f ca="1">VLOOKUP(B34,Tabla4[],4,FALSE)</f>
        <v>1.5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775.10798139851988</v>
      </c>
      <c r="N34" s="32">
        <f t="shared" ca="1" si="19"/>
        <v>2.7047060706373791E-2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775.10798139851988</v>
      </c>
      <c r="W34" s="2">
        <f t="shared" si="22"/>
        <v>-699.99553871893795</v>
      </c>
      <c r="X34" s="9">
        <f t="shared" ca="1" si="23"/>
        <v>2.7047060706373791E-2</v>
      </c>
      <c r="Y34" s="2" t="str">
        <f t="shared" si="24"/>
        <v>ACTIVA</v>
      </c>
    </row>
    <row r="35" spans="2:25">
      <c r="B35" s="1">
        <f t="shared" ca="1" si="17"/>
        <v>45601</v>
      </c>
      <c r="C35" s="2">
        <f ca="1">VLOOKUP(B35,Tabla4[],2,FALSE)</f>
        <v>4438.62</v>
      </c>
      <c r="D35" s="3">
        <f ca="1">VLOOKUP(B35,Tabla4[],3,FALSE)</f>
        <v>68825.05</v>
      </c>
      <c r="E35" s="2">
        <f ca="1">VLOOKUP(B35,Tabla4[],5,FALSE)</f>
        <v>2438.6</v>
      </c>
      <c r="F35" s="2">
        <f ca="1">VLOOKUP(B35,Tabla4[],4,FALSE)</f>
        <v>1.5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384.43307269589997</v>
      </c>
      <c r="N35" s="32">
        <f t="shared" ca="1" si="19"/>
        <v>1.8744906275468671E-2</v>
      </c>
      <c r="O35" s="9">
        <v>0.1</v>
      </c>
      <c r="P35" s="9">
        <v>0.3</v>
      </c>
      <c r="Q35" t="str">
        <f t="shared" ca="1" si="20"/>
        <v>MANTENER</v>
      </c>
      <c r="T35" s="2"/>
      <c r="U35" s="14">
        <f>Tabla6[[#This Row],[cantidad]]-Tabla6[[#This Row],[CANTIDAD VENDIDA]]</f>
        <v>5.7740630000000001E-2</v>
      </c>
      <c r="V35" s="2">
        <f t="shared" ca="1" si="21"/>
        <v>384.43307269589997</v>
      </c>
      <c r="W35" s="2">
        <f t="shared" si="22"/>
        <v>-350.00858741327886</v>
      </c>
      <c r="X35" s="9">
        <f t="shared" ca="1" si="23"/>
        <v>1.8744906275468671E-2</v>
      </c>
      <c r="Y35" s="2" t="str">
        <f t="shared" si="24"/>
        <v>ACTIVA</v>
      </c>
    </row>
    <row r="36" spans="2:25">
      <c r="B36" s="1">
        <f t="shared" ref="B36:B41" ca="1" si="25">TODAY()</f>
        <v>45601</v>
      </c>
      <c r="C36" s="2">
        <f ca="1">VLOOKUP(B36,Tabla4[],2,FALSE)</f>
        <v>4438.62</v>
      </c>
      <c r="D36" s="3">
        <f ca="1">VLOOKUP(B36,Tabla4[],3,FALSE)</f>
        <v>68825.05</v>
      </c>
      <c r="E36" s="2">
        <f ca="1">VLOOKUP(B36,Tabla4[],5,FALSE)</f>
        <v>2438.6</v>
      </c>
      <c r="F36" s="2">
        <f ca="1">VLOOKUP(B36,Tabla4[],4,FALSE)</f>
        <v>1.5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888.9707883842101</v>
      </c>
      <c r="N36" s="41">
        <f t="shared" ref="N36:N41" ca="1" si="27">IF(G36 = "BTC", (D36 - J36) / J36,
 IF(G36 = "ETH", (E36 - J36) / J36,
 IF(G36 = "IO.NET", (F36 - J36) / J36,
 "Moneda no soportada")))</f>
        <v>0.16559201954907671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888.9707883842101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0.16559201954907671</v>
      </c>
      <c r="Y36" s="2" t="str">
        <f t="shared" si="24"/>
        <v>ACTIVA</v>
      </c>
    </row>
    <row r="37" spans="2:25">
      <c r="B37" s="1">
        <f t="shared" ca="1" si="25"/>
        <v>45601</v>
      </c>
      <c r="C37" s="2">
        <f ca="1">VLOOKUP(B37,Tabla4[],2,FALSE)</f>
        <v>4438.62</v>
      </c>
      <c r="D37" s="3">
        <f ca="1">VLOOKUP(B37,Tabla4[],3,FALSE)</f>
        <v>68825.05</v>
      </c>
      <c r="E37" s="2">
        <f ca="1">VLOOKUP(B37,Tabla4[],5,FALSE)</f>
        <v>2438.6</v>
      </c>
      <c r="F37" s="2">
        <f ca="1">VLOOKUP(B37,Tabla4[],4,FALSE)</f>
        <v>1.5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703.12825683072003</v>
      </c>
      <c r="N37" s="41">
        <f t="shared" ca="1" si="27"/>
        <v>-7.8103735067291666E-2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703.12825683072003</v>
      </c>
      <c r="W37" s="2">
        <f t="shared" si="30"/>
        <v>-700.01513873535998</v>
      </c>
      <c r="X37" s="9">
        <f t="shared" ca="1" si="31"/>
        <v>-7.8103735067291666E-2</v>
      </c>
      <c r="Y37" s="2" t="str">
        <f t="shared" si="24"/>
        <v>ACTIVA</v>
      </c>
    </row>
    <row r="38" spans="2:25">
      <c r="B38" s="1">
        <f t="shared" ca="1" si="25"/>
        <v>45601</v>
      </c>
      <c r="C38" s="2">
        <f ca="1">VLOOKUP(B38,Tabla4[],2,FALSE)</f>
        <v>4438.62</v>
      </c>
      <c r="D38" s="3">
        <f ca="1">VLOOKUP(B38,Tabla4[],3,FALSE)</f>
        <v>68825.05</v>
      </c>
      <c r="E38" s="2">
        <f ca="1">VLOOKUP(B38,Tabla4[],5,FALSE)</f>
        <v>2438.6</v>
      </c>
      <c r="F38" s="2">
        <f ca="1">VLOOKUP(B38,Tabla4[],4,FALSE)</f>
        <v>1.5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363.79502101979995</v>
      </c>
      <c r="N38" s="41">
        <f t="shared" ca="1" si="27"/>
        <v>-4.6007860895226266E-2</v>
      </c>
      <c r="O38" s="28">
        <v>0.1</v>
      </c>
      <c r="P38" s="28">
        <v>0.3</v>
      </c>
      <c r="Q38" t="str">
        <f t="shared" ca="1" si="28"/>
        <v>MANTENER</v>
      </c>
      <c r="T38" s="2"/>
      <c r="U38" s="14">
        <f>Tabla6[[#This Row],[cantidad]]-Tabla6[[#This Row],[CANTIDAD VENDIDA]]</f>
        <v>5.4640859999999999E-2</v>
      </c>
      <c r="V38" s="2">
        <f t="shared" ca="1" si="29"/>
        <v>363.79502101979995</v>
      </c>
      <c r="W38" s="2">
        <f t="shared" si="30"/>
        <v>-349.9990705940495</v>
      </c>
      <c r="X38" s="9">
        <f t="shared" ca="1" si="31"/>
        <v>-4.6007860895226266E-2</v>
      </c>
      <c r="Y38" s="2" t="str">
        <f t="shared" si="24"/>
        <v>ACTIVA</v>
      </c>
    </row>
    <row r="39" spans="2:25">
      <c r="B39" s="1">
        <f t="shared" ca="1" si="25"/>
        <v>45601</v>
      </c>
      <c r="C39" s="2">
        <f ca="1">VLOOKUP(B39,Tabla4[],2,FALSE)</f>
        <v>4438.62</v>
      </c>
      <c r="D39" s="3">
        <f ca="1">VLOOKUP(B39,Tabla4[],3,FALSE)</f>
        <v>68825.05</v>
      </c>
      <c r="E39" s="2">
        <f ca="1">VLOOKUP(B39,Tabla4[],5,FALSE)</f>
        <v>2438.6</v>
      </c>
      <c r="F39" s="2">
        <f ca="1">VLOOKUP(B39,Tabla4[],4,FALSE)</f>
        <v>1.5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925.6293775959299</v>
      </c>
      <c r="N39" s="41">
        <f t="shared" ca="1" si="27"/>
        <v>0.20063655933486613</v>
      </c>
      <c r="O39" s="28">
        <v>0.25</v>
      </c>
      <c r="P39" s="28">
        <v>0.5</v>
      </c>
      <c r="Q39" t="str">
        <f t="shared" ca="1" si="28"/>
        <v>MANTENER</v>
      </c>
      <c r="T39" s="2"/>
      <c r="U39" s="14">
        <f>Tabla6[[#This Row],[cantidad]]-Tabla6[[#This Row],[CANTIDAD VENDIDA]]</f>
        <v>3.0299999999999998E-6</v>
      </c>
      <c r="V39" s="2">
        <f t="shared" ca="1" si="29"/>
        <v>925.6293775959299</v>
      </c>
      <c r="W39" s="2">
        <f t="shared" si="30"/>
        <v>-700.00297999823999</v>
      </c>
      <c r="X39" s="9">
        <f t="shared" ca="1" si="31"/>
        <v>0.20063655933486613</v>
      </c>
      <c r="Y39" s="2" t="str">
        <f t="shared" ref="Y39:Y44" si="32">IF(U39=0,"VENDIDA","ACTIVA")</f>
        <v>ACTIVA</v>
      </c>
    </row>
    <row r="40" spans="2:25">
      <c r="B40" s="1">
        <f t="shared" ca="1" si="25"/>
        <v>45601</v>
      </c>
      <c r="C40" s="2">
        <f ca="1">VLOOKUP(B40,Tabla4[],2,FALSE)</f>
        <v>4438.62</v>
      </c>
      <c r="D40" s="3">
        <f ca="1">VLOOKUP(B40,Tabla4[],3,FALSE)</f>
        <v>68825.05</v>
      </c>
      <c r="E40" s="2">
        <f ca="1">VLOOKUP(B40,Tabla4[],5,FALSE)</f>
        <v>2438.6</v>
      </c>
      <c r="F40" s="2">
        <f ca="1">VLOOKUP(B40,Tabla4[],4,FALSE)</f>
        <v>1.5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743.93480745035993</v>
      </c>
      <c r="N40" s="41">
        <f t="shared" ca="1" si="27"/>
        <v>-3.5039471341234266E-2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743.93480745035993</v>
      </c>
      <c r="W40" s="2">
        <f t="shared" si="30"/>
        <v>-700.00259914812</v>
      </c>
      <c r="X40" s="9">
        <f t="shared" ca="1" si="31"/>
        <v>-3.5039471341234266E-2</v>
      </c>
      <c r="Y40" s="2" t="str">
        <f t="shared" si="32"/>
        <v>ACTIVA</v>
      </c>
    </row>
    <row r="41" spans="2:25">
      <c r="B41" s="1">
        <f t="shared" ca="1" si="25"/>
        <v>45601</v>
      </c>
      <c r="C41" s="2">
        <f ca="1">VLOOKUP(B41,Tabla4[],2,FALSE)</f>
        <v>4438.62</v>
      </c>
      <c r="D41" s="3">
        <f ca="1">VLOOKUP(B41,Tabla4[],3,FALSE)</f>
        <v>68825.05</v>
      </c>
      <c r="E41" s="2">
        <f ca="1">VLOOKUP(B41,Tabla4[],5,FALSE)</f>
        <v>2438.6</v>
      </c>
      <c r="F41" s="2">
        <f ca="1">VLOOKUP(B41,Tabla4[],4,FALSE)</f>
        <v>1.5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358.64331452369998</v>
      </c>
      <c r="N41" s="41">
        <f t="shared" ca="1" si="27"/>
        <v>-6.9594343133606296E-2</v>
      </c>
      <c r="O41" s="28">
        <v>0.1</v>
      </c>
      <c r="P41" s="28">
        <v>0.3</v>
      </c>
      <c r="Q41" t="str">
        <f t="shared" ca="1" si="28"/>
        <v>MANTENER</v>
      </c>
      <c r="T41" s="2"/>
      <c r="U41" s="14">
        <f>Tabla6[[#This Row],[cantidad]]-Tabla6[[#This Row],[CANTIDAD VENDIDA]]</f>
        <v>5.3867089999999999E-2</v>
      </c>
      <c r="V41" s="2">
        <f t="shared" ca="1" si="29"/>
        <v>358.64331452369998</v>
      </c>
      <c r="W41" s="2">
        <f t="shared" si="30"/>
        <v>-349.99732079053973</v>
      </c>
      <c r="X41" s="9">
        <f t="shared" ca="1" si="31"/>
        <v>-6.9594343133606296E-2</v>
      </c>
      <c r="Y41" s="2" t="str">
        <f t="shared" si="32"/>
        <v>ACTIVA</v>
      </c>
    </row>
    <row r="42" spans="2:25">
      <c r="B42" s="1">
        <f t="shared" ref="B42:B47" ca="1" si="33">TODAY()</f>
        <v>45601</v>
      </c>
      <c r="C42" s="2">
        <f ca="1">VLOOKUP(B42,Tabla4[],2,FALSE)</f>
        <v>4438.62</v>
      </c>
      <c r="D42" s="3">
        <f ca="1">VLOOKUP(B42,Tabla4[],3,FALSE)</f>
        <v>68825.05</v>
      </c>
      <c r="E42" s="2">
        <f ca="1">VLOOKUP(B42,Tabla4[],5,FALSE)</f>
        <v>2438.6</v>
      </c>
      <c r="F42" s="2">
        <f ca="1">VLOOKUP(B42,Tabla4[],4,FALSE)</f>
        <v>1.5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ref="M42:M47" ca="1" si="34" xml:space="preserve"> K42 * (IF(G42="BTC", D42, IF(G42="ETH", E42, IF(G42="IO.NET", F42, 0)))) * C42</f>
        <v>849.25731673817995</v>
      </c>
      <c r="N42" s="41">
        <f t="shared" ref="N42:N47" ca="1" si="35">IF(G42 = "BTC", (D42 - J42) / J42,
 IF(G42 = "ETH", (E42 - J42) / J42,
 IF(G42 = "IO.NET", (F42 - J42) / J42,
 "Moneda no soportada")))</f>
        <v>0.10146515163639278</v>
      </c>
      <c r="O42" s="28">
        <v>0.25</v>
      </c>
      <c r="P42" s="28">
        <v>0.5</v>
      </c>
      <c r="Q42" t="str">
        <f t="shared" ref="Q42:Q47" ca="1" si="36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t="shared" ref="V42:V47" ca="1" si="37">IF(G42="BTC", D42 * U42 * C42, IF(G42="ETH", E42 * U42 * C42, IF(G42="IO.NET", F42 * U42 * C42, 0)))</f>
        <v>849.25731673817995</v>
      </c>
      <c r="W42" s="2">
        <f t="shared" ref="W42:W47" si="38">IF(G42 = "BTC", ((T42 - L42)), IF(G42 = "ETH", ((T42 - L42)), IF(G42 = "IO.NET", ((T42 - L42)), "Moneda no soportada")))</f>
        <v>-700.00102192500003</v>
      </c>
      <c r="X42" s="9">
        <f t="shared" ref="X42:X47" ca="1" si="39">IF(G42 = "BTC", (((D42 - J42) / J42)),IF(G42 = "ETH", ((E42 - J42) / J42), IF(G42 = "IO.NET", ((F42 - J42) / J42), "Moneda no soportada")))</f>
        <v>0.10146515163639278</v>
      </c>
      <c r="Y42" s="2" t="str">
        <f t="shared" si="32"/>
        <v>ACTIVA</v>
      </c>
    </row>
    <row r="43" spans="2:25">
      <c r="B43" s="1">
        <f t="shared" ca="1" si="33"/>
        <v>45601</v>
      </c>
      <c r="C43" s="2">
        <f ca="1">VLOOKUP(B43,Tabla4[],2,FALSE)</f>
        <v>4438.62</v>
      </c>
      <c r="D43" s="3">
        <f ca="1">VLOOKUP(B43,Tabla4[],3,FALSE)</f>
        <v>68825.05</v>
      </c>
      <c r="E43" s="2">
        <f ca="1">VLOOKUP(B43,Tabla4[],5,FALSE)</f>
        <v>2438.6</v>
      </c>
      <c r="F43" s="2">
        <f ca="1">VLOOKUP(B43,Tabla4[],4,FALSE)</f>
        <v>1.5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34"/>
        <v>703.99417832927998</v>
      </c>
      <c r="N43" s="41">
        <f t="shared" ca="1" si="35"/>
        <v>-8.6936823935989005E-2</v>
      </c>
      <c r="O43" s="28">
        <v>0.25</v>
      </c>
      <c r="P43" s="28">
        <v>0.5</v>
      </c>
      <c r="Q43" t="str">
        <f t="shared" ca="1" si="36"/>
        <v>MANTENER</v>
      </c>
      <c r="T43" s="2"/>
      <c r="U43" s="14">
        <f>Tabla6[[#This Row],[cantidad]]-Tabla6[[#This Row],[CANTIDAD VENDIDA]]</f>
        <v>6.5040000000000001E-5</v>
      </c>
      <c r="V43" s="2">
        <f t="shared" ca="1" si="37"/>
        <v>703.99417832927998</v>
      </c>
      <c r="W43" s="2">
        <f t="shared" si="38"/>
        <v>-700.00054480260007</v>
      </c>
      <c r="X43" s="9">
        <f t="shared" ca="1" si="39"/>
        <v>-8.6936823935989005E-2</v>
      </c>
      <c r="Y43" s="2" t="str">
        <f t="shared" si="32"/>
        <v>ACTIVA</v>
      </c>
    </row>
    <row r="44" spans="2:25">
      <c r="B44" s="1">
        <f t="shared" ca="1" si="33"/>
        <v>45601</v>
      </c>
      <c r="C44" s="2">
        <f ca="1">VLOOKUP(B44,Tabla4[],2,FALSE)</f>
        <v>4438.62</v>
      </c>
      <c r="D44" s="3">
        <f ca="1">VLOOKUP(B44,Tabla4[],3,FALSE)</f>
        <v>68825.05</v>
      </c>
      <c r="E44" s="2">
        <f ca="1">VLOOKUP(B44,Tabla4[],5,FALSE)</f>
        <v>2438.6</v>
      </c>
      <c r="F44" s="2">
        <f ca="1">VLOOKUP(B44,Tabla4[],4,FALSE)</f>
        <v>1.5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34"/>
        <v>265.66765234919995</v>
      </c>
      <c r="N44" s="41">
        <f t="shared" ca="1" si="35"/>
        <v>-0.3108802815283756</v>
      </c>
      <c r="O44" s="28">
        <v>0.1</v>
      </c>
      <c r="P44" s="28">
        <v>0.3</v>
      </c>
      <c r="Q44" t="str">
        <f t="shared" ca="1" si="36"/>
        <v>MANTENER</v>
      </c>
      <c r="T44" s="2"/>
      <c r="U44" s="14">
        <f>Tabla6[[#This Row],[cantidad]]-Tabla6[[#This Row],[CANTIDAD VENDIDA]]</f>
        <v>3.9902439999999997E-2</v>
      </c>
      <c r="V44" s="2">
        <f t="shared" ca="1" si="37"/>
        <v>265.66765234919995</v>
      </c>
      <c r="W44" s="2">
        <f t="shared" si="38"/>
        <v>-350.00491194757706</v>
      </c>
      <c r="X44" s="9">
        <f t="shared" ca="1" si="39"/>
        <v>-0.3108802815283756</v>
      </c>
      <c r="Y44" s="2" t="str">
        <f t="shared" si="32"/>
        <v>ACTIVA</v>
      </c>
    </row>
    <row r="45" spans="2:25">
      <c r="B45" s="1">
        <f t="shared" ca="1" si="33"/>
        <v>45601</v>
      </c>
      <c r="C45" s="2">
        <f ca="1">VLOOKUP(B45,Tabla4[],2,FALSE)</f>
        <v>4438.62</v>
      </c>
      <c r="D45" s="3">
        <f ca="1">VLOOKUP(B45,Tabla4[],3,FALSE)</f>
        <v>68825.05</v>
      </c>
      <c r="E45" s="2">
        <f ca="1">VLOOKUP(B45,Tabla4[],5,FALSE)</f>
        <v>2438.6</v>
      </c>
      <c r="F45" s="2">
        <f ca="1">VLOOKUP(B45,Tabla4[],4,FALSE)</f>
        <v>1.5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t="shared" ca="1" si="34"/>
        <v>913.40984785869</v>
      </c>
      <c r="N45" s="41">
        <f t="shared" ca="1" si="35"/>
        <v>0.22306069717518942</v>
      </c>
      <c r="O45" s="28">
        <v>0.25</v>
      </c>
      <c r="P45" s="28">
        <v>0.5</v>
      </c>
      <c r="Q45" s="31" t="str">
        <f t="shared" ca="1" si="36"/>
        <v>MANTENER</v>
      </c>
      <c r="T45" s="2"/>
      <c r="U45" s="14">
        <f>Tabla6[[#This Row],[cantidad]]-Tabla6[[#This Row],[CANTIDAD VENDIDA]]</f>
        <v>2.9900000000000002E-6</v>
      </c>
      <c r="V45" s="2">
        <f t="shared" ca="1" si="37"/>
        <v>913.40984785869</v>
      </c>
      <c r="W45" s="2">
        <f t="shared" si="38"/>
        <v>-699.99575477832013</v>
      </c>
      <c r="X45" s="32">
        <f t="shared" ca="1" si="39"/>
        <v>0.22306069717518942</v>
      </c>
      <c r="Y45" s="2" t="str">
        <f t="shared" ref="Y45:Y50" si="40">IF(U45=0,"VENDIDA","ACTIVA")</f>
        <v>ACTIVA</v>
      </c>
    </row>
    <row r="46" spans="2:25">
      <c r="B46" s="1">
        <f t="shared" ca="1" si="33"/>
        <v>45601</v>
      </c>
      <c r="C46" s="2">
        <f ca="1">VLOOKUP(B46,Tabla4[],2,FALSE)</f>
        <v>4438.62</v>
      </c>
      <c r="D46" s="3">
        <f ca="1">VLOOKUP(B46,Tabla4[],3,FALSE)</f>
        <v>68825.05</v>
      </c>
      <c r="E46" s="2">
        <f ca="1">VLOOKUP(B46,Tabla4[],5,FALSE)</f>
        <v>2438.6</v>
      </c>
      <c r="F46" s="2">
        <f ca="1">VLOOKUP(B46,Tabla4[],4,FALSE)</f>
        <v>1.5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34"/>
        <v>753.8929046838</v>
      </c>
      <c r="N46" s="41">
        <f t="shared" ca="1" si="35"/>
        <v>9.454581580951622E-3</v>
      </c>
      <c r="O46" s="28">
        <v>0.25</v>
      </c>
      <c r="P46" s="28">
        <v>0.5</v>
      </c>
      <c r="Q46" s="31" t="str">
        <f t="shared" ca="1" si="36"/>
        <v>MANTENER</v>
      </c>
      <c r="T46" s="2"/>
      <c r="U46" s="14">
        <f>Tabla6[[#This Row],[cantidad]]-Tabla6[[#This Row],[CANTIDAD VENDIDA]]</f>
        <v>6.9649999999999999E-5</v>
      </c>
      <c r="V46" s="2">
        <f t="shared" ca="1" si="37"/>
        <v>753.8929046838</v>
      </c>
      <c r="W46" s="2">
        <f t="shared" si="38"/>
        <v>-700.00412532204018</v>
      </c>
      <c r="X46" s="32">
        <f t="shared" ca="1" si="39"/>
        <v>9.454581580951622E-3</v>
      </c>
      <c r="Y46" s="2" t="str">
        <f t="shared" si="40"/>
        <v>ACTIVA</v>
      </c>
    </row>
    <row r="47" spans="2:25">
      <c r="B47" s="1">
        <f t="shared" ca="1" si="33"/>
        <v>45601</v>
      </c>
      <c r="C47" s="2">
        <f ca="1">VLOOKUP(B47,Tabla4[],2,FALSE)</f>
        <v>4438.62</v>
      </c>
      <c r="D47" s="3">
        <f ca="1">VLOOKUP(B47,Tabla4[],3,FALSE)</f>
        <v>68825.05</v>
      </c>
      <c r="E47" s="2">
        <f ca="1">VLOOKUP(B47,Tabla4[],5,FALSE)</f>
        <v>2438.6</v>
      </c>
      <c r="F47" s="2">
        <f ca="1">VLOOKUP(B47,Tabla4[],4,FALSE)</f>
        <v>1.5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34"/>
        <v>402.12226059569997</v>
      </c>
      <c r="N47" s="41">
        <f t="shared" ca="1" si="35"/>
        <v>7.6889941847943122E-2</v>
      </c>
      <c r="O47" s="28">
        <v>0.1</v>
      </c>
      <c r="P47" s="28">
        <v>0.3</v>
      </c>
      <c r="Q47" s="31" t="str">
        <f t="shared" ca="1" si="36"/>
        <v>MANTENER</v>
      </c>
      <c r="T47" s="2"/>
      <c r="U47" s="14">
        <f>Tabla6[[#This Row],[cantidad]]-Tabla6[[#This Row],[CANTIDAD VENDIDA]]</f>
        <v>6.0397489999999998E-2</v>
      </c>
      <c r="V47" s="2">
        <f t="shared" ca="1" si="37"/>
        <v>402.12226059569997</v>
      </c>
      <c r="W47" s="2">
        <f t="shared" si="38"/>
        <v>-349.99716107114455</v>
      </c>
      <c r="X47" s="32">
        <f t="shared" ca="1" si="39"/>
        <v>7.6889941847943122E-2</v>
      </c>
      <c r="Y47" s="2" t="str">
        <f t="shared" si="40"/>
        <v>ACTIVA</v>
      </c>
    </row>
    <row r="48" spans="2:25">
      <c r="B48" s="1">
        <f t="shared" ref="B48:B53" ca="1" si="41">TODAY()</f>
        <v>45601</v>
      </c>
      <c r="C48" s="2">
        <f ca="1">VLOOKUP(B48,Tabla4[],2,FALSE)</f>
        <v>4438.62</v>
      </c>
      <c r="D48" s="3">
        <f ca="1">VLOOKUP(B48,Tabla4[],3,FALSE)</f>
        <v>68825.05</v>
      </c>
      <c r="E48" s="2">
        <f ca="1">VLOOKUP(B48,Tabla4[],5,FALSE)</f>
        <v>2438.6</v>
      </c>
      <c r="F48" s="2">
        <f ca="1">VLOOKUP(B48,Tabla4[],4,FALSE)</f>
        <v>1.5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t="shared" ref="M48:M53" ca="1" si="42" xml:space="preserve"> K48 * (IF(G48="BTC", D48, IF(G48="ETH", E48, IF(G48="IO.NET", F48, 0)))) * C48</f>
        <v>947.01355463610003</v>
      </c>
      <c r="N48" s="41">
        <f t="shared" ref="N48:N53" ca="1" si="43">IF(G48 = "BTC", (D48 - J48) / J48,
 IF(G48 = "ETH", (E48 - J48) / J48,
 IF(G48 = "IO.NET", (F48 - J48) / J48,
 "Moneda no soportada")))</f>
        <v>0.26484084978130634</v>
      </c>
      <c r="O48" s="28">
        <v>0.25</v>
      </c>
      <c r="P48" s="28">
        <v>0.5</v>
      </c>
      <c r="Q48" s="31" t="str">
        <f t="shared" ref="Q48:Q53" ca="1" si="44">IF(N48 &lt; O48, "MANTENER", IF(N48 &lt; P48, "VENTA PARCIAL", "VENDER"))</f>
        <v>VENTA PARCIAL</v>
      </c>
      <c r="T48" s="2"/>
      <c r="U48" s="14">
        <f>Tabla6[[#This Row],[cantidad]]-Tabla6[[#This Row],[CANTIDAD VENDIDA]]</f>
        <v>3.1E-6</v>
      </c>
      <c r="V48" s="2">
        <f t="shared" ref="V48:V53" ca="1" si="45">IF(G48="BTC", D48 * U48 * C48, IF(G48="ETH", E48 * U48 * C48, IF(G48="IO.NET", F48 * U48 * C48, 0)))</f>
        <v>947.01355463610003</v>
      </c>
      <c r="W48" s="2">
        <f t="shared" ref="W48:W53" si="46">IF(G48 = "BTC", ((T48 - L48)), IF(G48 = "ETH", ((T48 - L48)), IF(G48 = "IO.NET", ((T48 - L48)), "Moneda no soportada")))</f>
        <v>-700.00068648600006</v>
      </c>
      <c r="X48" s="32">
        <f t="shared" ref="X48:X53" ca="1" si="47">IF(G48 = "BTC", (((D48 - J48) / J48)),IF(G48 = "ETH", ((E48 - J48) / J48), IF(G48 = "IO.NET", ((F48 - J48) / J48), "Moneda no soportada")))</f>
        <v>0.26484084978130634</v>
      </c>
      <c r="Y48" s="2" t="str">
        <f t="shared" si="40"/>
        <v>ACTIVA</v>
      </c>
    </row>
    <row r="49" spans="2:25">
      <c r="B49" s="1">
        <f t="shared" ca="1" si="41"/>
        <v>45601</v>
      </c>
      <c r="C49" s="2">
        <f ca="1">VLOOKUP(B49,Tabla4[],2,FALSE)</f>
        <v>4438.62</v>
      </c>
      <c r="D49" s="3">
        <f ca="1">VLOOKUP(B49,Tabla4[],3,FALSE)</f>
        <v>68825.05</v>
      </c>
      <c r="E49" s="2">
        <f ca="1">VLOOKUP(B49,Tabla4[],5,FALSE)</f>
        <v>2438.6</v>
      </c>
      <c r="F49" s="2">
        <f ca="1">VLOOKUP(B49,Tabla4[],4,FALSE)</f>
        <v>1.5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t="shared" ca="1" si="42"/>
        <v>799.89498429479988</v>
      </c>
      <c r="N49" s="41">
        <f t="shared" ca="1" si="43"/>
        <v>6.8347797896249327E-2</v>
      </c>
      <c r="O49" s="28">
        <v>0.25</v>
      </c>
      <c r="P49" s="28">
        <v>0.5</v>
      </c>
      <c r="Q49" s="31" t="str">
        <f t="shared" ca="1" si="44"/>
        <v>MANTENER</v>
      </c>
      <c r="T49" s="2"/>
      <c r="U49" s="14">
        <f>Tabla6[[#This Row],[cantidad]]-Tabla6[[#This Row],[CANTIDAD VENDIDA]]</f>
        <v>7.3899999999999994E-5</v>
      </c>
      <c r="V49" s="2">
        <f t="shared" ca="1" si="45"/>
        <v>799.89498429479988</v>
      </c>
      <c r="W49" s="2">
        <f t="shared" si="46"/>
        <v>-700.00069063578997</v>
      </c>
      <c r="X49" s="32">
        <f t="shared" ca="1" si="47"/>
        <v>6.8347797896249327E-2</v>
      </c>
      <c r="Y49" s="2" t="str">
        <f t="shared" si="40"/>
        <v>ACTIVA</v>
      </c>
    </row>
    <row r="50" spans="2:25">
      <c r="B50" s="1">
        <f t="shared" ca="1" si="41"/>
        <v>45601</v>
      </c>
      <c r="C50" s="2">
        <f ca="1">VLOOKUP(B50,Tabla4[],2,FALSE)</f>
        <v>4438.62</v>
      </c>
      <c r="D50" s="3">
        <f ca="1">VLOOKUP(B50,Tabla4[],3,FALSE)</f>
        <v>68825.05</v>
      </c>
      <c r="E50" s="2">
        <f ca="1">VLOOKUP(B50,Tabla4[],5,FALSE)</f>
        <v>2438.6</v>
      </c>
      <c r="F50" s="2">
        <f ca="1">VLOOKUP(B50,Tabla4[],4,FALSE)</f>
        <v>1.5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t="shared" ca="1" si="42"/>
        <v>359.63488003859999</v>
      </c>
      <c r="N50" s="41">
        <f t="shared" ca="1" si="43"/>
        <v>-3.9323683873446848E-2</v>
      </c>
      <c r="O50" s="28">
        <v>0.1</v>
      </c>
      <c r="P50" s="28">
        <v>0.3</v>
      </c>
      <c r="Q50" s="31" t="str">
        <f t="shared" ca="1" si="44"/>
        <v>MANTENER</v>
      </c>
      <c r="T50" s="2"/>
      <c r="U50" s="14">
        <f>Tabla6[[#This Row],[cantidad]]-Tabla6[[#This Row],[CANTIDAD VENDIDA]]</f>
        <v>5.4016019999999998E-2</v>
      </c>
      <c r="V50" s="2">
        <f t="shared" ca="1" si="45"/>
        <v>359.63488003859999</v>
      </c>
      <c r="W50" s="2">
        <f t="shared" si="46"/>
        <v>-349.9958350273381</v>
      </c>
      <c r="X50" s="32">
        <f t="shared" ca="1" si="47"/>
        <v>-3.9323683873446848E-2</v>
      </c>
      <c r="Y50" s="2" t="str">
        <f t="shared" si="40"/>
        <v>ACTIVA</v>
      </c>
    </row>
    <row r="51" spans="2:25">
      <c r="B51" s="1">
        <f t="shared" ca="1" si="41"/>
        <v>45601</v>
      </c>
      <c r="C51" s="2">
        <f ca="1">VLOOKUP(B51,Tabla4[],2,FALSE)</f>
        <v>4438.62</v>
      </c>
      <c r="D51" s="3">
        <f ca="1">VLOOKUP(B51,Tabla4[],3,FALSE)</f>
        <v>68825.05</v>
      </c>
      <c r="E51" s="2">
        <f ca="1">VLOOKUP(B51,Tabla4[],5,FALSE)</f>
        <v>2438.6</v>
      </c>
      <c r="F51" s="2">
        <f ca="1">VLOOKUP(B51,Tabla4[],4,FALSE)</f>
        <v>1.5</v>
      </c>
      <c r="G51" t="s">
        <v>14</v>
      </c>
      <c r="H51" s="1">
        <v>45551</v>
      </c>
      <c r="I51" s="3">
        <f>VLOOKUP(H51,Tabla4[],2,FALSE)</f>
        <v>4172.13</v>
      </c>
      <c r="J51" s="3">
        <v>58055.63</v>
      </c>
      <c r="K51" s="25">
        <v>2.8899999999999999E-6</v>
      </c>
      <c r="L51" s="29">
        <f>Tabla6[[#This Row],[precio de compra]]*Tabla6[[#This Row],[cantidad]]*Tabla6[[#This Row],[PRECIO DEL DÓLAR, DIA COMPRA]]</f>
        <v>700.00318686059086</v>
      </c>
      <c r="M51" s="26">
        <f t="shared" ca="1" si="42"/>
        <v>882.86102351558998</v>
      </c>
      <c r="N51" s="41">
        <f t="shared" ca="1" si="43"/>
        <v>0.18550173342361467</v>
      </c>
      <c r="O51" s="28">
        <v>0.25</v>
      </c>
      <c r="P51" s="28">
        <v>0.5</v>
      </c>
      <c r="Q51" s="31" t="str">
        <f t="shared" ca="1" si="44"/>
        <v>MANTENER</v>
      </c>
      <c r="T51" s="2"/>
      <c r="U51" s="14">
        <f>Tabla6[[#This Row],[cantidad]]-Tabla6[[#This Row],[CANTIDAD VENDIDA]]</f>
        <v>2.8899999999999999E-6</v>
      </c>
      <c r="V51" s="2">
        <f t="shared" ca="1" si="45"/>
        <v>882.86102351558998</v>
      </c>
      <c r="W51" s="2">
        <f t="shared" si="46"/>
        <v>-700.00318686059086</v>
      </c>
      <c r="X51" s="32">
        <f t="shared" ca="1" si="47"/>
        <v>0.18550173342361467</v>
      </c>
      <c r="Y51" s="2" t="str">
        <f t="shared" ref="Y51:Y56" si="48">IF(U51=0,"VENDIDA","ACTIVA")</f>
        <v>ACTIVA</v>
      </c>
    </row>
    <row r="52" spans="2:25">
      <c r="B52" s="1">
        <f t="shared" ca="1" si="41"/>
        <v>45601</v>
      </c>
      <c r="C52" s="2">
        <f ca="1">VLOOKUP(B52,Tabla4[],2,FALSE)</f>
        <v>4438.62</v>
      </c>
      <c r="D52" s="3">
        <f ca="1">VLOOKUP(B52,Tabla4[],3,FALSE)</f>
        <v>68825.05</v>
      </c>
      <c r="E52" s="2">
        <f ca="1">VLOOKUP(B52,Tabla4[],5,FALSE)</f>
        <v>2438.6</v>
      </c>
      <c r="F52" s="2">
        <f ca="1">VLOOKUP(B52,Tabla4[],4,FALSE)</f>
        <v>1.5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t="shared" ca="1" si="42"/>
        <v>800.2197048567599</v>
      </c>
      <c r="N52" s="41">
        <f t="shared" ca="1" si="43"/>
        <v>7.4528742520247049E-2</v>
      </c>
      <c r="O52" s="28">
        <v>0.25</v>
      </c>
      <c r="P52" s="28">
        <v>0.5</v>
      </c>
      <c r="Q52" s="31" t="str">
        <f t="shared" ca="1" si="44"/>
        <v>MANTENER</v>
      </c>
      <c r="T52" s="2"/>
      <c r="U52" s="14">
        <f>Tabla6[[#This Row],[cantidad]]-Tabla6[[#This Row],[CANTIDAD VENDIDA]]</f>
        <v>7.3930000000000005E-5</v>
      </c>
      <c r="V52" s="2">
        <f t="shared" ca="1" si="45"/>
        <v>800.2197048567599</v>
      </c>
      <c r="W52" s="2">
        <f t="shared" si="46"/>
        <v>-700.00488533471412</v>
      </c>
      <c r="X52" s="32">
        <f t="shared" ca="1" si="47"/>
        <v>7.4528742520247049E-2</v>
      </c>
      <c r="Y52" s="2" t="str">
        <f t="shared" si="48"/>
        <v>ACTIVA</v>
      </c>
    </row>
    <row r="53" spans="2:25">
      <c r="B53" s="1">
        <f t="shared" ca="1" si="41"/>
        <v>45601</v>
      </c>
      <c r="C53" s="2">
        <f ca="1">VLOOKUP(B53,Tabla4[],2,FALSE)</f>
        <v>4438.62</v>
      </c>
      <c r="D53" s="3">
        <f ca="1">VLOOKUP(B53,Tabla4[],3,FALSE)</f>
        <v>68825.05</v>
      </c>
      <c r="E53" s="2">
        <f ca="1">VLOOKUP(B53,Tabla4[],5,FALSE)</f>
        <v>2438.6</v>
      </c>
      <c r="F53" s="2">
        <f ca="1">VLOOKUP(B53,Tabla4[],4,FALSE)</f>
        <v>1.5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t="shared" ca="1" si="42"/>
        <v>323.93798886779996</v>
      </c>
      <c r="N53" s="41">
        <f t="shared" ca="1" si="43"/>
        <v>-0.13003131887252056</v>
      </c>
      <c r="O53" s="28">
        <v>0.1</v>
      </c>
      <c r="P53" s="28">
        <v>0.3</v>
      </c>
      <c r="Q53" s="31" t="str">
        <f t="shared" ca="1" si="44"/>
        <v>MANTENER</v>
      </c>
      <c r="T53" s="2"/>
      <c r="U53" s="14">
        <f>Tabla6[[#This Row],[cantidad]]-Tabla6[[#This Row],[CANTIDAD VENDIDA]]</f>
        <v>4.8654459999999997E-2</v>
      </c>
      <c r="V53" s="2">
        <f t="shared" ca="1" si="45"/>
        <v>323.93798886779996</v>
      </c>
      <c r="W53" s="2">
        <f t="shared" si="46"/>
        <v>-350.00006885889513</v>
      </c>
      <c r="X53" s="32">
        <f t="shared" ca="1" si="47"/>
        <v>-0.13003131887252056</v>
      </c>
      <c r="Y53" s="2" t="str">
        <f t="shared" si="48"/>
        <v>ACTIVA</v>
      </c>
    </row>
    <row r="54" spans="2:25">
      <c r="B54" s="1">
        <f t="shared" ref="B54:B59" ca="1" si="49">TODAY()</f>
        <v>45601</v>
      </c>
      <c r="C54" s="2">
        <f ca="1">VLOOKUP(B54,Tabla4[],2,FALSE)</f>
        <v>4438.62</v>
      </c>
      <c r="D54" s="3">
        <f ca="1">VLOOKUP(B54,Tabla4[],3,FALSE)</f>
        <v>68825.05</v>
      </c>
      <c r="E54" s="2">
        <f ca="1">VLOOKUP(B54,Tabla4[],5,FALSE)</f>
        <v>2438.6</v>
      </c>
      <c r="F54" s="2">
        <f ca="1">VLOOKUP(B54,Tabla4[],4,FALSE)</f>
        <v>1.5</v>
      </c>
      <c r="G54" t="s">
        <v>14</v>
      </c>
      <c r="H54" s="1">
        <v>45558</v>
      </c>
      <c r="I54" s="3">
        <f>VLOOKUP(H54,Tabla4[],2,FALSE)</f>
        <v>4153.9799999999996</v>
      </c>
      <c r="J54" s="7">
        <v>62644</v>
      </c>
      <c r="K54" s="25">
        <v>2.6900000000000001E-6</v>
      </c>
      <c r="L54" s="29">
        <f>Tabla6[[#This Row],[precio de compra]]*Tabla6[[#This Row],[cantidad]]*Tabla6[[#This Row],[PRECIO DEL DÓLAR, DIA COMPRA]]</f>
        <v>699.99697319279994</v>
      </c>
      <c r="M54" s="26">
        <f t="shared" ref="M54:M59" ca="1" si="50" xml:space="preserve"> K54 * (IF(G54="BTC", D54, IF(G54="ETH", E54, IF(G54="IO.NET", F54, 0)))) * C54</f>
        <v>821.76337482939005</v>
      </c>
      <c r="N54" s="41">
        <f t="shared" ref="N54:N59" ca="1" si="51">IF(G54 = "BTC", (D54 - J54) / J54,
 IF(G54 = "ETH", (E54 - J54) / J54,
 IF(G54 = "IO.NET", (F54 - J54) / J54,
 "Moneda no soportada")))</f>
        <v>9.8669465551369684E-2</v>
      </c>
      <c r="O54" s="28">
        <v>0.25</v>
      </c>
      <c r="P54" s="28">
        <v>0.5</v>
      </c>
      <c r="Q54" s="31" t="str">
        <f t="shared" ref="Q54:Q59" ca="1" si="52">IF(N54 &lt; O54, "MANTENER", IF(N54 &lt; P54, "VENTA PARCIAL", "VENDER"))</f>
        <v>MANTENER</v>
      </c>
      <c r="T54" s="2"/>
      <c r="U54" s="14">
        <f>Tabla6[[#This Row],[cantidad]]-Tabla6[[#This Row],[CANTIDAD VENDIDA]]</f>
        <v>2.6900000000000001E-6</v>
      </c>
      <c r="V54" s="2">
        <f t="shared" ref="V54:V59" ca="1" si="53">IF(G54="BTC", D54 * U54 * C54, IF(G54="ETH", E54 * U54 * C54, IF(G54="IO.NET", F54 * U54 * C54, 0)))</f>
        <v>821.76337482939005</v>
      </c>
      <c r="W54" s="2">
        <f t="shared" ref="W54:W59" si="54">IF(G54 = "BTC", ((T54 - L54)), IF(G54 = "ETH", ((T54 - L54)), IF(G54 = "IO.NET", ((T54 - L54)), "Moneda no soportada")))</f>
        <v>-699.99697319279994</v>
      </c>
      <c r="X54" s="32">
        <f t="shared" ref="X54:X59" ca="1" si="55">IF(G54 = "BTC", (((D54 - J54) / J54)),IF(G54 = "ETH", ((E54 - J54) / J54), IF(G54 = "IO.NET", ((F54 - J54) / J54), "Moneda no soportada")))</f>
        <v>9.8669465551369684E-2</v>
      </c>
      <c r="Y54" s="2" t="str">
        <f t="shared" si="48"/>
        <v>ACTIVA</v>
      </c>
    </row>
    <row r="55" spans="2:25">
      <c r="B55" s="1">
        <f t="shared" ca="1" si="49"/>
        <v>45601</v>
      </c>
      <c r="C55" s="2">
        <f ca="1">VLOOKUP(B55,Tabla4[],2,FALSE)</f>
        <v>4438.62</v>
      </c>
      <c r="D55" s="3">
        <f ca="1">VLOOKUP(B55,Tabla4[],3,FALSE)</f>
        <v>68825.05</v>
      </c>
      <c r="E55" s="2">
        <f ca="1">VLOOKUP(B55,Tabla4[],5,FALSE)</f>
        <v>2438.6</v>
      </c>
      <c r="F55" s="2">
        <f ca="1">VLOOKUP(B55,Tabla4[],4,FALSE)</f>
        <v>1.5</v>
      </c>
      <c r="G55" t="s">
        <v>15</v>
      </c>
      <c r="H55" s="1">
        <v>45558</v>
      </c>
      <c r="I55" s="3">
        <f>VLOOKUP(H55,Tabla4[],2,FALSE)</f>
        <v>4153.9799999999996</v>
      </c>
      <c r="J55" s="3">
        <v>2598.92</v>
      </c>
      <c r="K55" s="25">
        <v>6.4839999999999996E-5</v>
      </c>
      <c r="L55" s="29">
        <f>Tabla6[[#This Row],[precio de compra]]*Tabla6[[#This Row],[cantidad]]*Tabla6[[#This Row],[PRECIO DEL DÓLAR, DIA COMPRA]]</f>
        <v>700.0036727317439</v>
      </c>
      <c r="M55" s="26">
        <f t="shared" ca="1" si="50"/>
        <v>701.82937458287995</v>
      </c>
      <c r="N55" s="41">
        <f t="shared" ca="1" si="51"/>
        <v>-6.1687162359749498E-2</v>
      </c>
      <c r="O55" s="28">
        <v>0.25</v>
      </c>
      <c r="P55" s="28">
        <v>0.5</v>
      </c>
      <c r="Q55" s="31" t="str">
        <f t="shared" ca="1" si="52"/>
        <v>MANTENER</v>
      </c>
      <c r="T55" s="2"/>
      <c r="U55" s="14">
        <f>Tabla6[[#This Row],[cantidad]]-Tabla6[[#This Row],[CANTIDAD VENDIDA]]</f>
        <v>6.4839999999999996E-5</v>
      </c>
      <c r="V55" s="2">
        <f t="shared" ca="1" si="53"/>
        <v>701.82937458287995</v>
      </c>
      <c r="W55" s="2">
        <f t="shared" si="54"/>
        <v>-700.0036727317439</v>
      </c>
      <c r="X55" s="32">
        <f t="shared" ca="1" si="55"/>
        <v>-6.1687162359749498E-2</v>
      </c>
      <c r="Y55" s="2" t="str">
        <f t="shared" si="48"/>
        <v>ACTIVA</v>
      </c>
    </row>
    <row r="56" spans="2:25">
      <c r="B56" s="1">
        <f t="shared" ca="1" si="49"/>
        <v>45601</v>
      </c>
      <c r="C56" s="2">
        <f ca="1">VLOOKUP(B56,Tabla4[],2,FALSE)</f>
        <v>4438.62</v>
      </c>
      <c r="D56" s="3">
        <f ca="1">VLOOKUP(B56,Tabla4[],3,FALSE)</f>
        <v>68825.05</v>
      </c>
      <c r="E56" s="2">
        <f ca="1">VLOOKUP(B56,Tabla4[],5,FALSE)</f>
        <v>2438.6</v>
      </c>
      <c r="F56" s="2">
        <f ca="1">VLOOKUP(B56,Tabla4[],4,FALSE)</f>
        <v>1.5</v>
      </c>
      <c r="G56" t="s">
        <v>41</v>
      </c>
      <c r="H56" s="1">
        <v>45558</v>
      </c>
      <c r="I56" s="3">
        <f>VLOOKUP(H56,Tabla4[],2,FALSE)</f>
        <v>4153.9799999999996</v>
      </c>
      <c r="J56" s="3">
        <v>2.0857999999999999</v>
      </c>
      <c r="K56" s="25">
        <v>4.0395279999999999E-2</v>
      </c>
      <c r="L56" s="29">
        <f>Tabla6[[#This Row],[precio de compra]]*Tabla6[[#This Row],[cantidad]]*Tabla6[[#This Row],[PRECIO DEL DÓLAR, DIA COMPRA]]</f>
        <v>349.99971212019545</v>
      </c>
      <c r="M56" s="26">
        <f t="shared" ca="1" si="50"/>
        <v>268.94894657039998</v>
      </c>
      <c r="N56" s="41">
        <f t="shared" ca="1" si="51"/>
        <v>-0.2808514718573209</v>
      </c>
      <c r="O56" s="28">
        <v>0.1</v>
      </c>
      <c r="P56" s="28">
        <v>0.3</v>
      </c>
      <c r="Q56" s="31" t="str">
        <f t="shared" ca="1" si="52"/>
        <v>MANTENER</v>
      </c>
      <c r="T56" s="2"/>
      <c r="U56" s="14">
        <f>Tabla6[[#This Row],[cantidad]]-Tabla6[[#This Row],[CANTIDAD VENDIDA]]</f>
        <v>4.0395279999999999E-2</v>
      </c>
      <c r="V56" s="2">
        <f t="shared" ca="1" si="53"/>
        <v>268.94894657039998</v>
      </c>
      <c r="W56" s="2">
        <f t="shared" si="54"/>
        <v>-349.99971212019545</v>
      </c>
      <c r="X56" s="32">
        <f t="shared" ca="1" si="55"/>
        <v>-0.2808514718573209</v>
      </c>
      <c r="Y56" s="2" t="str">
        <f t="shared" si="48"/>
        <v>ACTIVA</v>
      </c>
    </row>
    <row r="57" spans="2:25">
      <c r="B57" s="1">
        <f t="shared" ca="1" si="49"/>
        <v>45601</v>
      </c>
      <c r="C57" s="2">
        <f ca="1">VLOOKUP(B57,Tabla4[],2,FALSE)</f>
        <v>4438.62</v>
      </c>
      <c r="D57" s="3">
        <f ca="1">VLOOKUP(B57,Tabla4[],3,FALSE)</f>
        <v>68825.05</v>
      </c>
      <c r="E57" s="2">
        <f ca="1">VLOOKUP(B57,Tabla4[],5,FALSE)</f>
        <v>2438.6</v>
      </c>
      <c r="F57" s="2">
        <f ca="1">VLOOKUP(B57,Tabla4[],4,FALSE)</f>
        <v>1.5</v>
      </c>
      <c r="G57" t="s">
        <v>14</v>
      </c>
      <c r="H57" s="1">
        <v>45565</v>
      </c>
      <c r="I57" s="3">
        <v>4000</v>
      </c>
      <c r="J57" s="3">
        <v>64338.16</v>
      </c>
      <c r="K57" s="25">
        <v>2.7199999999999998E-6</v>
      </c>
      <c r="L57" s="29">
        <f>Tabla6[[#This Row],[precio de compra]]*Tabla6[[#This Row],[cantidad]]*Tabla6[[#This Row],[PRECIO DEL DÓLAR, DIA COMPRA]]</f>
        <v>699.99918079999998</v>
      </c>
      <c r="M57" s="26">
        <f t="shared" ca="1" si="50"/>
        <v>830.92802213231994</v>
      </c>
      <c r="N57" s="41">
        <f t="shared" ca="1" si="51"/>
        <v>6.9739171900470881E-2</v>
      </c>
      <c r="O57" s="28">
        <v>0.25</v>
      </c>
      <c r="P57" s="28">
        <v>0.5</v>
      </c>
      <c r="Q57" s="31" t="str">
        <f t="shared" ca="1" si="52"/>
        <v>MANTENER</v>
      </c>
      <c r="T57" s="2"/>
      <c r="U57" s="14">
        <f>Tabla6[[#This Row],[cantidad]]-Tabla6[[#This Row],[CANTIDAD VENDIDA]]</f>
        <v>2.7199999999999998E-6</v>
      </c>
      <c r="V57" s="2">
        <f t="shared" ca="1" si="53"/>
        <v>830.92802213231994</v>
      </c>
      <c r="W57" s="2">
        <f t="shared" si="54"/>
        <v>-699.99918079999998</v>
      </c>
      <c r="X57" s="32">
        <f t="shared" ca="1" si="55"/>
        <v>6.9739171900470881E-2</v>
      </c>
      <c r="Y57" s="2" t="str">
        <f t="shared" ref="Y57:Y62" si="56">IF(U57=0,"VENDIDA","ACTIVA")</f>
        <v>ACTIVA</v>
      </c>
    </row>
    <row r="58" spans="2:25">
      <c r="B58" s="1">
        <f t="shared" ca="1" si="49"/>
        <v>45601</v>
      </c>
      <c r="C58" s="2">
        <f ca="1">VLOOKUP(B58,Tabla4[],2,FALSE)</f>
        <v>4438.62</v>
      </c>
      <c r="D58" s="3">
        <f ca="1">VLOOKUP(B58,Tabla4[],3,FALSE)</f>
        <v>68825.05</v>
      </c>
      <c r="E58" s="2">
        <f ca="1">VLOOKUP(B58,Tabla4[],5,FALSE)</f>
        <v>2438.6</v>
      </c>
      <c r="F58" s="2">
        <f ca="1">VLOOKUP(B58,Tabla4[],4,FALSE)</f>
        <v>1.5</v>
      </c>
      <c r="G58" t="s">
        <v>15</v>
      </c>
      <c r="H58" s="1">
        <v>45565</v>
      </c>
      <c r="I58" s="3">
        <v>4000</v>
      </c>
      <c r="J58" s="3">
        <v>2622.5</v>
      </c>
      <c r="K58" s="25">
        <v>6.6730000000000007E-5</v>
      </c>
      <c r="L58" s="29">
        <f>Tabla6[[#This Row],[precio de compra]]*Tabla6[[#This Row],[cantidad]]*Tabla6[[#This Row],[PRECIO DEL DÓLAR, DIA COMPRA]]</f>
        <v>699.99770000000001</v>
      </c>
      <c r="M58" s="26">
        <f t="shared" ca="1" si="50"/>
        <v>722.28676998636001</v>
      </c>
      <c r="N58" s="41">
        <f t="shared" ca="1" si="51"/>
        <v>-7.0123927550047704E-2</v>
      </c>
      <c r="O58" s="28">
        <v>0.25</v>
      </c>
      <c r="P58" s="28">
        <v>0.5</v>
      </c>
      <c r="Q58" s="31" t="str">
        <f t="shared" ca="1" si="52"/>
        <v>MANTENER</v>
      </c>
      <c r="T58" s="2"/>
      <c r="U58" s="14">
        <f>Tabla6[[#This Row],[cantidad]]-Tabla6[[#This Row],[CANTIDAD VENDIDA]]</f>
        <v>6.6730000000000007E-5</v>
      </c>
      <c r="V58" s="2">
        <f t="shared" ca="1" si="53"/>
        <v>722.28676998636001</v>
      </c>
      <c r="W58" s="2">
        <f t="shared" si="54"/>
        <v>-699.99770000000001</v>
      </c>
      <c r="X58" s="32">
        <f t="shared" ca="1" si="55"/>
        <v>-7.0123927550047704E-2</v>
      </c>
      <c r="Y58" s="2" t="str">
        <f t="shared" si="56"/>
        <v>ACTIVA</v>
      </c>
    </row>
    <row r="59" spans="2:25">
      <c r="B59" s="1">
        <f t="shared" ca="1" si="49"/>
        <v>45601</v>
      </c>
      <c r="C59" s="2">
        <f ca="1">VLOOKUP(B59,Tabla4[],2,FALSE)</f>
        <v>4438.62</v>
      </c>
      <c r="D59" s="3">
        <f ca="1">VLOOKUP(B59,Tabla4[],3,FALSE)</f>
        <v>68825.05</v>
      </c>
      <c r="E59" s="2">
        <f ca="1">VLOOKUP(B59,Tabla4[],5,FALSE)</f>
        <v>2438.6</v>
      </c>
      <c r="F59" s="2">
        <f ca="1">VLOOKUP(B59,Tabla4[],4,FALSE)</f>
        <v>1.5</v>
      </c>
      <c r="G59" t="s">
        <v>41</v>
      </c>
      <c r="H59" s="1">
        <v>45565</v>
      </c>
      <c r="I59" s="3">
        <v>4000</v>
      </c>
      <c r="J59" s="3">
        <v>2.07972</v>
      </c>
      <c r="K59" s="25">
        <v>4.2072680000000001E-2</v>
      </c>
      <c r="L59" s="29">
        <f>Tabla6[[#This Row],[precio de compra]]*Tabla6[[#This Row],[cantidad]]*Tabla6[[#This Row],[PRECIO DEL DÓLAR, DIA COMPRA]]</f>
        <v>349.9975761984</v>
      </c>
      <c r="M59" s="26">
        <f t="shared" ca="1" si="50"/>
        <v>280.11695835239999</v>
      </c>
      <c r="N59" s="41">
        <f t="shared" ca="1" si="51"/>
        <v>-0.27874906237378111</v>
      </c>
      <c r="O59" s="28">
        <v>0.1</v>
      </c>
      <c r="P59" s="28">
        <v>0.3</v>
      </c>
      <c r="Q59" s="31" t="str">
        <f t="shared" ca="1" si="52"/>
        <v>MANTENER</v>
      </c>
      <c r="T59" s="2"/>
      <c r="U59" s="14">
        <f>Tabla6[[#This Row],[cantidad]]-Tabla6[[#This Row],[CANTIDAD VENDIDA]]</f>
        <v>4.2072680000000001E-2</v>
      </c>
      <c r="V59" s="2">
        <f t="shared" ca="1" si="53"/>
        <v>280.11695835239999</v>
      </c>
      <c r="W59" s="2">
        <f t="shared" si="54"/>
        <v>-349.9975761984</v>
      </c>
      <c r="X59" s="32">
        <f t="shared" ca="1" si="55"/>
        <v>-0.27874906237378111</v>
      </c>
      <c r="Y59" s="2" t="str">
        <f t="shared" si="56"/>
        <v>ACTIVA</v>
      </c>
    </row>
    <row r="60" spans="2:25">
      <c r="B60" s="1">
        <f t="shared" ref="B60:B68" ca="1" si="57">TODAY()</f>
        <v>45601</v>
      </c>
      <c r="C60" s="2">
        <f ca="1">VLOOKUP(B60,Tabla4[],2,FALSE)</f>
        <v>4438.62</v>
      </c>
      <c r="D60" s="3">
        <f ca="1">VLOOKUP(B60,Tabla4[],3,FALSE)</f>
        <v>68825.05</v>
      </c>
      <c r="E60" s="2">
        <f ca="1">VLOOKUP(B60,Tabla4[],5,FALSE)</f>
        <v>2438.6</v>
      </c>
      <c r="F60" s="2">
        <f ca="1">VLOOKUP(B60,Tabla4[],4,FALSE)</f>
        <v>1.5</v>
      </c>
      <c r="G60" t="s">
        <v>14</v>
      </c>
      <c r="H60" s="1">
        <v>45572</v>
      </c>
      <c r="I60" s="3">
        <v>4036.67</v>
      </c>
      <c r="J60" s="3">
        <v>63058</v>
      </c>
      <c r="K60" s="25">
        <v>2.7499999999999999E-6</v>
      </c>
      <c r="L60" s="29">
        <f>Tabla6[[#This Row],[precio de compra]]*Tabla6[[#This Row],[cantidad]]*Tabla6[[#This Row],[PRECIO DEL DÓLAR, DIA COMPRA]]</f>
        <v>699.99692636500004</v>
      </c>
      <c r="M60" s="26">
        <f t="shared" ref="M60:M68" ca="1" si="58" xml:space="preserve"> K60 * (IF(G60="BTC", D60, IF(G60="ETH", E60, IF(G60="IO.NET", F60, 0)))) * C60</f>
        <v>840.09266943525006</v>
      </c>
      <c r="N60" s="41">
        <f t="shared" ref="N60:N68" ca="1" si="59">IF(G60 = "BTC", (D60 - J60) / J60,
 IF(G60 = "ETH", (E60 - J60) / J60,
 IF(G60 = "IO.NET", (F60 - J60) / J60,
 "Moneda no soportada")))</f>
        <v>9.145627834691876E-2</v>
      </c>
      <c r="O60" s="28">
        <v>0.25</v>
      </c>
      <c r="P60" s="28">
        <v>0.5</v>
      </c>
      <c r="Q60" s="31" t="str">
        <f t="shared" ref="Q60:Q68" ca="1" si="60">IF(N60 &lt; O60, "MANTENER", IF(N60 &lt; P60, "VENTA PARCIAL", "VENDER"))</f>
        <v>MANTENER</v>
      </c>
      <c r="T60" s="2"/>
      <c r="U60" s="14">
        <f>Tabla6[[#This Row],[cantidad]]-Tabla6[[#This Row],[CANTIDAD VENDIDA]]</f>
        <v>2.7499999999999999E-6</v>
      </c>
      <c r="V60" s="2">
        <f t="shared" ref="V60:V68" ca="1" si="61">IF(G60="BTC", D60 * U60 * C60, IF(G60="ETH", E60 * U60 * C60, IF(G60="IO.NET", F60 * U60 * C60, 0)))</f>
        <v>840.09266943525006</v>
      </c>
      <c r="W60" s="2">
        <f t="shared" ref="W60:W68" si="62">IF(G60 = "BTC", ((T60 - L60)), IF(G60 = "ETH", ((T60 - L60)), IF(G60 = "IO.NET", ((T60 - L60)), "Moneda no soportada")))</f>
        <v>-699.99692636500004</v>
      </c>
      <c r="X60" s="32">
        <f t="shared" ref="X60:X68" ca="1" si="63">IF(G60 = "BTC", (((D60 - J60) / J60)),IF(G60 = "ETH", ((E60 - J60) / J60), IF(G60 = "IO.NET", ((F60 - J60) / J60), "Moneda no soportada")))</f>
        <v>9.145627834691876E-2</v>
      </c>
      <c r="Y60" s="2" t="str">
        <f t="shared" si="56"/>
        <v>ACTIVA</v>
      </c>
    </row>
    <row r="61" spans="2:25">
      <c r="B61" s="1">
        <f t="shared" ca="1" si="57"/>
        <v>45601</v>
      </c>
      <c r="C61" s="2">
        <f ca="1">VLOOKUP(B61,Tabla4[],2,FALSE)</f>
        <v>4438.62</v>
      </c>
      <c r="D61" s="3">
        <f ca="1">VLOOKUP(B61,Tabla4[],3,FALSE)</f>
        <v>68825.05</v>
      </c>
      <c r="E61" s="2">
        <f ca="1">VLOOKUP(B61,Tabla4[],5,FALSE)</f>
        <v>2438.6</v>
      </c>
      <c r="F61" s="2">
        <f ca="1">VLOOKUP(B61,Tabla4[],4,FALSE)</f>
        <v>1.5</v>
      </c>
      <c r="G61" t="s">
        <v>15</v>
      </c>
      <c r="H61" s="1">
        <v>45572</v>
      </c>
      <c r="I61" s="3">
        <v>4036.67</v>
      </c>
      <c r="J61" s="3">
        <v>2441.6999999999998</v>
      </c>
      <c r="K61" s="25">
        <v>7.1019999999999994E-5</v>
      </c>
      <c r="L61" s="29">
        <f>Tabla6[[#This Row],[precio de compra]]*Tabla6[[#This Row],[cantidad]]*Tabla6[[#This Row],[PRECIO DEL DÓLAR, DIA COMPRA]]</f>
        <v>699.99706361177994</v>
      </c>
      <c r="M61" s="26">
        <f t="shared" ca="1" si="58"/>
        <v>768.72181034663993</v>
      </c>
      <c r="N61" s="41">
        <f t="shared" ca="1" si="59"/>
        <v>-1.269607240856743E-3</v>
      </c>
      <c r="O61" s="28">
        <v>0.25</v>
      </c>
      <c r="P61" s="28">
        <v>0.5</v>
      </c>
      <c r="Q61" s="31" t="str">
        <f t="shared" ca="1" si="60"/>
        <v>MANTENER</v>
      </c>
      <c r="T61" s="2"/>
      <c r="U61" s="14">
        <f>Tabla6[[#This Row],[cantidad]]-Tabla6[[#This Row],[CANTIDAD VENDIDA]]</f>
        <v>7.1019999999999994E-5</v>
      </c>
      <c r="V61" s="2">
        <f t="shared" ca="1" si="61"/>
        <v>768.72181034663993</v>
      </c>
      <c r="W61" s="2">
        <f t="shared" si="62"/>
        <v>-699.99706361177994</v>
      </c>
      <c r="X61" s="32">
        <f t="shared" ca="1" si="63"/>
        <v>-1.269607240856743E-3</v>
      </c>
      <c r="Y61" s="2" t="str">
        <f t="shared" si="56"/>
        <v>ACTIVA</v>
      </c>
    </row>
    <row r="62" spans="2:25">
      <c r="B62" s="1">
        <f t="shared" ca="1" si="57"/>
        <v>45601</v>
      </c>
      <c r="C62" s="2">
        <f ca="1">VLOOKUP(B62,Tabla4[],2,FALSE)</f>
        <v>4438.62</v>
      </c>
      <c r="D62" s="3">
        <f ca="1">VLOOKUP(B62,Tabla4[],3,FALSE)</f>
        <v>68825.05</v>
      </c>
      <c r="E62" s="2">
        <f ca="1">VLOOKUP(B62,Tabla4[],5,FALSE)</f>
        <v>2438.6</v>
      </c>
      <c r="F62" s="2">
        <f ca="1">VLOOKUP(B62,Tabla4[],4,FALSE)</f>
        <v>1.5</v>
      </c>
      <c r="G62" t="s">
        <v>41</v>
      </c>
      <c r="H62" s="1">
        <v>45572</v>
      </c>
      <c r="I62" s="3">
        <v>4036.67</v>
      </c>
      <c r="J62" s="3">
        <v>1.841</v>
      </c>
      <c r="K62" s="25">
        <v>4.7097090000000001E-2</v>
      </c>
      <c r="L62" s="29">
        <f>Tabla6[[#This Row],[precio de compra]]*Tabla6[[#This Row],[cantidad]]*Tabla6[[#This Row],[PRECIO DEL DÓLAR, DIA COMPRA]]</f>
        <v>350.00247034444232</v>
      </c>
      <c r="M62" s="26">
        <f t="shared" ca="1" si="58"/>
        <v>313.56912842369996</v>
      </c>
      <c r="N62" s="41">
        <f t="shared" ca="1" si="59"/>
        <v>-0.18522542096686581</v>
      </c>
      <c r="O62" s="28">
        <v>0.1</v>
      </c>
      <c r="P62" s="28">
        <v>0.3</v>
      </c>
      <c r="Q62" s="31" t="str">
        <f t="shared" ca="1" si="60"/>
        <v>MANTENER</v>
      </c>
      <c r="T62" s="2"/>
      <c r="U62" s="14">
        <f>Tabla6[[#This Row],[cantidad]]-Tabla6[[#This Row],[CANTIDAD VENDIDA]]</f>
        <v>4.7097090000000001E-2</v>
      </c>
      <c r="V62" s="2">
        <f t="shared" ca="1" si="61"/>
        <v>313.56912842369996</v>
      </c>
      <c r="W62" s="2">
        <f t="shared" si="62"/>
        <v>-350.00247034444232</v>
      </c>
      <c r="X62" s="32">
        <f t="shared" ca="1" si="63"/>
        <v>-0.18522542096686581</v>
      </c>
      <c r="Y62" s="2" t="str">
        <f t="shared" si="56"/>
        <v>ACTIVA</v>
      </c>
    </row>
    <row r="63" spans="2:25">
      <c r="B63" s="1">
        <f t="shared" ca="1" si="57"/>
        <v>45601</v>
      </c>
      <c r="C63" s="2">
        <f ca="1">VLOOKUP(B63,Tabla4[],2,FALSE)</f>
        <v>4438.62</v>
      </c>
      <c r="D63" s="3">
        <f ca="1">VLOOKUP(B63,Tabla4[],3,FALSE)</f>
        <v>68825.05</v>
      </c>
      <c r="E63" s="2">
        <f ca="1">VLOOKUP(B63,Tabla4[],5,FALSE)</f>
        <v>2438.6</v>
      </c>
      <c r="F63" s="2">
        <f ca="1">VLOOKUP(B63,Tabla4[],4,FALSE)</f>
        <v>1.5</v>
      </c>
      <c r="G63" t="s">
        <v>14</v>
      </c>
      <c r="H63" s="1">
        <v>45579</v>
      </c>
      <c r="I63" s="3">
        <f>VLOOKUP(H63,Tabla4[],2,FALSE)</f>
        <v>4210.95</v>
      </c>
      <c r="J63" s="3">
        <v>63691</v>
      </c>
      <c r="K63" s="25">
        <v>2.61E-6</v>
      </c>
      <c r="L63" s="29">
        <f>Tabla6[[#This Row],[precio de compra]]*Tabla6[[#This Row],[cantidad]]*Tabla6[[#This Row],[PRECIO DEL DÓLAR, DIA COMPRA]]</f>
        <v>700.00099893449999</v>
      </c>
      <c r="M63" s="26">
        <f t="shared" ca="1" si="58"/>
        <v>797.32431535490991</v>
      </c>
      <c r="N63" s="41">
        <f t="shared" ca="1" si="59"/>
        <v>8.0608720227347705E-2</v>
      </c>
      <c r="O63" s="28">
        <v>0.25</v>
      </c>
      <c r="P63" s="28">
        <v>0.5</v>
      </c>
      <c r="Q63" s="31" t="str">
        <f t="shared" ca="1" si="60"/>
        <v>MANTENER</v>
      </c>
      <c r="T63" s="2"/>
      <c r="U63" s="14">
        <f>Tabla6[[#This Row],[cantidad]]-Tabla6[[#This Row],[CANTIDAD VENDIDA]]</f>
        <v>2.61E-6</v>
      </c>
      <c r="V63" s="2">
        <f t="shared" ca="1" si="61"/>
        <v>797.32431535490991</v>
      </c>
      <c r="W63" s="2">
        <f t="shared" si="62"/>
        <v>-700.00099893449999</v>
      </c>
      <c r="X63" s="32">
        <f t="shared" ca="1" si="63"/>
        <v>8.0608720227347705E-2</v>
      </c>
      <c r="Y63" s="2" t="str">
        <f t="shared" ref="Y63:Y68" si="64">IF(U63=0,"VENDIDA","ACTIVA")</f>
        <v>ACTIVA</v>
      </c>
    </row>
    <row r="64" spans="2:25">
      <c r="B64" s="1">
        <f t="shared" ca="1" si="57"/>
        <v>45601</v>
      </c>
      <c r="C64" s="2">
        <f ca="1">VLOOKUP(B64,Tabla4[],2,FALSE)</f>
        <v>4438.62</v>
      </c>
      <c r="D64" s="3">
        <f ca="1">VLOOKUP(B64,Tabla4[],3,FALSE)</f>
        <v>68825.05</v>
      </c>
      <c r="E64" s="2">
        <f ca="1">VLOOKUP(B64,Tabla4[],5,FALSE)</f>
        <v>2438.6</v>
      </c>
      <c r="F64" s="2">
        <f ca="1">VLOOKUP(B64,Tabla4[],4,FALSE)</f>
        <v>1.5</v>
      </c>
      <c r="G64" t="s">
        <v>15</v>
      </c>
      <c r="H64" s="1">
        <v>45579</v>
      </c>
      <c r="I64" s="3">
        <f>VLOOKUP(H64,Tabla4[],2,FALSE)</f>
        <v>4210.95</v>
      </c>
      <c r="J64" s="3">
        <v>2502.4</v>
      </c>
      <c r="K64" s="25">
        <v>6.6429999999999999E-5</v>
      </c>
      <c r="L64" s="29">
        <f>Tabla6[[#This Row],[precio de compra]]*Tabla6[[#This Row],[cantidad]]*Tabla6[[#This Row],[PRECIO DEL DÓLAR, DIA COMPRA]]</f>
        <v>700.00488143040002</v>
      </c>
      <c r="M64" s="26">
        <f t="shared" ca="1" si="58"/>
        <v>719.03956436675992</v>
      </c>
      <c r="N64" s="41">
        <f t="shared" ca="1" si="59"/>
        <v>-2.5495524296675263E-2</v>
      </c>
      <c r="O64" s="28">
        <v>0.25</v>
      </c>
      <c r="P64" s="28">
        <v>0.5</v>
      </c>
      <c r="Q64" s="31" t="str">
        <f t="shared" ca="1" si="60"/>
        <v>MANTENER</v>
      </c>
      <c r="T64" s="2"/>
      <c r="U64" s="14">
        <f>Tabla6[[#This Row],[cantidad]]-Tabla6[[#This Row],[CANTIDAD VENDIDA]]</f>
        <v>6.6429999999999999E-5</v>
      </c>
      <c r="V64" s="2">
        <f t="shared" ca="1" si="61"/>
        <v>719.03956436675992</v>
      </c>
      <c r="W64" s="2">
        <f t="shared" si="62"/>
        <v>-700.00488143040002</v>
      </c>
      <c r="X64" s="32">
        <f t="shared" ca="1" si="63"/>
        <v>-2.5495524296675263E-2</v>
      </c>
      <c r="Y64" s="2" t="str">
        <f t="shared" si="64"/>
        <v>ACTIVA</v>
      </c>
    </row>
    <row r="65" spans="2:25">
      <c r="B65" s="1">
        <f t="shared" ca="1" si="57"/>
        <v>45601</v>
      </c>
      <c r="C65" s="2">
        <f ca="1">VLOOKUP(B65,Tabla4[],2,FALSE)</f>
        <v>4438.62</v>
      </c>
      <c r="D65" s="3">
        <f ca="1">VLOOKUP(B65,Tabla4[],3,FALSE)</f>
        <v>68825.05</v>
      </c>
      <c r="E65" s="2">
        <f ca="1">VLOOKUP(B65,Tabla4[],5,FALSE)</f>
        <v>2438.6</v>
      </c>
      <c r="F65" s="2">
        <f ca="1">VLOOKUP(B65,Tabla4[],4,FALSE)</f>
        <v>1.5</v>
      </c>
      <c r="G65" t="s">
        <v>41</v>
      </c>
      <c r="H65" s="1">
        <v>45579</v>
      </c>
      <c r="I65" s="3">
        <f>VLOOKUP(H65,Tabla4[],2,FALSE)</f>
        <v>4210.95</v>
      </c>
      <c r="J65" s="3">
        <v>1.9345000000000001</v>
      </c>
      <c r="K65" s="25">
        <v>4.2965499999999997E-2</v>
      </c>
      <c r="L65" s="29">
        <f>Tabla6[[#This Row],[precio de compra]]*Tabla6[[#This Row],[cantidad]]*Tabla6[[#This Row],[PRECIO DEL DÓLAR, DIA COMPRA]]</f>
        <v>350.00051946926249</v>
      </c>
      <c r="M65" s="26">
        <f t="shared" ca="1" si="58"/>
        <v>286.06129141499997</v>
      </c>
      <c r="N65" s="41">
        <f t="shared" ca="1" si="59"/>
        <v>-0.22460584130266223</v>
      </c>
      <c r="O65" s="28">
        <v>0.1</v>
      </c>
      <c r="P65" s="28">
        <v>0.3</v>
      </c>
      <c r="Q65" s="31" t="str">
        <f t="shared" ca="1" si="60"/>
        <v>MANTENER</v>
      </c>
      <c r="T65" s="2"/>
      <c r="U65" s="14">
        <f>Tabla6[[#This Row],[cantidad]]-Tabla6[[#This Row],[CANTIDAD VENDIDA]]</f>
        <v>4.2965499999999997E-2</v>
      </c>
      <c r="V65" s="2">
        <f t="shared" ca="1" si="61"/>
        <v>286.06129141499997</v>
      </c>
      <c r="W65" s="2">
        <f t="shared" si="62"/>
        <v>-350.00051946926249</v>
      </c>
      <c r="X65" s="32">
        <f t="shared" ca="1" si="63"/>
        <v>-0.22460584130266223</v>
      </c>
      <c r="Y65" s="2" t="str">
        <f t="shared" si="64"/>
        <v>ACTIVA</v>
      </c>
    </row>
    <row r="66" spans="2:25">
      <c r="B66" s="1">
        <f t="shared" ca="1" si="57"/>
        <v>45601</v>
      </c>
      <c r="C66" s="2">
        <f ca="1">VLOOKUP(B66,Tabla4[],2,FALSE)</f>
        <v>4438.62</v>
      </c>
      <c r="D66" s="3">
        <f ca="1">VLOOKUP(B66,Tabla4[],3,FALSE)</f>
        <v>68825.05</v>
      </c>
      <c r="E66" s="2">
        <f ca="1">VLOOKUP(B66,Tabla4[],5,FALSE)</f>
        <v>2438.6</v>
      </c>
      <c r="F66" s="2">
        <f ca="1">VLOOKUP(B66,Tabla4[],4,FALSE)</f>
        <v>1.5</v>
      </c>
      <c r="G66" t="s">
        <v>14</v>
      </c>
      <c r="H66" s="1">
        <v>45586</v>
      </c>
      <c r="I66" s="3">
        <f>VLOOKUP(H66,Tabla4[],2,FALSE)</f>
        <v>4270</v>
      </c>
      <c r="J66" s="3">
        <v>67463</v>
      </c>
      <c r="K66" s="25">
        <v>2.43E-6</v>
      </c>
      <c r="L66" s="29">
        <f>Tabla6[[#This Row],[precio de compra]]*Tabla6[[#This Row],[cantidad]]*Tabla6[[#This Row],[PRECIO DEL DÓLAR, DIA COMPRA]]</f>
        <v>700.00283430000002</v>
      </c>
      <c r="M66" s="26">
        <f t="shared" ca="1" si="58"/>
        <v>742.33643153732999</v>
      </c>
      <c r="N66" s="27">
        <f t="shared" ca="1" si="59"/>
        <v>2.0189585402368749E-2</v>
      </c>
      <c r="O66" s="28">
        <v>0.25</v>
      </c>
      <c r="P66" s="28">
        <v>0.5</v>
      </c>
      <c r="Q66" s="31" t="str">
        <f t="shared" ca="1" si="60"/>
        <v>MANTENER</v>
      </c>
      <c r="T66" s="2"/>
      <c r="U66" s="14">
        <f>Tabla6[[#This Row],[cantidad]]-Tabla6[[#This Row],[CANTIDAD VENDIDA]]</f>
        <v>2.43E-6</v>
      </c>
      <c r="V66" s="2">
        <f t="shared" ca="1" si="61"/>
        <v>742.33643153732999</v>
      </c>
      <c r="W66" s="2">
        <f t="shared" si="62"/>
        <v>-700.00283430000002</v>
      </c>
      <c r="X66" s="32">
        <f t="shared" ca="1" si="63"/>
        <v>2.0189585402368749E-2</v>
      </c>
      <c r="Y66" s="2" t="str">
        <f t="shared" si="64"/>
        <v>ACTIVA</v>
      </c>
    </row>
    <row r="67" spans="2:25">
      <c r="B67" s="1">
        <f t="shared" ca="1" si="57"/>
        <v>45601</v>
      </c>
      <c r="C67" s="2">
        <f ca="1">VLOOKUP(B67,Tabla4[],2,FALSE)</f>
        <v>4438.62</v>
      </c>
      <c r="D67" s="3">
        <f ca="1">VLOOKUP(B67,Tabla4[],3,FALSE)</f>
        <v>68825.05</v>
      </c>
      <c r="E67" s="2">
        <f ca="1">VLOOKUP(B67,Tabla4[],5,FALSE)</f>
        <v>2438.6</v>
      </c>
      <c r="F67" s="2">
        <f ca="1">VLOOKUP(B67,Tabla4[],4,FALSE)</f>
        <v>1.5</v>
      </c>
      <c r="G67" t="s">
        <v>15</v>
      </c>
      <c r="H67" s="1">
        <v>45586</v>
      </c>
      <c r="I67" s="3">
        <f>VLOOKUP(H67,Tabla4[],2,FALSE)</f>
        <v>4270</v>
      </c>
      <c r="J67" s="3">
        <v>2663</v>
      </c>
      <c r="K67" s="25">
        <v>6.156E-5</v>
      </c>
      <c r="L67" s="29">
        <f>Tabla6[[#This Row],[precio de compra]]*Tabla6[[#This Row],[cantidad]]*Tabla6[[#This Row],[PRECIO DEL DÓLAR, DIA COMPRA]]</f>
        <v>699.99937559999989</v>
      </c>
      <c r="M67" s="26">
        <f t="shared" ca="1" si="58"/>
        <v>666.32659314191994</v>
      </c>
      <c r="N67" s="27">
        <f t="shared" ca="1" si="59"/>
        <v>-8.4265865565152115E-2</v>
      </c>
      <c r="O67" s="28">
        <v>0.25</v>
      </c>
      <c r="P67" s="28">
        <v>0.5</v>
      </c>
      <c r="Q67" s="31" t="str">
        <f t="shared" ca="1" si="60"/>
        <v>MANTENER</v>
      </c>
      <c r="T67" s="2"/>
      <c r="U67" s="14">
        <f>Tabla6[[#This Row],[cantidad]]-Tabla6[[#This Row],[CANTIDAD VENDIDA]]</f>
        <v>6.156E-5</v>
      </c>
      <c r="V67" s="2">
        <f t="shared" ca="1" si="61"/>
        <v>666.32659314191994</v>
      </c>
      <c r="W67" s="2">
        <f t="shared" si="62"/>
        <v>-699.99937559999989</v>
      </c>
      <c r="X67" s="32">
        <f t="shared" ca="1" si="63"/>
        <v>-8.4265865565152115E-2</v>
      </c>
      <c r="Y67" s="2" t="str">
        <f t="shared" si="64"/>
        <v>ACTIVA</v>
      </c>
    </row>
    <row r="68" spans="2:25">
      <c r="B68" s="1">
        <f t="shared" ca="1" si="57"/>
        <v>45601</v>
      </c>
      <c r="C68" s="2">
        <f ca="1">VLOOKUP(B68,Tabla4[],2,FALSE)</f>
        <v>4438.62</v>
      </c>
      <c r="D68" s="3">
        <f ca="1">VLOOKUP(B68,Tabla4[],3,FALSE)</f>
        <v>68825.05</v>
      </c>
      <c r="E68" s="2">
        <f ca="1">VLOOKUP(B68,Tabla4[],5,FALSE)</f>
        <v>2438.6</v>
      </c>
      <c r="F68" s="2">
        <f ca="1">VLOOKUP(B68,Tabla4[],4,FALSE)</f>
        <v>1.5</v>
      </c>
      <c r="G68" t="s">
        <v>41</v>
      </c>
      <c r="H68" s="1">
        <v>45586</v>
      </c>
      <c r="I68" s="3">
        <f>VLOOKUP(H68,Tabla4[],2,FALSE)</f>
        <v>4270</v>
      </c>
      <c r="J68" s="3">
        <v>1.87052</v>
      </c>
      <c r="K68" s="25">
        <v>4.3820940000000003E-2</v>
      </c>
      <c r="L68" s="29">
        <f>Tabla6[[#This Row],[precio de compra]]*Tabla6[[#This Row],[cantidad]]*Tabla6[[#This Row],[PRECIO DEL DÓLAR, DIA COMPRA]]</f>
        <v>350.00312382117602</v>
      </c>
      <c r="M68" s="26">
        <f t="shared" ca="1" si="58"/>
        <v>291.75675105420004</v>
      </c>
      <c r="N68" s="27">
        <f t="shared" ca="1" si="59"/>
        <v>-0.1980839552637769</v>
      </c>
      <c r="O68" s="28">
        <v>0.1</v>
      </c>
      <c r="P68" s="28">
        <v>0.3</v>
      </c>
      <c r="Q68" s="31" t="str">
        <f t="shared" ca="1" si="60"/>
        <v>MANTENER</v>
      </c>
      <c r="T68" s="2"/>
      <c r="U68" s="14">
        <f>Tabla6[[#This Row],[cantidad]]-Tabla6[[#This Row],[CANTIDAD VENDIDA]]</f>
        <v>4.3820940000000003E-2</v>
      </c>
      <c r="V68" s="2">
        <f t="shared" ca="1" si="61"/>
        <v>291.75675105420004</v>
      </c>
      <c r="W68" s="2">
        <f t="shared" si="62"/>
        <v>-350.00312382117602</v>
      </c>
      <c r="X68" s="32">
        <f t="shared" ca="1" si="63"/>
        <v>-0.1980839552637769</v>
      </c>
      <c r="Y68" s="2" t="str">
        <f t="shared" si="64"/>
        <v>ACTIVA</v>
      </c>
    </row>
    <row r="69" spans="2:25">
      <c r="B69" s="1">
        <f t="shared" ref="B69:B74" ca="1" si="65">TODAY()</f>
        <v>45601</v>
      </c>
      <c r="C69" s="2">
        <f ca="1">VLOOKUP(B69,Tabla4[],2,FALSE)</f>
        <v>4438.62</v>
      </c>
      <c r="D69" s="3">
        <f ca="1">VLOOKUP(B69,Tabla4[],3,FALSE)</f>
        <v>68825.05</v>
      </c>
      <c r="E69" s="2">
        <f ca="1">VLOOKUP(B69,Tabla4[],5,FALSE)</f>
        <v>2438.6</v>
      </c>
      <c r="F69" s="2">
        <f ca="1">VLOOKUP(B69,Tabla4[],4,FALSE)</f>
        <v>1.5</v>
      </c>
      <c r="G69" t="s">
        <v>14</v>
      </c>
      <c r="H69" s="1">
        <v>45593</v>
      </c>
      <c r="I69" s="3">
        <v>4241.6000000000004</v>
      </c>
      <c r="J69" s="3">
        <v>68763</v>
      </c>
      <c r="K69" s="25">
        <v>2.3999999999999999E-6</v>
      </c>
      <c r="L69" s="29">
        <f>Tabla6[[#This Row],[precio de compra]]*Tabla6[[#This Row],[cantidad]]*Tabla6[[#This Row],[PRECIO DEL DÓLAR, DIA COMPRA]]</f>
        <v>699.99633791999997</v>
      </c>
      <c r="M69" s="26">
        <f t="shared" ref="M69:M74" ca="1" si="66" xml:space="preserve"> K69 * (IF(G69="BTC", D69, IF(G69="ETH", E69, IF(G69="IO.NET", F69, 0)))) * C69</f>
        <v>733.17178423439987</v>
      </c>
      <c r="N69" s="27">
        <f t="shared" ref="N69:N74" ca="1" si="67">IF(G69 = "BTC", (D69 - J69) / J69,
 IF(G69 = "ETH", (E69 - J69) / J69,
 IF(G69 = "IO.NET", (F69 - J69) / J69,
 "Moneda no soportada")))</f>
        <v>9.0237482366974846E-4</v>
      </c>
      <c r="O69" s="28">
        <v>0.25</v>
      </c>
      <c r="P69" s="28">
        <v>0.5</v>
      </c>
      <c r="Q69" s="31" t="str">
        <f t="shared" ref="Q69:Q74" ca="1" si="68">IF(N69 &lt; O69, "MANTENER", IF(N69 &lt; P69, "VENTA PARCIAL", "VENDER"))</f>
        <v>MANTENER</v>
      </c>
      <c r="T69" s="2"/>
      <c r="U69" s="14">
        <f>Tabla6[[#This Row],[cantidad]]-Tabla6[[#This Row],[CANTIDAD VENDIDA]]</f>
        <v>2.3999999999999999E-6</v>
      </c>
      <c r="V69" s="2">
        <f t="shared" ref="V69:V74" ca="1" si="69">IF(G69="BTC", D69 * U69 * C69, IF(G69="ETH", E69 * U69 * C69, IF(G69="IO.NET", F69 * U69 * C69, 0)))</f>
        <v>733.17178423439987</v>
      </c>
      <c r="W69" s="2">
        <f t="shared" ref="W69:W74" si="70">IF(G69 = "BTC", ((T69 - L69)), IF(G69 = "ETH", ((T69 - L69)), IF(G69 = "IO.NET", ((T69 - L69)), "Moneda no soportada")))</f>
        <v>-699.99633791999997</v>
      </c>
      <c r="X69" s="32">
        <f t="shared" ref="X69:X74" ca="1" si="71">IF(G69 = "BTC", (((D69 - J69) / J69)),IF(G69 = "ETH", ((E69 - J69) / J69), IF(G69 = "IO.NET", ((F69 - J69) / J69), "Moneda no soportada")))</f>
        <v>9.0237482366974846E-4</v>
      </c>
      <c r="Y69" s="2" t="str">
        <f t="shared" ref="Y69:Y74" si="72">IF(U69=0,"VENDIDA","ACTIVA")</f>
        <v>ACTIVA</v>
      </c>
    </row>
    <row r="70" spans="2:25">
      <c r="B70" s="1">
        <f t="shared" ca="1" si="65"/>
        <v>45601</v>
      </c>
      <c r="C70" s="2">
        <f ca="1">VLOOKUP(B70,Tabla4[],2,FALSE)</f>
        <v>4438.62</v>
      </c>
      <c r="D70" s="3">
        <f ca="1">VLOOKUP(B70,Tabla4[],3,FALSE)</f>
        <v>68825.05</v>
      </c>
      <c r="E70" s="2">
        <f ca="1">VLOOKUP(B70,Tabla4[],5,FALSE)</f>
        <v>2438.6</v>
      </c>
      <c r="F70" s="2">
        <f ca="1">VLOOKUP(B70,Tabla4[],4,FALSE)</f>
        <v>1.5</v>
      </c>
      <c r="G70" t="s">
        <v>15</v>
      </c>
      <c r="H70" s="1">
        <v>45593</v>
      </c>
      <c r="I70" s="3">
        <v>4241.6000000000004</v>
      </c>
      <c r="J70" s="3">
        <v>2529.6</v>
      </c>
      <c r="K70" s="25">
        <v>6.5240000000000006E-5</v>
      </c>
      <c r="L70" s="29">
        <f>Tabla6[[#This Row],[precio de compra]]*Tabla6[[#This Row],[cantidad]]*Tabla6[[#This Row],[PRECIO DEL DÓLAR, DIA COMPRA]]</f>
        <v>699.99593072640016</v>
      </c>
      <c r="M70" s="26">
        <f t="shared" ca="1" si="66"/>
        <v>706.15898207568</v>
      </c>
      <c r="N70" s="27">
        <f t="shared" ca="1" si="67"/>
        <v>-3.5974067046173307E-2</v>
      </c>
      <c r="O70" s="28">
        <v>0.25</v>
      </c>
      <c r="P70" s="28">
        <v>0.5</v>
      </c>
      <c r="Q70" s="31" t="str">
        <f t="shared" ca="1" si="68"/>
        <v>MANTENER</v>
      </c>
      <c r="T70" s="2"/>
      <c r="U70" s="14">
        <f>Tabla6[[#This Row],[cantidad]]-Tabla6[[#This Row],[CANTIDAD VENDIDA]]</f>
        <v>6.5240000000000006E-5</v>
      </c>
      <c r="V70" s="2">
        <f t="shared" ca="1" si="69"/>
        <v>706.15898207568</v>
      </c>
      <c r="W70" s="2">
        <f t="shared" si="70"/>
        <v>-699.99593072640016</v>
      </c>
      <c r="X70" s="32">
        <f t="shared" ca="1" si="71"/>
        <v>-3.5974067046173307E-2</v>
      </c>
      <c r="Y70" s="2" t="str">
        <f t="shared" si="72"/>
        <v>ACTIVA</v>
      </c>
    </row>
    <row r="71" spans="2:25">
      <c r="B71" s="1">
        <f t="shared" ca="1" si="65"/>
        <v>45601</v>
      </c>
      <c r="C71" s="2">
        <f ca="1">VLOOKUP(B71,Tabla4[],2,FALSE)</f>
        <v>4438.62</v>
      </c>
      <c r="D71" s="3">
        <f ca="1">VLOOKUP(B71,Tabla4[],3,FALSE)</f>
        <v>68825.05</v>
      </c>
      <c r="E71" s="2">
        <f ca="1">VLOOKUP(B71,Tabla4[],5,FALSE)</f>
        <v>2438.6</v>
      </c>
      <c r="F71" s="2">
        <f ca="1">VLOOKUP(B71,Tabla4[],4,FALSE)</f>
        <v>1.5</v>
      </c>
      <c r="G71" t="s">
        <v>41</v>
      </c>
      <c r="H71" s="1">
        <v>45593</v>
      </c>
      <c r="I71" s="3">
        <v>4241.6000000000004</v>
      </c>
      <c r="J71" s="3">
        <v>1.7296899999999999</v>
      </c>
      <c r="K71" s="25">
        <v>4.7706220000000001E-2</v>
      </c>
      <c r="L71" s="29">
        <f>Tabla6[[#This Row],[precio de compra]]*Tabla6[[#This Row],[cantidad]]*Tabla6[[#This Row],[PRECIO DEL DÓLAR, DIA COMPRA]]</f>
        <v>350.00398704310692</v>
      </c>
      <c r="M71" s="26">
        <f t="shared" ca="1" si="66"/>
        <v>317.6246733246</v>
      </c>
      <c r="N71" s="27">
        <f t="shared" ca="1" si="67"/>
        <v>-0.13279258132960239</v>
      </c>
      <c r="O71" s="28">
        <v>0.1</v>
      </c>
      <c r="P71" s="28">
        <v>0.3</v>
      </c>
      <c r="Q71" s="31" t="str">
        <f t="shared" ca="1" si="68"/>
        <v>MANTENER</v>
      </c>
      <c r="T71" s="2"/>
      <c r="U71" s="14">
        <f>Tabla6[[#This Row],[cantidad]]-Tabla6[[#This Row],[CANTIDAD VENDIDA]]</f>
        <v>4.7706220000000001E-2</v>
      </c>
      <c r="V71" s="2">
        <f t="shared" ca="1" si="69"/>
        <v>317.6246733246</v>
      </c>
      <c r="W71" s="2">
        <f t="shared" si="70"/>
        <v>-350.00398704310692</v>
      </c>
      <c r="X71" s="32">
        <f t="shared" ca="1" si="71"/>
        <v>-0.13279258132960239</v>
      </c>
      <c r="Y71" s="2" t="str">
        <f t="shared" si="72"/>
        <v>ACTIVA</v>
      </c>
    </row>
    <row r="72" spans="2:25">
      <c r="B72" s="1">
        <f t="shared" ca="1" si="65"/>
        <v>45601</v>
      </c>
      <c r="C72" s="2">
        <f ca="1">VLOOKUP(B72,Tabla4[],2,FALSE)</f>
        <v>4438.62</v>
      </c>
      <c r="D72" s="3">
        <f ca="1">VLOOKUP(B72,Tabla4[],3,FALSE)</f>
        <v>68825.05</v>
      </c>
      <c r="E72" s="2">
        <f ca="1">VLOOKUP(B72,Tabla4[],5,FALSE)</f>
        <v>2438.6</v>
      </c>
      <c r="F72" s="2">
        <f ca="1">VLOOKUP(B72,Tabla4[],4,FALSE)</f>
        <v>1.5</v>
      </c>
      <c r="G72" t="s">
        <v>14</v>
      </c>
      <c r="H72" s="1">
        <v>45600</v>
      </c>
      <c r="I72" s="3">
        <v>4370.66</v>
      </c>
      <c r="J72" s="3">
        <v>68738</v>
      </c>
      <c r="K72" s="25">
        <v>2.3300000000000001E-6</v>
      </c>
      <c r="L72" s="29">
        <f>Tabla6[[#This Row],[precio de compra]]*Tabla6[[#This Row],[cantidad]]*Tabla6[[#This Row],[PRECIO DEL DÓLAR, DIA COMPRA]]</f>
        <v>700.00289509640004</v>
      </c>
      <c r="M72" s="26">
        <f t="shared" ca="1" si="66"/>
        <v>711.78760719423008</v>
      </c>
      <c r="N72" s="27">
        <f t="shared" ca="1" si="67"/>
        <v>1.2664028630452284E-3</v>
      </c>
      <c r="O72" s="28">
        <v>0.25</v>
      </c>
      <c r="P72" s="28">
        <v>0.5</v>
      </c>
      <c r="Q72" s="31" t="str">
        <f t="shared" ca="1" si="68"/>
        <v>MANTENER</v>
      </c>
      <c r="T72" s="2"/>
      <c r="U72" s="14">
        <f>Tabla6[[#This Row],[cantidad]]-Tabla6[[#This Row],[CANTIDAD VENDIDA]]</f>
        <v>2.3300000000000001E-6</v>
      </c>
      <c r="V72" s="2">
        <f t="shared" ca="1" si="69"/>
        <v>711.78760719423008</v>
      </c>
      <c r="W72" s="2">
        <f t="shared" si="70"/>
        <v>-700.00289509640004</v>
      </c>
      <c r="X72" s="32">
        <f t="shared" ca="1" si="71"/>
        <v>1.2664028630452284E-3</v>
      </c>
      <c r="Y72" s="2" t="str">
        <f t="shared" si="72"/>
        <v>ACTIVA</v>
      </c>
    </row>
    <row r="73" spans="2:25">
      <c r="B73" s="1">
        <f t="shared" ca="1" si="65"/>
        <v>45601</v>
      </c>
      <c r="C73" s="2">
        <f ca="1">VLOOKUP(B73,Tabla4[],2,FALSE)</f>
        <v>4438.62</v>
      </c>
      <c r="D73" s="3">
        <f ca="1">VLOOKUP(B73,Tabla4[],3,FALSE)</f>
        <v>68825.05</v>
      </c>
      <c r="E73" s="2">
        <f ca="1">VLOOKUP(B73,Tabla4[],5,FALSE)</f>
        <v>2438.6</v>
      </c>
      <c r="F73" s="2">
        <f ca="1">VLOOKUP(B73,Tabla4[],4,FALSE)</f>
        <v>1.5</v>
      </c>
      <c r="G73" t="s">
        <v>15</v>
      </c>
      <c r="H73" s="1">
        <v>45600</v>
      </c>
      <c r="I73" s="3">
        <v>4370.66</v>
      </c>
      <c r="J73" s="3">
        <v>2439.6</v>
      </c>
      <c r="K73" s="25">
        <v>6.5649999999999997E-5</v>
      </c>
      <c r="L73" s="29">
        <f>Tabla6[[#This Row],[precio de compra]]*Tabla6[[#This Row],[cantidad]]*Tabla6[[#This Row],[PRECIO DEL DÓLAR, DIA COMPRA]]</f>
        <v>700.00376922839996</v>
      </c>
      <c r="M73" s="26">
        <f t="shared" ca="1" si="66"/>
        <v>710.59682975579994</v>
      </c>
      <c r="N73" s="27">
        <f t="shared" ca="1" si="67"/>
        <v>-4.0990326282997212E-4</v>
      </c>
      <c r="O73" s="28">
        <v>0.25</v>
      </c>
      <c r="P73" s="28">
        <v>0.5</v>
      </c>
      <c r="Q73" s="31" t="str">
        <f t="shared" ca="1" si="68"/>
        <v>MANTENER</v>
      </c>
      <c r="T73" s="2"/>
      <c r="U73" s="14">
        <f>Tabla6[[#This Row],[cantidad]]-Tabla6[[#This Row],[CANTIDAD VENDIDA]]</f>
        <v>6.5649999999999997E-5</v>
      </c>
      <c r="V73" s="2">
        <f t="shared" ca="1" si="69"/>
        <v>710.59682975579994</v>
      </c>
      <c r="W73" s="2">
        <f t="shared" si="70"/>
        <v>-700.00376922839996</v>
      </c>
      <c r="X73" s="32">
        <f t="shared" ca="1" si="71"/>
        <v>-4.0990326282997212E-4</v>
      </c>
      <c r="Y73" s="2" t="str">
        <f t="shared" si="72"/>
        <v>ACTIVA</v>
      </c>
    </row>
    <row r="74" spans="2:25">
      <c r="B74" s="1">
        <f t="shared" ca="1" si="65"/>
        <v>45601</v>
      </c>
      <c r="C74" s="2">
        <f ca="1">VLOOKUP(B74,Tabla4[],2,FALSE)</f>
        <v>4438.62</v>
      </c>
      <c r="D74" s="3">
        <f ca="1">VLOOKUP(B74,Tabla4[],3,FALSE)</f>
        <v>68825.05</v>
      </c>
      <c r="E74" s="2">
        <f ca="1">VLOOKUP(B74,Tabla4[],5,FALSE)</f>
        <v>2438.6</v>
      </c>
      <c r="F74" s="2">
        <f ca="1">VLOOKUP(B74,Tabla4[],4,FALSE)</f>
        <v>1.5</v>
      </c>
      <c r="G74" t="s">
        <v>41</v>
      </c>
      <c r="H74" s="1">
        <v>45600</v>
      </c>
      <c r="I74" s="3">
        <v>4370.66</v>
      </c>
      <c r="J74" s="3">
        <v>1.4944500000000001</v>
      </c>
      <c r="K74" s="25">
        <v>5.3584970000000003E-2</v>
      </c>
      <c r="L74" s="29">
        <f>Tabla6[[#This Row],[precio de compra]]*Tabla6[[#This Row],[cantidad]]*Tabla6[[#This Row],[PRECIO DEL DÓLAR, DIA COMPRA]]</f>
        <v>350.00270811865994</v>
      </c>
      <c r="M74" s="26">
        <f t="shared" ca="1" si="66"/>
        <v>356.76497931209997</v>
      </c>
      <c r="N74" s="27">
        <f t="shared" ca="1" si="67"/>
        <v>3.7137408411120772E-3</v>
      </c>
      <c r="O74" s="28">
        <v>0.1</v>
      </c>
      <c r="P74" s="28">
        <v>0.3</v>
      </c>
      <c r="Q74" s="31" t="str">
        <f t="shared" ca="1" si="68"/>
        <v>MANTENER</v>
      </c>
      <c r="T74" s="2"/>
      <c r="U74" s="14">
        <f>Tabla6[[#This Row],[cantidad]]-Tabla6[[#This Row],[CANTIDAD VENDIDA]]</f>
        <v>5.3584970000000003E-2</v>
      </c>
      <c r="V74" s="2">
        <f t="shared" ca="1" si="69"/>
        <v>356.76497931209997</v>
      </c>
      <c r="W74" s="2">
        <f t="shared" si="70"/>
        <v>-350.00270811865994</v>
      </c>
      <c r="X74" s="32">
        <f t="shared" ca="1" si="71"/>
        <v>3.7137408411120772E-3</v>
      </c>
      <c r="Y74" s="2" t="str">
        <f t="shared" si="72"/>
        <v>ACTIVA</v>
      </c>
    </row>
  </sheetData>
  <conditionalFormatting sqref="B3:Z74">
    <cfRule type="expression" dxfId="82" priority="1">
      <formula>$Y:$Y="VENDIDA"</formula>
    </cfRule>
  </conditionalFormatting>
  <conditionalFormatting sqref="Q1:Q1048576">
    <cfRule type="containsText" dxfId="81" priority="9" operator="containsText" text="VENTA PARCIAL">
      <formula>NOT(ISERROR(SEARCH("VENTA PARCIAL",Q1)))</formula>
    </cfRule>
    <cfRule type="containsText" dxfId="80" priority="10" operator="containsText" text="MANTENER">
      <formula>NOT(ISERROR(SEARCH("MANTENER",Q1)))</formula>
    </cfRule>
  </conditionalFormatting>
  <conditionalFormatting sqref="Q3:Q74">
    <cfRule type="containsText" dxfId="79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workbookViewId="0">
      <selection activeCell="B19" sqref="B19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45601</v>
      </c>
      <c r="C3" s="1">
        <v>45495</v>
      </c>
      <c r="D3" s="7">
        <v>3983.46</v>
      </c>
      <c r="E3" s="14">
        <v>0.17572713000000001</v>
      </c>
      <c r="F3" s="7">
        <f t="shared" ref="F3:F8" si="1">D3*E3</f>
        <v>700.0019932698001</v>
      </c>
      <c r="G3" s="14">
        <f>E3</f>
        <v>0.17572713000000001</v>
      </c>
      <c r="H3" s="7">
        <f ca="1">VLOOKUP(B3,Tabla4[],6,FALSE)</f>
        <v>4287</v>
      </c>
      <c r="I3" s="7">
        <f t="shared" ref="I3:I8" ca="1" si="2">G3*H3</f>
        <v>753.34220631000005</v>
      </c>
      <c r="J3" s="7">
        <f>F3</f>
        <v>700.0019932698001</v>
      </c>
      <c r="K3" s="7">
        <f ca="1">Tabla5[[#This Row],[VALOR ACTUAL EN COP]]-Tabla5[[#This Row],[COSTO TOTAL EN COP]]</f>
        <v>53.340213040199956</v>
      </c>
      <c r="L3" s="10">
        <f t="shared" ref="L3:L8" ca="1" si="3">((I3-J3)/J3)</f>
        <v>7.620008736123865E-2</v>
      </c>
      <c r="M3" s="7">
        <f>D3*1.1</f>
        <v>4381.8060000000005</v>
      </c>
    </row>
    <row r="4" spans="2:13">
      <c r="B4" s="1">
        <f t="shared" ca="1" si="0"/>
        <v>45601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4287</v>
      </c>
      <c r="I4" s="7">
        <f t="shared" ca="1" si="2"/>
        <v>861.33336537000014</v>
      </c>
      <c r="J4" s="7">
        <f t="shared" ref="J4:J9" si="5">F4+J3</f>
        <v>800.00200808240015</v>
      </c>
      <c r="K4" s="7">
        <f ca="1">Tabla5[[#This Row],[VALOR ACTUAL EN COP]]-Tabla5[[#This Row],[COSTO TOTAL EN COP]]</f>
        <v>61.331357287599985</v>
      </c>
      <c r="L4" s="10">
        <f t="shared" ca="1" si="3"/>
        <v>7.6664004174953101E-2</v>
      </c>
      <c r="M4" s="7">
        <f t="shared" ref="M4:M6" si="6">D4*1.1</f>
        <v>4366.7470000000003</v>
      </c>
    </row>
    <row r="5" spans="2:13">
      <c r="B5" s="1">
        <f t="shared" ref="B5:B10" ca="1" si="7">TODAY()</f>
        <v>45601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4287</v>
      </c>
      <c r="I5" s="22">
        <f t="shared" ca="1" si="2"/>
        <v>1608.99744018</v>
      </c>
      <c r="J5" s="8">
        <f t="shared" si="5"/>
        <v>1500.0018441134002</v>
      </c>
      <c r="K5" s="8">
        <f ca="1">Tabla5[[#This Row],[VALOR ACTUAL EN COP]]-Tabla5[[#This Row],[COSTO TOTAL EN COP]]</f>
        <v>108.99559606659977</v>
      </c>
      <c r="L5" s="10">
        <f t="shared" ca="1" si="3"/>
        <v>7.2663641377736662E-2</v>
      </c>
      <c r="M5" s="7">
        <f t="shared" si="6"/>
        <v>4415.07</v>
      </c>
    </row>
    <row r="6" spans="2:13">
      <c r="B6" s="1">
        <f t="shared" ca="1" si="7"/>
        <v>45601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4287</v>
      </c>
      <c r="I6" s="22">
        <f t="shared" ca="1" si="2"/>
        <v>2322.8369563800002</v>
      </c>
      <c r="J6" s="8">
        <f t="shared" si="5"/>
        <v>2200.0024981274005</v>
      </c>
      <c r="K6" s="8">
        <f ca="1">Tabla5[[#This Row],[VALOR ACTUAL EN COP]]-Tabla5[[#This Row],[COSTO TOTAL EN COP]]</f>
        <v>122.83445825259969</v>
      </c>
      <c r="L6" s="10">
        <f t="shared" ca="1" si="3"/>
        <v>5.5833781260318571E-2</v>
      </c>
      <c r="M6" s="7">
        <f t="shared" si="6"/>
        <v>4624.2790000000005</v>
      </c>
    </row>
    <row r="7" spans="2:13">
      <c r="B7" s="1">
        <f t="shared" ca="1" si="7"/>
        <v>45601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4287</v>
      </c>
      <c r="I7" s="22">
        <f t="shared" ca="1" si="2"/>
        <v>3065.0254175699997</v>
      </c>
      <c r="J7" s="8">
        <f t="shared" si="5"/>
        <v>2900.0020379021007</v>
      </c>
      <c r="K7" s="8">
        <f ca="1">Tabla5[[#This Row],[VALOR ACTUAL EN COP]]-Tabla5[[#This Row],[COSTO TOTAL EN COP]]</f>
        <v>165.02337966789901</v>
      </c>
      <c r="L7" s="30">
        <f t="shared" ca="1" si="3"/>
        <v>5.6904573690327157E-2</v>
      </c>
      <c r="M7" s="8">
        <f t="shared" ref="M7:M12" si="8">D7*1.1</f>
        <v>4447.6410000000005</v>
      </c>
    </row>
    <row r="8" spans="2:13">
      <c r="B8" s="1">
        <f t="shared" ca="1" si="7"/>
        <v>45601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4287</v>
      </c>
      <c r="I8" s="22">
        <f t="shared" ca="1" si="2"/>
        <v>3823.2003589800001</v>
      </c>
      <c r="J8" s="8">
        <f t="shared" si="5"/>
        <v>3600.0024831079008</v>
      </c>
      <c r="K8" s="8">
        <f ca="1">Tabla5[[#This Row],[VALOR ACTUAL EN COP]]-Tabla5[[#This Row],[COSTO TOTAL EN COP]]</f>
        <v>223.1978758720993</v>
      </c>
      <c r="L8" s="30">
        <f t="shared" ca="1" si="3"/>
        <v>6.199936720027243E-2</v>
      </c>
      <c r="M8" s="8">
        <f t="shared" si="8"/>
        <v>4353.866</v>
      </c>
    </row>
    <row r="9" spans="2:13">
      <c r="B9" s="1">
        <f t="shared" ca="1" si="7"/>
        <v>45601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4287</v>
      </c>
      <c r="I9" s="22">
        <f t="shared" ref="I9:I14" ca="1" si="10">G9*H9</f>
        <v>4579.7262629699999</v>
      </c>
      <c r="J9" s="8">
        <f t="shared" si="5"/>
        <v>4300.0015903715012</v>
      </c>
      <c r="K9" s="8">
        <f ca="1">Tabla5[[#This Row],[VALOR ACTUAL EN COP]]-Tabla5[[#This Row],[COSTO TOTAL EN COP]]</f>
        <v>279.72467259849873</v>
      </c>
      <c r="L9" s="30">
        <f t="shared" ref="L9:L14" ca="1" si="11">((I9-J9)/J9)</f>
        <v>6.5052225381696138E-2</v>
      </c>
      <c r="M9" s="8">
        <f t="shared" si="8"/>
        <v>4363.348</v>
      </c>
    </row>
    <row r="10" spans="2:13">
      <c r="B10" s="1">
        <f t="shared" ca="1" si="7"/>
        <v>45601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4287</v>
      </c>
      <c r="I10" s="22">
        <f t="shared" ca="1" si="10"/>
        <v>5330.8796985600002</v>
      </c>
      <c r="J10" s="8">
        <f t="shared" ref="J10:J15" si="13">F10+J9</f>
        <v>5000.0023005157009</v>
      </c>
      <c r="K10" s="8">
        <f ca="1">Tabla5[[#This Row],[VALOR ACTUAL EN COP]]-Tabla5[[#This Row],[COSTO TOTAL EN COP]]</f>
        <v>330.8773980442993</v>
      </c>
      <c r="L10" s="30">
        <f t="shared" ca="1" si="11"/>
        <v>6.6175449161327893E-2</v>
      </c>
      <c r="M10" s="8">
        <f t="shared" si="8"/>
        <v>4394.5660000000007</v>
      </c>
    </row>
    <row r="11" spans="2:13">
      <c r="B11" s="1">
        <f t="shared" ref="B11:B16" ca="1" si="14">TODAY()</f>
        <v>45601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4287</v>
      </c>
      <c r="I11" s="22">
        <f t="shared" ca="1" si="10"/>
        <v>6066.0260334600007</v>
      </c>
      <c r="J11" s="8">
        <f t="shared" si="13"/>
        <v>5700.0015412237008</v>
      </c>
      <c r="K11" s="8">
        <f ca="1">Tabla5[[#This Row],[VALOR ACTUAL EN COP]]-Tabla5[[#This Row],[COSTO TOTAL EN COP]]</f>
        <v>366.02449223629992</v>
      </c>
      <c r="L11" s="30">
        <f t="shared" ca="1" si="11"/>
        <v>6.4214805836301625E-2</v>
      </c>
      <c r="M11" s="8">
        <f t="shared" si="8"/>
        <v>4490.2440000000006</v>
      </c>
    </row>
    <row r="12" spans="2:13">
      <c r="B12" s="1">
        <f t="shared" ca="1" si="14"/>
        <v>45601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4287</v>
      </c>
      <c r="I12" s="22">
        <f t="shared" ca="1" si="10"/>
        <v>6791.80827426</v>
      </c>
      <c r="J12" s="8">
        <f t="shared" si="13"/>
        <v>6400.0013286877011</v>
      </c>
      <c r="K12" s="8">
        <f ca="1">Tabla5[[#This Row],[VALOR ACTUAL EN COP]]-Tabla5[[#This Row],[COSTO TOTAL EN COP]]</f>
        <v>391.8069455722989</v>
      </c>
      <c r="L12" s="30">
        <f t="shared" ca="1" si="11"/>
        <v>6.1219822535980253E-2</v>
      </c>
      <c r="M12" s="8">
        <f t="shared" si="8"/>
        <v>4548.1810000000005</v>
      </c>
    </row>
    <row r="13" spans="2:13">
      <c r="B13" s="1">
        <f t="shared" ca="1" si="14"/>
        <v>45601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4287</v>
      </c>
      <c r="I13" s="22">
        <f t="shared" ca="1" si="10"/>
        <v>7526.2295059799999</v>
      </c>
      <c r="J13" s="8">
        <f t="shared" si="13"/>
        <v>7100.0005267969009</v>
      </c>
      <c r="K13" s="8">
        <f ca="1">Tabla5[[#This Row],[VALOR ACTUAL EN COP]]-Tabla5[[#This Row],[COSTO TOTAL EN COP]]</f>
        <v>426.228979183099</v>
      </c>
      <c r="L13" s="30">
        <f t="shared" ca="1" si="11"/>
        <v>6.0032246134971518E-2</v>
      </c>
      <c r="M13" s="8">
        <f t="shared" ref="M13:M18" si="15">D13*1.1</f>
        <v>4494.6770000000006</v>
      </c>
    </row>
    <row r="14" spans="2:13">
      <c r="B14" s="1">
        <f t="shared" ca="1" si="14"/>
        <v>45601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4287</v>
      </c>
      <c r="I14" s="22">
        <f t="shared" ca="1" si="10"/>
        <v>8268.2305823999995</v>
      </c>
      <c r="J14" s="8">
        <f t="shared" si="13"/>
        <v>7799.999876784701</v>
      </c>
      <c r="K14" s="8">
        <f ca="1">Tabla5[[#This Row],[VALOR ACTUAL EN COP]]-Tabla5[[#This Row],[COSTO TOTAL EN COP]]</f>
        <v>468.23070561529858</v>
      </c>
      <c r="L14" s="30">
        <f t="shared" ca="1" si="11"/>
        <v>6.0029578591264239E-2</v>
      </c>
      <c r="M14" s="8">
        <f t="shared" si="15"/>
        <v>4448.7629999999999</v>
      </c>
    </row>
    <row r="15" spans="2:13">
      <c r="B15" s="1">
        <f t="shared" ca="1" si="14"/>
        <v>45601</v>
      </c>
      <c r="C15" s="1">
        <v>45572</v>
      </c>
      <c r="D15" s="7">
        <v>4036.67</v>
      </c>
      <c r="E15">
        <v>0.17341017</v>
      </c>
      <c r="F15" s="7">
        <f>D15*E15</f>
        <v>699.99963093389999</v>
      </c>
      <c r="G15" s="14">
        <f t="shared" si="12"/>
        <v>2.1020853700000002</v>
      </c>
      <c r="H15" s="7">
        <f ca="1">VLOOKUP(B15,Tabla4[],6,FALSE)</f>
        <v>4287</v>
      </c>
      <c r="I15" s="22">
        <f ca="1">G15*H15</f>
        <v>9011.639981190001</v>
      </c>
      <c r="J15" s="8">
        <f t="shared" si="13"/>
        <v>8499.9995077186013</v>
      </c>
      <c r="K15" s="8">
        <f ca="1">Tabla5[[#This Row],[VALOR ACTUAL EN COP]]-Tabla5[[#This Row],[COSTO TOTAL EN COP]]</f>
        <v>511.64047347139967</v>
      </c>
      <c r="L15" s="30">
        <f ca="1">((I15-J15)/J15)</f>
        <v>6.0193000365093424E-2</v>
      </c>
      <c r="M15" s="8">
        <f t="shared" si="15"/>
        <v>4440.3370000000004</v>
      </c>
    </row>
    <row r="16" spans="2:13">
      <c r="B16" s="1">
        <f t="shared" ca="1" si="14"/>
        <v>45601</v>
      </c>
      <c r="C16" s="1">
        <v>45580</v>
      </c>
      <c r="D16" s="7">
        <v>4101.22</v>
      </c>
      <c r="E16">
        <v>0.17068098000000001</v>
      </c>
      <c r="F16" s="7">
        <f>D16*E16</f>
        <v>700.0002487956001</v>
      </c>
      <c r="G16" s="14">
        <f>G15+E16</f>
        <v>2.2727663500000004</v>
      </c>
      <c r="H16" s="7">
        <f ca="1">VLOOKUP(B16,Tabla4[],6,FALSE)</f>
        <v>4287</v>
      </c>
      <c r="I16" s="22">
        <f ca="1">G16*H16</f>
        <v>9743.3493424500011</v>
      </c>
      <c r="J16" s="8">
        <f>F16+J15</f>
        <v>9199.9997565142021</v>
      </c>
      <c r="K16" s="8">
        <f ca="1">Tabla5[[#This Row],[VALOR ACTUAL EN COP]]-Tabla5[[#This Row],[COSTO TOTAL EN COP]]</f>
        <v>543.34958593579904</v>
      </c>
      <c r="L16" s="30">
        <f ca="1">((I16-J16)/J16)</f>
        <v>5.905973916478334E-2</v>
      </c>
      <c r="M16" s="8">
        <f t="shared" si="15"/>
        <v>4511.3420000000006</v>
      </c>
    </row>
    <row r="17" spans="2:13">
      <c r="B17" s="1">
        <f ca="1">TODAY()</f>
        <v>45601</v>
      </c>
      <c r="C17" s="1">
        <v>45586</v>
      </c>
      <c r="D17" s="7">
        <v>4209.08</v>
      </c>
      <c r="E17">
        <v>0.16630713</v>
      </c>
      <c r="F17" s="22">
        <f>D17*E17</f>
        <v>700.00001474039993</v>
      </c>
      <c r="G17" s="14">
        <f>G16+E17</f>
        <v>2.4390734800000002</v>
      </c>
      <c r="H17" s="7">
        <f ca="1">VLOOKUP(B17,Tabla4[],6,FALSE)</f>
        <v>4287</v>
      </c>
      <c r="I17" s="22">
        <f ca="1">G17*H17</f>
        <v>10456.308008760001</v>
      </c>
      <c r="J17" s="8">
        <f>F17+J16</f>
        <v>9899.9997712546028</v>
      </c>
      <c r="K17" s="8">
        <f ca="1">Tabla5[[#This Row],[VALOR ACTUAL EN COP]]-Tabla5[[#This Row],[COSTO TOTAL EN COP]]</f>
        <v>556.30823750539821</v>
      </c>
      <c r="L17" s="30">
        <f ca="1">((I17-J17)/J17)</f>
        <v>5.6192752561538557E-2</v>
      </c>
      <c r="M17" s="8">
        <f t="shared" si="15"/>
        <v>4629.9880000000003</v>
      </c>
    </row>
    <row r="18" spans="2:13">
      <c r="B18" s="1">
        <f ca="1">TODAY()</f>
        <v>45601</v>
      </c>
      <c r="C18" s="1">
        <v>45593</v>
      </c>
      <c r="D18" s="7">
        <v>4241.6000000000004</v>
      </c>
      <c r="E18">
        <v>0.16503193999999999</v>
      </c>
      <c r="F18" s="22">
        <f>D18*E18</f>
        <v>699.99947670400002</v>
      </c>
      <c r="G18" s="14">
        <f>G17+E18</f>
        <v>2.6041054200000002</v>
      </c>
      <c r="H18" s="7">
        <f ca="1">VLOOKUP(B18,Tabla4[],6,FALSE)</f>
        <v>4287</v>
      </c>
      <c r="I18" s="22">
        <f ca="1">G18*H18</f>
        <v>11163.799935540001</v>
      </c>
      <c r="J18" s="8">
        <f>F18+J17</f>
        <v>10599.999247958604</v>
      </c>
      <c r="K18" s="8">
        <f ca="1">Tabla5[[#This Row],[VALOR ACTUAL EN COP]]-Tabla5[[#This Row],[COSTO TOTAL EN COP]]</f>
        <v>563.80068758139714</v>
      </c>
      <c r="L18" s="30">
        <f ca="1">((I18-J18)/J18)</f>
        <v>5.3188747885050694E-2</v>
      </c>
      <c r="M18" s="8">
        <f t="shared" si="15"/>
        <v>4665.7600000000011</v>
      </c>
    </row>
    <row r="19" spans="2:13">
      <c r="B19" s="1">
        <f ca="1">TODAY()</f>
        <v>45601</v>
      </c>
      <c r="C19" s="1">
        <v>45600</v>
      </c>
      <c r="D19" s="7">
        <v>4370.66</v>
      </c>
      <c r="E19">
        <v>0.16015905999999999</v>
      </c>
      <c r="F19" s="22">
        <f>D19*E19</f>
        <v>700.00079717959989</v>
      </c>
      <c r="G19" s="14">
        <f>G18+E19</f>
        <v>2.76426448</v>
      </c>
      <c r="H19" s="7">
        <f ca="1">VLOOKUP(B19,Tabla4[],6,FALSE)</f>
        <v>4287</v>
      </c>
      <c r="I19" s="22">
        <f ca="1">G19*H19</f>
        <v>11850.40182576</v>
      </c>
      <c r="J19" s="8">
        <f>F19+J18</f>
        <v>11300.000045138204</v>
      </c>
      <c r="K19" s="8">
        <f ca="1">Tabla5[[#This Row],[VALOR ACTUAL EN COP]]-Tabla5[[#This Row],[COSTO TOTAL EN COP]]</f>
        <v>550.40178062179621</v>
      </c>
      <c r="L19" s="30">
        <f ca="1">((I19-J19)/J19)</f>
        <v>4.8708121984353897E-2</v>
      </c>
      <c r="M19" s="8">
        <f>D19*1.1</f>
        <v>4807.7260000000006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topLeftCell="F1" workbookViewId="0">
      <selection activeCell="K18" sqref="K18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-6481.8000000000029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-204.69999999999982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-0.67000000000000015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 t="shared" ref="L14:L22" si="11"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 t="shared" ref="G15:G22" si="12">D15*F15*E15</f>
        <v>14069.857322894881</v>
      </c>
      <c r="H15">
        <v>6.2749999999999994E-5</v>
      </c>
      <c r="I15" s="7">
        <v>4374.1000000000004</v>
      </c>
      <c r="J15" s="7">
        <v>72074</v>
      </c>
      <c r="K15" s="7">
        <f t="shared" ref="K15:K22" si="13">H15*J15*I15</f>
        <v>19782.494933349997</v>
      </c>
      <c r="L15" s="14">
        <f t="shared" si="11"/>
        <v>1.0219999999999994E-5</v>
      </c>
      <c r="M15" s="8">
        <f t="shared" ref="M15:M22" si="14">F15-J15</f>
        <v>-8288.1999999999971</v>
      </c>
      <c r="N15" s="7">
        <f t="shared" ref="N15:N22" si="15">L15*J15*I15</f>
        <v>3221.9457883479981</v>
      </c>
      <c r="O15" s="8">
        <f t="shared" ref="O15:O22" si="16">(K15-G15)/G15</f>
        <v>0.40601958352195555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 t="shared" si="12"/>
        <v>11373.39366623264</v>
      </c>
      <c r="H16">
        <v>1.28396E-3</v>
      </c>
      <c r="I16" s="7">
        <v>4374.1000000000004</v>
      </c>
      <c r="J16" s="7">
        <v>2630</v>
      </c>
      <c r="K16" s="7">
        <f t="shared" si="13"/>
        <v>14770.525616680001</v>
      </c>
      <c r="L16" s="14">
        <f t="shared" si="11"/>
        <v>2.5434000000000003E-4</v>
      </c>
      <c r="M16" s="8">
        <f t="shared" si="14"/>
        <v>0.59999999999990905</v>
      </c>
      <c r="N16" s="7">
        <f t="shared" si="15"/>
        <v>2925.8976022200009</v>
      </c>
      <c r="O16" s="8">
        <f t="shared" si="16"/>
        <v>0.29869114269150576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 t="shared" si="12"/>
        <v>6375.4667619334559</v>
      </c>
      <c r="H17">
        <v>0.91954166000000004</v>
      </c>
      <c r="I17" s="7">
        <v>4374.1000000000004</v>
      </c>
      <c r="J17" s="7">
        <v>1.68</v>
      </c>
      <c r="K17" s="7">
        <f t="shared" si="13"/>
        <v>6757.2408540100814</v>
      </c>
      <c r="L17" s="14">
        <f t="shared" si="11"/>
        <v>0.18250943000000008</v>
      </c>
      <c r="M17" s="8">
        <f t="shared" si="14"/>
        <v>0.38000000000000012</v>
      </c>
      <c r="N17" s="7">
        <f t="shared" si="15"/>
        <v>1341.1683562418407</v>
      </c>
      <c r="O17" s="8">
        <f t="shared" si="16"/>
        <v>5.9881747695104723E-2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 t="shared" si="12"/>
        <v>8119.6943981663999</v>
      </c>
      <c r="H18">
        <v>2.63210867</v>
      </c>
      <c r="I18" s="7">
        <v>4374.1000000000004</v>
      </c>
      <c r="J18" s="7">
        <v>1</v>
      </c>
      <c r="K18" s="7">
        <f t="shared" si="13"/>
        <v>11513.106533447</v>
      </c>
      <c r="L18" s="14">
        <f t="shared" si="11"/>
        <v>0.69844295000000001</v>
      </c>
      <c r="M18" s="8">
        <f t="shared" si="14"/>
        <v>0</v>
      </c>
      <c r="N18" s="7">
        <f t="shared" si="15"/>
        <v>3055.0593075950001</v>
      </c>
      <c r="O18" s="8">
        <f t="shared" si="16"/>
        <v>0.41792362727923671</v>
      </c>
    </row>
    <row r="19" spans="2:15">
      <c r="B19" s="17" t="s">
        <v>112</v>
      </c>
      <c r="C19" t="s">
        <v>14</v>
      </c>
      <c r="D19">
        <v>6.2749999999999994E-5</v>
      </c>
      <c r="E19" s="7">
        <v>4418.63</v>
      </c>
      <c r="F19" s="7">
        <v>69923.17</v>
      </c>
      <c r="G19" s="7">
        <f t="shared" si="12"/>
        <v>19387.529695233025</v>
      </c>
      <c r="K19">
        <f t="shared" si="13"/>
        <v>0</v>
      </c>
      <c r="L19" s="14">
        <f t="shared" si="11"/>
        <v>-6.2749999999999994E-5</v>
      </c>
      <c r="M19" s="8">
        <f t="shared" si="14"/>
        <v>69923.17</v>
      </c>
      <c r="N19">
        <f t="shared" si="15"/>
        <v>0</v>
      </c>
      <c r="O19" s="8">
        <f t="shared" si="16"/>
        <v>-1</v>
      </c>
    </row>
    <row r="20" spans="2:15">
      <c r="B20" s="17" t="s">
        <v>112</v>
      </c>
      <c r="C20" t="s">
        <v>15</v>
      </c>
      <c r="D20">
        <v>1.28396E-3</v>
      </c>
      <c r="E20" s="7">
        <v>4418.63</v>
      </c>
      <c r="F20" s="7">
        <v>2517.8000000000002</v>
      </c>
      <c r="G20" s="7">
        <f t="shared" si="12"/>
        <v>14284.345963311442</v>
      </c>
      <c r="K20">
        <f t="shared" si="13"/>
        <v>0</v>
      </c>
      <c r="L20" s="14">
        <f t="shared" si="11"/>
        <v>-1.28396E-3</v>
      </c>
      <c r="M20" s="8">
        <f t="shared" si="14"/>
        <v>2517.8000000000002</v>
      </c>
      <c r="N20">
        <f t="shared" si="15"/>
        <v>0</v>
      </c>
      <c r="O20" s="8">
        <f t="shared" si="16"/>
        <v>-1</v>
      </c>
    </row>
    <row r="21" spans="2:15">
      <c r="B21" s="17" t="s">
        <v>112</v>
      </c>
      <c r="C21" t="s">
        <v>41</v>
      </c>
      <c r="D21">
        <v>0.91954166000000004</v>
      </c>
      <c r="E21" s="7">
        <v>4418.63</v>
      </c>
      <c r="F21" s="7">
        <v>1.61</v>
      </c>
      <c r="G21" s="7">
        <f t="shared" si="12"/>
        <v>6541.6141278525392</v>
      </c>
      <c r="K21">
        <f t="shared" si="13"/>
        <v>0</v>
      </c>
      <c r="L21" s="14">
        <f t="shared" si="11"/>
        <v>-0.91954166000000004</v>
      </c>
      <c r="M21" s="8">
        <f t="shared" si="14"/>
        <v>1.61</v>
      </c>
      <c r="N21">
        <f t="shared" si="15"/>
        <v>0</v>
      </c>
      <c r="O21" s="8">
        <f t="shared" si="16"/>
        <v>-1</v>
      </c>
    </row>
    <row r="22" spans="2:15">
      <c r="B22" s="17" t="s">
        <v>112</v>
      </c>
      <c r="C22" t="s">
        <v>63</v>
      </c>
      <c r="D22">
        <v>2.63210867</v>
      </c>
      <c r="E22" s="7">
        <v>4418.63</v>
      </c>
      <c r="F22" s="7">
        <v>1</v>
      </c>
      <c r="G22" s="7">
        <f t="shared" si="12"/>
        <v>11630.314332522101</v>
      </c>
      <c r="K22">
        <f t="shared" si="13"/>
        <v>0</v>
      </c>
      <c r="L22" s="14">
        <f t="shared" si="11"/>
        <v>-2.63210867</v>
      </c>
      <c r="M22" s="8">
        <f t="shared" si="14"/>
        <v>1</v>
      </c>
      <c r="N22">
        <f t="shared" si="15"/>
        <v>0</v>
      </c>
      <c r="O22" s="8">
        <f t="shared" si="16"/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tabSelected="1" topLeftCell="G66" workbookViewId="0">
      <selection activeCell="M87" sqref="M87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13" width="22.375" customWidth="1"/>
  </cols>
  <sheetData>
    <row r="2" spans="2:13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</row>
    <row r="3" spans="2:13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</row>
    <row r="4" spans="2:13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</row>
    <row r="5" spans="2:13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</row>
    <row r="6" spans="2:13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</row>
    <row r="7" spans="2:13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</row>
    <row r="8" spans="2:13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</row>
    <row r="9" spans="2:13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</row>
    <row r="10" spans="2:13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</row>
    <row r="11" spans="2:13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</row>
    <row r="12" spans="2:13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</row>
    <row r="13" spans="2:13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</row>
    <row r="14" spans="2:13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</row>
    <row r="15" spans="2:13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</row>
    <row r="16" spans="2:13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</row>
    <row r="17" spans="2:13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</row>
    <row r="18" spans="2:13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</row>
    <row r="19" spans="2:13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</row>
    <row r="20" spans="2:13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</row>
    <row r="21" spans="2:13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</row>
    <row r="22" spans="2:13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</row>
    <row r="23" spans="2:13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</row>
    <row r="24" spans="2:13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</row>
    <row r="25" spans="2:13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</row>
    <row r="26" spans="2:13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</row>
    <row r="27" spans="2:13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</row>
    <row r="28" spans="2:13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</row>
    <row r="29" spans="2:13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</row>
    <row r="30" spans="2:13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</row>
    <row r="31" spans="2:13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</row>
    <row r="32" spans="2:13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</row>
    <row r="33" spans="2:13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</row>
    <row r="34" spans="2:13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</row>
    <row r="35" spans="2:13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</row>
    <row r="36" spans="2:13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</row>
    <row r="37" spans="2:13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</row>
    <row r="38" spans="2:13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</row>
    <row r="39" spans="2:13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</row>
    <row r="40" spans="2:13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</row>
    <row r="41" spans="2:13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</row>
    <row r="42" spans="2:13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</row>
    <row r="43" spans="2:13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</row>
    <row r="44" spans="2:13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</row>
    <row r="45" spans="2:13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</row>
    <row r="46" spans="2:13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</row>
    <row r="47" spans="2:13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</row>
    <row r="48" spans="2:13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</row>
    <row r="49" spans="2:13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</row>
    <row r="50" spans="2:13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</row>
    <row r="51" spans="2:13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</row>
    <row r="52" spans="2:13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</row>
    <row r="53" spans="2:13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</row>
    <row r="54" spans="2:13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</row>
    <row r="55" spans="2:13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</row>
    <row r="56" spans="2:13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</row>
    <row r="57" spans="2:13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</row>
    <row r="58" spans="2:13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</row>
    <row r="59" spans="2:13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</row>
    <row r="60" spans="2:13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</row>
    <row r="61" spans="2:13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</row>
    <row r="62" spans="2:13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</row>
    <row r="63" spans="2:13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</row>
    <row r="64" spans="2:13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</row>
    <row r="65" spans="2:13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</row>
    <row r="66" spans="2:13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</row>
    <row r="67" spans="2:13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</row>
    <row r="68" spans="2:13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</row>
    <row r="69" spans="2:13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</row>
    <row r="70" spans="2:13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</row>
    <row r="71" spans="2:13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</row>
    <row r="72" spans="2:13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</row>
    <row r="73" spans="2:13">
      <c r="B73" s="1">
        <v>45580</v>
      </c>
      <c r="C73" s="8">
        <f>VLOOKUP(B73,Tabla4[],2,FALSE)</f>
        <v>4207.21</v>
      </c>
      <c r="D73" s="24">
        <v>532.98</v>
      </c>
      <c r="E73" s="8">
        <f t="shared" ref="E73:E78" si="10"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</row>
    <row r="74" spans="2:13">
      <c r="B74" s="1">
        <v>45581</v>
      </c>
      <c r="C74" s="8">
        <f>VLOOKUP(B74,Tabla4[],2,FALSE)</f>
        <v>4257.21</v>
      </c>
      <c r="D74" s="24">
        <v>535.22</v>
      </c>
      <c r="E74" s="8">
        <f t="shared" si="10"/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</row>
    <row r="75" spans="2:13">
      <c r="B75" s="1">
        <v>45582</v>
      </c>
      <c r="C75" s="8">
        <f>VLOOKUP(B75,Tabla4[],2,FALSE)</f>
        <v>4278.74</v>
      </c>
      <c r="D75" s="24">
        <v>537.36</v>
      </c>
      <c r="E75" s="8">
        <f t="shared" si="10"/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</row>
    <row r="76" spans="2:13">
      <c r="B76" s="1">
        <v>45583</v>
      </c>
      <c r="C76" s="8">
        <f>VLOOKUP(B76,Tabla4[],2,FALSE)</f>
        <v>4247.29</v>
      </c>
      <c r="D76" s="24">
        <v>535.29999999999995</v>
      </c>
      <c r="E76" s="8">
        <f t="shared" si="10"/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</row>
    <row r="77" spans="2:13">
      <c r="B77" s="1">
        <v>45583</v>
      </c>
      <c r="C77" s="8">
        <f>VLOOKUP(B77,Tabla4[],2,FALSE)</f>
        <v>4247.29</v>
      </c>
      <c r="D77" s="24">
        <v>537.36</v>
      </c>
      <c r="E77" s="8">
        <f t="shared" si="10"/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</row>
    <row r="78" spans="2:13">
      <c r="B78" s="1">
        <v>45586</v>
      </c>
      <c r="C78" s="8">
        <f>VLOOKUP(B78,Tabla4[],2,FALSE)</f>
        <v>4270</v>
      </c>
      <c r="D78" s="24">
        <v>536.53</v>
      </c>
      <c r="E78" s="8">
        <f t="shared" si="10"/>
        <v>8.1445253999999991</v>
      </c>
      <c r="F78" s="8">
        <f>Tabla2[[#This Row],[VALOR INVERSION 1]]-7.7</f>
        <v>0.44452539999999896</v>
      </c>
      <c r="G78" s="8">
        <f>Tabla2[[#This Row],[VALOR INVERSION 1]]*Tabla2[[#This Row],[PRECIO DEL DÓLAR]]</f>
        <v>34777.123457999995</v>
      </c>
      <c r="H78" s="8">
        <f>Tabla2[[#This Row],[VOO]]*0.01527</f>
        <v>8.1928131000000004</v>
      </c>
      <c r="I78" s="8">
        <f>Tabla2[[#This Row],[VALOR INVERSION 2]]-7.9</f>
        <v>0.29281310000000005</v>
      </c>
      <c r="J78" s="8">
        <f>Tabla2[[#This Row],[VALOR INVERSION 2]]*Tabla2[[#This Row],[PRECIO DEL DÓLAR]]</f>
        <v>34983.311936999999</v>
      </c>
      <c r="K78" s="8">
        <f>Tabla2[[#This Row],[VOO]]*0.01284</f>
        <v>6.8890452</v>
      </c>
      <c r="L78" s="8">
        <f>Tabla2[[#This Row],[VALOR INVERSION 3]]-6.9</f>
        <v>-1.0954800000000375E-2</v>
      </c>
      <c r="M78" s="8">
        <f>Tabla2[[#This Row],[VALOR INVERSION 3]]*Tabla2[[#This Row],[PRECIO DEL DÓLAR]]</f>
        <v>29416.223003999999</v>
      </c>
    </row>
    <row r="79" spans="2:13">
      <c r="B79" s="1">
        <v>45587</v>
      </c>
      <c r="C79" s="8">
        <f>VLOOKUP(B79,Tabla4[],2,FALSE)</f>
        <v>4280.04</v>
      </c>
      <c r="D79" s="24">
        <v>536.16</v>
      </c>
      <c r="E79" s="8">
        <f t="shared" ref="E79:E84" si="11">0.01518 * D79</f>
        <v>8.1389087999999994</v>
      </c>
      <c r="F79" s="8">
        <f>Tabla2[[#This Row],[VALOR INVERSION 1]]-7.7</f>
        <v>0.43890879999999921</v>
      </c>
      <c r="G79" s="8">
        <f>Tabla2[[#This Row],[VALOR INVERSION 1]]*Tabla2[[#This Row],[PRECIO DEL DÓLAR]]</f>
        <v>34834.855220351994</v>
      </c>
      <c r="H79" s="8">
        <f>Tabla2[[#This Row],[VOO]]*0.01527</f>
        <v>8.1871632000000005</v>
      </c>
      <c r="I79" s="8">
        <f>Tabla2[[#This Row],[VALOR INVERSION 2]]-7.9</f>
        <v>0.28716320000000017</v>
      </c>
      <c r="J79" s="8">
        <f>Tabla2[[#This Row],[VALOR INVERSION 2]]*Tabla2[[#This Row],[PRECIO DEL DÓLAR]]</f>
        <v>35041.385982528001</v>
      </c>
      <c r="K79" s="8">
        <f>Tabla2[[#This Row],[VOO]]*0.01284</f>
        <v>6.8842943999999999</v>
      </c>
      <c r="L79" s="8">
        <f>Tabla2[[#This Row],[VALOR INVERSION 3]]-6.9</f>
        <v>-1.570560000000043E-2</v>
      </c>
      <c r="M79" s="8">
        <f>Tabla2[[#This Row],[VALOR INVERSION 3]]*Tabla2[[#This Row],[PRECIO DEL DÓLAR]]</f>
        <v>29465.055403776001</v>
      </c>
    </row>
    <row r="80" spans="2:13">
      <c r="B80" s="1">
        <v>45588</v>
      </c>
      <c r="C80" s="8">
        <f>VLOOKUP(B80,Tabla4[],2,FALSE)</f>
        <v>4270.37</v>
      </c>
      <c r="D80" s="24">
        <v>531.27</v>
      </c>
      <c r="E80" s="8">
        <f t="shared" si="11"/>
        <v>8.0646786000000006</v>
      </c>
      <c r="F80" s="8">
        <f>Tabla2[[#This Row],[VALOR INVERSION 1]]-7.7</f>
        <v>0.36467860000000041</v>
      </c>
      <c r="G80" s="8">
        <f>Tabla2[[#This Row],[VALOR INVERSION 1]]*Tabla2[[#This Row],[PRECIO DEL DÓLAR]]</f>
        <v>34439.161553081998</v>
      </c>
      <c r="H80" s="8">
        <f>Tabla2[[#This Row],[VOO]]*0.01527</f>
        <v>8.1124928999999995</v>
      </c>
      <c r="I80" s="8">
        <f>Tabla2[[#This Row],[VALOR INVERSION 2]]-7.9</f>
        <v>0.2124928999999991</v>
      </c>
      <c r="J80" s="8">
        <f>Tabla2[[#This Row],[VALOR INVERSION 2]]*Tabla2[[#This Row],[PRECIO DEL DÓLAR]]</f>
        <v>34643.346305372994</v>
      </c>
      <c r="K80" s="8">
        <f>Tabla2[[#This Row],[VOO]]*0.01284</f>
        <v>6.8215067999999999</v>
      </c>
      <c r="L80" s="8">
        <f>Tabla2[[#This Row],[VALOR INVERSION 3]]-6.9</f>
        <v>-7.8493200000000485E-2</v>
      </c>
      <c r="M80" s="8">
        <f>Tabla2[[#This Row],[VALOR INVERSION 3]]*Tabla2[[#This Row],[PRECIO DEL DÓLAR]]</f>
        <v>29130.357993515998</v>
      </c>
    </row>
    <row r="81" spans="2:13">
      <c r="B81" s="1">
        <v>45589</v>
      </c>
      <c r="C81" s="8">
        <f>VLOOKUP(B81,Tabla4[],2,FALSE)</f>
        <v>4323.92</v>
      </c>
      <c r="D81" s="24">
        <v>532.47</v>
      </c>
      <c r="E81" s="8">
        <f t="shared" si="11"/>
        <v>8.0828946000000013</v>
      </c>
      <c r="F81" s="8">
        <f>Tabla2[[#This Row],[VALOR INVERSION 1]]-7.7</f>
        <v>0.38289460000000108</v>
      </c>
      <c r="G81" s="8">
        <f>Tabla2[[#This Row],[VALOR INVERSION 1]]*Tabla2[[#This Row],[PRECIO DEL DÓLAR]]</f>
        <v>34949.789618832008</v>
      </c>
      <c r="H81" s="8">
        <f>Tabla2[[#This Row],[VOO]]*0.01527</f>
        <v>8.130816900000001</v>
      </c>
      <c r="I81" s="8">
        <f>Tabla2[[#This Row],[VALOR INVERSION 2]]-7.9</f>
        <v>0.23081690000000066</v>
      </c>
      <c r="J81" s="8">
        <f>Tabla2[[#This Row],[VALOR INVERSION 2]]*Tabla2[[#This Row],[PRECIO DEL DÓLAR]]</f>
        <v>35157.001810248003</v>
      </c>
      <c r="K81" s="8">
        <f>Tabla2[[#This Row],[VOO]]*0.01284</f>
        <v>6.8369148000000006</v>
      </c>
      <c r="L81" s="8">
        <f>Tabla2[[#This Row],[VALOR INVERSION 3]]-6.9</f>
        <v>-6.308519999999973E-2</v>
      </c>
      <c r="M81" s="8">
        <f>Tabla2[[#This Row],[VALOR INVERSION 3]]*Tabla2[[#This Row],[PRECIO DEL DÓLAR]]</f>
        <v>29562.272642016003</v>
      </c>
    </row>
    <row r="82" spans="2:13">
      <c r="B82" s="1">
        <v>45590</v>
      </c>
      <c r="C82" s="8">
        <f>VLOOKUP(B82,Tabla4[],2,FALSE)</f>
        <v>4323.1099999999997</v>
      </c>
      <c r="D82" s="24">
        <v>532.26</v>
      </c>
      <c r="E82" s="8">
        <f t="shared" si="11"/>
        <v>8.0797068000000003</v>
      </c>
      <c r="F82" s="8">
        <f>Tabla2[[#This Row],[VALOR INVERSION 1]]-7.7</f>
        <v>0.37970680000000012</v>
      </c>
      <c r="G82" s="8">
        <f>Tabla2[[#This Row],[VALOR INVERSION 1]]*Tabla2[[#This Row],[PRECIO DEL DÓLAR]]</f>
        <v>34929.461264147998</v>
      </c>
      <c r="H82" s="8">
        <f>Tabla2[[#This Row],[VOO]]*0.01527</f>
        <v>8.1276101999999995</v>
      </c>
      <c r="I82" s="8">
        <f>Tabla2[[#This Row],[VALOR INVERSION 2]]-7.9</f>
        <v>0.2276101999999991</v>
      </c>
      <c r="J82" s="8">
        <f>Tabla2[[#This Row],[VALOR INVERSION 2]]*Tabla2[[#This Row],[PRECIO DEL DÓLAR]]</f>
        <v>35136.552931721992</v>
      </c>
      <c r="K82" s="8">
        <f>Tabla2[[#This Row],[VOO]]*0.01284</f>
        <v>6.8342184000000001</v>
      </c>
      <c r="L82" s="8">
        <f>Tabla2[[#This Row],[VALOR INVERSION 3]]-6.9</f>
        <v>-6.5781600000000218E-2</v>
      </c>
      <c r="M82" s="8">
        <f>Tabla2[[#This Row],[VALOR INVERSION 3]]*Tabla2[[#This Row],[PRECIO DEL DÓLAR]]</f>
        <v>29545.077907223997</v>
      </c>
    </row>
    <row r="83" spans="2:13">
      <c r="B83" s="1">
        <v>45593</v>
      </c>
      <c r="C83" s="8">
        <f>VLOOKUP(B83,Tabla4[],2,FALSE)</f>
        <v>4321.6400000000003</v>
      </c>
      <c r="D83" s="24">
        <v>533.91999999999996</v>
      </c>
      <c r="E83" s="8">
        <f t="shared" si="11"/>
        <v>8.1049056000000004</v>
      </c>
      <c r="F83" s="8">
        <f>Tabla2[[#This Row],[VALOR INVERSION 1]]-7.7</f>
        <v>0.4049056000000002</v>
      </c>
      <c r="G83" s="8">
        <f>Tabla2[[#This Row],[VALOR INVERSION 1]]*Tabla2[[#This Row],[PRECIO DEL DÓLAR]]</f>
        <v>35026.484237184006</v>
      </c>
      <c r="H83" s="8">
        <f>Tabla2[[#This Row],[VOO]]*0.01527</f>
        <v>8.1529583999999993</v>
      </c>
      <c r="I83" s="8">
        <f>Tabla2[[#This Row],[VALOR INVERSION 2]]-7.9</f>
        <v>0.25295839999999892</v>
      </c>
      <c r="J83" s="8">
        <f>Tabla2[[#This Row],[VALOR INVERSION 2]]*Tabla2[[#This Row],[PRECIO DEL DÓLAR]]</f>
        <v>35234.151139775997</v>
      </c>
      <c r="K83" s="8">
        <f>Tabla2[[#This Row],[VOO]]*0.01284</f>
        <v>6.8555327999999998</v>
      </c>
      <c r="L83" s="8">
        <f>Tabla2[[#This Row],[VALOR INVERSION 3]]-6.9</f>
        <v>-4.4467200000000595E-2</v>
      </c>
      <c r="M83" s="8">
        <f>Tabla2[[#This Row],[VALOR INVERSION 3]]*Tabla2[[#This Row],[PRECIO DEL DÓLAR]]</f>
        <v>29627.144769792001</v>
      </c>
    </row>
    <row r="84" spans="2:13">
      <c r="B84" s="1">
        <v>45594</v>
      </c>
      <c r="C84" s="8">
        <f>VLOOKUP(B84,Tabla4[],2,FALSE)</f>
        <v>4345.13</v>
      </c>
      <c r="D84" s="24">
        <v>534.77</v>
      </c>
      <c r="E84" s="8">
        <f t="shared" si="11"/>
        <v>8.1178086</v>
      </c>
      <c r="F84" s="8">
        <f>Tabla2[[#This Row],[VALOR INVERSION 1]]-7.7</f>
        <v>0.41780859999999986</v>
      </c>
      <c r="G84" s="8">
        <f>Tabla2[[#This Row],[VALOR INVERSION 1]]*Tabla2[[#This Row],[PRECIO DEL DÓLAR]]</f>
        <v>35272.933682118004</v>
      </c>
      <c r="H84" s="8">
        <f>Tabla2[[#This Row],[VOO]]*0.01527</f>
        <v>8.1659378999999994</v>
      </c>
      <c r="I84" s="8">
        <f>Tabla2[[#This Row],[VALOR INVERSION 2]]-7.9</f>
        <v>0.26593789999999906</v>
      </c>
      <c r="J84" s="8">
        <f>Tabla2[[#This Row],[VALOR INVERSION 2]]*Tabla2[[#This Row],[PRECIO DEL DÓLAR]]</f>
        <v>35482.061747426997</v>
      </c>
      <c r="K84" s="8">
        <f>Tabla2[[#This Row],[VOO]]*0.01284</f>
        <v>6.8664468000000003</v>
      </c>
      <c r="L84" s="8">
        <f>Tabla2[[#This Row],[VALOR INVERSION 3]]-6.9</f>
        <v>-3.3553200000000061E-2</v>
      </c>
      <c r="M84" s="8">
        <f>Tabla2[[#This Row],[VALOR INVERSION 3]]*Tabla2[[#This Row],[PRECIO DEL DÓLAR]]</f>
        <v>29835.603984084002</v>
      </c>
    </row>
    <row r="85" spans="2:13">
      <c r="B85" s="1">
        <v>45595</v>
      </c>
      <c r="C85" s="8">
        <f>VLOOKUP(B85,Tabla4[],2,FALSE)</f>
        <v>4323.01</v>
      </c>
      <c r="D85" s="24">
        <v>533.16</v>
      </c>
      <c r="E85" s="8">
        <f>0.01518 * D85</f>
        <v>8.0933688000000004</v>
      </c>
      <c r="F85" s="8">
        <f>Tabla2[[#This Row],[VALOR INVERSION 1]]-7.7</f>
        <v>0.39336880000000018</v>
      </c>
      <c r="G85" s="8">
        <f>Tabla2[[#This Row],[VALOR INVERSION 1]]*Tabla2[[#This Row],[PRECIO DEL DÓLAR]]</f>
        <v>34987.714256088002</v>
      </c>
      <c r="H85" s="8">
        <f>Tabla2[[#This Row],[VOO]]*0.01527</f>
        <v>8.1413531999999993</v>
      </c>
      <c r="I85" s="8">
        <f>Tabla2[[#This Row],[VALOR INVERSION 2]]-7.9</f>
        <v>0.24135319999999894</v>
      </c>
      <c r="J85" s="8">
        <f>Tabla2[[#This Row],[VALOR INVERSION 2]]*Tabla2[[#This Row],[PRECIO DEL DÓLAR]]</f>
        <v>35195.151297131997</v>
      </c>
      <c r="K85" s="8">
        <f>Tabla2[[#This Row],[VOO]]*0.01284</f>
        <v>6.8457743999999998</v>
      </c>
      <c r="L85" s="8">
        <f>Tabla2[[#This Row],[VALOR INVERSION 3]]-6.9</f>
        <v>-5.422560000000054E-2</v>
      </c>
      <c r="M85" s="8">
        <f>Tabla2[[#This Row],[VALOR INVERSION 3]]*Tabla2[[#This Row],[PRECIO DEL DÓLAR]]</f>
        <v>29594.351188944001</v>
      </c>
    </row>
    <row r="86" spans="2:13">
      <c r="B86" s="1">
        <v>45597</v>
      </c>
      <c r="C86" s="8">
        <f>VLOOKUP(B86,Tabla4[],2,FALSE)</f>
        <v>4418.63</v>
      </c>
      <c r="D86" s="24">
        <v>522.66999999999996</v>
      </c>
      <c r="E86" s="8">
        <f>0.01518 * D86</f>
        <v>7.9341305999999996</v>
      </c>
      <c r="F86" s="8">
        <f>Tabla2[[#This Row],[VALOR INVERSION 1]]-7.7</f>
        <v>0.23413059999999941</v>
      </c>
      <c r="G86" s="8">
        <f>Tabla2[[#This Row],[VALOR INVERSION 1]]*Tabla2[[#This Row],[PRECIO DEL DÓLAR]]</f>
        <v>35057.987493077999</v>
      </c>
      <c r="H86" s="8">
        <f>Tabla2[[#This Row],[VOO]]*0.01527</f>
        <v>7.9811708999999995</v>
      </c>
      <c r="I86" s="8">
        <f>Tabla2[[#This Row],[VALOR INVERSION 2]]-7.9</f>
        <v>8.1170899999999158E-2</v>
      </c>
      <c r="J86" s="8">
        <f>Tabla2[[#This Row],[VALOR INVERSION 2]]*Tabla2[[#This Row],[PRECIO DEL DÓLAR]]</f>
        <v>35265.841173866997</v>
      </c>
      <c r="K86" s="8">
        <f>Tabla2[[#This Row],[VOO]]*0.01284</f>
        <v>6.7110827999999998</v>
      </c>
      <c r="L86" s="8">
        <f>Tabla2[[#This Row],[VALOR INVERSION 3]]-6.9</f>
        <v>-0.18891720000000056</v>
      </c>
      <c r="M86" s="8">
        <f>Tabla2[[#This Row],[VALOR INVERSION 3]]*Tabla2[[#This Row],[PRECIO DEL DÓLAR]]</f>
        <v>29653.791792563999</v>
      </c>
    </row>
    <row r="87" spans="2:13">
      <c r="B87" s="1">
        <v>45600</v>
      </c>
      <c r="C87" s="8">
        <f>VLOOKUP(B87,Tabla4[],2,FALSE)</f>
        <v>4445.3500000000004</v>
      </c>
      <c r="D87" s="24">
        <v>523.79999999999995</v>
      </c>
      <c r="E87" s="8">
        <f>0.01518 * D87</f>
        <v>7.9512839999999994</v>
      </c>
      <c r="F87" s="8">
        <f>Tabla2[[#This Row],[VALOR INVERSION 1]]-7.7</f>
        <v>0.25128399999999917</v>
      </c>
      <c r="G87" s="8">
        <f>Tabla2[[#This Row],[VALOR INVERSION 1]]*Tabla2[[#This Row],[PRECIO DEL DÓLAR]]</f>
        <v>35346.240329400003</v>
      </c>
      <c r="H87" s="8">
        <f>Tabla2[[#This Row],[VOO]]*0.01527</f>
        <v>7.9984259999999994</v>
      </c>
      <c r="I87" s="8">
        <f>Tabla2[[#This Row],[VALOR INVERSION 2]]-7.9</f>
        <v>9.8425999999999014E-2</v>
      </c>
      <c r="J87" s="8">
        <f>Tabla2[[#This Row],[VALOR INVERSION 2]]*Tabla2[[#This Row],[PRECIO DEL DÓLAR]]</f>
        <v>35555.8030191</v>
      </c>
      <c r="K87" s="8">
        <f>Tabla2[[#This Row],[VOO]]*0.01284</f>
        <v>6.7255919999999998</v>
      </c>
      <c r="L87" s="8">
        <f>Tabla2[[#This Row],[VALOR INVERSION 3]]-6.9</f>
        <v>-0.17440800000000056</v>
      </c>
      <c r="M87" s="8">
        <f>Tabla2[[#This Row],[VALOR INVERSION 3]]*Tabla2[[#This Row],[PRECIO DEL DÓLAR]]</f>
        <v>29897.610397200002</v>
      </c>
    </row>
  </sheetData>
  <conditionalFormatting sqref="F3:F87">
    <cfRule type="cellIs" dxfId="51" priority="8" operator="greaterThan">
      <formula>0</formula>
    </cfRule>
    <cfRule type="cellIs" dxfId="50" priority="9" operator="lessThan">
      <formula>0</formula>
    </cfRule>
  </conditionalFormatting>
  <conditionalFormatting sqref="I3:I87">
    <cfRule type="cellIs" dxfId="49" priority="5" operator="lessThan">
      <formula>0</formula>
    </cfRule>
  </conditionalFormatting>
  <conditionalFormatting sqref="I3:I87">
    <cfRule type="cellIs" dxfId="48" priority="4" operator="greaterThan">
      <formula>0</formula>
    </cfRule>
  </conditionalFormatting>
  <conditionalFormatting sqref="L75:L80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45601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45601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45601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45601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45601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45601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45601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45601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45601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45601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45601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45601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2024-11-05T12:36:14Z</dcterms:modified>
</cp:coreProperties>
</file>