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ILZA RAMIREZ\sebastian carrero\programacion\proyectos2024\documentos\"/>
    </mc:Choice>
  </mc:AlternateContent>
  <bookViews>
    <workbookView xWindow="-120" yWindow="-120" windowWidth="20640" windowHeight="11160" tabRatio="748"/>
  </bookViews>
  <sheets>
    <sheet name="PORTAFOLIO" sheetId="13" r:id="rId1"/>
    <sheet name="Reporte mes cuenta de ahorro" sheetId="1" r:id="rId2"/>
    <sheet name="CRIPTOS" sheetId="5" r:id="rId3"/>
    <sheet name="reportePorCompra" sheetId="9" r:id="rId4"/>
    <sheet name="USDT" sheetId="10" r:id="rId5"/>
    <sheet name="inventarioCripto" sheetId="11" r:id="rId6"/>
    <sheet name="Inv Bolsa" sheetId="7" r:id="rId7"/>
    <sheet name="BOLSA" sheetId="6" r:id="rId8"/>
    <sheet name="simulacionBolsa" sheetId="12" r:id="rId9"/>
  </sheets>
  <definedNames>
    <definedName name="BOLSA">Tabla1[]</definedName>
    <definedName name="PRECIOS">Tabla4[]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3" l="1"/>
  <c r="B77" i="9"/>
  <c r="D77" i="9" s="1"/>
  <c r="L77" i="9"/>
  <c r="W77" i="9" s="1"/>
  <c r="U77" i="9"/>
  <c r="Y77" i="9" s="1"/>
  <c r="B76" i="9"/>
  <c r="C76" i="9" s="1"/>
  <c r="L76" i="9"/>
  <c r="W76" i="9" s="1"/>
  <c r="U76" i="9"/>
  <c r="Y76" i="9" s="1"/>
  <c r="B75" i="9"/>
  <c r="C75" i="9" s="1"/>
  <c r="L75" i="9"/>
  <c r="W75" i="9" s="1"/>
  <c r="U75" i="9"/>
  <c r="Y75" i="9" s="1"/>
  <c r="B20" i="10"/>
  <c r="H20" i="10" s="1"/>
  <c r="I20" i="10" s="1"/>
  <c r="F20" i="10"/>
  <c r="J20" i="10" s="1"/>
  <c r="G20" i="10"/>
  <c r="M20" i="10"/>
  <c r="C92" i="7"/>
  <c r="E92" i="7"/>
  <c r="F92" i="7"/>
  <c r="H92" i="7"/>
  <c r="I92" i="7" s="1"/>
  <c r="K92" i="7"/>
  <c r="M92" i="7" s="1"/>
  <c r="L92" i="7"/>
  <c r="C91" i="7"/>
  <c r="G91" i="7" s="1"/>
  <c r="E91" i="7"/>
  <c r="F91" i="7"/>
  <c r="H91" i="7"/>
  <c r="I91" i="7" s="1"/>
  <c r="K91" i="7"/>
  <c r="L91" i="7" s="1"/>
  <c r="F77" i="9" l="1"/>
  <c r="E77" i="9"/>
  <c r="C77" i="9"/>
  <c r="F76" i="9"/>
  <c r="E76" i="9"/>
  <c r="M76" i="9" s="1"/>
  <c r="D76" i="9"/>
  <c r="F75" i="9"/>
  <c r="E75" i="9"/>
  <c r="D75" i="9"/>
  <c r="M75" i="9" s="1"/>
  <c r="L20" i="10"/>
  <c r="K20" i="10"/>
  <c r="G92" i="7"/>
  <c r="J92" i="7"/>
  <c r="M91" i="7"/>
  <c r="J91" i="7"/>
  <c r="C90" i="7"/>
  <c r="E90" i="7"/>
  <c r="F90" i="7" s="1"/>
  <c r="H90" i="7"/>
  <c r="I90" i="7" s="1"/>
  <c r="K90" i="7"/>
  <c r="L90" i="7"/>
  <c r="M77" i="9" l="1"/>
  <c r="V77" i="9"/>
  <c r="N77" i="9"/>
  <c r="Q77" i="9" s="1"/>
  <c r="X77" i="9"/>
  <c r="V76" i="9"/>
  <c r="N76" i="9"/>
  <c r="Q76" i="9" s="1"/>
  <c r="X76" i="9"/>
  <c r="N75" i="9"/>
  <c r="Q75" i="9" s="1"/>
  <c r="X75" i="9"/>
  <c r="V75" i="9"/>
  <c r="J90" i="7"/>
  <c r="M90" i="7"/>
  <c r="G90" i="7"/>
  <c r="C89" i="7"/>
  <c r="E89" i="7"/>
  <c r="F89" i="7" s="1"/>
  <c r="H89" i="7"/>
  <c r="K89" i="7"/>
  <c r="L89" i="7" s="1"/>
  <c r="C88" i="7"/>
  <c r="J88" i="7" s="1"/>
  <c r="E88" i="7"/>
  <c r="F88" i="7"/>
  <c r="H88" i="7"/>
  <c r="I88" i="7" s="1"/>
  <c r="K88" i="7"/>
  <c r="L88" i="7" s="1"/>
  <c r="J89" i="7" l="1"/>
  <c r="G89" i="7"/>
  <c r="I89" i="7"/>
  <c r="M89" i="7"/>
  <c r="G88" i="7"/>
  <c r="M88" i="7"/>
  <c r="C87" i="7"/>
  <c r="E87" i="7"/>
  <c r="F87" i="7" s="1"/>
  <c r="H87" i="7"/>
  <c r="I87" i="7" s="1"/>
  <c r="K87" i="7"/>
  <c r="L87" i="7" s="1"/>
  <c r="M87" i="7" l="1"/>
  <c r="J87" i="7"/>
  <c r="G87" i="7"/>
  <c r="B74" i="9"/>
  <c r="C74" i="9" s="1"/>
  <c r="L74" i="9"/>
  <c r="W74" i="9" s="1"/>
  <c r="U74" i="9"/>
  <c r="Y74" i="9" s="1"/>
  <c r="B72" i="9"/>
  <c r="C72" i="9" s="1"/>
  <c r="L72" i="9"/>
  <c r="W72" i="9" s="1"/>
  <c r="U72" i="9"/>
  <c r="Y72" i="9" s="1"/>
  <c r="B73" i="9"/>
  <c r="E73" i="9" s="1"/>
  <c r="L73" i="9"/>
  <c r="W73" i="9" s="1"/>
  <c r="U73" i="9"/>
  <c r="Y73" i="9" s="1"/>
  <c r="B19" i="10"/>
  <c r="H19" i="10" s="1"/>
  <c r="I19" i="10" s="1"/>
  <c r="F19" i="10"/>
  <c r="J19" i="10" s="1"/>
  <c r="G19" i="10"/>
  <c r="M19" i="10"/>
  <c r="F74" i="9" l="1"/>
  <c r="M74" i="9" s="1"/>
  <c r="E74" i="9"/>
  <c r="D74" i="9"/>
  <c r="F72" i="9"/>
  <c r="E72" i="9"/>
  <c r="M72" i="9" s="1"/>
  <c r="D72" i="9"/>
  <c r="D73" i="9"/>
  <c r="C73" i="9"/>
  <c r="F73" i="9"/>
  <c r="K19" i="10"/>
  <c r="L19" i="10"/>
  <c r="H37" i="13"/>
  <c r="I37" i="13"/>
  <c r="H36" i="13"/>
  <c r="I36" i="13"/>
  <c r="H35" i="13"/>
  <c r="I35" i="13"/>
  <c r="H34" i="13"/>
  <c r="I34" i="13"/>
  <c r="H33" i="13"/>
  <c r="I33" i="13"/>
  <c r="H32" i="13"/>
  <c r="I32" i="13"/>
  <c r="H31" i="13"/>
  <c r="I31" i="13"/>
  <c r="G22" i="11"/>
  <c r="O22" i="11" s="1"/>
  <c r="K22" i="11"/>
  <c r="L22" i="11"/>
  <c r="N22" i="11" s="1"/>
  <c r="M22" i="11"/>
  <c r="G21" i="11"/>
  <c r="K21" i="11"/>
  <c r="L21" i="11"/>
  <c r="N21" i="11" s="1"/>
  <c r="M21" i="11"/>
  <c r="G20" i="11"/>
  <c r="K20" i="11"/>
  <c r="L20" i="11"/>
  <c r="N20" i="11" s="1"/>
  <c r="M20" i="11"/>
  <c r="G19" i="11"/>
  <c r="K19" i="11"/>
  <c r="L19" i="11"/>
  <c r="N19" i="11" s="1"/>
  <c r="M19" i="11"/>
  <c r="G16" i="1"/>
  <c r="I16" i="1"/>
  <c r="J16" i="1" s="1"/>
  <c r="G15" i="1"/>
  <c r="I15" i="1"/>
  <c r="J15" i="1" s="1"/>
  <c r="C86" i="7"/>
  <c r="E86" i="7"/>
  <c r="F86" i="7" s="1"/>
  <c r="H86" i="7"/>
  <c r="I86" i="7" s="1"/>
  <c r="K86" i="7"/>
  <c r="L86" i="7" s="1"/>
  <c r="M73" i="9" l="1"/>
  <c r="V74" i="9"/>
  <c r="X74" i="9"/>
  <c r="N74" i="9"/>
  <c r="Q74" i="9" s="1"/>
  <c r="N72" i="9"/>
  <c r="Q72" i="9" s="1"/>
  <c r="V72" i="9"/>
  <c r="X72" i="9"/>
  <c r="N73" i="9"/>
  <c r="Q73" i="9" s="1"/>
  <c r="V73" i="9"/>
  <c r="X73" i="9"/>
  <c r="O21" i="11"/>
  <c r="O20" i="11"/>
  <c r="O19" i="11"/>
  <c r="M86" i="7"/>
  <c r="J86" i="7"/>
  <c r="G86" i="7"/>
  <c r="C85" i="7"/>
  <c r="E85" i="7"/>
  <c r="H85" i="7"/>
  <c r="I85" i="7" s="1"/>
  <c r="K85" i="7"/>
  <c r="L85" i="7" s="1"/>
  <c r="M85" i="7" l="1"/>
  <c r="G85" i="7"/>
  <c r="F85" i="7"/>
  <c r="J85" i="7"/>
  <c r="C84" i="7"/>
  <c r="E84" i="7"/>
  <c r="F84" i="7" s="1"/>
  <c r="H84" i="7"/>
  <c r="I84" i="7" s="1"/>
  <c r="K84" i="7"/>
  <c r="M84" i="7" l="1"/>
  <c r="L84" i="7"/>
  <c r="J84" i="7"/>
  <c r="G84" i="7"/>
  <c r="C83" i="7"/>
  <c r="E83" i="7"/>
  <c r="F83" i="7" s="1"/>
  <c r="H83" i="7"/>
  <c r="I83" i="7" s="1"/>
  <c r="K83" i="7"/>
  <c r="L83" i="7" s="1"/>
  <c r="M83" i="7" l="1"/>
  <c r="J83" i="7"/>
  <c r="G83" i="7"/>
  <c r="B71" i="9"/>
  <c r="C71" i="9" s="1"/>
  <c r="L71" i="9"/>
  <c r="W71" i="9" s="1"/>
  <c r="U71" i="9"/>
  <c r="Y71" i="9" s="1"/>
  <c r="B69" i="9"/>
  <c r="C69" i="9" s="1"/>
  <c r="L69" i="9"/>
  <c r="W69" i="9" s="1"/>
  <c r="U69" i="9"/>
  <c r="Y69" i="9" s="1"/>
  <c r="L70" i="9"/>
  <c r="W70" i="9" s="1"/>
  <c r="B70" i="9"/>
  <c r="D70" i="9" s="1"/>
  <c r="U70" i="9"/>
  <c r="Y70" i="9" s="1"/>
  <c r="B18" i="10"/>
  <c r="H18" i="10" s="1"/>
  <c r="F18" i="10"/>
  <c r="J18" i="10" s="1"/>
  <c r="G18" i="10"/>
  <c r="M18" i="10"/>
  <c r="C82" i="7"/>
  <c r="E82" i="7"/>
  <c r="F82" i="7" s="1"/>
  <c r="H82" i="7"/>
  <c r="I82" i="7" s="1"/>
  <c r="K82" i="7"/>
  <c r="M82" i="7" l="1"/>
  <c r="F71" i="9"/>
  <c r="M71" i="9" s="1"/>
  <c r="E71" i="9"/>
  <c r="D71" i="9"/>
  <c r="F69" i="9"/>
  <c r="E69" i="9"/>
  <c r="M69" i="9" s="1"/>
  <c r="D69" i="9"/>
  <c r="N70" i="9"/>
  <c r="Q70" i="9" s="1"/>
  <c r="X70" i="9"/>
  <c r="C70" i="9"/>
  <c r="M70" i="9" s="1"/>
  <c r="E70" i="9"/>
  <c r="F70" i="9"/>
  <c r="I18" i="10"/>
  <c r="J82" i="7"/>
  <c r="G82" i="7"/>
  <c r="L82" i="7"/>
  <c r="C81" i="7"/>
  <c r="E81" i="7"/>
  <c r="F81" i="7" s="1"/>
  <c r="H81" i="7"/>
  <c r="I81" i="7" s="1"/>
  <c r="K81" i="7"/>
  <c r="L81" i="7" s="1"/>
  <c r="N71" i="9" l="1"/>
  <c r="Q71" i="9" s="1"/>
  <c r="V71" i="9"/>
  <c r="X71" i="9"/>
  <c r="V69" i="9"/>
  <c r="X69" i="9"/>
  <c r="N69" i="9"/>
  <c r="Q69" i="9" s="1"/>
  <c r="V70" i="9"/>
  <c r="K18" i="10"/>
  <c r="L18" i="10"/>
  <c r="J81" i="7"/>
  <c r="M81" i="7"/>
  <c r="G81" i="7"/>
  <c r="C80" i="7"/>
  <c r="E80" i="7"/>
  <c r="F80" i="7" s="1"/>
  <c r="H80" i="7"/>
  <c r="I80" i="7" s="1"/>
  <c r="K80" i="7"/>
  <c r="L80" i="7" s="1"/>
  <c r="M80" i="7" l="1"/>
  <c r="J80" i="7"/>
  <c r="G80" i="7"/>
  <c r="C79" i="7"/>
  <c r="E79" i="7"/>
  <c r="F79" i="7" s="1"/>
  <c r="H79" i="7"/>
  <c r="I79" i="7" s="1"/>
  <c r="K79" i="7"/>
  <c r="L79" i="7" s="1"/>
  <c r="M79" i="7" l="1"/>
  <c r="G79" i="7"/>
  <c r="J79" i="7"/>
  <c r="C78" i="7"/>
  <c r="E78" i="7"/>
  <c r="F78" i="7"/>
  <c r="H78" i="7"/>
  <c r="I78" i="7" s="1"/>
  <c r="K78" i="7"/>
  <c r="L78" i="7" s="1"/>
  <c r="G78" i="7" l="1"/>
  <c r="M78" i="7"/>
  <c r="J78" i="7"/>
  <c r="B17" i="10"/>
  <c r="H17" i="10" s="1"/>
  <c r="F17" i="10"/>
  <c r="G17" i="10"/>
  <c r="M17" i="10"/>
  <c r="B68" i="9"/>
  <c r="C68" i="9" s="1"/>
  <c r="I68" i="9"/>
  <c r="L68" i="9" s="1"/>
  <c r="W68" i="9" s="1"/>
  <c r="U68" i="9"/>
  <c r="Y68" i="9" s="1"/>
  <c r="B67" i="9"/>
  <c r="C67" i="9" s="1"/>
  <c r="I67" i="9"/>
  <c r="L67" i="9" s="1"/>
  <c r="W67" i="9" s="1"/>
  <c r="U67" i="9"/>
  <c r="Y67" i="9" s="1"/>
  <c r="B66" i="9"/>
  <c r="D66" i="9" s="1"/>
  <c r="I66" i="9"/>
  <c r="L66" i="9" s="1"/>
  <c r="W66" i="9" s="1"/>
  <c r="U66" i="9"/>
  <c r="Y66" i="9" s="1"/>
  <c r="B65" i="9"/>
  <c r="D65" i="9" s="1"/>
  <c r="I65" i="9"/>
  <c r="L65" i="9" s="1"/>
  <c r="W65" i="9" s="1"/>
  <c r="U65" i="9"/>
  <c r="Y65" i="9" s="1"/>
  <c r="N66" i="9" l="1"/>
  <c r="Q66" i="9" s="1"/>
  <c r="I17" i="10"/>
  <c r="F68" i="9"/>
  <c r="M68" i="9" s="1"/>
  <c r="E68" i="9"/>
  <c r="D68" i="9"/>
  <c r="F67" i="9"/>
  <c r="E67" i="9"/>
  <c r="M67" i="9" s="1"/>
  <c r="D67" i="9"/>
  <c r="X66" i="9"/>
  <c r="C66" i="9"/>
  <c r="M66" i="9" s="1"/>
  <c r="F66" i="9"/>
  <c r="E66" i="9"/>
  <c r="C65" i="9"/>
  <c r="E65" i="9"/>
  <c r="F65" i="9"/>
  <c r="B64" i="9"/>
  <c r="E64" i="9" s="1"/>
  <c r="I64" i="9"/>
  <c r="L64" i="9" s="1"/>
  <c r="W64" i="9" s="1"/>
  <c r="U64" i="9"/>
  <c r="Y64" i="9" s="1"/>
  <c r="B63" i="9"/>
  <c r="C63" i="9" s="1"/>
  <c r="I63" i="9"/>
  <c r="L63" i="9" s="1"/>
  <c r="W63" i="9" s="1"/>
  <c r="U63" i="9"/>
  <c r="Y63" i="9" s="1"/>
  <c r="C77" i="7"/>
  <c r="E77" i="7"/>
  <c r="H77" i="7"/>
  <c r="I77" i="7" s="1"/>
  <c r="K77" i="7"/>
  <c r="L77" i="7" s="1"/>
  <c r="M65" i="9" l="1"/>
  <c r="N68" i="9"/>
  <c r="Q68" i="9" s="1"/>
  <c r="V68" i="9"/>
  <c r="X68" i="9"/>
  <c r="V67" i="9"/>
  <c r="X67" i="9"/>
  <c r="N67" i="9"/>
  <c r="Q67" i="9" s="1"/>
  <c r="V66" i="9"/>
  <c r="V65" i="9"/>
  <c r="X65" i="9"/>
  <c r="N65" i="9"/>
  <c r="Q65" i="9" s="1"/>
  <c r="C64" i="9"/>
  <c r="M64" i="9" s="1"/>
  <c r="D64" i="9"/>
  <c r="X64" i="9"/>
  <c r="N64" i="9"/>
  <c r="Q64" i="9" s="1"/>
  <c r="F64" i="9"/>
  <c r="F63" i="9"/>
  <c r="E63" i="9"/>
  <c r="D63" i="9"/>
  <c r="M63" i="9" s="1"/>
  <c r="G77" i="7"/>
  <c r="F77" i="7"/>
  <c r="M77" i="7"/>
  <c r="J77" i="7"/>
  <c r="K3" i="7"/>
  <c r="L3" i="7" s="1"/>
  <c r="K4" i="7"/>
  <c r="L4" i="7" s="1"/>
  <c r="K5" i="7"/>
  <c r="L5" i="7" s="1"/>
  <c r="K6" i="7"/>
  <c r="L6" i="7" s="1"/>
  <c r="K7" i="7"/>
  <c r="L7" i="7" s="1"/>
  <c r="K8" i="7"/>
  <c r="L8" i="7" s="1"/>
  <c r="K9" i="7"/>
  <c r="L9" i="7" s="1"/>
  <c r="K10" i="7"/>
  <c r="L10" i="7" s="1"/>
  <c r="K11" i="7"/>
  <c r="L11" i="7" s="1"/>
  <c r="K12" i="7"/>
  <c r="L12" i="7" s="1"/>
  <c r="K13" i="7"/>
  <c r="L13" i="7" s="1"/>
  <c r="K14" i="7"/>
  <c r="L14" i="7" s="1"/>
  <c r="K15" i="7"/>
  <c r="L15" i="7" s="1"/>
  <c r="K16" i="7"/>
  <c r="L16" i="7" s="1"/>
  <c r="K17" i="7"/>
  <c r="L17" i="7" s="1"/>
  <c r="K18" i="7"/>
  <c r="L18" i="7" s="1"/>
  <c r="K19" i="7"/>
  <c r="L19" i="7" s="1"/>
  <c r="K20" i="7"/>
  <c r="L20" i="7" s="1"/>
  <c r="K21" i="7"/>
  <c r="L21" i="7" s="1"/>
  <c r="K22" i="7"/>
  <c r="L22" i="7" s="1"/>
  <c r="K23" i="7"/>
  <c r="L23" i="7" s="1"/>
  <c r="K24" i="7"/>
  <c r="L24" i="7" s="1"/>
  <c r="K25" i="7"/>
  <c r="L25" i="7" s="1"/>
  <c r="K26" i="7"/>
  <c r="L26" i="7" s="1"/>
  <c r="K27" i="7"/>
  <c r="L27" i="7" s="1"/>
  <c r="K28" i="7"/>
  <c r="L28" i="7" s="1"/>
  <c r="K29" i="7"/>
  <c r="L29" i="7" s="1"/>
  <c r="K30" i="7"/>
  <c r="L30" i="7" s="1"/>
  <c r="K31" i="7"/>
  <c r="L31" i="7" s="1"/>
  <c r="K32" i="7"/>
  <c r="L32" i="7" s="1"/>
  <c r="K33" i="7"/>
  <c r="L33" i="7" s="1"/>
  <c r="K34" i="7"/>
  <c r="L34" i="7" s="1"/>
  <c r="K35" i="7"/>
  <c r="L35" i="7" s="1"/>
  <c r="K36" i="7"/>
  <c r="L36" i="7" s="1"/>
  <c r="K37" i="7"/>
  <c r="L37" i="7" s="1"/>
  <c r="K38" i="7"/>
  <c r="L38" i="7" s="1"/>
  <c r="K39" i="7"/>
  <c r="L39" i="7" s="1"/>
  <c r="K40" i="7"/>
  <c r="L40" i="7" s="1"/>
  <c r="K41" i="7"/>
  <c r="L41" i="7" s="1"/>
  <c r="K42" i="7"/>
  <c r="L42" i="7" s="1"/>
  <c r="K43" i="7"/>
  <c r="L43" i="7" s="1"/>
  <c r="K44" i="7"/>
  <c r="L44" i="7" s="1"/>
  <c r="K45" i="7"/>
  <c r="L45" i="7" s="1"/>
  <c r="K46" i="7"/>
  <c r="L46" i="7" s="1"/>
  <c r="K47" i="7"/>
  <c r="L47" i="7" s="1"/>
  <c r="K48" i="7"/>
  <c r="L48" i="7" s="1"/>
  <c r="K49" i="7"/>
  <c r="L49" i="7" s="1"/>
  <c r="K50" i="7"/>
  <c r="L50" i="7" s="1"/>
  <c r="K51" i="7"/>
  <c r="L51" i="7" s="1"/>
  <c r="K52" i="7"/>
  <c r="L52" i="7" s="1"/>
  <c r="K53" i="7"/>
  <c r="L53" i="7" s="1"/>
  <c r="K54" i="7"/>
  <c r="L54" i="7" s="1"/>
  <c r="K55" i="7"/>
  <c r="L55" i="7" s="1"/>
  <c r="K56" i="7"/>
  <c r="L56" i="7" s="1"/>
  <c r="K57" i="7"/>
  <c r="L57" i="7" s="1"/>
  <c r="K58" i="7"/>
  <c r="L58" i="7" s="1"/>
  <c r="K59" i="7"/>
  <c r="L59" i="7" s="1"/>
  <c r="K60" i="7"/>
  <c r="L60" i="7" s="1"/>
  <c r="K61" i="7"/>
  <c r="L61" i="7" s="1"/>
  <c r="K62" i="7"/>
  <c r="L62" i="7" s="1"/>
  <c r="K63" i="7"/>
  <c r="L63" i="7" s="1"/>
  <c r="K64" i="7"/>
  <c r="L64" i="7" s="1"/>
  <c r="K65" i="7"/>
  <c r="L65" i="7" s="1"/>
  <c r="K66" i="7"/>
  <c r="L66" i="7" s="1"/>
  <c r="K67" i="7"/>
  <c r="L67" i="7" s="1"/>
  <c r="K68" i="7"/>
  <c r="L68" i="7" s="1"/>
  <c r="K69" i="7"/>
  <c r="L69" i="7" s="1"/>
  <c r="K70" i="7"/>
  <c r="L70" i="7" s="1"/>
  <c r="K71" i="7"/>
  <c r="L71" i="7" s="1"/>
  <c r="K72" i="7"/>
  <c r="L72" i="7" s="1"/>
  <c r="K73" i="7"/>
  <c r="L73" i="7" s="1"/>
  <c r="K74" i="7"/>
  <c r="L74" i="7" s="1"/>
  <c r="K75" i="7"/>
  <c r="L75" i="7" s="1"/>
  <c r="K76" i="7"/>
  <c r="L76" i="7" s="1"/>
  <c r="H74" i="7"/>
  <c r="C76" i="7"/>
  <c r="E76" i="7"/>
  <c r="F76" i="7" s="1"/>
  <c r="H76" i="7"/>
  <c r="I76" i="7" s="1"/>
  <c r="C75" i="7"/>
  <c r="E75" i="7"/>
  <c r="F75" i="7" s="1"/>
  <c r="H75" i="7"/>
  <c r="M75" i="7" l="1"/>
  <c r="V64" i="9"/>
  <c r="N63" i="9"/>
  <c r="Q63" i="9" s="1"/>
  <c r="V63" i="9"/>
  <c r="X63" i="9"/>
  <c r="M76" i="7"/>
  <c r="J75" i="7"/>
  <c r="J76" i="7"/>
  <c r="G75" i="7"/>
  <c r="G76" i="7"/>
  <c r="I75" i="7"/>
  <c r="C74" i="7"/>
  <c r="M74" i="7" s="1"/>
  <c r="E74" i="7"/>
  <c r="F74" i="7" s="1"/>
  <c r="I74" i="7"/>
  <c r="C73" i="7"/>
  <c r="M73" i="7" s="1"/>
  <c r="E73" i="7"/>
  <c r="F73" i="7" s="1"/>
  <c r="H73" i="7"/>
  <c r="J73" i="7" l="1"/>
  <c r="J74" i="7"/>
  <c r="G74" i="7"/>
  <c r="G73" i="7"/>
  <c r="I73" i="7"/>
  <c r="B16" i="10"/>
  <c r="H16" i="10" s="1"/>
  <c r="F16" i="10"/>
  <c r="G16" i="10"/>
  <c r="M16" i="10"/>
  <c r="C72" i="7"/>
  <c r="E72" i="7"/>
  <c r="F72" i="7" s="1"/>
  <c r="H72" i="7"/>
  <c r="I72" i="7" s="1"/>
  <c r="G72" i="7" l="1"/>
  <c r="M72" i="7"/>
  <c r="J72" i="7"/>
  <c r="I16" i="10"/>
  <c r="C71" i="7"/>
  <c r="M71" i="7" s="1"/>
  <c r="E71" i="7"/>
  <c r="H71" i="7"/>
  <c r="I71" i="7" s="1"/>
  <c r="G71" i="7" l="1"/>
  <c r="F71" i="7"/>
  <c r="J71" i="7"/>
  <c r="C70" i="7"/>
  <c r="M70" i="7" s="1"/>
  <c r="E70" i="7"/>
  <c r="F70" i="7" s="1"/>
  <c r="H70" i="7"/>
  <c r="I70" i="7" s="1"/>
  <c r="J70" i="7" l="1"/>
  <c r="G70" i="7"/>
  <c r="C69" i="7"/>
  <c r="M69" i="7" s="1"/>
  <c r="E69" i="7"/>
  <c r="H69" i="7"/>
  <c r="I69" i="7" s="1"/>
  <c r="J69" i="7" l="1"/>
  <c r="G69" i="7"/>
  <c r="F69" i="7"/>
  <c r="C68" i="7"/>
  <c r="M68" i="7" s="1"/>
  <c r="E68" i="7"/>
  <c r="F68" i="7" s="1"/>
  <c r="H68" i="7"/>
  <c r="I68" i="7" s="1"/>
  <c r="J68" i="7" l="1"/>
  <c r="G68" i="7"/>
  <c r="C67" i="7"/>
  <c r="E67" i="7"/>
  <c r="F67" i="7" s="1"/>
  <c r="H67" i="7"/>
  <c r="I67" i="7" s="1"/>
  <c r="B15" i="10"/>
  <c r="H15" i="10" s="1"/>
  <c r="I15" i="10" s="1"/>
  <c r="F15" i="10"/>
  <c r="G15" i="10"/>
  <c r="M15" i="10"/>
  <c r="B62" i="9"/>
  <c r="E62" i="9" s="1"/>
  <c r="L62" i="9"/>
  <c r="W62" i="9" s="1"/>
  <c r="U62" i="9"/>
  <c r="Y62" i="9" s="1"/>
  <c r="B61" i="9"/>
  <c r="D61" i="9" s="1"/>
  <c r="L61" i="9"/>
  <c r="W61" i="9" s="1"/>
  <c r="U61" i="9"/>
  <c r="Y61" i="9" s="1"/>
  <c r="B60" i="9"/>
  <c r="E60" i="9" s="1"/>
  <c r="L60" i="9"/>
  <c r="W60" i="9" s="1"/>
  <c r="U60" i="9"/>
  <c r="Y60" i="9" s="1"/>
  <c r="G67" i="7" l="1"/>
  <c r="M67" i="7"/>
  <c r="J67" i="7"/>
  <c r="D62" i="9"/>
  <c r="C62" i="9"/>
  <c r="F62" i="9"/>
  <c r="C61" i="9"/>
  <c r="F61" i="9"/>
  <c r="E61" i="9"/>
  <c r="C60" i="9"/>
  <c r="D60" i="9"/>
  <c r="F60" i="9"/>
  <c r="C66" i="7"/>
  <c r="M66" i="7" s="1"/>
  <c r="E66" i="7"/>
  <c r="F66" i="7" s="1"/>
  <c r="H66" i="7"/>
  <c r="I66" i="7" s="1"/>
  <c r="M62" i="9" l="1"/>
  <c r="M61" i="9"/>
  <c r="M60" i="9"/>
  <c r="V62" i="9"/>
  <c r="N62" i="9"/>
  <c r="Q62" i="9" s="1"/>
  <c r="X62" i="9"/>
  <c r="V61" i="9"/>
  <c r="X61" i="9"/>
  <c r="N61" i="9"/>
  <c r="Q61" i="9" s="1"/>
  <c r="V60" i="9"/>
  <c r="X60" i="9"/>
  <c r="N60" i="9"/>
  <c r="Q60" i="9" s="1"/>
  <c r="J66" i="7"/>
  <c r="G66" i="7"/>
  <c r="C65" i="7"/>
  <c r="M65" i="7" s="1"/>
  <c r="E65" i="7"/>
  <c r="F65" i="7" s="1"/>
  <c r="H65" i="7"/>
  <c r="I65" i="7" s="1"/>
  <c r="G65" i="7" l="1"/>
  <c r="J65" i="7"/>
  <c r="C64" i="7"/>
  <c r="E64" i="7"/>
  <c r="F64" i="7" s="1"/>
  <c r="H64" i="7"/>
  <c r="I64" i="7" s="1"/>
  <c r="G64" i="7" l="1"/>
  <c r="M64" i="7"/>
  <c r="J64" i="7"/>
  <c r="G18" i="11"/>
  <c r="K18" i="11"/>
  <c r="L18" i="11"/>
  <c r="N18" i="11" s="1"/>
  <c r="M18" i="11"/>
  <c r="G17" i="11"/>
  <c r="K17" i="11"/>
  <c r="L17" i="11"/>
  <c r="M17" i="11"/>
  <c r="N17" i="11"/>
  <c r="G16" i="11"/>
  <c r="K16" i="11"/>
  <c r="L16" i="11"/>
  <c r="N16" i="11" s="1"/>
  <c r="M16" i="11"/>
  <c r="G15" i="11"/>
  <c r="K15" i="11"/>
  <c r="L15" i="11"/>
  <c r="N15" i="11" s="1"/>
  <c r="M15" i="11"/>
  <c r="L14" i="11"/>
  <c r="H30" i="13"/>
  <c r="I30" i="13"/>
  <c r="H29" i="13"/>
  <c r="I29" i="13"/>
  <c r="H28" i="13"/>
  <c r="I28" i="13"/>
  <c r="H27" i="13"/>
  <c r="I27" i="13"/>
  <c r="H26" i="13"/>
  <c r="I26" i="13"/>
  <c r="H25" i="13"/>
  <c r="I25" i="13"/>
  <c r="H24" i="13"/>
  <c r="I24" i="13"/>
  <c r="K11" i="11"/>
  <c r="G14" i="1"/>
  <c r="G13" i="1"/>
  <c r="C63" i="7"/>
  <c r="M63" i="7" s="1"/>
  <c r="E63" i="7"/>
  <c r="F63" i="7" s="1"/>
  <c r="H63" i="7"/>
  <c r="V3" i="13" l="1"/>
  <c r="O17" i="11"/>
  <c r="O18" i="11"/>
  <c r="J63" i="7"/>
  <c r="O16" i="11"/>
  <c r="O15" i="11"/>
  <c r="I14" i="1"/>
  <c r="J14" i="1" s="1"/>
  <c r="I13" i="1"/>
  <c r="J13" i="1" s="1"/>
  <c r="I63" i="7"/>
  <c r="G63" i="7"/>
  <c r="C62" i="7"/>
  <c r="M62" i="7" s="1"/>
  <c r="E62" i="7"/>
  <c r="H62" i="7"/>
  <c r="I62" i="7" s="1"/>
  <c r="B14" i="10"/>
  <c r="H14" i="10" s="1"/>
  <c r="F14" i="10"/>
  <c r="G14" i="10"/>
  <c r="M14" i="10"/>
  <c r="B59" i="9"/>
  <c r="C59" i="9" s="1"/>
  <c r="L59" i="9"/>
  <c r="W59" i="9" s="1"/>
  <c r="U59" i="9"/>
  <c r="Y59" i="9" s="1"/>
  <c r="B58" i="9"/>
  <c r="E58" i="9" s="1"/>
  <c r="L58" i="9"/>
  <c r="W58" i="9" s="1"/>
  <c r="U58" i="9"/>
  <c r="Y58" i="9" s="1"/>
  <c r="B57" i="9"/>
  <c r="D57" i="9" s="1"/>
  <c r="L57" i="9"/>
  <c r="W57" i="9" s="1"/>
  <c r="U57" i="9"/>
  <c r="Y57" i="9" s="1"/>
  <c r="J62" i="7" l="1"/>
  <c r="G62" i="7"/>
  <c r="F62" i="7"/>
  <c r="I14" i="10"/>
  <c r="F59" i="9"/>
  <c r="M59" i="9" s="1"/>
  <c r="D59" i="9"/>
  <c r="E59" i="9"/>
  <c r="C58" i="9"/>
  <c r="M58" i="9" s="1"/>
  <c r="D58" i="9"/>
  <c r="X58" i="9"/>
  <c r="N58" i="9"/>
  <c r="Q58" i="9" s="1"/>
  <c r="F58" i="9"/>
  <c r="C57" i="9"/>
  <c r="M57" i="9" s="1"/>
  <c r="N57" i="9"/>
  <c r="Q57" i="9" s="1"/>
  <c r="X57" i="9"/>
  <c r="F57" i="9"/>
  <c r="E57" i="9"/>
  <c r="C61" i="7"/>
  <c r="M61" i="7" s="1"/>
  <c r="E61" i="7"/>
  <c r="F61" i="7" s="1"/>
  <c r="H61" i="7"/>
  <c r="I61" i="7" s="1"/>
  <c r="V57" i="9" l="1"/>
  <c r="V59" i="9"/>
  <c r="N59" i="9"/>
  <c r="Q59" i="9" s="1"/>
  <c r="X59" i="9"/>
  <c r="V58" i="9"/>
  <c r="J61" i="7"/>
  <c r="G61" i="7"/>
  <c r="C60" i="7"/>
  <c r="M60" i="7" s="1"/>
  <c r="E60" i="7"/>
  <c r="F60" i="7" s="1"/>
  <c r="H60" i="7"/>
  <c r="I60" i="7" s="1"/>
  <c r="C59" i="7"/>
  <c r="M59" i="7" s="1"/>
  <c r="E59" i="7"/>
  <c r="F59" i="7" s="1"/>
  <c r="H59" i="7"/>
  <c r="I59" i="7" s="1"/>
  <c r="G60" i="7" l="1"/>
  <c r="J60" i="7"/>
  <c r="G59" i="7"/>
  <c r="J59" i="7"/>
  <c r="C58" i="7"/>
  <c r="E58" i="7"/>
  <c r="F58" i="7" s="1"/>
  <c r="H58" i="7"/>
  <c r="I58" i="7" s="1"/>
  <c r="G58" i="7" l="1"/>
  <c r="M58" i="7"/>
  <c r="J58" i="7"/>
  <c r="B13" i="10"/>
  <c r="H13" i="10" s="1"/>
  <c r="I13" i="10" s="1"/>
  <c r="F13" i="10"/>
  <c r="G13" i="10"/>
  <c r="M13" i="10"/>
  <c r="B56" i="9"/>
  <c r="D56" i="9" s="1"/>
  <c r="I56" i="9"/>
  <c r="L56" i="9" s="1"/>
  <c r="W56" i="9" s="1"/>
  <c r="U56" i="9"/>
  <c r="Y56" i="9" s="1"/>
  <c r="B55" i="9"/>
  <c r="E55" i="9" s="1"/>
  <c r="I55" i="9"/>
  <c r="L55" i="9" s="1"/>
  <c r="W55" i="9" s="1"/>
  <c r="U55" i="9"/>
  <c r="Y55" i="9" s="1"/>
  <c r="B54" i="9"/>
  <c r="C54" i="9" s="1"/>
  <c r="I54" i="9"/>
  <c r="L54" i="9" s="1"/>
  <c r="W54" i="9" s="1"/>
  <c r="U54" i="9"/>
  <c r="Y54" i="9" s="1"/>
  <c r="C56" i="9" l="1"/>
  <c r="F56" i="9"/>
  <c r="E56" i="9"/>
  <c r="D55" i="9"/>
  <c r="C55" i="9"/>
  <c r="M55" i="9" s="1"/>
  <c r="F55" i="9"/>
  <c r="N55" i="9"/>
  <c r="Q55" i="9" s="1"/>
  <c r="X55" i="9"/>
  <c r="F54" i="9"/>
  <c r="E54" i="9"/>
  <c r="D54" i="9"/>
  <c r="M54" i="9" s="1"/>
  <c r="H18" i="13"/>
  <c r="H19" i="13"/>
  <c r="H20" i="13"/>
  <c r="H21" i="13"/>
  <c r="H22" i="13"/>
  <c r="H23" i="13"/>
  <c r="M56" i="9" l="1"/>
  <c r="N56" i="9"/>
  <c r="Q56" i="9" s="1"/>
  <c r="V56" i="9"/>
  <c r="X56" i="9"/>
  <c r="V55" i="9"/>
  <c r="N54" i="9"/>
  <c r="Q54" i="9" s="1"/>
  <c r="X54" i="9"/>
  <c r="V54" i="9"/>
  <c r="C57" i="7"/>
  <c r="M57" i="7" s="1"/>
  <c r="E57" i="7"/>
  <c r="F57" i="7" s="1"/>
  <c r="H57" i="7"/>
  <c r="I57" i="7" s="1"/>
  <c r="G57" i="7" l="1"/>
  <c r="J57" i="7"/>
  <c r="C56" i="7"/>
  <c r="M56" i="7" s="1"/>
  <c r="E56" i="7"/>
  <c r="F56" i="7" s="1"/>
  <c r="H56" i="7"/>
  <c r="I56" i="7" s="1"/>
  <c r="J56" i="7" l="1"/>
  <c r="G56" i="7"/>
  <c r="C55" i="7"/>
  <c r="E55" i="7"/>
  <c r="F55" i="7" s="1"/>
  <c r="H55" i="7"/>
  <c r="I55" i="7" s="1"/>
  <c r="G55" i="7" l="1"/>
  <c r="M55" i="7"/>
  <c r="J55" i="7"/>
  <c r="B12" i="10"/>
  <c r="H12" i="10" s="1"/>
  <c r="I12" i="10" s="1"/>
  <c r="F12" i="10"/>
  <c r="G12" i="10"/>
  <c r="M12" i="10"/>
  <c r="B53" i="9"/>
  <c r="C53" i="9" s="1"/>
  <c r="I53" i="9"/>
  <c r="L53" i="9" s="1"/>
  <c r="W53" i="9" s="1"/>
  <c r="U53" i="9"/>
  <c r="Y53" i="9" s="1"/>
  <c r="B52" i="9"/>
  <c r="D52" i="9" s="1"/>
  <c r="I52" i="9"/>
  <c r="L52" i="9" s="1"/>
  <c r="W52" i="9" s="1"/>
  <c r="U52" i="9"/>
  <c r="Y52" i="9" s="1"/>
  <c r="B51" i="9"/>
  <c r="D51" i="9" s="1"/>
  <c r="I51" i="9"/>
  <c r="L51" i="9" s="1"/>
  <c r="W51" i="9" s="1"/>
  <c r="U51" i="9"/>
  <c r="Y51" i="9" s="1"/>
  <c r="F53" i="9" l="1"/>
  <c r="M53" i="9" s="1"/>
  <c r="E53" i="9"/>
  <c r="D53" i="9"/>
  <c r="C52" i="9"/>
  <c r="F52" i="9"/>
  <c r="E52" i="9"/>
  <c r="C51" i="9"/>
  <c r="M51" i="9" s="1"/>
  <c r="N51" i="9"/>
  <c r="Q51" i="9" s="1"/>
  <c r="X51" i="9"/>
  <c r="F51" i="9"/>
  <c r="E51" i="9"/>
  <c r="E3" i="7"/>
  <c r="F3" i="7" s="1"/>
  <c r="H3" i="7"/>
  <c r="I3" i="7" s="1"/>
  <c r="H4" i="7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11" i="7"/>
  <c r="I11" i="7" s="1"/>
  <c r="H12" i="7"/>
  <c r="I12" i="7" s="1"/>
  <c r="H13" i="7"/>
  <c r="I13" i="7" s="1"/>
  <c r="H14" i="7"/>
  <c r="I14" i="7" s="1"/>
  <c r="H15" i="7"/>
  <c r="I15" i="7" s="1"/>
  <c r="H16" i="7"/>
  <c r="I16" i="7" s="1"/>
  <c r="H17" i="7"/>
  <c r="I17" i="7" s="1"/>
  <c r="H18" i="7"/>
  <c r="I18" i="7" s="1"/>
  <c r="H19" i="7"/>
  <c r="I19" i="7" s="1"/>
  <c r="H20" i="7"/>
  <c r="I20" i="7" s="1"/>
  <c r="H21" i="7"/>
  <c r="I21" i="7" s="1"/>
  <c r="H22" i="7"/>
  <c r="I22" i="7" s="1"/>
  <c r="H23" i="7"/>
  <c r="I23" i="7" s="1"/>
  <c r="H24" i="7"/>
  <c r="I24" i="7" s="1"/>
  <c r="H25" i="7"/>
  <c r="I25" i="7" s="1"/>
  <c r="H26" i="7"/>
  <c r="I26" i="7" s="1"/>
  <c r="H27" i="7"/>
  <c r="I27" i="7" s="1"/>
  <c r="H28" i="7"/>
  <c r="I28" i="7" s="1"/>
  <c r="H29" i="7"/>
  <c r="I29" i="7" s="1"/>
  <c r="H30" i="7"/>
  <c r="I30" i="7" s="1"/>
  <c r="H31" i="7"/>
  <c r="I31" i="7" s="1"/>
  <c r="H32" i="7"/>
  <c r="I32" i="7" s="1"/>
  <c r="H33" i="7"/>
  <c r="I33" i="7" s="1"/>
  <c r="H34" i="7"/>
  <c r="I34" i="7" s="1"/>
  <c r="H35" i="7"/>
  <c r="I35" i="7" s="1"/>
  <c r="H36" i="7"/>
  <c r="I36" i="7" s="1"/>
  <c r="H37" i="7"/>
  <c r="I37" i="7" s="1"/>
  <c r="H38" i="7"/>
  <c r="I38" i="7" s="1"/>
  <c r="H39" i="7"/>
  <c r="I39" i="7" s="1"/>
  <c r="H40" i="7"/>
  <c r="I40" i="7" s="1"/>
  <c r="H41" i="7"/>
  <c r="I41" i="7" s="1"/>
  <c r="H42" i="7"/>
  <c r="I42" i="7" s="1"/>
  <c r="H43" i="7"/>
  <c r="I43" i="7" s="1"/>
  <c r="H44" i="7"/>
  <c r="I44" i="7" s="1"/>
  <c r="H45" i="7"/>
  <c r="I45" i="7" s="1"/>
  <c r="H46" i="7"/>
  <c r="I46" i="7" s="1"/>
  <c r="H47" i="7"/>
  <c r="I47" i="7" s="1"/>
  <c r="H48" i="7"/>
  <c r="I48" i="7" s="1"/>
  <c r="H49" i="7"/>
  <c r="I49" i="7" s="1"/>
  <c r="H50" i="7"/>
  <c r="I50" i="7" s="1"/>
  <c r="H51" i="7"/>
  <c r="I51" i="7" s="1"/>
  <c r="H52" i="7"/>
  <c r="I52" i="7" s="1"/>
  <c r="H53" i="7"/>
  <c r="I53" i="7" s="1"/>
  <c r="H54" i="7"/>
  <c r="I54" i="7" s="1"/>
  <c r="E53" i="7"/>
  <c r="F53" i="7" s="1"/>
  <c r="C54" i="7"/>
  <c r="M54" i="7" s="1"/>
  <c r="E54" i="7"/>
  <c r="F54" i="7" s="1"/>
  <c r="C53" i="7"/>
  <c r="M53" i="7" s="1"/>
  <c r="M52" i="9" l="1"/>
  <c r="J53" i="7"/>
  <c r="N53" i="9"/>
  <c r="Q53" i="9" s="1"/>
  <c r="V53" i="9"/>
  <c r="X53" i="9"/>
  <c r="V52" i="9"/>
  <c r="X52" i="9"/>
  <c r="N52" i="9"/>
  <c r="Q52" i="9" s="1"/>
  <c r="V51" i="9"/>
  <c r="J54" i="7"/>
  <c r="G54" i="7"/>
  <c r="G53" i="7"/>
  <c r="C52" i="7"/>
  <c r="E52" i="7"/>
  <c r="F52" i="7" s="1"/>
  <c r="J52" i="7" l="1"/>
  <c r="M52" i="7"/>
  <c r="G52" i="7"/>
  <c r="C51" i="7"/>
  <c r="M51" i="7" s="1"/>
  <c r="E51" i="7"/>
  <c r="F51" i="7" s="1"/>
  <c r="G51" i="7" l="1"/>
  <c r="J51" i="7"/>
  <c r="C50" i="7"/>
  <c r="E50" i="7"/>
  <c r="F50" i="7" s="1"/>
  <c r="B11" i="10"/>
  <c r="H11" i="10" s="1"/>
  <c r="I11" i="10" s="1"/>
  <c r="F11" i="10"/>
  <c r="G11" i="10"/>
  <c r="M11" i="10"/>
  <c r="B50" i="9"/>
  <c r="C50" i="9" s="1"/>
  <c r="I50" i="9"/>
  <c r="L50" i="9" s="1"/>
  <c r="W50" i="9" s="1"/>
  <c r="U50" i="9"/>
  <c r="Y50" i="9" s="1"/>
  <c r="J50" i="7" l="1"/>
  <c r="M50" i="7"/>
  <c r="G50" i="7"/>
  <c r="E50" i="9"/>
  <c r="F50" i="9"/>
  <c r="M50" i="9" s="1"/>
  <c r="D50" i="9"/>
  <c r="B49" i="9"/>
  <c r="C49" i="9" s="1"/>
  <c r="I49" i="9"/>
  <c r="L49" i="9" s="1"/>
  <c r="W49" i="9" s="1"/>
  <c r="U49" i="9"/>
  <c r="Y49" i="9" s="1"/>
  <c r="B48" i="9"/>
  <c r="D48" i="9" s="1"/>
  <c r="I48" i="9"/>
  <c r="L48" i="9" s="1"/>
  <c r="W48" i="9" s="1"/>
  <c r="U48" i="9"/>
  <c r="Y48" i="9" s="1"/>
  <c r="C49" i="7"/>
  <c r="E49" i="7"/>
  <c r="F49" i="7" s="1"/>
  <c r="J49" i="7" l="1"/>
  <c r="M49" i="7"/>
  <c r="G49" i="7"/>
  <c r="V50" i="9"/>
  <c r="X50" i="9"/>
  <c r="N50" i="9"/>
  <c r="Q50" i="9" s="1"/>
  <c r="F49" i="9"/>
  <c r="E49" i="9"/>
  <c r="M49" i="9" s="1"/>
  <c r="D49" i="9"/>
  <c r="X48" i="9"/>
  <c r="N48" i="9"/>
  <c r="Q48" i="9" s="1"/>
  <c r="C48" i="9"/>
  <c r="M48" i="9" s="1"/>
  <c r="F48" i="9"/>
  <c r="E48" i="9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N49" i="9" l="1"/>
  <c r="Q49" i="9" s="1"/>
  <c r="V49" i="9"/>
  <c r="X49" i="9"/>
  <c r="V48" i="9"/>
  <c r="H17" i="13"/>
  <c r="U3" i="13" s="1"/>
  <c r="M3" i="11"/>
  <c r="M4" i="11"/>
  <c r="M5" i="11"/>
  <c r="M6" i="11"/>
  <c r="M7" i="11"/>
  <c r="M8" i="11"/>
  <c r="M9" i="11"/>
  <c r="M10" i="11"/>
  <c r="M11" i="11"/>
  <c r="M12" i="11"/>
  <c r="M13" i="11"/>
  <c r="M14" i="11"/>
  <c r="G14" i="11"/>
  <c r="K14" i="11"/>
  <c r="N14" i="11"/>
  <c r="G13" i="11"/>
  <c r="K13" i="11"/>
  <c r="L13" i="11"/>
  <c r="N13" i="11" s="1"/>
  <c r="G12" i="11"/>
  <c r="K12" i="11"/>
  <c r="L12" i="11"/>
  <c r="N12" i="11" s="1"/>
  <c r="G11" i="11"/>
  <c r="O11" i="11"/>
  <c r="L11" i="11"/>
  <c r="N11" i="11" s="1"/>
  <c r="B47" i="9"/>
  <c r="E47" i="9" s="1"/>
  <c r="I47" i="9"/>
  <c r="L47" i="9" s="1"/>
  <c r="W47" i="9" s="1"/>
  <c r="U47" i="9"/>
  <c r="Y47" i="9" s="1"/>
  <c r="B10" i="10"/>
  <c r="H10" i="10" s="1"/>
  <c r="I10" i="10" s="1"/>
  <c r="F10" i="10"/>
  <c r="G10" i="10"/>
  <c r="M10" i="10"/>
  <c r="B46" i="9"/>
  <c r="E46" i="9" s="1"/>
  <c r="I46" i="9"/>
  <c r="L46" i="9" s="1"/>
  <c r="W46" i="9" s="1"/>
  <c r="U46" i="9"/>
  <c r="Y46" i="9" s="1"/>
  <c r="B45" i="9"/>
  <c r="E45" i="9" s="1"/>
  <c r="I45" i="9"/>
  <c r="L45" i="9" s="1"/>
  <c r="W45" i="9" s="1"/>
  <c r="U45" i="9"/>
  <c r="Y45" i="9" s="1"/>
  <c r="C48" i="7"/>
  <c r="E48" i="7"/>
  <c r="F48" i="7" s="1"/>
  <c r="C47" i="7"/>
  <c r="E47" i="7"/>
  <c r="F47" i="7" s="1"/>
  <c r="C46" i="7"/>
  <c r="E46" i="7"/>
  <c r="F46" i="7" s="1"/>
  <c r="C45" i="7"/>
  <c r="E45" i="7"/>
  <c r="F45" i="7" s="1"/>
  <c r="C44" i="7"/>
  <c r="E44" i="7"/>
  <c r="F44" i="7" s="1"/>
  <c r="C43" i="7"/>
  <c r="E43" i="7"/>
  <c r="F43" i="7" s="1"/>
  <c r="C42" i="7"/>
  <c r="E42" i="7"/>
  <c r="F42" i="7" s="1"/>
  <c r="C41" i="7"/>
  <c r="E41" i="7"/>
  <c r="F41" i="7" s="1"/>
  <c r="J47" i="7" l="1"/>
  <c r="M47" i="7"/>
  <c r="J44" i="7"/>
  <c r="M44" i="7"/>
  <c r="J43" i="7"/>
  <c r="M43" i="7"/>
  <c r="J48" i="7"/>
  <c r="M48" i="7"/>
  <c r="J42" i="7"/>
  <c r="M42" i="7"/>
  <c r="J46" i="7"/>
  <c r="M46" i="7"/>
  <c r="J41" i="7"/>
  <c r="M41" i="7"/>
  <c r="J45" i="7"/>
  <c r="M45" i="7"/>
  <c r="G44" i="7"/>
  <c r="G47" i="7"/>
  <c r="G45" i="7"/>
  <c r="G46" i="7"/>
  <c r="G41" i="7"/>
  <c r="G48" i="7"/>
  <c r="O14" i="11"/>
  <c r="O13" i="11"/>
  <c r="O12" i="11"/>
  <c r="D47" i="9"/>
  <c r="C47" i="9"/>
  <c r="F47" i="9"/>
  <c r="D46" i="9"/>
  <c r="C46" i="9"/>
  <c r="M46" i="9" s="1"/>
  <c r="X46" i="9"/>
  <c r="N46" i="9"/>
  <c r="Q46" i="9" s="1"/>
  <c r="F46" i="9"/>
  <c r="D45" i="9"/>
  <c r="C45" i="9"/>
  <c r="F45" i="9"/>
  <c r="G43" i="7"/>
  <c r="G42" i="7"/>
  <c r="D12" i="1"/>
  <c r="G12" i="1" s="1"/>
  <c r="I12" i="1"/>
  <c r="J12" i="1" s="1"/>
  <c r="C40" i="7"/>
  <c r="E40" i="7"/>
  <c r="F40" i="7" s="1"/>
  <c r="B9" i="10"/>
  <c r="H9" i="10" s="1"/>
  <c r="I9" i="10" s="1"/>
  <c r="F9" i="10"/>
  <c r="G9" i="10"/>
  <c r="M9" i="10"/>
  <c r="B44" i="9"/>
  <c r="C44" i="9" s="1"/>
  <c r="I44" i="9"/>
  <c r="L44" i="9" s="1"/>
  <c r="W44" i="9" s="1"/>
  <c r="U44" i="9"/>
  <c r="Y44" i="9" s="1"/>
  <c r="I43" i="9"/>
  <c r="L43" i="9" s="1"/>
  <c r="W43" i="9" s="1"/>
  <c r="B43" i="9"/>
  <c r="C43" i="9" s="1"/>
  <c r="U43" i="9"/>
  <c r="Y43" i="9" s="1"/>
  <c r="B42" i="9"/>
  <c r="C42" i="9" s="1"/>
  <c r="I42" i="9"/>
  <c r="L42" i="9" s="1"/>
  <c r="W42" i="9" s="1"/>
  <c r="U42" i="9"/>
  <c r="Y42" i="9" s="1"/>
  <c r="C52" i="6"/>
  <c r="C39" i="7"/>
  <c r="E39" i="7"/>
  <c r="F39" i="7" s="1"/>
  <c r="C51" i="6"/>
  <c r="C50" i="6"/>
  <c r="C38" i="7"/>
  <c r="E38" i="7"/>
  <c r="F38" i="7" s="1"/>
  <c r="C37" i="7"/>
  <c r="E37" i="7"/>
  <c r="F37" i="7" s="1"/>
  <c r="C49" i="6"/>
  <c r="C48" i="6"/>
  <c r="B8" i="10"/>
  <c r="H8" i="10" s="1"/>
  <c r="I8" i="10" s="1"/>
  <c r="F8" i="10"/>
  <c r="G8" i="10"/>
  <c r="M8" i="10"/>
  <c r="B41" i="9"/>
  <c r="C41" i="9" s="1"/>
  <c r="I41" i="9"/>
  <c r="L41" i="9" s="1"/>
  <c r="W41" i="9" s="1"/>
  <c r="U41" i="9"/>
  <c r="Y41" i="9" s="1"/>
  <c r="B40" i="9"/>
  <c r="C40" i="9" s="1"/>
  <c r="I40" i="9"/>
  <c r="L40" i="9" s="1"/>
  <c r="W40" i="9" s="1"/>
  <c r="U40" i="9"/>
  <c r="Y40" i="9" s="1"/>
  <c r="B39" i="9"/>
  <c r="C39" i="9" s="1"/>
  <c r="I39" i="9"/>
  <c r="L39" i="9" s="1"/>
  <c r="W39" i="9" s="1"/>
  <c r="U39" i="9"/>
  <c r="Y39" i="9" s="1"/>
  <c r="C36" i="7"/>
  <c r="E36" i="7"/>
  <c r="F36" i="7" s="1"/>
  <c r="C35" i="7"/>
  <c r="E35" i="7"/>
  <c r="F35" i="7" s="1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C34" i="7"/>
  <c r="E34" i="7"/>
  <c r="F34" i="7" s="1"/>
  <c r="C47" i="6"/>
  <c r="C46" i="6"/>
  <c r="C33" i="7"/>
  <c r="E33" i="7"/>
  <c r="F33" i="7" s="1"/>
  <c r="C45" i="6"/>
  <c r="C32" i="7"/>
  <c r="E32" i="7"/>
  <c r="F32" i="7" s="1"/>
  <c r="C44" i="6"/>
  <c r="C31" i="7"/>
  <c r="E31" i="7"/>
  <c r="F31" i="7" s="1"/>
  <c r="C43" i="6"/>
  <c r="C30" i="7"/>
  <c r="E30" i="7"/>
  <c r="F30" i="7" s="1"/>
  <c r="G3" i="11"/>
  <c r="K3" i="11"/>
  <c r="B7" i="10"/>
  <c r="H7" i="10" s="1"/>
  <c r="I7" i="10" s="1"/>
  <c r="F7" i="10"/>
  <c r="G7" i="10"/>
  <c r="M7" i="10"/>
  <c r="B38" i="9"/>
  <c r="C38" i="9" s="1"/>
  <c r="I38" i="9"/>
  <c r="L38" i="9" s="1"/>
  <c r="W38" i="9" s="1"/>
  <c r="U38" i="9"/>
  <c r="Y38" i="9" s="1"/>
  <c r="B37" i="9"/>
  <c r="C37" i="9" s="1"/>
  <c r="I37" i="9"/>
  <c r="L37" i="9" s="1"/>
  <c r="W37" i="9" s="1"/>
  <c r="U37" i="9"/>
  <c r="Y37" i="9" s="1"/>
  <c r="B36" i="9"/>
  <c r="C36" i="9" s="1"/>
  <c r="I36" i="9"/>
  <c r="L36" i="9" s="1"/>
  <c r="W36" i="9" s="1"/>
  <c r="U36" i="9"/>
  <c r="Y36" i="9" s="1"/>
  <c r="C29" i="7"/>
  <c r="E29" i="7"/>
  <c r="F29" i="7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28" i="7"/>
  <c r="E28" i="7"/>
  <c r="F28" i="7" s="1"/>
  <c r="C27" i="7"/>
  <c r="E27" i="7"/>
  <c r="F27" i="7" s="1"/>
  <c r="C26" i="7"/>
  <c r="E26" i="7"/>
  <c r="F26" i="7" s="1"/>
  <c r="M47" i="9" l="1"/>
  <c r="M45" i="9"/>
  <c r="J28" i="7"/>
  <c r="M28" i="7"/>
  <c r="J29" i="7"/>
  <c r="M29" i="7"/>
  <c r="J36" i="7"/>
  <c r="M36" i="7"/>
  <c r="J39" i="7"/>
  <c r="M39" i="7"/>
  <c r="J32" i="7"/>
  <c r="M32" i="7"/>
  <c r="J40" i="7"/>
  <c r="M40" i="7"/>
  <c r="J26" i="7"/>
  <c r="M26" i="7"/>
  <c r="J37" i="7"/>
  <c r="M37" i="7"/>
  <c r="J34" i="7"/>
  <c r="M34" i="7"/>
  <c r="J35" i="7"/>
  <c r="M35" i="7"/>
  <c r="J30" i="7"/>
  <c r="M30" i="7"/>
  <c r="J33" i="7"/>
  <c r="M33" i="7"/>
  <c r="J27" i="7"/>
  <c r="M27" i="7"/>
  <c r="J31" i="7"/>
  <c r="M31" i="7"/>
  <c r="J38" i="7"/>
  <c r="M38" i="7"/>
  <c r="S3" i="13"/>
  <c r="T3" i="13"/>
  <c r="G30" i="7"/>
  <c r="G35" i="7"/>
  <c r="G33" i="7"/>
  <c r="G36" i="7"/>
  <c r="G31" i="7"/>
  <c r="G27" i="7"/>
  <c r="G39" i="7"/>
  <c r="G37" i="7"/>
  <c r="G29" i="7"/>
  <c r="G32" i="7"/>
  <c r="V46" i="9"/>
  <c r="V47" i="9"/>
  <c r="X47" i="9"/>
  <c r="N47" i="9"/>
  <c r="Q47" i="9" s="1"/>
  <c r="V45" i="9"/>
  <c r="X45" i="9"/>
  <c r="N45" i="9"/>
  <c r="Q45" i="9" s="1"/>
  <c r="G40" i="7"/>
  <c r="F44" i="9"/>
  <c r="M44" i="9" s="1"/>
  <c r="E44" i="9"/>
  <c r="D44" i="9"/>
  <c r="F43" i="9"/>
  <c r="E43" i="9"/>
  <c r="M43" i="9" s="1"/>
  <c r="D43" i="9"/>
  <c r="F42" i="9"/>
  <c r="E42" i="9"/>
  <c r="D42" i="9"/>
  <c r="M42" i="9" s="1"/>
  <c r="G38" i="7"/>
  <c r="F41" i="9"/>
  <c r="M41" i="9" s="1"/>
  <c r="E41" i="9"/>
  <c r="D41" i="9"/>
  <c r="F40" i="9"/>
  <c r="E40" i="9"/>
  <c r="M40" i="9" s="1"/>
  <c r="D40" i="9"/>
  <c r="F39" i="9"/>
  <c r="E39" i="9"/>
  <c r="D39" i="9"/>
  <c r="M39" i="9" s="1"/>
  <c r="G34" i="7"/>
  <c r="F38" i="9"/>
  <c r="M38" i="9" s="1"/>
  <c r="E38" i="9"/>
  <c r="D38" i="9"/>
  <c r="F37" i="9"/>
  <c r="E37" i="9"/>
  <c r="M37" i="9" s="1"/>
  <c r="D37" i="9"/>
  <c r="F36" i="9"/>
  <c r="E36" i="9"/>
  <c r="D36" i="9"/>
  <c r="M36" i="9" s="1"/>
  <c r="G28" i="7"/>
  <c r="G26" i="7"/>
  <c r="C25" i="7"/>
  <c r="E25" i="7"/>
  <c r="F25" i="7" s="1"/>
  <c r="M4" i="10"/>
  <c r="M5" i="10"/>
  <c r="M6" i="10"/>
  <c r="C24" i="7"/>
  <c r="E24" i="7"/>
  <c r="F24" i="7" s="1"/>
  <c r="B6" i="10"/>
  <c r="H6" i="10" s="1"/>
  <c r="F6" i="10"/>
  <c r="B35" i="9"/>
  <c r="C35" i="9" s="1"/>
  <c r="I35" i="9"/>
  <c r="L35" i="9" s="1"/>
  <c r="W35" i="9" s="1"/>
  <c r="U35" i="9"/>
  <c r="Y35" i="9" s="1"/>
  <c r="B34" i="9"/>
  <c r="C34" i="9" s="1"/>
  <c r="I34" i="9"/>
  <c r="L34" i="9" s="1"/>
  <c r="W34" i="9" s="1"/>
  <c r="U34" i="9"/>
  <c r="Y34" i="9" s="1"/>
  <c r="I31" i="9"/>
  <c r="L31" i="9" s="1"/>
  <c r="W31" i="9" s="1"/>
  <c r="B33" i="9"/>
  <c r="C33" i="9" s="1"/>
  <c r="I33" i="9"/>
  <c r="L33" i="9" s="1"/>
  <c r="W33" i="9" s="1"/>
  <c r="U33" i="9"/>
  <c r="Y33" i="9" s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E23" i="7"/>
  <c r="F23" i="7" s="1"/>
  <c r="E22" i="7"/>
  <c r="F22" i="7" s="1"/>
  <c r="G7" i="11"/>
  <c r="G10" i="1"/>
  <c r="I10" i="1"/>
  <c r="J10" i="1" s="1"/>
  <c r="G9" i="1"/>
  <c r="I9" i="1"/>
  <c r="G8" i="1"/>
  <c r="I8" i="1"/>
  <c r="J8" i="1" s="1"/>
  <c r="G7" i="1"/>
  <c r="I7" i="1"/>
  <c r="J7" i="1" s="1"/>
  <c r="G6" i="1"/>
  <c r="I6" i="1"/>
  <c r="J6" i="1" s="1"/>
  <c r="G5" i="1"/>
  <c r="I5" i="1"/>
  <c r="J5" i="1" s="1"/>
  <c r="G4" i="1"/>
  <c r="I4" i="1"/>
  <c r="J4" i="1" s="1"/>
  <c r="G3" i="1"/>
  <c r="I3" i="1"/>
  <c r="J3" i="1" s="1"/>
  <c r="G10" i="11"/>
  <c r="K10" i="11"/>
  <c r="L10" i="11"/>
  <c r="N10" i="11" s="1"/>
  <c r="G9" i="11"/>
  <c r="K9" i="11"/>
  <c r="L9" i="11"/>
  <c r="N9" i="11" s="1"/>
  <c r="G8" i="11"/>
  <c r="K8" i="11"/>
  <c r="L8" i="11"/>
  <c r="N8" i="11" s="1"/>
  <c r="K7" i="11"/>
  <c r="O7" i="11" s="1"/>
  <c r="L7" i="11"/>
  <c r="N7" i="11" s="1"/>
  <c r="E21" i="7"/>
  <c r="F21" i="7" s="1"/>
  <c r="E20" i="7"/>
  <c r="F20" i="7" s="1"/>
  <c r="E19" i="7"/>
  <c r="F19" i="7" s="1"/>
  <c r="B5" i="10"/>
  <c r="H5" i="10" s="1"/>
  <c r="F5" i="10"/>
  <c r="B31" i="9"/>
  <c r="C31" i="9" s="1"/>
  <c r="U31" i="9"/>
  <c r="Y31" i="9" s="1"/>
  <c r="I17" i="9"/>
  <c r="L17" i="9" s="1"/>
  <c r="W17" i="9" s="1"/>
  <c r="B30" i="9"/>
  <c r="C30" i="9" s="1"/>
  <c r="I30" i="9"/>
  <c r="L30" i="9" s="1"/>
  <c r="W30" i="9" s="1"/>
  <c r="U30" i="9"/>
  <c r="Y30" i="9" s="1"/>
  <c r="B32" i="9"/>
  <c r="C32" i="9" s="1"/>
  <c r="I32" i="9"/>
  <c r="L32" i="9" s="1"/>
  <c r="W32" i="9" s="1"/>
  <c r="U32" i="9"/>
  <c r="Y32" i="9" s="1"/>
  <c r="E18" i="7"/>
  <c r="F18" i="7" s="1"/>
  <c r="E17" i="7"/>
  <c r="F17" i="7" s="1"/>
  <c r="E16" i="7"/>
  <c r="F16" i="7" s="1"/>
  <c r="F4" i="10"/>
  <c r="B3" i="10"/>
  <c r="H3" i="10" s="1"/>
  <c r="B4" i="10"/>
  <c r="H4" i="10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N3" i="12"/>
  <c r="N4" i="12"/>
  <c r="R4" i="12" s="1"/>
  <c r="N5" i="12"/>
  <c r="R5" i="12" s="1"/>
  <c r="N6" i="12"/>
  <c r="R6" i="12" s="1"/>
  <c r="N7" i="12"/>
  <c r="R7" i="12" s="1"/>
  <c r="N8" i="12"/>
  <c r="R8" i="12" s="1"/>
  <c r="N9" i="12"/>
  <c r="R9" i="12" s="1"/>
  <c r="N10" i="12"/>
  <c r="R10" i="12" s="1"/>
  <c r="N11" i="12"/>
  <c r="N12" i="12"/>
  <c r="R12" i="12" s="1"/>
  <c r="N13" i="12"/>
  <c r="R13" i="12" s="1"/>
  <c r="N14" i="12"/>
  <c r="R14" i="12" s="1"/>
  <c r="R3" i="12"/>
  <c r="R11" i="12"/>
  <c r="B8" i="12"/>
  <c r="C8" i="12" s="1"/>
  <c r="B14" i="12"/>
  <c r="C14" i="12" s="1"/>
  <c r="B13" i="12"/>
  <c r="C13" i="12" s="1"/>
  <c r="B12" i="12"/>
  <c r="C12" i="12" s="1"/>
  <c r="B11" i="12"/>
  <c r="C11" i="12" s="1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D3" i="12" s="1"/>
  <c r="G6" i="11"/>
  <c r="B28" i="9"/>
  <c r="C28" i="9" s="1"/>
  <c r="I28" i="9"/>
  <c r="L28" i="9" s="1"/>
  <c r="W28" i="9" s="1"/>
  <c r="U28" i="9"/>
  <c r="Y28" i="9" s="1"/>
  <c r="B27" i="9"/>
  <c r="C27" i="9" s="1"/>
  <c r="I27" i="9"/>
  <c r="L27" i="9" s="1"/>
  <c r="W27" i="9" s="1"/>
  <c r="U27" i="9"/>
  <c r="Y27" i="9" s="1"/>
  <c r="B29" i="9"/>
  <c r="C29" i="9" s="1"/>
  <c r="I29" i="9"/>
  <c r="L29" i="9" s="1"/>
  <c r="W29" i="9" s="1"/>
  <c r="U29" i="9"/>
  <c r="Y29" i="9" s="1"/>
  <c r="L4" i="11"/>
  <c r="N4" i="11" s="1"/>
  <c r="L5" i="11"/>
  <c r="N5" i="11" s="1"/>
  <c r="L6" i="11"/>
  <c r="N6" i="11" s="1"/>
  <c r="K4" i="11"/>
  <c r="K5" i="11"/>
  <c r="O5" i="11" s="1"/>
  <c r="K6" i="11"/>
  <c r="G4" i="11"/>
  <c r="G5" i="11"/>
  <c r="L3" i="11"/>
  <c r="N3" i="11" s="1"/>
  <c r="G3" i="10"/>
  <c r="G4" i="10" s="1"/>
  <c r="G5" i="10" s="1"/>
  <c r="G6" i="10" s="1"/>
  <c r="F3" i="10"/>
  <c r="J3" i="10" s="1"/>
  <c r="J4" i="10" s="1"/>
  <c r="M3" i="10"/>
  <c r="B26" i="9"/>
  <c r="C26" i="9" s="1"/>
  <c r="L26" i="9"/>
  <c r="W26" i="9" s="1"/>
  <c r="U26" i="9"/>
  <c r="Y26" i="9" s="1"/>
  <c r="B25" i="9"/>
  <c r="C25" i="9" s="1"/>
  <c r="I25" i="9"/>
  <c r="L25" i="9" s="1"/>
  <c r="W25" i="9" s="1"/>
  <c r="U25" i="9"/>
  <c r="Y25" i="9" s="1"/>
  <c r="B23" i="9"/>
  <c r="C23" i="9" s="1"/>
  <c r="I23" i="9"/>
  <c r="L23" i="9" s="1"/>
  <c r="W23" i="9" s="1"/>
  <c r="U23" i="9"/>
  <c r="Y23" i="9" s="1"/>
  <c r="B24" i="9"/>
  <c r="C24" i="9" s="1"/>
  <c r="I24" i="9"/>
  <c r="L24" i="9" s="1"/>
  <c r="W24" i="9" s="1"/>
  <c r="U24" i="9"/>
  <c r="Y24" i="9" s="1"/>
  <c r="B22" i="9"/>
  <c r="C22" i="9" s="1"/>
  <c r="I22" i="9"/>
  <c r="L22" i="9" s="1"/>
  <c r="W22" i="9" s="1"/>
  <c r="U22" i="9"/>
  <c r="Y22" i="9" s="1"/>
  <c r="B20" i="9"/>
  <c r="C20" i="9" s="1"/>
  <c r="I20" i="9"/>
  <c r="L20" i="9" s="1"/>
  <c r="W20" i="9" s="1"/>
  <c r="U20" i="9"/>
  <c r="Y20" i="9" s="1"/>
  <c r="B18" i="9"/>
  <c r="C18" i="9" s="1"/>
  <c r="I18" i="9"/>
  <c r="L18" i="9" s="1"/>
  <c r="W18" i="9" s="1"/>
  <c r="U18" i="9"/>
  <c r="Y18" i="9" s="1"/>
  <c r="B14" i="9"/>
  <c r="C14" i="9" s="1"/>
  <c r="I14" i="9"/>
  <c r="L14" i="9" s="1"/>
  <c r="W14" i="9" s="1"/>
  <c r="U14" i="9"/>
  <c r="Y14" i="9" s="1"/>
  <c r="B11" i="9"/>
  <c r="C11" i="9" s="1"/>
  <c r="I11" i="9"/>
  <c r="L11" i="9" s="1"/>
  <c r="W11" i="9" s="1"/>
  <c r="U11" i="9"/>
  <c r="Y11" i="9" s="1"/>
  <c r="B19" i="9"/>
  <c r="C19" i="9" s="1"/>
  <c r="I19" i="9"/>
  <c r="L19" i="9" s="1"/>
  <c r="W19" i="9" s="1"/>
  <c r="U19" i="9"/>
  <c r="Y19" i="9" s="1"/>
  <c r="B17" i="9"/>
  <c r="C17" i="9" s="1"/>
  <c r="U17" i="9"/>
  <c r="Y17" i="9" s="1"/>
  <c r="B13" i="9"/>
  <c r="C13" i="9" s="1"/>
  <c r="I13" i="9"/>
  <c r="L13" i="9" s="1"/>
  <c r="W13" i="9" s="1"/>
  <c r="U13" i="9"/>
  <c r="Y13" i="9" s="1"/>
  <c r="B10" i="9"/>
  <c r="D10" i="9" s="1"/>
  <c r="I10" i="9"/>
  <c r="L10" i="9" s="1"/>
  <c r="W10" i="9" s="1"/>
  <c r="U10" i="9"/>
  <c r="Y10" i="9" s="1"/>
  <c r="B21" i="9"/>
  <c r="C21" i="9" s="1"/>
  <c r="I21" i="9"/>
  <c r="L21" i="9" s="1"/>
  <c r="W21" i="9" s="1"/>
  <c r="U21" i="9"/>
  <c r="Y21" i="9" s="1"/>
  <c r="B16" i="9"/>
  <c r="C16" i="9" s="1"/>
  <c r="I16" i="9"/>
  <c r="L16" i="9" s="1"/>
  <c r="W16" i="9" s="1"/>
  <c r="U16" i="9"/>
  <c r="Y16" i="9" s="1"/>
  <c r="I3" i="9"/>
  <c r="L3" i="9" s="1"/>
  <c r="W3" i="9" s="1"/>
  <c r="I4" i="9"/>
  <c r="L4" i="9" s="1"/>
  <c r="W4" i="9" s="1"/>
  <c r="I6" i="9"/>
  <c r="L6" i="9" s="1"/>
  <c r="W6" i="9" s="1"/>
  <c r="I5" i="9"/>
  <c r="L5" i="9" s="1"/>
  <c r="W5" i="9" s="1"/>
  <c r="I9" i="9"/>
  <c r="L9" i="9" s="1"/>
  <c r="W9" i="9" s="1"/>
  <c r="I8" i="9"/>
  <c r="L8" i="9" s="1"/>
  <c r="W8" i="9" s="1"/>
  <c r="I7" i="9"/>
  <c r="L7" i="9" s="1"/>
  <c r="W7" i="9" s="1"/>
  <c r="I12" i="9"/>
  <c r="L12" i="9" s="1"/>
  <c r="W12" i="9" s="1"/>
  <c r="I15" i="9"/>
  <c r="B15" i="9"/>
  <c r="C15" i="9" s="1"/>
  <c r="U15" i="9"/>
  <c r="Y15" i="9" s="1"/>
  <c r="B12" i="9"/>
  <c r="C12" i="9" s="1"/>
  <c r="U12" i="9"/>
  <c r="Y12" i="9" s="1"/>
  <c r="B7" i="9"/>
  <c r="C7" i="9" s="1"/>
  <c r="U7" i="9"/>
  <c r="Y7" i="9" s="1"/>
  <c r="B8" i="9"/>
  <c r="C8" i="9" s="1"/>
  <c r="U8" i="9"/>
  <c r="Y8" i="9" s="1"/>
  <c r="B9" i="9"/>
  <c r="C9" i="9" s="1"/>
  <c r="U9" i="9"/>
  <c r="Y9" i="9" s="1"/>
  <c r="B5" i="9"/>
  <c r="C5" i="9" s="1"/>
  <c r="U5" i="9"/>
  <c r="Y5" i="9" s="1"/>
  <c r="U6" i="9"/>
  <c r="Y6" i="9" s="1"/>
  <c r="B6" i="9"/>
  <c r="C6" i="9" s="1"/>
  <c r="B4" i="9"/>
  <c r="C4" i="9" s="1"/>
  <c r="B3" i="9"/>
  <c r="E3" i="9" s="1"/>
  <c r="U4" i="9"/>
  <c r="Y4" i="9" s="1"/>
  <c r="U3" i="9"/>
  <c r="Y3" i="9" s="1"/>
  <c r="N43" i="9" l="1"/>
  <c r="Q43" i="9" s="1"/>
  <c r="N37" i="9"/>
  <c r="Q37" i="9" s="1"/>
  <c r="X44" i="9"/>
  <c r="N40" i="9"/>
  <c r="Q40" i="9" s="1"/>
  <c r="J5" i="10"/>
  <c r="J15" i="7"/>
  <c r="M15" i="7"/>
  <c r="J23" i="7"/>
  <c r="M23" i="7"/>
  <c r="J7" i="7"/>
  <c r="M7" i="7"/>
  <c r="J14" i="7"/>
  <c r="M14" i="7"/>
  <c r="J19" i="7"/>
  <c r="M19" i="7"/>
  <c r="J11" i="7"/>
  <c r="M11" i="7"/>
  <c r="J3" i="7"/>
  <c r="M3" i="7"/>
  <c r="J22" i="7"/>
  <c r="M22" i="7"/>
  <c r="J6" i="7"/>
  <c r="M6" i="7"/>
  <c r="J5" i="7"/>
  <c r="M5" i="7"/>
  <c r="J4" i="7"/>
  <c r="M4" i="7"/>
  <c r="J18" i="7"/>
  <c r="M18" i="7"/>
  <c r="J17" i="7"/>
  <c r="M17" i="7"/>
  <c r="J9" i="7"/>
  <c r="M9" i="7"/>
  <c r="J21" i="7"/>
  <c r="M21" i="7"/>
  <c r="J13" i="7"/>
  <c r="M13" i="7"/>
  <c r="J24" i="7"/>
  <c r="M24" i="7"/>
  <c r="J20" i="7"/>
  <c r="M20" i="7"/>
  <c r="J12" i="7"/>
  <c r="M12" i="7"/>
  <c r="J10" i="7"/>
  <c r="M10" i="7"/>
  <c r="J16" i="7"/>
  <c r="M16" i="7"/>
  <c r="J8" i="7"/>
  <c r="M8" i="7"/>
  <c r="J25" i="7"/>
  <c r="M25" i="7"/>
  <c r="G24" i="7"/>
  <c r="O10" i="11"/>
  <c r="J9" i="1"/>
  <c r="D11" i="1"/>
  <c r="V44" i="9"/>
  <c r="N44" i="9"/>
  <c r="Q44" i="9" s="1"/>
  <c r="V43" i="9"/>
  <c r="X43" i="9"/>
  <c r="N42" i="9"/>
  <c r="Q42" i="9" s="1"/>
  <c r="V42" i="9"/>
  <c r="X42" i="9"/>
  <c r="V41" i="9"/>
  <c r="N41" i="9"/>
  <c r="Q41" i="9" s="1"/>
  <c r="X41" i="9"/>
  <c r="V40" i="9"/>
  <c r="X40" i="9"/>
  <c r="N39" i="9"/>
  <c r="Q39" i="9" s="1"/>
  <c r="V39" i="9"/>
  <c r="X39" i="9"/>
  <c r="V38" i="9"/>
  <c r="N38" i="9"/>
  <c r="Q38" i="9" s="1"/>
  <c r="X38" i="9"/>
  <c r="X37" i="9"/>
  <c r="V37" i="9"/>
  <c r="N36" i="9"/>
  <c r="Q36" i="9" s="1"/>
  <c r="X36" i="9"/>
  <c r="V36" i="9"/>
  <c r="G25" i="7"/>
  <c r="G21" i="7"/>
  <c r="G17" i="7"/>
  <c r="G13" i="7"/>
  <c r="G9" i="7"/>
  <c r="G5" i="7"/>
  <c r="I6" i="10"/>
  <c r="I4" i="10"/>
  <c r="I5" i="10"/>
  <c r="O8" i="11"/>
  <c r="O9" i="11"/>
  <c r="G20" i="7"/>
  <c r="G16" i="7"/>
  <c r="G12" i="7"/>
  <c r="G8" i="7"/>
  <c r="G4" i="7"/>
  <c r="G23" i="7"/>
  <c r="G19" i="7"/>
  <c r="G15" i="7"/>
  <c r="G11" i="7"/>
  <c r="G7" i="7"/>
  <c r="G3" i="7"/>
  <c r="O4" i="11"/>
  <c r="O3" i="11"/>
  <c r="G22" i="7"/>
  <c r="G18" i="7"/>
  <c r="G14" i="7"/>
  <c r="G10" i="7"/>
  <c r="G6" i="7"/>
  <c r="J6" i="10"/>
  <c r="J7" i="10" s="1"/>
  <c r="F35" i="9"/>
  <c r="M35" i="9" s="1"/>
  <c r="E35" i="9"/>
  <c r="D35" i="9"/>
  <c r="F34" i="9"/>
  <c r="E34" i="9"/>
  <c r="M34" i="9" s="1"/>
  <c r="D34" i="9"/>
  <c r="F33" i="9"/>
  <c r="E33" i="9"/>
  <c r="D33" i="9"/>
  <c r="M33" i="9" s="1"/>
  <c r="I11" i="12"/>
  <c r="I7" i="12"/>
  <c r="I6" i="12"/>
  <c r="I14" i="12"/>
  <c r="I10" i="12"/>
  <c r="I13" i="12"/>
  <c r="I9" i="12"/>
  <c r="I5" i="12"/>
  <c r="I12" i="12"/>
  <c r="I8" i="12"/>
  <c r="O8" i="12" s="1"/>
  <c r="I4" i="12"/>
  <c r="I3" i="12"/>
  <c r="C3" i="9"/>
  <c r="F31" i="9"/>
  <c r="M31" i="9" s="1"/>
  <c r="E31" i="9"/>
  <c r="D31" i="9"/>
  <c r="F30" i="9"/>
  <c r="E30" i="9"/>
  <c r="M30" i="9" s="1"/>
  <c r="D30" i="9"/>
  <c r="F32" i="9"/>
  <c r="E32" i="9"/>
  <c r="D32" i="9"/>
  <c r="M32" i="9" s="1"/>
  <c r="O9" i="12"/>
  <c r="S9" i="12" s="1"/>
  <c r="T9" i="12" s="1"/>
  <c r="F8" i="12"/>
  <c r="E8" i="12"/>
  <c r="H8" i="12"/>
  <c r="D8" i="12"/>
  <c r="G8" i="12"/>
  <c r="H3" i="12"/>
  <c r="F14" i="12"/>
  <c r="E14" i="12"/>
  <c r="H14" i="12"/>
  <c r="D14" i="12"/>
  <c r="G14" i="12"/>
  <c r="O14" i="12" s="1"/>
  <c r="S14" i="12" s="1"/>
  <c r="T14" i="12" s="1"/>
  <c r="F13" i="12"/>
  <c r="E13" i="12"/>
  <c r="H13" i="12"/>
  <c r="O13" i="12" s="1"/>
  <c r="S13" i="12" s="1"/>
  <c r="T13" i="12" s="1"/>
  <c r="D13" i="12"/>
  <c r="G13" i="12"/>
  <c r="F12" i="12"/>
  <c r="O12" i="12" s="1"/>
  <c r="S12" i="12" s="1"/>
  <c r="T12" i="12" s="1"/>
  <c r="E12" i="12"/>
  <c r="H12" i="12"/>
  <c r="D12" i="12"/>
  <c r="G12" i="12"/>
  <c r="F11" i="12"/>
  <c r="E11" i="12"/>
  <c r="O11" i="12" s="1"/>
  <c r="S11" i="12" s="1"/>
  <c r="T11" i="12" s="1"/>
  <c r="H11" i="12"/>
  <c r="D11" i="12"/>
  <c r="G11" i="12"/>
  <c r="F10" i="12"/>
  <c r="E10" i="12"/>
  <c r="H10" i="12"/>
  <c r="D10" i="12"/>
  <c r="O10" i="12" s="1"/>
  <c r="S10" i="12" s="1"/>
  <c r="T10" i="12" s="1"/>
  <c r="G10" i="12"/>
  <c r="F9" i="12"/>
  <c r="E9" i="12"/>
  <c r="H9" i="12"/>
  <c r="D9" i="12"/>
  <c r="G9" i="12"/>
  <c r="F7" i="12"/>
  <c r="E7" i="12"/>
  <c r="H7" i="12"/>
  <c r="O7" i="12" s="1"/>
  <c r="D7" i="12"/>
  <c r="G7" i="12"/>
  <c r="F6" i="12"/>
  <c r="O6" i="12" s="1"/>
  <c r="S6" i="12" s="1"/>
  <c r="T6" i="12" s="1"/>
  <c r="E6" i="12"/>
  <c r="H6" i="12"/>
  <c r="D6" i="12"/>
  <c r="G6" i="12"/>
  <c r="F5" i="12"/>
  <c r="E5" i="12"/>
  <c r="O5" i="12" s="1"/>
  <c r="S5" i="12" s="1"/>
  <c r="T5" i="12" s="1"/>
  <c r="H5" i="12"/>
  <c r="D5" i="12"/>
  <c r="G5" i="12"/>
  <c r="F4" i="12"/>
  <c r="E4" i="12"/>
  <c r="H4" i="12"/>
  <c r="D4" i="12"/>
  <c r="O4" i="12" s="1"/>
  <c r="S4" i="12" s="1"/>
  <c r="T4" i="12" s="1"/>
  <c r="G4" i="12"/>
  <c r="G3" i="12"/>
  <c r="F3" i="12"/>
  <c r="E3" i="12"/>
  <c r="C3" i="12"/>
  <c r="O3" i="12" s="1"/>
  <c r="S3" i="12" s="1"/>
  <c r="T3" i="12" s="1"/>
  <c r="O6" i="11"/>
  <c r="F28" i="9"/>
  <c r="M28" i="9" s="1"/>
  <c r="E28" i="9"/>
  <c r="D28" i="9"/>
  <c r="F27" i="9"/>
  <c r="E27" i="9"/>
  <c r="M27" i="9" s="1"/>
  <c r="D27" i="9"/>
  <c r="F29" i="9"/>
  <c r="E29" i="9"/>
  <c r="D29" i="9"/>
  <c r="M29" i="9" s="1"/>
  <c r="I3" i="10"/>
  <c r="F26" i="9"/>
  <c r="M26" i="9" s="1"/>
  <c r="E26" i="9"/>
  <c r="D26" i="9"/>
  <c r="F25" i="9"/>
  <c r="M25" i="9" s="1"/>
  <c r="E25" i="9"/>
  <c r="D25" i="9"/>
  <c r="F23" i="9"/>
  <c r="M23" i="9" s="1"/>
  <c r="E23" i="9"/>
  <c r="D23" i="9"/>
  <c r="F24" i="9"/>
  <c r="M24" i="9" s="1"/>
  <c r="E24" i="9"/>
  <c r="D24" i="9"/>
  <c r="F22" i="9"/>
  <c r="M22" i="9" s="1"/>
  <c r="E22" i="9"/>
  <c r="D22" i="9"/>
  <c r="F20" i="9"/>
  <c r="M20" i="9" s="1"/>
  <c r="E20" i="9"/>
  <c r="D20" i="9"/>
  <c r="F18" i="9"/>
  <c r="M18" i="9" s="1"/>
  <c r="E18" i="9"/>
  <c r="D18" i="9"/>
  <c r="F14" i="9"/>
  <c r="M14" i="9" s="1"/>
  <c r="E14" i="9"/>
  <c r="D14" i="9"/>
  <c r="F11" i="9"/>
  <c r="M11" i="9" s="1"/>
  <c r="E11" i="9"/>
  <c r="D11" i="9"/>
  <c r="F19" i="9"/>
  <c r="E19" i="9"/>
  <c r="M19" i="9" s="1"/>
  <c r="D19" i="9"/>
  <c r="F17" i="9"/>
  <c r="E17" i="9"/>
  <c r="M17" i="9" s="1"/>
  <c r="D17" i="9"/>
  <c r="F13" i="9"/>
  <c r="E13" i="9"/>
  <c r="M13" i="9" s="1"/>
  <c r="D13" i="9"/>
  <c r="F10" i="9"/>
  <c r="E10" i="9"/>
  <c r="C10" i="9"/>
  <c r="F21" i="9"/>
  <c r="E21" i="9"/>
  <c r="D21" i="9"/>
  <c r="M21" i="9" s="1"/>
  <c r="F16" i="9"/>
  <c r="E16" i="9"/>
  <c r="D16" i="9"/>
  <c r="M16" i="9" s="1"/>
  <c r="L15" i="9"/>
  <c r="W15" i="9" s="1"/>
  <c r="F15" i="9"/>
  <c r="E15" i="9"/>
  <c r="D15" i="9"/>
  <c r="M15" i="9" s="1"/>
  <c r="F12" i="9"/>
  <c r="E12" i="9"/>
  <c r="D12" i="9"/>
  <c r="M12" i="9" s="1"/>
  <c r="F7" i="9"/>
  <c r="D7" i="9"/>
  <c r="E7" i="9"/>
  <c r="M7" i="9" s="1"/>
  <c r="F8" i="9"/>
  <c r="M8" i="9" s="1"/>
  <c r="E8" i="9"/>
  <c r="D8" i="9"/>
  <c r="F9" i="9"/>
  <c r="E9" i="9"/>
  <c r="D9" i="9"/>
  <c r="M9" i="9" s="1"/>
  <c r="F5" i="9"/>
  <c r="E5" i="9"/>
  <c r="M5" i="9" s="1"/>
  <c r="D5" i="9"/>
  <c r="F6" i="9"/>
  <c r="E6" i="9"/>
  <c r="D6" i="9"/>
  <c r="M6" i="9" s="1"/>
  <c r="F3" i="9"/>
  <c r="F4" i="9"/>
  <c r="E4" i="9"/>
  <c r="M4" i="9" s="1"/>
  <c r="D4" i="9"/>
  <c r="D3" i="9"/>
  <c r="M3" i="9" s="1"/>
  <c r="M10" i="9" l="1"/>
  <c r="X5" i="9"/>
  <c r="X28" i="9"/>
  <c r="X20" i="9"/>
  <c r="X7" i="9"/>
  <c r="X4" i="9"/>
  <c r="X10" i="9"/>
  <c r="X14" i="9"/>
  <c r="N34" i="9"/>
  <c r="Q34" i="9" s="1"/>
  <c r="X8" i="9"/>
  <c r="X16" i="9"/>
  <c r="X19" i="9"/>
  <c r="X9" i="9"/>
  <c r="X12" i="9"/>
  <c r="V25" i="9"/>
  <c r="N30" i="9"/>
  <c r="Q30" i="9" s="1"/>
  <c r="X3" i="9"/>
  <c r="X17" i="9"/>
  <c r="N27" i="9"/>
  <c r="Q27" i="9" s="1"/>
  <c r="X21" i="9"/>
  <c r="X35" i="9"/>
  <c r="X6" i="9"/>
  <c r="X13" i="9"/>
  <c r="X15" i="9"/>
  <c r="X11" i="9"/>
  <c r="X26" i="9"/>
  <c r="J8" i="10"/>
  <c r="K7" i="10"/>
  <c r="L7" i="10"/>
  <c r="L3" i="10"/>
  <c r="K3" i="10"/>
  <c r="L5" i="10"/>
  <c r="K5" i="10"/>
  <c r="L4" i="10"/>
  <c r="K4" i="10"/>
  <c r="L6" i="10"/>
  <c r="K6" i="10"/>
  <c r="I11" i="1"/>
  <c r="J11" i="1" s="1"/>
  <c r="G11" i="1"/>
  <c r="V35" i="9"/>
  <c r="N35" i="9"/>
  <c r="Q35" i="9" s="1"/>
  <c r="X34" i="9"/>
  <c r="V34" i="9"/>
  <c r="N33" i="9"/>
  <c r="Q33" i="9" s="1"/>
  <c r="X33" i="9"/>
  <c r="V33" i="9"/>
  <c r="V30" i="9"/>
  <c r="V31" i="9"/>
  <c r="N31" i="9"/>
  <c r="Q31" i="9" s="1"/>
  <c r="X31" i="9"/>
  <c r="X30" i="9"/>
  <c r="N32" i="9"/>
  <c r="Q32" i="9" s="1"/>
  <c r="X32" i="9"/>
  <c r="V32" i="9"/>
  <c r="S7" i="12"/>
  <c r="T7" i="12" s="1"/>
  <c r="V28" i="9"/>
  <c r="N28" i="9"/>
  <c r="Q28" i="9" s="1"/>
  <c r="X27" i="9"/>
  <c r="V27" i="9"/>
  <c r="N29" i="9"/>
  <c r="Q29" i="9" s="1"/>
  <c r="X29" i="9"/>
  <c r="V29" i="9"/>
  <c r="V26" i="9"/>
  <c r="N26" i="9"/>
  <c r="Q26" i="9" s="1"/>
  <c r="N25" i="9"/>
  <c r="Q25" i="9" s="1"/>
  <c r="X25" i="9"/>
  <c r="X18" i="9"/>
  <c r="V18" i="9"/>
  <c r="V23" i="9"/>
  <c r="N23" i="9"/>
  <c r="Q23" i="9" s="1"/>
  <c r="X23" i="9"/>
  <c r="V24" i="9"/>
  <c r="N24" i="9"/>
  <c r="Q24" i="9" s="1"/>
  <c r="X24" i="9"/>
  <c r="X22" i="9"/>
  <c r="V22" i="9"/>
  <c r="N22" i="9"/>
  <c r="Q22" i="9" s="1"/>
  <c r="N3" i="9"/>
  <c r="Q3" i="9" s="1"/>
  <c r="V11" i="9"/>
  <c r="V4" i="9"/>
  <c r="V5" i="9"/>
  <c r="V7" i="9"/>
  <c r="V10" i="9"/>
  <c r="V14" i="9"/>
  <c r="V9" i="9"/>
  <c r="V15" i="9"/>
  <c r="V16" i="9"/>
  <c r="V19" i="9"/>
  <c r="V6" i="9"/>
  <c r="V13" i="9"/>
  <c r="V21" i="9"/>
  <c r="N8" i="9"/>
  <c r="Q8" i="9" s="1"/>
  <c r="V8" i="9"/>
  <c r="V12" i="9"/>
  <c r="V17" i="9"/>
  <c r="V20" i="9"/>
  <c r="V3" i="9"/>
  <c r="N11" i="9"/>
  <c r="Q11" i="9" s="1"/>
  <c r="N20" i="9"/>
  <c r="Q20" i="9" s="1"/>
  <c r="N18" i="9"/>
  <c r="Q18" i="9" s="1"/>
  <c r="N14" i="9"/>
  <c r="Q14" i="9" s="1"/>
  <c r="N19" i="9"/>
  <c r="Q19" i="9" s="1"/>
  <c r="N17" i="9"/>
  <c r="Q17" i="9" s="1"/>
  <c r="N13" i="9"/>
  <c r="Q13" i="9" s="1"/>
  <c r="N10" i="9"/>
  <c r="Q10" i="9" s="1"/>
  <c r="N21" i="9"/>
  <c r="Q21" i="9" s="1"/>
  <c r="N16" i="9"/>
  <c r="Q16" i="9" s="1"/>
  <c r="N15" i="9"/>
  <c r="Q15" i="9" s="1"/>
  <c r="N12" i="9"/>
  <c r="Q12" i="9" s="1"/>
  <c r="N7" i="9"/>
  <c r="Q7" i="9" s="1"/>
  <c r="N9" i="9"/>
  <c r="Q9" i="9" s="1"/>
  <c r="N5" i="9"/>
  <c r="Q5" i="9" s="1"/>
  <c r="N6" i="9"/>
  <c r="Q6" i="9" s="1"/>
  <c r="N4" i="9"/>
  <c r="Q4" i="9" s="1"/>
  <c r="J9" i="10" l="1"/>
  <c r="K8" i="10"/>
  <c r="L8" i="10"/>
  <c r="S8" i="12"/>
  <c r="T8" i="12" s="1"/>
  <c r="J10" i="10" l="1"/>
  <c r="L9" i="10"/>
  <c r="K9" i="10"/>
  <c r="J11" i="10" l="1"/>
  <c r="L10" i="10"/>
  <c r="K10" i="10"/>
  <c r="J12" i="10" l="1"/>
  <c r="L11" i="10"/>
  <c r="K11" i="10"/>
  <c r="J13" i="10" l="1"/>
  <c r="L12" i="10"/>
  <c r="K12" i="10"/>
  <c r="J14" i="10" l="1"/>
  <c r="L13" i="10"/>
  <c r="K13" i="10"/>
  <c r="J15" i="10" l="1"/>
  <c r="K14" i="10"/>
  <c r="L14" i="10"/>
  <c r="J16" i="10" l="1"/>
  <c r="L15" i="10"/>
  <c r="K15" i="10"/>
  <c r="J17" i="10" l="1"/>
  <c r="L16" i="10"/>
  <c r="K16" i="10"/>
  <c r="L17" i="10" l="1"/>
  <c r="K17" i="10"/>
</calcChain>
</file>

<file path=xl/sharedStrings.xml><?xml version="1.0" encoding="utf-8"?>
<sst xmlns="http://schemas.openxmlformats.org/spreadsheetml/2006/main" count="390" uniqueCount="124">
  <si>
    <t>FECHA</t>
  </si>
  <si>
    <t>DÓLAR</t>
  </si>
  <si>
    <t>BITCOIN</t>
  </si>
  <si>
    <t>ETHEREUM</t>
  </si>
  <si>
    <t>io.net</t>
  </si>
  <si>
    <t>S&amp;P 500</t>
  </si>
  <si>
    <t>NASDAQ-100</t>
  </si>
  <si>
    <t>KO</t>
  </si>
  <si>
    <t>JNJ</t>
  </si>
  <si>
    <t>PG</t>
  </si>
  <si>
    <t>PEP</t>
  </si>
  <si>
    <t>MCD</t>
  </si>
  <si>
    <t>MSFT</t>
  </si>
  <si>
    <t>VOO</t>
  </si>
  <si>
    <t>BTC</t>
  </si>
  <si>
    <t>ETH</t>
  </si>
  <si>
    <t>moneda</t>
  </si>
  <si>
    <t>precio de compra</t>
  </si>
  <si>
    <t>cantidad</t>
  </si>
  <si>
    <t>rentabilidad</t>
  </si>
  <si>
    <t>precio actual dólar</t>
  </si>
  <si>
    <t>precio actual btc</t>
  </si>
  <si>
    <t>precio actul eth</t>
  </si>
  <si>
    <t>precio actual io.net</t>
  </si>
  <si>
    <t>meta1</t>
  </si>
  <si>
    <t>META2</t>
  </si>
  <si>
    <t>FECHA DE VENTA</t>
  </si>
  <si>
    <t>PRECIO DE VENTA</t>
  </si>
  <si>
    <t>GANANCIA/PERDIDA</t>
  </si>
  <si>
    <t>NOTAS</t>
  </si>
  <si>
    <t>ACCION</t>
  </si>
  <si>
    <t>CANTIDAD VENDIDA</t>
  </si>
  <si>
    <t>COSTO DE COMPRA</t>
  </si>
  <si>
    <t>PRECIO DEL DÓLAR, DIA COMPRA</t>
  </si>
  <si>
    <t>VALOR ACTUAL INV</t>
  </si>
  <si>
    <t>INVENTARIO</t>
  </si>
  <si>
    <t>VALOR ACTUAL</t>
  </si>
  <si>
    <t>RENTABILIDAD TOTAL</t>
  </si>
  <si>
    <t>ESTADO DE LA INVERSION</t>
  </si>
  <si>
    <t>FECHA COMPRA</t>
  </si>
  <si>
    <t>fecha act</t>
  </si>
  <si>
    <t>IO.NET</t>
  </si>
  <si>
    <t>GAN/PER</t>
  </si>
  <si>
    <t>CANTIDAD COPRADA</t>
  </si>
  <si>
    <t>CONTO EN COP</t>
  </si>
  <si>
    <t>PRECIO DEL USD,DIA COMPRA</t>
  </si>
  <si>
    <t>VALOR ACTUAL EN COP</t>
  </si>
  <si>
    <t>RENTABILIDAD</t>
  </si>
  <si>
    <t>CANTIDAD TOTAL(USD)</t>
  </si>
  <si>
    <t>PRECIO ACTUAL(USD)</t>
  </si>
  <si>
    <t>META 10%</t>
  </si>
  <si>
    <t>COSTO TOTAL EN COP</t>
  </si>
  <si>
    <t>MES</t>
  </si>
  <si>
    <t>CRIPTOMONEDA</t>
  </si>
  <si>
    <t>CANTIDAD INICIAL</t>
  </si>
  <si>
    <t>PRECIO INICIAL USD</t>
  </si>
  <si>
    <t>VALOR INICIAL EN COP</t>
  </si>
  <si>
    <t>CANTIDAD A FIN DE MES</t>
  </si>
  <si>
    <t>PRECIO A FIN DE MES(USD)</t>
  </si>
  <si>
    <t>PRECIO FINAL(COP)</t>
  </si>
  <si>
    <t>DIFERENCIA DE CANTIDAD</t>
  </si>
  <si>
    <t>DIFERENCIA EN PRECIO</t>
  </si>
  <si>
    <t>PRECIO DE LA DIFERENCIA EN COP</t>
  </si>
  <si>
    <t>USDT</t>
  </si>
  <si>
    <t>JULIO</t>
  </si>
  <si>
    <t>PRECIO DÓLAR INICIAL</t>
  </si>
  <si>
    <t>PRECIO DÓLAR FINAL</t>
  </si>
  <si>
    <t>FECHA ACTUAL</t>
  </si>
  <si>
    <t>PRECIO ACT KO</t>
  </si>
  <si>
    <t>PRECIO ACT JNJ</t>
  </si>
  <si>
    <t>PRECIO ACT PG</t>
  </si>
  <si>
    <t>PRECIO ACT PEP</t>
  </si>
  <si>
    <t>PRECIO ACT MSFT</t>
  </si>
  <si>
    <t>PRECIO ACT MCD</t>
  </si>
  <si>
    <t>EMPRESA</t>
  </si>
  <si>
    <t>PRECIO COMPRA</t>
  </si>
  <si>
    <t>VALOR ACTUAL INVE</t>
  </si>
  <si>
    <t>FECHA DIVIDENDO</t>
  </si>
  <si>
    <t>GANACIA/PERDIDA</t>
  </si>
  <si>
    <t>FECHA ACT</t>
  </si>
  <si>
    <t>CAPITAL INVE</t>
  </si>
  <si>
    <t>CANTIDAD DE ACCIONES</t>
  </si>
  <si>
    <t>VALOR DIVIDENDO POR ACCION</t>
  </si>
  <si>
    <t>TOTAL DIVIDENDO RECIBIDO</t>
  </si>
  <si>
    <t>PRECIO ACT VOO</t>
  </si>
  <si>
    <t>AGOSTO</t>
  </si>
  <si>
    <t>CUENTA</t>
  </si>
  <si>
    <t>CAPITAL INVERTIDO</t>
  </si>
  <si>
    <t>INTERES OBTENIDO</t>
  </si>
  <si>
    <t>PORCENTAJE DE INTERES</t>
  </si>
  <si>
    <t>RETIROS DE CAPITAL</t>
  </si>
  <si>
    <t>TOTAL CAPITAL FIN DE MES</t>
  </si>
  <si>
    <t>MARZO</t>
  </si>
  <si>
    <t>UALA</t>
  </si>
  <si>
    <t>ABRIL</t>
  </si>
  <si>
    <t>MAYO</t>
  </si>
  <si>
    <t>LULO</t>
  </si>
  <si>
    <t>JUNIO</t>
  </si>
  <si>
    <t>TIPO DE INVERSION</t>
  </si>
  <si>
    <t>CAPITAL A FIN DE MES</t>
  </si>
  <si>
    <t>CAPITAL A INICIO DE MES</t>
  </si>
  <si>
    <t>CUENTA DE AHORRO</t>
  </si>
  <si>
    <t>NOMBRE</t>
  </si>
  <si>
    <t>BOLSA</t>
  </si>
  <si>
    <t>CAPITAL INVERTIDO ESTE MES</t>
  </si>
  <si>
    <t>PRECIO DEL DÓLAR</t>
  </si>
  <si>
    <t>VALOR INVERSION 1</t>
  </si>
  <si>
    <t>VALOR EN COP</t>
  </si>
  <si>
    <t>SEPTIEMBRE</t>
  </si>
  <si>
    <t>ENERO</t>
  </si>
  <si>
    <t>FEBRERO</t>
  </si>
  <si>
    <t>OCTUBRE</t>
  </si>
  <si>
    <t>NOVIEMBRE</t>
  </si>
  <si>
    <t>DICIEMBRE</t>
  </si>
  <si>
    <t>CANTIDAD 2024</t>
  </si>
  <si>
    <t>TOTAL ANUAL</t>
  </si>
  <si>
    <t>VALOR INVERSION 2</t>
  </si>
  <si>
    <t>GAN/PER2</t>
  </si>
  <si>
    <t>VALOR EN COP2</t>
  </si>
  <si>
    <t>DIFERENCIA</t>
  </si>
  <si>
    <t>OCTURE</t>
  </si>
  <si>
    <t>VALOR INVERSION 3</t>
  </si>
  <si>
    <t>VALOR EN COP3</t>
  </si>
  <si>
    <t>GAN/PER3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</si>
</sst>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\ #,##0.00"/>
    <numFmt numFmtId="165" formatCode="_-[$$-240A]\ * #,##0.00_-;\-[$$-240A]\ * #,##0.00_-;_-[$$-240A]\ * &quot;-&quot;??_-;_-@_-"/>
    <numFmt numFmtId="166" formatCode="0.000%"/>
    <numFmt numFmtId="167" formatCode="0.00000000"/>
    <numFmt numFmtId="168" formatCode="_-* #,##0.000_-;\-* #,##0.000_-;_-* &quot;-&quot;??_-;_-@_-"/>
    <numFmt numFmtId="169" formatCode="_-&quot;$&quot;\ * #,##0.00_-;\-&quot;$&quot;\ * #,##0.00_-;_-&quot;$&quot;\ * &quot;-&quot;????????_-;_-@_-"/>
    <numFmt numFmtId="172" formatCode="_-&quot;$&quot;\ * #,##0.00_-;\-&quot;$&quot;\ * #,##0.00_-;_-&quot;$&quot;\ * &quot;-&quot;_-;_-@_-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4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horizontal="left" vertical="center"/>
    </xf>
    <xf numFmtId="44" fontId="0" fillId="0" borderId="0" xfId="2" applyFont="1" applyFill="1"/>
    <xf numFmtId="44" fontId="0" fillId="0" borderId="0" xfId="2" applyFont="1"/>
    <xf numFmtId="4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1" applyNumberFormat="1" applyFont="1"/>
    <xf numFmtId="166" fontId="0" fillId="0" borderId="0" xfId="1" applyNumberFormat="1" applyFont="1"/>
    <xf numFmtId="165" fontId="0" fillId="0" borderId="0" xfId="1" applyNumberFormat="1" applyFont="1"/>
    <xf numFmtId="167" fontId="0" fillId="0" borderId="0" xfId="0" applyNumberFormat="1"/>
    <xf numFmtId="44" fontId="0" fillId="0" borderId="0" xfId="1" applyNumberFormat="1" applyFont="1"/>
    <xf numFmtId="167" fontId="0" fillId="0" borderId="0" xfId="2" applyNumberFormat="1" applyFont="1"/>
    <xf numFmtId="0" fontId="0" fillId="0" borderId="0" xfId="0" applyAlignment="1">
      <alignment horizontal="center" vertical="center"/>
    </xf>
    <xf numFmtId="43" fontId="0" fillId="0" borderId="0" xfId="0" applyNumberFormat="1"/>
    <xf numFmtId="43" fontId="0" fillId="0" borderId="0" xfId="2" applyNumberFormat="1" applyFont="1"/>
    <xf numFmtId="43" fontId="2" fillId="0" borderId="0" xfId="0" applyNumberFormat="1" applyFont="1"/>
    <xf numFmtId="168" fontId="0" fillId="0" borderId="0" xfId="2" applyNumberFormat="1" applyFont="1"/>
    <xf numFmtId="169" fontId="0" fillId="0" borderId="0" xfId="0" applyNumberFormat="1"/>
    <xf numFmtId="0" fontId="2" fillId="0" borderId="0" xfId="0" applyFont="1"/>
    <xf numFmtId="44" fontId="4" fillId="0" borderId="0" xfId="2" applyFont="1" applyFill="1"/>
    <xf numFmtId="0" fontId="4" fillId="0" borderId="0" xfId="1" applyNumberFormat="1" applyFont="1"/>
    <xf numFmtId="165" fontId="4" fillId="0" borderId="0" xfId="1" applyNumberFormat="1" applyFont="1"/>
    <xf numFmtId="166" fontId="4" fillId="0" borderId="0" xfId="1" applyNumberFormat="1" applyFont="1"/>
    <xf numFmtId="9" fontId="4" fillId="0" borderId="0" xfId="1" applyFont="1"/>
    <xf numFmtId="44" fontId="4" fillId="0" borderId="0" xfId="2" applyFont="1"/>
    <xf numFmtId="10" fontId="4" fillId="0" borderId="0" xfId="1" applyNumberFormat="1" applyFont="1"/>
    <xf numFmtId="0" fontId="0" fillId="0" borderId="0" xfId="0" applyNumberFormat="1"/>
    <xf numFmtId="9" fontId="0" fillId="0" borderId="0" xfId="1" applyNumberFormat="1" applyFo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44" fontId="0" fillId="0" borderId="5" xfId="2" applyFont="1" applyBorder="1"/>
    <xf numFmtId="44" fontId="0" fillId="0" borderId="6" xfId="2" applyFont="1" applyBorder="1"/>
    <xf numFmtId="44" fontId="0" fillId="4" borderId="0" xfId="0" applyNumberFormat="1" applyFill="1"/>
    <xf numFmtId="44" fontId="0" fillId="5" borderId="0" xfId="0" applyNumberFormat="1" applyFill="1"/>
    <xf numFmtId="9" fontId="4" fillId="0" borderId="0" xfId="1" applyNumberFormat="1" applyFont="1"/>
    <xf numFmtId="172" fontId="0" fillId="0" borderId="0" xfId="3" applyNumberFormat="1" applyFont="1"/>
    <xf numFmtId="2" fontId="4" fillId="0" borderId="0" xfId="1" applyNumberFormat="1" applyFont="1"/>
    <xf numFmtId="172" fontId="4" fillId="0" borderId="0" xfId="3" applyNumberFormat="1" applyFont="1"/>
  </cellXfs>
  <cellStyles count="4">
    <cellStyle name="Moneda" xfId="2" builtinId="4"/>
    <cellStyle name="Moneda [0]" xfId="3" builtinId="7"/>
    <cellStyle name="Normal" xfId="0" builtinId="0"/>
    <cellStyle name="Porcentaje" xfId="1" builtinId="5"/>
  </cellStyles>
  <dxfs count="140">
    <dxf>
      <font>
        <color theme="0"/>
      </font>
      <fill>
        <patternFill>
          <bgColor theme="9" tint="-0.24994659260841701"/>
        </patternFill>
      </fill>
    </dxf>
    <dxf>
      <fill>
        <patternFill>
          <bgColor rgb="FFFF3F3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fill>
        <patternFill patternType="solid">
          <fgColor indexed="64"/>
          <bgColor theme="9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898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2D2D"/>
        </patternFill>
      </fill>
    </dxf>
    <dxf>
      <fill>
        <patternFill>
          <bgColor rgb="FFFF4343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3B3B"/>
        </patternFill>
      </fill>
    </dxf>
    <dxf>
      <font>
        <color auto="1"/>
      </font>
      <fill>
        <patternFill>
          <bgColor rgb="FFFFD44B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numFmt numFmtId="164" formatCode="&quot;$&quot;\ #,##0.00"/>
    </dxf>
    <dxf>
      <numFmt numFmtId="13" formatCode="0%"/>
    </dxf>
    <dxf>
      <numFmt numFmtId="164" formatCode="&quot;$&quot;\ #,##0.00"/>
    </dxf>
    <dxf>
      <numFmt numFmtId="164" formatCode="&quot;$&quot;\ #,##0.00"/>
    </dxf>
    <dxf>
      <numFmt numFmtId="167" formatCode="0.00000000"/>
    </dxf>
    <dxf>
      <numFmt numFmtId="164" formatCode="&quot;$&quot;\ #,##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5" formatCode="_-[$$-240A]\ * #,##0.00_-;\-[$$-240A]\ * #,##0.00_-;_-[$$-240A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64" formatCode="&quot;$&quot;\ #,##0.00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9" formatCode="d/mm/yyyy"/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3" formatCode="0%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8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19" formatCode="d/mm/yyyy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5" formatCode="_-* #,##0.00_-;\-* #,##0.00_-;_-* &quot;-&quot;??_-;_-@_-"/>
    </dxf>
    <dxf>
      <numFmt numFmtId="19" formatCode="d/mm/yyyy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  <numFmt numFmtId="35" formatCode="_-* #,##0.00_-;\-* #,##0.00_-;_-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alignment horizontal="left" vertical="center" textRotation="0" wrapText="0" indent="0" justifyLastLine="0" shrinkToFit="0" readingOrder="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9" tint="0.39997558519241921"/>
        </patternFill>
      </fill>
    </dxf>
    <dxf>
      <numFmt numFmtId="34" formatCode="_-&quot;$&quot;\ * #,##0.00_-;\-&quot;$&quot;\ * #,##0.00_-;_-&quot;$&quot;\ * &quot;-&quot;??_-;_-@_-"/>
    </dxf>
    <dxf>
      <numFmt numFmtId="19" formatCode="d/mm/yyyy"/>
    </dxf>
    <dxf>
      <numFmt numFmtId="34" formatCode="_-&quot;$&quot;\ * #,##0.00_-;\-&quot;$&quot;\ * #,##0.00_-;_-&quot;$&quot;\ * &quot;-&quot;??_-;_-@_-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4" formatCode="0.00%"/>
    </dxf>
    <dxf>
      <numFmt numFmtId="34" formatCode="_-&quot;$&quot;\ * #,##0.00_-;\-&quot;$&quot;\ * #,##0.00_-;_-&quot;$&quot;\ * &quot;-&quot;??_-;_-@_-"/>
    </dxf>
    <dxf>
      <numFmt numFmtId="2" formatCode="0.00"/>
    </dxf>
    <dxf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499984740745262"/>
        </patternFill>
      </fill>
    </dxf>
    <dxf>
      <font>
        <color theme="1"/>
      </font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fill>
        <patternFill>
          <bgColor theme="4" tint="0.39994506668294322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499984740745262"/>
        </patternFill>
      </fill>
    </dxf>
  </dxfs>
  <tableStyles count="5" defaultTableStyle="TableStyleMedium2" defaultPivotStyle="PivotStyleLight16">
    <tableStyle name="Estilo de tabla 1" pivot="0" count="3">
      <tableStyleElement type="wholeTable" dxfId="139"/>
      <tableStyleElement type="headerRow" dxfId="138"/>
      <tableStyleElement type="secondRowStripe" dxfId="137"/>
    </tableStyle>
    <tableStyle name="Estilo de tabla 2" pivot="0" count="5">
      <tableStyleElement type="wholeTable" dxfId="136"/>
      <tableStyleElement type="headerRow" dxfId="135"/>
      <tableStyleElement type="firstRowStripe" dxfId="134"/>
      <tableStyleElement type="secondRowStripe" dxfId="133"/>
      <tableStyleElement type="firstColumnStripe" dxfId="132"/>
    </tableStyle>
    <tableStyle name="Estilo de tabla 3" pivot="0" count="3">
      <tableStyleElement type="headerRow" dxfId="131"/>
      <tableStyleElement type="firstRowStripe" dxfId="130"/>
      <tableStyleElement type="secondRowStripe" dxfId="129"/>
    </tableStyle>
    <tableStyle name="Estilo de tabla 4" pivot="0" count="4">
      <tableStyleElement type="wholeTable" dxfId="128"/>
      <tableStyleElement type="headerRow" dxfId="127"/>
      <tableStyleElement type="firstRowStripe" dxfId="126"/>
      <tableStyleElement type="secondRowStripe" dxfId="125"/>
    </tableStyle>
    <tableStyle name="Estilo de tabla 5" pivot="0" count="4">
      <tableStyleElement type="wholeTable" dxfId="124"/>
      <tableStyleElement type="headerRow" dxfId="123"/>
      <tableStyleElement type="firstRowStripe" dxfId="122"/>
      <tableStyleElement type="secondRowStripe" dxfId="121"/>
    </tableStyle>
  </tableStyles>
  <colors>
    <mruColors>
      <color rgb="FFFF2D2D"/>
      <color rgb="FFFF8989"/>
      <color rgb="FFFF5B5B"/>
      <color rgb="FFFF4343"/>
      <color rgb="FFFFFFFF"/>
      <color rgb="FFFF3F3F"/>
      <color rgb="FFFF3B3B"/>
      <color rgb="FFFFD44B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PORTAFOLIO!$L$3:$R$3</c:f>
              <c:strCache>
                <c:ptCount val="7"/>
                <c:pt idx="0">
                  <c:v>CANTIDAD 2024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PORTAFOLIO!$S$2:$X$2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PORTAFOLIO!$S$3:$X$3</c:f>
              <c:numCache>
                <c:formatCode>_("$"* #,##0.00_);_("$"* \(#,##0.00\);_("$"* "-"??_);_(@_)</c:formatCode>
                <c:ptCount val="6"/>
                <c:pt idx="0">
                  <c:v>-3075.5499999999988</c:v>
                </c:pt>
                <c:pt idx="1">
                  <c:v>1769.3199999999993</c:v>
                </c:pt>
                <c:pt idx="2">
                  <c:v>5206.7821492273697</c:v>
                </c:pt>
                <c:pt idx="3">
                  <c:v>-3958.345066650003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CF-4074-A436-F225C8135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770992"/>
        <c:axId val="459778608"/>
      </c:lineChart>
      <c:catAx>
        <c:axId val="459770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9778608"/>
        <c:crosses val="autoZero"/>
        <c:auto val="1"/>
        <c:lblAlgn val="ctr"/>
        <c:lblOffset val="100"/>
        <c:noMultiLvlLbl val="0"/>
      </c:catAx>
      <c:valAx>
        <c:axId val="459778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977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historico</a:t>
            </a:r>
            <a:r>
              <a:rPr lang="es-CO" baseline="0"/>
              <a:t> Criptos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2477825977239087E-2"/>
          <c:y val="7.4372164030168011E-2"/>
          <c:w val="0.93766289661167013"/>
          <c:h val="0.77153678172519125"/>
        </c:manualLayout>
      </c:layout>
      <c:lineChart>
        <c:grouping val="standard"/>
        <c:varyColors val="0"/>
        <c:ser>
          <c:idx val="0"/>
          <c:order val="0"/>
          <c:tx>
            <c:strRef>
              <c:f>CRIPTOS!$C$2</c:f>
              <c:strCache>
                <c:ptCount val="1"/>
                <c:pt idx="0">
                  <c:v>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CRIPTOS!$B$3:$B$204</c:f>
              <c:numCache>
                <c:formatCode>m/d/yyyy</c:formatCode>
                <c:ptCount val="202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  <c:pt idx="191">
                  <c:v>45598</c:v>
                </c:pt>
                <c:pt idx="192">
                  <c:v>45599</c:v>
                </c:pt>
                <c:pt idx="193">
                  <c:v>45600</c:v>
                </c:pt>
                <c:pt idx="194">
                  <c:v>45601</c:v>
                </c:pt>
                <c:pt idx="195">
                  <c:v>45602</c:v>
                </c:pt>
                <c:pt idx="196">
                  <c:v>45603</c:v>
                </c:pt>
                <c:pt idx="197">
                  <c:v>45604</c:v>
                </c:pt>
                <c:pt idx="198">
                  <c:v>45605</c:v>
                </c:pt>
                <c:pt idx="199">
                  <c:v>45606</c:v>
                </c:pt>
                <c:pt idx="200">
                  <c:v>45607</c:v>
                </c:pt>
              </c:numCache>
            </c:numRef>
          </c:cat>
          <c:val>
            <c:numRef>
              <c:f>CRIPTOS!$C$3:$C$204</c:f>
              <c:numCache>
                <c:formatCode>_-[$$-240A]\ * #,##0.00_-;\-[$$-240A]\ * #,##0.00_-;_-[$$-240A]\ * "-"??_-;_-@_-</c:formatCode>
                <c:ptCount val="202"/>
                <c:pt idx="0">
                  <c:v>3912.77</c:v>
                </c:pt>
                <c:pt idx="1">
                  <c:v>3910.09</c:v>
                </c:pt>
                <c:pt idx="2">
                  <c:v>3906.66</c:v>
                </c:pt>
                <c:pt idx="3">
                  <c:v>3954.52</c:v>
                </c:pt>
                <c:pt idx="4">
                  <c:v>3959.14</c:v>
                </c:pt>
                <c:pt idx="5">
                  <c:v>3965.23</c:v>
                </c:pt>
                <c:pt idx="6">
                  <c:v>3965.23</c:v>
                </c:pt>
                <c:pt idx="7">
                  <c:v>3899.11</c:v>
                </c:pt>
                <c:pt idx="8">
                  <c:v>3866.12</c:v>
                </c:pt>
                <c:pt idx="9">
                  <c:v>3910.78</c:v>
                </c:pt>
                <c:pt idx="10">
                  <c:v>3914.91</c:v>
                </c:pt>
                <c:pt idx="11">
                  <c:v>3876.29</c:v>
                </c:pt>
                <c:pt idx="12">
                  <c:v>3884.06</c:v>
                </c:pt>
                <c:pt idx="13">
                  <c:v>3884.06</c:v>
                </c:pt>
                <c:pt idx="14">
                  <c:v>3899.49</c:v>
                </c:pt>
                <c:pt idx="15">
                  <c:v>3892.43</c:v>
                </c:pt>
                <c:pt idx="16">
                  <c:v>3887.67</c:v>
                </c:pt>
                <c:pt idx="17">
                  <c:v>3889.78</c:v>
                </c:pt>
                <c:pt idx="18">
                  <c:v>3893.04</c:v>
                </c:pt>
                <c:pt idx="19">
                  <c:v>3886.61</c:v>
                </c:pt>
                <c:pt idx="20">
                  <c:v>3886.63</c:v>
                </c:pt>
                <c:pt idx="21">
                  <c:v>3875.84</c:v>
                </c:pt>
                <c:pt idx="22">
                  <c:v>3884.72</c:v>
                </c:pt>
                <c:pt idx="23">
                  <c:v>3835.2</c:v>
                </c:pt>
                <c:pt idx="24">
                  <c:v>3824.57</c:v>
                </c:pt>
                <c:pt idx="25">
                  <c:v>3825.81</c:v>
                </c:pt>
                <c:pt idx="26">
                  <c:v>3807.16</c:v>
                </c:pt>
                <c:pt idx="27">
                  <c:v>3907.16</c:v>
                </c:pt>
                <c:pt idx="28">
                  <c:v>3834.1</c:v>
                </c:pt>
                <c:pt idx="29">
                  <c:v>3823.33</c:v>
                </c:pt>
                <c:pt idx="30">
                  <c:v>3823.33</c:v>
                </c:pt>
                <c:pt idx="31">
                  <c:v>3815.89</c:v>
                </c:pt>
                <c:pt idx="32">
                  <c:v>3826.91</c:v>
                </c:pt>
                <c:pt idx="33">
                  <c:v>3865.43</c:v>
                </c:pt>
                <c:pt idx="34">
                  <c:v>3864.74</c:v>
                </c:pt>
                <c:pt idx="35">
                  <c:v>3864.74</c:v>
                </c:pt>
                <c:pt idx="36">
                  <c:v>3879.67</c:v>
                </c:pt>
                <c:pt idx="37">
                  <c:v>3871.11</c:v>
                </c:pt>
                <c:pt idx="38">
                  <c:v>3840.64</c:v>
                </c:pt>
                <c:pt idx="39">
                  <c:v>3864.68</c:v>
                </c:pt>
                <c:pt idx="40">
                  <c:v>3849.44</c:v>
                </c:pt>
                <c:pt idx="41">
                  <c:v>3857.24</c:v>
                </c:pt>
                <c:pt idx="42">
                  <c:v>3857.42</c:v>
                </c:pt>
                <c:pt idx="43">
                  <c:v>3869.91</c:v>
                </c:pt>
                <c:pt idx="44">
                  <c:v>3860.88</c:v>
                </c:pt>
                <c:pt idx="45">
                  <c:v>3925.64</c:v>
                </c:pt>
                <c:pt idx="46">
                  <c:v>3931.5</c:v>
                </c:pt>
                <c:pt idx="47">
                  <c:v>3961.4</c:v>
                </c:pt>
                <c:pt idx="48">
                  <c:v>3967.4</c:v>
                </c:pt>
                <c:pt idx="49">
                  <c:v>3967.4</c:v>
                </c:pt>
                <c:pt idx="50">
                  <c:v>3995.66</c:v>
                </c:pt>
                <c:pt idx="51">
                  <c:v>3838.72</c:v>
                </c:pt>
                <c:pt idx="52">
                  <c:v>3965.25</c:v>
                </c:pt>
                <c:pt idx="53">
                  <c:v>4042.4</c:v>
                </c:pt>
                <c:pt idx="54">
                  <c:v>4153.17</c:v>
                </c:pt>
                <c:pt idx="55">
                  <c:v>4140.0600000000004</c:v>
                </c:pt>
                <c:pt idx="56">
                  <c:v>4140.0600000000004</c:v>
                </c:pt>
                <c:pt idx="57">
                  <c:v>4129.43</c:v>
                </c:pt>
                <c:pt idx="58">
                  <c:v>4124.49</c:v>
                </c:pt>
                <c:pt idx="59">
                  <c:v>4146.2</c:v>
                </c:pt>
                <c:pt idx="60">
                  <c:v>4163.8</c:v>
                </c:pt>
                <c:pt idx="61">
                  <c:v>4167.01</c:v>
                </c:pt>
                <c:pt idx="62">
                  <c:v>4163.3100000000004</c:v>
                </c:pt>
                <c:pt idx="63">
                  <c:v>4163.3100000000004</c:v>
                </c:pt>
                <c:pt idx="64">
                  <c:v>4144.4799999999996</c:v>
                </c:pt>
                <c:pt idx="65">
                  <c:v>4094.7</c:v>
                </c:pt>
                <c:pt idx="66">
                  <c:v>4095.53</c:v>
                </c:pt>
                <c:pt idx="67">
                  <c:v>4140.1899999999996</c:v>
                </c:pt>
                <c:pt idx="68">
                  <c:v>4129.08</c:v>
                </c:pt>
                <c:pt idx="69">
                  <c:v>4119.8999999999996</c:v>
                </c:pt>
                <c:pt idx="70">
                  <c:v>4106.37</c:v>
                </c:pt>
                <c:pt idx="71">
                  <c:v>4090.5</c:v>
                </c:pt>
                <c:pt idx="72">
                  <c:v>4082.28</c:v>
                </c:pt>
                <c:pt idx="73">
                  <c:v>4082.28</c:v>
                </c:pt>
                <c:pt idx="74">
                  <c:v>4078.65</c:v>
                </c:pt>
                <c:pt idx="75">
                  <c:v>4049.27</c:v>
                </c:pt>
                <c:pt idx="76">
                  <c:v>4009.91</c:v>
                </c:pt>
                <c:pt idx="77">
                  <c:v>3955.21</c:v>
                </c:pt>
                <c:pt idx="78">
                  <c:v>3975.25</c:v>
                </c:pt>
                <c:pt idx="79">
                  <c:v>3963.67</c:v>
                </c:pt>
                <c:pt idx="80">
                  <c:v>3963.67</c:v>
                </c:pt>
                <c:pt idx="81">
                  <c:v>3993.09</c:v>
                </c:pt>
                <c:pt idx="82">
                  <c:v>3953.88</c:v>
                </c:pt>
                <c:pt idx="83">
                  <c:v>3972.87</c:v>
                </c:pt>
                <c:pt idx="84">
                  <c:v>3999.25</c:v>
                </c:pt>
                <c:pt idx="85">
                  <c:v>4047.22</c:v>
                </c:pt>
                <c:pt idx="86">
                  <c:v>4046.27</c:v>
                </c:pt>
                <c:pt idx="87">
                  <c:v>4046.27</c:v>
                </c:pt>
                <c:pt idx="88">
                  <c:v>4041.33</c:v>
                </c:pt>
                <c:pt idx="89">
                  <c:v>3995.01</c:v>
                </c:pt>
                <c:pt idx="90">
                  <c:v>4014.08</c:v>
                </c:pt>
                <c:pt idx="91">
                  <c:v>4044.19</c:v>
                </c:pt>
                <c:pt idx="92">
                  <c:v>4042.31</c:v>
                </c:pt>
                <c:pt idx="93">
                  <c:v>4037.98</c:v>
                </c:pt>
                <c:pt idx="94">
                  <c:v>4037.98</c:v>
                </c:pt>
                <c:pt idx="95">
                  <c:v>4030.02</c:v>
                </c:pt>
                <c:pt idx="96">
                  <c:v>4077.08</c:v>
                </c:pt>
                <c:pt idx="97">
                  <c:v>4077.07</c:v>
                </c:pt>
                <c:pt idx="98">
                  <c:v>4045.51</c:v>
                </c:pt>
                <c:pt idx="99">
                  <c:v>4064.07</c:v>
                </c:pt>
                <c:pt idx="100">
                  <c:v>4052</c:v>
                </c:pt>
                <c:pt idx="101">
                  <c:v>4052</c:v>
                </c:pt>
                <c:pt idx="102">
                  <c:v>4116.91</c:v>
                </c:pt>
                <c:pt idx="103">
                  <c:v>4155.3100000000004</c:v>
                </c:pt>
                <c:pt idx="104">
                  <c:v>4140.09</c:v>
                </c:pt>
                <c:pt idx="105">
                  <c:v>4148.24</c:v>
                </c:pt>
                <c:pt idx="106">
                  <c:v>4063.32</c:v>
                </c:pt>
                <c:pt idx="107">
                  <c:v>4057.55</c:v>
                </c:pt>
                <c:pt idx="108">
                  <c:v>4057.55</c:v>
                </c:pt>
                <c:pt idx="109">
                  <c:v>4073.83</c:v>
                </c:pt>
                <c:pt idx="110">
                  <c:v>4046.96</c:v>
                </c:pt>
                <c:pt idx="111">
                  <c:v>4038.46</c:v>
                </c:pt>
                <c:pt idx="112">
                  <c:v>4037.16</c:v>
                </c:pt>
                <c:pt idx="113">
                  <c:v>4014.8</c:v>
                </c:pt>
                <c:pt idx="114">
                  <c:v>3999.63</c:v>
                </c:pt>
                <c:pt idx="115">
                  <c:v>3999.63</c:v>
                </c:pt>
                <c:pt idx="116">
                  <c:v>4030.16</c:v>
                </c:pt>
                <c:pt idx="117">
                  <c:v>4023.02</c:v>
                </c:pt>
                <c:pt idx="118">
                  <c:v>4010.2</c:v>
                </c:pt>
                <c:pt idx="119">
                  <c:v>4036.25</c:v>
                </c:pt>
                <c:pt idx="120">
                  <c:v>4069.62</c:v>
                </c:pt>
                <c:pt idx="121">
                  <c:v>4035.33</c:v>
                </c:pt>
                <c:pt idx="122">
                  <c:v>4035.33</c:v>
                </c:pt>
                <c:pt idx="123">
                  <c:v>4029.75</c:v>
                </c:pt>
                <c:pt idx="124">
                  <c:v>4023.92</c:v>
                </c:pt>
                <c:pt idx="125">
                  <c:v>4045.64</c:v>
                </c:pt>
                <c:pt idx="126">
                  <c:v>4065.34</c:v>
                </c:pt>
                <c:pt idx="127">
                  <c:v>4132.1099999999997</c:v>
                </c:pt>
                <c:pt idx="128">
                  <c:v>4160.3100000000004</c:v>
                </c:pt>
                <c:pt idx="129">
                  <c:v>4160.3100000000004</c:v>
                </c:pt>
                <c:pt idx="130">
                  <c:v>4160.3100000000004</c:v>
                </c:pt>
                <c:pt idx="131">
                  <c:v>4160.3100000000004</c:v>
                </c:pt>
                <c:pt idx="132">
                  <c:v>4185.8</c:v>
                </c:pt>
                <c:pt idx="133">
                  <c:v>4185.82</c:v>
                </c:pt>
                <c:pt idx="134">
                  <c:v>4172.5</c:v>
                </c:pt>
                <c:pt idx="135">
                  <c:v>4167.16</c:v>
                </c:pt>
                <c:pt idx="136">
                  <c:v>4149.79</c:v>
                </c:pt>
                <c:pt idx="137">
                  <c:v>4149.79</c:v>
                </c:pt>
                <c:pt idx="138">
                  <c:v>4243.8</c:v>
                </c:pt>
                <c:pt idx="139">
                  <c:v>4279.09</c:v>
                </c:pt>
                <c:pt idx="140">
                  <c:v>4270.62</c:v>
                </c:pt>
                <c:pt idx="141">
                  <c:v>4197.38</c:v>
                </c:pt>
                <c:pt idx="142">
                  <c:v>4172.13</c:v>
                </c:pt>
                <c:pt idx="143">
                  <c:v>4172.13</c:v>
                </c:pt>
                <c:pt idx="144">
                  <c:v>4172.13</c:v>
                </c:pt>
                <c:pt idx="145">
                  <c:v>4220.58</c:v>
                </c:pt>
                <c:pt idx="146">
                  <c:v>4225.01</c:v>
                </c:pt>
                <c:pt idx="147">
                  <c:v>4176.8500000000004</c:v>
                </c:pt>
                <c:pt idx="148">
                  <c:v>4162.8100000000004</c:v>
                </c:pt>
                <c:pt idx="149">
                  <c:v>4162.8100000000004</c:v>
                </c:pt>
                <c:pt idx="150">
                  <c:v>4162.8100000000004</c:v>
                </c:pt>
                <c:pt idx="151">
                  <c:v>4153.9799999999996</c:v>
                </c:pt>
                <c:pt idx="152">
                  <c:v>4161.75</c:v>
                </c:pt>
                <c:pt idx="153">
                  <c:v>4148.75</c:v>
                </c:pt>
                <c:pt idx="154">
                  <c:v>4200.75</c:v>
                </c:pt>
                <c:pt idx="155">
                  <c:v>4157.54</c:v>
                </c:pt>
                <c:pt idx="156">
                  <c:v>4157.54</c:v>
                </c:pt>
                <c:pt idx="157">
                  <c:v>4157.54</c:v>
                </c:pt>
                <c:pt idx="158">
                  <c:v>4157.66</c:v>
                </c:pt>
                <c:pt idx="159">
                  <c:v>4199.12</c:v>
                </c:pt>
                <c:pt idx="160">
                  <c:v>4221.2700000000004</c:v>
                </c:pt>
                <c:pt idx="161">
                  <c:v>4194.26</c:v>
                </c:pt>
                <c:pt idx="162">
                  <c:v>4189.17</c:v>
                </c:pt>
                <c:pt idx="163">
                  <c:v>4189.17</c:v>
                </c:pt>
                <c:pt idx="164">
                  <c:v>4189.17</c:v>
                </c:pt>
                <c:pt idx="165">
                  <c:v>4167.41</c:v>
                </c:pt>
                <c:pt idx="166">
                  <c:v>4213.55</c:v>
                </c:pt>
                <c:pt idx="167">
                  <c:v>4231.08</c:v>
                </c:pt>
                <c:pt idx="168">
                  <c:v>4233.05</c:v>
                </c:pt>
                <c:pt idx="169">
                  <c:v>4210.95</c:v>
                </c:pt>
                <c:pt idx="170">
                  <c:v>4210.95</c:v>
                </c:pt>
                <c:pt idx="171">
                  <c:v>4210.95</c:v>
                </c:pt>
                <c:pt idx="172">
                  <c:v>4210.95</c:v>
                </c:pt>
                <c:pt idx="173">
                  <c:v>4207.21</c:v>
                </c:pt>
                <c:pt idx="174">
                  <c:v>4257.21</c:v>
                </c:pt>
                <c:pt idx="175">
                  <c:v>4278.74</c:v>
                </c:pt>
                <c:pt idx="176">
                  <c:v>4247.29</c:v>
                </c:pt>
                <c:pt idx="177">
                  <c:v>4237.25</c:v>
                </c:pt>
                <c:pt idx="178">
                  <c:v>4237.25</c:v>
                </c:pt>
                <c:pt idx="179">
                  <c:v>4270</c:v>
                </c:pt>
                <c:pt idx="180">
                  <c:v>4280.04</c:v>
                </c:pt>
                <c:pt idx="181">
                  <c:v>4270.37</c:v>
                </c:pt>
                <c:pt idx="182">
                  <c:v>4323.92</c:v>
                </c:pt>
                <c:pt idx="183">
                  <c:v>4323.1099999999997</c:v>
                </c:pt>
                <c:pt idx="184">
                  <c:v>4321.6400000000003</c:v>
                </c:pt>
                <c:pt idx="185">
                  <c:v>4321.6400000000003</c:v>
                </c:pt>
                <c:pt idx="186">
                  <c:v>4321.6400000000003</c:v>
                </c:pt>
                <c:pt idx="187">
                  <c:v>4345.13</c:v>
                </c:pt>
                <c:pt idx="188">
                  <c:v>4323.01</c:v>
                </c:pt>
                <c:pt idx="189">
                  <c:v>4374.1000000000004</c:v>
                </c:pt>
                <c:pt idx="190">
                  <c:v>4418.63</c:v>
                </c:pt>
                <c:pt idx="191">
                  <c:v>4414</c:v>
                </c:pt>
                <c:pt idx="192">
                  <c:v>4418.12</c:v>
                </c:pt>
                <c:pt idx="193">
                  <c:v>4445.3500000000004</c:v>
                </c:pt>
                <c:pt idx="194">
                  <c:v>4438.62</c:v>
                </c:pt>
                <c:pt idx="195">
                  <c:v>4439.75</c:v>
                </c:pt>
                <c:pt idx="196">
                  <c:v>4389.7299999999996</c:v>
                </c:pt>
                <c:pt idx="197">
                  <c:v>4399.58</c:v>
                </c:pt>
                <c:pt idx="198">
                  <c:v>4346.7</c:v>
                </c:pt>
                <c:pt idx="199">
                  <c:v>4346.7</c:v>
                </c:pt>
                <c:pt idx="200">
                  <c:v>4346.7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A0-49B5-936A-4D0D158A972C}"/>
            </c:ext>
          </c:extLst>
        </c:ser>
        <c:ser>
          <c:idx val="1"/>
          <c:order val="1"/>
          <c:tx>
            <c:strRef>
              <c:f>CRIPTOS!$D$2</c:f>
              <c:strCache>
                <c:ptCount val="1"/>
                <c:pt idx="0">
                  <c:v>BITCOIN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CRIPTOS!$B$3:$B$204</c:f>
              <c:numCache>
                <c:formatCode>m/d/yyyy</c:formatCode>
                <c:ptCount val="202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  <c:pt idx="191">
                  <c:v>45598</c:v>
                </c:pt>
                <c:pt idx="192">
                  <c:v>45599</c:v>
                </c:pt>
                <c:pt idx="193">
                  <c:v>45600</c:v>
                </c:pt>
                <c:pt idx="194">
                  <c:v>45601</c:v>
                </c:pt>
                <c:pt idx="195">
                  <c:v>45602</c:v>
                </c:pt>
                <c:pt idx="196">
                  <c:v>45603</c:v>
                </c:pt>
                <c:pt idx="197">
                  <c:v>45604</c:v>
                </c:pt>
                <c:pt idx="198">
                  <c:v>45605</c:v>
                </c:pt>
                <c:pt idx="199">
                  <c:v>45606</c:v>
                </c:pt>
                <c:pt idx="200">
                  <c:v>45607</c:v>
                </c:pt>
              </c:numCache>
            </c:numRef>
          </c:cat>
          <c:val>
            <c:numRef>
              <c:f>CRIPTOS!$D$3:$D$204</c:f>
              <c:numCache>
                <c:formatCode>_-[$$-240A]\ * #,##0.00_-;\-[$$-240A]\ * #,##0.00_-;_-[$$-240A]\ * "-"??_-;_-@_-</c:formatCode>
                <c:ptCount val="202"/>
                <c:pt idx="0">
                  <c:v>66429</c:v>
                </c:pt>
                <c:pt idx="1">
                  <c:v>66429</c:v>
                </c:pt>
                <c:pt idx="2">
                  <c:v>66651</c:v>
                </c:pt>
                <c:pt idx="3">
                  <c:v>64247</c:v>
                </c:pt>
                <c:pt idx="4">
                  <c:v>64262</c:v>
                </c:pt>
                <c:pt idx="5">
                  <c:v>64262</c:v>
                </c:pt>
                <c:pt idx="6">
                  <c:v>64262</c:v>
                </c:pt>
                <c:pt idx="7">
                  <c:v>62651</c:v>
                </c:pt>
                <c:pt idx="8">
                  <c:v>63665</c:v>
                </c:pt>
                <c:pt idx="9">
                  <c:v>60239</c:v>
                </c:pt>
                <c:pt idx="10">
                  <c:v>57733</c:v>
                </c:pt>
                <c:pt idx="11">
                  <c:v>59715</c:v>
                </c:pt>
                <c:pt idx="12">
                  <c:v>59715</c:v>
                </c:pt>
                <c:pt idx="13">
                  <c:v>59715</c:v>
                </c:pt>
                <c:pt idx="14">
                  <c:v>64047</c:v>
                </c:pt>
                <c:pt idx="15">
                  <c:v>63488</c:v>
                </c:pt>
                <c:pt idx="16">
                  <c:v>62410</c:v>
                </c:pt>
                <c:pt idx="17">
                  <c:v>61611</c:v>
                </c:pt>
                <c:pt idx="18">
                  <c:v>63035</c:v>
                </c:pt>
                <c:pt idx="19">
                  <c:v>63035</c:v>
                </c:pt>
                <c:pt idx="20">
                  <c:v>63035</c:v>
                </c:pt>
                <c:pt idx="21">
                  <c:v>61620</c:v>
                </c:pt>
                <c:pt idx="22">
                  <c:v>62663</c:v>
                </c:pt>
                <c:pt idx="23">
                  <c:v>62058</c:v>
                </c:pt>
                <c:pt idx="24">
                  <c:v>65932</c:v>
                </c:pt>
                <c:pt idx="25">
                  <c:v>65932</c:v>
                </c:pt>
                <c:pt idx="26">
                  <c:v>65932</c:v>
                </c:pt>
                <c:pt idx="27">
                  <c:v>65932</c:v>
                </c:pt>
                <c:pt idx="28">
                  <c:v>71061</c:v>
                </c:pt>
                <c:pt idx="29">
                  <c:v>69820.39</c:v>
                </c:pt>
                <c:pt idx="30">
                  <c:v>71061</c:v>
                </c:pt>
                <c:pt idx="31">
                  <c:v>69820.39</c:v>
                </c:pt>
                <c:pt idx="32">
                  <c:v>67894.8</c:v>
                </c:pt>
                <c:pt idx="33">
                  <c:v>68270.3</c:v>
                </c:pt>
                <c:pt idx="34">
                  <c:v>69162.5</c:v>
                </c:pt>
                <c:pt idx="35">
                  <c:v>69068.899999999994</c:v>
                </c:pt>
                <c:pt idx="36">
                  <c:v>69906.399999999994</c:v>
                </c:pt>
                <c:pt idx="37">
                  <c:v>68284.7</c:v>
                </c:pt>
                <c:pt idx="38">
                  <c:v>67458.899999999994</c:v>
                </c:pt>
                <c:pt idx="39">
                  <c:v>69144.5</c:v>
                </c:pt>
                <c:pt idx="40">
                  <c:v>68269.22</c:v>
                </c:pt>
                <c:pt idx="41">
                  <c:v>67839.77</c:v>
                </c:pt>
                <c:pt idx="42">
                  <c:v>68409.16</c:v>
                </c:pt>
                <c:pt idx="43">
                  <c:v>68500.160000000003</c:v>
                </c:pt>
                <c:pt idx="44">
                  <c:v>69306.850000000006</c:v>
                </c:pt>
                <c:pt idx="45">
                  <c:v>71131.899999999994</c:v>
                </c:pt>
                <c:pt idx="46">
                  <c:v>70947</c:v>
                </c:pt>
                <c:pt idx="47">
                  <c:v>69485.8</c:v>
                </c:pt>
                <c:pt idx="48">
                  <c:v>69204</c:v>
                </c:pt>
                <c:pt idx="49">
                  <c:v>69813.7</c:v>
                </c:pt>
                <c:pt idx="50">
                  <c:v>69276</c:v>
                </c:pt>
                <c:pt idx="51">
                  <c:v>67166</c:v>
                </c:pt>
                <c:pt idx="52">
                  <c:v>68264</c:v>
                </c:pt>
                <c:pt idx="53">
                  <c:v>66943</c:v>
                </c:pt>
                <c:pt idx="54">
                  <c:v>66113</c:v>
                </c:pt>
                <c:pt idx="55">
                  <c:v>66136.259999999995</c:v>
                </c:pt>
                <c:pt idx="56">
                  <c:v>66445.600000000006</c:v>
                </c:pt>
                <c:pt idx="57">
                  <c:v>66469.899999999994</c:v>
                </c:pt>
                <c:pt idx="58">
                  <c:v>65432.12</c:v>
                </c:pt>
                <c:pt idx="59">
                  <c:v>65172.6</c:v>
                </c:pt>
                <c:pt idx="60">
                  <c:v>64627.6</c:v>
                </c:pt>
                <c:pt idx="61">
                  <c:v>64265.599999999999</c:v>
                </c:pt>
                <c:pt idx="62">
                  <c:v>64384</c:v>
                </c:pt>
                <c:pt idx="63">
                  <c:v>63211.3</c:v>
                </c:pt>
                <c:pt idx="64">
                  <c:v>61441.2</c:v>
                </c:pt>
                <c:pt idx="65">
                  <c:v>61993.7</c:v>
                </c:pt>
                <c:pt idx="66">
                  <c:v>61003.7</c:v>
                </c:pt>
                <c:pt idx="67">
                  <c:v>61413.599999999999</c:v>
                </c:pt>
                <c:pt idx="68">
                  <c:v>60973.4</c:v>
                </c:pt>
                <c:pt idx="69">
                  <c:v>59061.1</c:v>
                </c:pt>
                <c:pt idx="70">
                  <c:v>55446.6</c:v>
                </c:pt>
                <c:pt idx="71">
                  <c:v>56219.6</c:v>
                </c:pt>
                <c:pt idx="72">
                  <c:v>57945.2</c:v>
                </c:pt>
                <c:pt idx="73">
                  <c:v>55221.3</c:v>
                </c:pt>
                <c:pt idx="74">
                  <c:v>57094.400000000001</c:v>
                </c:pt>
                <c:pt idx="75">
                  <c:v>57712.4</c:v>
                </c:pt>
                <c:pt idx="76">
                  <c:v>57603.8</c:v>
                </c:pt>
                <c:pt idx="77">
                  <c:v>57474.5</c:v>
                </c:pt>
                <c:pt idx="78">
                  <c:v>58298.6</c:v>
                </c:pt>
                <c:pt idx="79">
                  <c:v>58849.3</c:v>
                </c:pt>
                <c:pt idx="80">
                  <c:v>60034.5</c:v>
                </c:pt>
                <c:pt idx="81">
                  <c:v>62959.9</c:v>
                </c:pt>
                <c:pt idx="82">
                  <c:v>65801.899999999994</c:v>
                </c:pt>
                <c:pt idx="83">
                  <c:v>64680.7</c:v>
                </c:pt>
                <c:pt idx="84">
                  <c:v>63807.07</c:v>
                </c:pt>
                <c:pt idx="85">
                  <c:v>66691.899999999994</c:v>
                </c:pt>
                <c:pt idx="86">
                  <c:v>66500</c:v>
                </c:pt>
                <c:pt idx="87">
                  <c:v>67922</c:v>
                </c:pt>
                <c:pt idx="88">
                  <c:v>67584.800000000003</c:v>
                </c:pt>
                <c:pt idx="89">
                  <c:v>66098.2</c:v>
                </c:pt>
                <c:pt idx="90">
                  <c:v>66001.73</c:v>
                </c:pt>
                <c:pt idx="91">
                  <c:v>67119.75</c:v>
                </c:pt>
                <c:pt idx="92">
                  <c:v>67984.95</c:v>
                </c:pt>
                <c:pt idx="93">
                  <c:v>69261.740000000005</c:v>
                </c:pt>
                <c:pt idx="94">
                  <c:v>67994.039999999994</c:v>
                </c:pt>
                <c:pt idx="95">
                  <c:v>67509.06</c:v>
                </c:pt>
                <c:pt idx="96">
                  <c:v>66507.94</c:v>
                </c:pt>
                <c:pt idx="97">
                  <c:v>64820</c:v>
                </c:pt>
                <c:pt idx="98">
                  <c:v>64080</c:v>
                </c:pt>
                <c:pt idx="99">
                  <c:v>63407.6</c:v>
                </c:pt>
                <c:pt idx="100">
                  <c:v>61257.3</c:v>
                </c:pt>
                <c:pt idx="101">
                  <c:v>60700</c:v>
                </c:pt>
                <c:pt idx="102">
                  <c:v>53674.2</c:v>
                </c:pt>
                <c:pt idx="103">
                  <c:v>56479.199999999997</c:v>
                </c:pt>
                <c:pt idx="104">
                  <c:v>54972.800000000003</c:v>
                </c:pt>
                <c:pt idx="105">
                  <c:v>61685.99</c:v>
                </c:pt>
                <c:pt idx="106">
                  <c:v>60441.57</c:v>
                </c:pt>
                <c:pt idx="107">
                  <c:v>60551.9</c:v>
                </c:pt>
                <c:pt idx="108">
                  <c:v>60509.9</c:v>
                </c:pt>
                <c:pt idx="109">
                  <c:v>59274.9</c:v>
                </c:pt>
                <c:pt idx="110">
                  <c:v>60747.1</c:v>
                </c:pt>
                <c:pt idx="111">
                  <c:v>58409.9</c:v>
                </c:pt>
                <c:pt idx="112">
                  <c:v>57582.6</c:v>
                </c:pt>
                <c:pt idx="113">
                  <c:v>58716</c:v>
                </c:pt>
                <c:pt idx="114">
                  <c:v>59598.2</c:v>
                </c:pt>
                <c:pt idx="115">
                  <c:v>58427.35</c:v>
                </c:pt>
                <c:pt idx="116">
                  <c:v>59438.5</c:v>
                </c:pt>
                <c:pt idx="117">
                  <c:v>59050</c:v>
                </c:pt>
                <c:pt idx="118">
                  <c:v>61156.03</c:v>
                </c:pt>
                <c:pt idx="119">
                  <c:v>60375.839999999997</c:v>
                </c:pt>
                <c:pt idx="120">
                  <c:v>61146.6</c:v>
                </c:pt>
                <c:pt idx="121">
                  <c:v>64157.01</c:v>
                </c:pt>
                <c:pt idx="122">
                  <c:v>63920.7</c:v>
                </c:pt>
                <c:pt idx="123">
                  <c:v>62954.5</c:v>
                </c:pt>
                <c:pt idx="124">
                  <c:v>59398</c:v>
                </c:pt>
                <c:pt idx="125">
                  <c:v>59013.7</c:v>
                </c:pt>
                <c:pt idx="126">
                  <c:v>59356.1</c:v>
                </c:pt>
                <c:pt idx="127">
                  <c:v>59125.599999999999</c:v>
                </c:pt>
                <c:pt idx="128">
                  <c:v>58978</c:v>
                </c:pt>
                <c:pt idx="129">
                  <c:v>57304</c:v>
                </c:pt>
                <c:pt idx="130">
                  <c:v>59134.3</c:v>
                </c:pt>
                <c:pt idx="131">
                  <c:v>57499.9</c:v>
                </c:pt>
                <c:pt idx="132">
                  <c:v>57970</c:v>
                </c:pt>
                <c:pt idx="133">
                  <c:v>56183.9</c:v>
                </c:pt>
                <c:pt idx="134">
                  <c:v>53961.4</c:v>
                </c:pt>
                <c:pt idx="135">
                  <c:v>54160.86</c:v>
                </c:pt>
                <c:pt idx="136">
                  <c:v>53629.01</c:v>
                </c:pt>
                <c:pt idx="137">
                  <c:v>57042</c:v>
                </c:pt>
                <c:pt idx="138">
                  <c:v>57245.279999999999</c:v>
                </c:pt>
                <c:pt idx="139">
                  <c:v>56780.57</c:v>
                </c:pt>
                <c:pt idx="140">
                  <c:v>57978.97</c:v>
                </c:pt>
                <c:pt idx="141">
                  <c:v>57821.2</c:v>
                </c:pt>
                <c:pt idx="142">
                  <c:v>59993.03</c:v>
                </c:pt>
                <c:pt idx="143">
                  <c:v>59132</c:v>
                </c:pt>
                <c:pt idx="144">
                  <c:v>58671.09</c:v>
                </c:pt>
                <c:pt idx="145">
                  <c:v>59090.6</c:v>
                </c:pt>
                <c:pt idx="146">
                  <c:v>59937.3</c:v>
                </c:pt>
                <c:pt idx="147">
                  <c:v>62938.7</c:v>
                </c:pt>
                <c:pt idx="148">
                  <c:v>63468.6</c:v>
                </c:pt>
                <c:pt idx="149">
                  <c:v>63244.4</c:v>
                </c:pt>
                <c:pt idx="150">
                  <c:v>63578.76</c:v>
                </c:pt>
                <c:pt idx="151">
                  <c:v>63506.5</c:v>
                </c:pt>
                <c:pt idx="152">
                  <c:v>63505.2</c:v>
                </c:pt>
                <c:pt idx="153">
                  <c:v>63675</c:v>
                </c:pt>
                <c:pt idx="154">
                  <c:v>64418.9</c:v>
                </c:pt>
                <c:pt idx="155">
                  <c:v>65837.3</c:v>
                </c:pt>
                <c:pt idx="156">
                  <c:v>65858</c:v>
                </c:pt>
                <c:pt idx="157">
                  <c:v>65602.009999999995</c:v>
                </c:pt>
                <c:pt idx="158">
                  <c:v>63629.9</c:v>
                </c:pt>
                <c:pt idx="159">
                  <c:v>63785.8</c:v>
                </c:pt>
                <c:pt idx="160">
                  <c:v>61293.1</c:v>
                </c:pt>
                <c:pt idx="161">
                  <c:v>60134.8</c:v>
                </c:pt>
                <c:pt idx="162">
                  <c:v>61440.4</c:v>
                </c:pt>
                <c:pt idx="163">
                  <c:v>62058</c:v>
                </c:pt>
                <c:pt idx="164">
                  <c:v>62819.91</c:v>
                </c:pt>
                <c:pt idx="165">
                  <c:v>62721.1</c:v>
                </c:pt>
                <c:pt idx="166">
                  <c:v>62554</c:v>
                </c:pt>
                <c:pt idx="167">
                  <c:v>62146</c:v>
                </c:pt>
                <c:pt idx="168">
                  <c:v>61260.02</c:v>
                </c:pt>
                <c:pt idx="169">
                  <c:v>61255.99</c:v>
                </c:pt>
                <c:pt idx="170">
                  <c:v>63206.22</c:v>
                </c:pt>
                <c:pt idx="171">
                  <c:v>62870.02</c:v>
                </c:pt>
                <c:pt idx="172">
                  <c:v>66083.990000000005</c:v>
                </c:pt>
                <c:pt idx="173">
                  <c:v>65440</c:v>
                </c:pt>
                <c:pt idx="174">
                  <c:v>67630</c:v>
                </c:pt>
                <c:pt idx="175">
                  <c:v>66892</c:v>
                </c:pt>
                <c:pt idx="176">
                  <c:v>67725.279999999999</c:v>
                </c:pt>
                <c:pt idx="177">
                  <c:v>68340</c:v>
                </c:pt>
                <c:pt idx="178">
                  <c:v>69000</c:v>
                </c:pt>
                <c:pt idx="179">
                  <c:v>68297.87</c:v>
                </c:pt>
                <c:pt idx="180">
                  <c:v>67353.34</c:v>
                </c:pt>
                <c:pt idx="181">
                  <c:v>66410.070000000007</c:v>
                </c:pt>
                <c:pt idx="182">
                  <c:v>67293.87</c:v>
                </c:pt>
                <c:pt idx="183">
                  <c:v>68253.88</c:v>
                </c:pt>
                <c:pt idx="184">
                  <c:v>67092.759999999995</c:v>
                </c:pt>
                <c:pt idx="185">
                  <c:v>68021.7</c:v>
                </c:pt>
                <c:pt idx="186">
                  <c:v>69615</c:v>
                </c:pt>
                <c:pt idx="187">
                  <c:v>71200.91</c:v>
                </c:pt>
                <c:pt idx="188">
                  <c:v>72187.039999999994</c:v>
                </c:pt>
                <c:pt idx="189">
                  <c:v>72074</c:v>
                </c:pt>
                <c:pt idx="190">
                  <c:v>69923.17</c:v>
                </c:pt>
                <c:pt idx="191">
                  <c:v>69374.740000000005</c:v>
                </c:pt>
                <c:pt idx="192">
                  <c:v>68306.28</c:v>
                </c:pt>
                <c:pt idx="193">
                  <c:v>67722.23</c:v>
                </c:pt>
                <c:pt idx="194">
                  <c:v>68825.05</c:v>
                </c:pt>
                <c:pt idx="195">
                  <c:v>75165</c:v>
                </c:pt>
                <c:pt idx="196">
                  <c:v>76495</c:v>
                </c:pt>
                <c:pt idx="197">
                  <c:v>76116.72</c:v>
                </c:pt>
                <c:pt idx="198">
                  <c:v>76677.460000000006</c:v>
                </c:pt>
                <c:pt idx="199">
                  <c:v>80370.009999999995</c:v>
                </c:pt>
                <c:pt idx="200">
                  <c:v>87272.61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A0-49B5-936A-4D0D158A972C}"/>
            </c:ext>
          </c:extLst>
        </c:ser>
        <c:ser>
          <c:idx val="2"/>
          <c:order val="2"/>
          <c:tx>
            <c:strRef>
              <c:f>CRIPTOS!$E$2</c:f>
              <c:strCache>
                <c:ptCount val="1"/>
                <c:pt idx="0">
                  <c:v>io.net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CRIPTOS!$B$3:$B$204</c:f>
              <c:numCache>
                <c:formatCode>m/d/yyyy</c:formatCode>
                <c:ptCount val="202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  <c:pt idx="191">
                  <c:v>45598</c:v>
                </c:pt>
                <c:pt idx="192">
                  <c:v>45599</c:v>
                </c:pt>
                <c:pt idx="193">
                  <c:v>45600</c:v>
                </c:pt>
                <c:pt idx="194">
                  <c:v>45601</c:v>
                </c:pt>
                <c:pt idx="195">
                  <c:v>45602</c:v>
                </c:pt>
                <c:pt idx="196">
                  <c:v>45603</c:v>
                </c:pt>
                <c:pt idx="197">
                  <c:v>45604</c:v>
                </c:pt>
                <c:pt idx="198">
                  <c:v>45605</c:v>
                </c:pt>
                <c:pt idx="199">
                  <c:v>45606</c:v>
                </c:pt>
                <c:pt idx="200">
                  <c:v>45607</c:v>
                </c:pt>
              </c:numCache>
            </c:numRef>
          </c:cat>
          <c:val>
            <c:numRef>
              <c:f>CRIPTOS!$E$3:$E$204</c:f>
              <c:numCache>
                <c:formatCode>_-[$$-240A]\ * #,##0.00_-;\-[$$-240A]\ * #,##0.00_-;_-[$$-240A]\ * "-"??_-;_-@_-</c:formatCode>
                <c:ptCount val="202"/>
                <c:pt idx="52">
                  <c:v>5.68</c:v>
                </c:pt>
                <c:pt idx="53">
                  <c:v>4.9000000000000004</c:v>
                </c:pt>
                <c:pt idx="54">
                  <c:v>4.9800000000000004</c:v>
                </c:pt>
                <c:pt idx="55">
                  <c:v>5.35</c:v>
                </c:pt>
                <c:pt idx="56">
                  <c:v>4.28</c:v>
                </c:pt>
                <c:pt idx="57">
                  <c:v>4.2300000000000004</c:v>
                </c:pt>
                <c:pt idx="58">
                  <c:v>3.94</c:v>
                </c:pt>
                <c:pt idx="59">
                  <c:v>3.93</c:v>
                </c:pt>
                <c:pt idx="60">
                  <c:v>4</c:v>
                </c:pt>
                <c:pt idx="61">
                  <c:v>3.89</c:v>
                </c:pt>
                <c:pt idx="62">
                  <c:v>3.77</c:v>
                </c:pt>
                <c:pt idx="63">
                  <c:v>3.27</c:v>
                </c:pt>
                <c:pt idx="64">
                  <c:v>3.4</c:v>
                </c:pt>
                <c:pt idx="65">
                  <c:v>3.56</c:v>
                </c:pt>
                <c:pt idx="66">
                  <c:v>3.52</c:v>
                </c:pt>
                <c:pt idx="67">
                  <c:v>3.67</c:v>
                </c:pt>
                <c:pt idx="68">
                  <c:v>2.83</c:v>
                </c:pt>
                <c:pt idx="69">
                  <c:v>2.7</c:v>
                </c:pt>
                <c:pt idx="70">
                  <c:v>2.0299999999999998</c:v>
                </c:pt>
                <c:pt idx="71">
                  <c:v>2.11</c:v>
                </c:pt>
                <c:pt idx="72">
                  <c:v>2.39</c:v>
                </c:pt>
                <c:pt idx="73">
                  <c:v>2.09</c:v>
                </c:pt>
                <c:pt idx="74">
                  <c:v>2.29</c:v>
                </c:pt>
                <c:pt idx="75">
                  <c:v>2.29</c:v>
                </c:pt>
                <c:pt idx="76">
                  <c:v>2.37</c:v>
                </c:pt>
                <c:pt idx="77">
                  <c:v>2.4900000000000002</c:v>
                </c:pt>
                <c:pt idx="78">
                  <c:v>2.62</c:v>
                </c:pt>
                <c:pt idx="79">
                  <c:v>2.4</c:v>
                </c:pt>
                <c:pt idx="80">
                  <c:v>2.4</c:v>
                </c:pt>
                <c:pt idx="81">
                  <c:v>2.6</c:v>
                </c:pt>
                <c:pt idx="82">
                  <c:v>2.76</c:v>
                </c:pt>
                <c:pt idx="83">
                  <c:v>2.76</c:v>
                </c:pt>
                <c:pt idx="84">
                  <c:v>2.93</c:v>
                </c:pt>
                <c:pt idx="85">
                  <c:v>2.92</c:v>
                </c:pt>
                <c:pt idx="86">
                  <c:v>3.01</c:v>
                </c:pt>
                <c:pt idx="87">
                  <c:v>3.03</c:v>
                </c:pt>
                <c:pt idx="88">
                  <c:v>2.81</c:v>
                </c:pt>
                <c:pt idx="89">
                  <c:v>2.65</c:v>
                </c:pt>
                <c:pt idx="90">
                  <c:v>2.74</c:v>
                </c:pt>
                <c:pt idx="91">
                  <c:v>2.79</c:v>
                </c:pt>
                <c:pt idx="92">
                  <c:v>2.98</c:v>
                </c:pt>
                <c:pt idx="93">
                  <c:v>2.99</c:v>
                </c:pt>
                <c:pt idx="94">
                  <c:v>2.98</c:v>
                </c:pt>
                <c:pt idx="95">
                  <c:v>2.77</c:v>
                </c:pt>
                <c:pt idx="96">
                  <c:v>2.68</c:v>
                </c:pt>
                <c:pt idx="97">
                  <c:v>2.44</c:v>
                </c:pt>
                <c:pt idx="98">
                  <c:v>2.21</c:v>
                </c:pt>
                <c:pt idx="99">
                  <c:v>2.0299999999999998</c:v>
                </c:pt>
                <c:pt idx="100">
                  <c:v>1.89</c:v>
                </c:pt>
                <c:pt idx="101">
                  <c:v>1.83</c:v>
                </c:pt>
                <c:pt idx="102">
                  <c:v>1.5</c:v>
                </c:pt>
                <c:pt idx="103">
                  <c:v>1.77</c:v>
                </c:pt>
                <c:pt idx="104">
                  <c:v>1.6</c:v>
                </c:pt>
                <c:pt idx="105">
                  <c:v>1.9</c:v>
                </c:pt>
                <c:pt idx="106">
                  <c:v>1.66</c:v>
                </c:pt>
                <c:pt idx="107">
                  <c:v>1.67</c:v>
                </c:pt>
                <c:pt idx="108">
                  <c:v>1.61</c:v>
                </c:pt>
                <c:pt idx="109">
                  <c:v>1.59</c:v>
                </c:pt>
                <c:pt idx="110">
                  <c:v>1.64</c:v>
                </c:pt>
                <c:pt idx="111">
                  <c:v>1.66</c:v>
                </c:pt>
                <c:pt idx="112">
                  <c:v>1.57</c:v>
                </c:pt>
                <c:pt idx="113">
                  <c:v>1.62</c:v>
                </c:pt>
                <c:pt idx="114">
                  <c:v>1.76</c:v>
                </c:pt>
                <c:pt idx="115">
                  <c:v>1.72</c:v>
                </c:pt>
                <c:pt idx="116">
                  <c:v>1.72</c:v>
                </c:pt>
                <c:pt idx="117">
                  <c:v>1.65</c:v>
                </c:pt>
                <c:pt idx="118">
                  <c:v>1.68</c:v>
                </c:pt>
                <c:pt idx="119">
                  <c:v>2</c:v>
                </c:pt>
                <c:pt idx="120">
                  <c:v>2.02</c:v>
                </c:pt>
                <c:pt idx="121">
                  <c:v>2.31</c:v>
                </c:pt>
                <c:pt idx="122">
                  <c:v>2.31</c:v>
                </c:pt>
                <c:pt idx="123">
                  <c:v>2.17</c:v>
                </c:pt>
                <c:pt idx="124">
                  <c:v>1.97</c:v>
                </c:pt>
                <c:pt idx="125">
                  <c:v>1.74</c:v>
                </c:pt>
                <c:pt idx="126">
                  <c:v>1.63</c:v>
                </c:pt>
                <c:pt idx="127">
                  <c:v>1.57</c:v>
                </c:pt>
                <c:pt idx="128">
                  <c:v>1.47</c:v>
                </c:pt>
                <c:pt idx="129">
                  <c:v>1.39</c:v>
                </c:pt>
                <c:pt idx="130">
                  <c:v>1.46</c:v>
                </c:pt>
                <c:pt idx="131">
                  <c:v>1.43</c:v>
                </c:pt>
                <c:pt idx="132">
                  <c:v>1.5</c:v>
                </c:pt>
                <c:pt idx="133">
                  <c:v>1.47</c:v>
                </c:pt>
                <c:pt idx="134">
                  <c:v>1.5</c:v>
                </c:pt>
                <c:pt idx="135">
                  <c:v>1.56</c:v>
                </c:pt>
                <c:pt idx="136">
                  <c:v>1.61</c:v>
                </c:pt>
                <c:pt idx="137">
                  <c:v>1.64</c:v>
                </c:pt>
                <c:pt idx="138">
                  <c:v>1.66</c:v>
                </c:pt>
                <c:pt idx="139">
                  <c:v>1.58</c:v>
                </c:pt>
                <c:pt idx="140">
                  <c:v>1.66</c:v>
                </c:pt>
                <c:pt idx="141">
                  <c:v>1.72</c:v>
                </c:pt>
                <c:pt idx="142">
                  <c:v>1.77</c:v>
                </c:pt>
                <c:pt idx="143">
                  <c:v>1.7</c:v>
                </c:pt>
                <c:pt idx="144">
                  <c:v>1.77</c:v>
                </c:pt>
                <c:pt idx="145">
                  <c:v>1.89</c:v>
                </c:pt>
                <c:pt idx="146">
                  <c:v>1.89</c:v>
                </c:pt>
                <c:pt idx="147">
                  <c:v>2.16</c:v>
                </c:pt>
                <c:pt idx="148">
                  <c:v>2.02</c:v>
                </c:pt>
                <c:pt idx="149">
                  <c:v>2.0699999999999998</c:v>
                </c:pt>
                <c:pt idx="150">
                  <c:v>1.97</c:v>
                </c:pt>
                <c:pt idx="151">
                  <c:v>2.13</c:v>
                </c:pt>
                <c:pt idx="152">
                  <c:v>2.13</c:v>
                </c:pt>
                <c:pt idx="153">
                  <c:v>2.15</c:v>
                </c:pt>
                <c:pt idx="154">
                  <c:v>2.16</c:v>
                </c:pt>
                <c:pt idx="155">
                  <c:v>2.2599999999999998</c:v>
                </c:pt>
                <c:pt idx="156">
                  <c:v>2.1</c:v>
                </c:pt>
                <c:pt idx="157">
                  <c:v>2.21</c:v>
                </c:pt>
                <c:pt idx="158">
                  <c:v>2.1</c:v>
                </c:pt>
                <c:pt idx="159">
                  <c:v>2.06</c:v>
                </c:pt>
                <c:pt idx="160">
                  <c:v>1.77</c:v>
                </c:pt>
                <c:pt idx="161">
                  <c:v>1.67</c:v>
                </c:pt>
                <c:pt idx="162">
                  <c:v>1.69</c:v>
                </c:pt>
                <c:pt idx="163">
                  <c:v>1.77</c:v>
                </c:pt>
                <c:pt idx="164">
                  <c:v>1.83</c:v>
                </c:pt>
                <c:pt idx="165">
                  <c:v>1.85</c:v>
                </c:pt>
                <c:pt idx="166">
                  <c:v>1.85</c:v>
                </c:pt>
                <c:pt idx="167">
                  <c:v>1.85</c:v>
                </c:pt>
                <c:pt idx="168">
                  <c:v>1.75</c:v>
                </c:pt>
                <c:pt idx="169">
                  <c:v>1.73</c:v>
                </c:pt>
                <c:pt idx="170">
                  <c:v>1.89</c:v>
                </c:pt>
                <c:pt idx="171">
                  <c:v>1.9</c:v>
                </c:pt>
                <c:pt idx="172">
                  <c:v>2.0699999999999998</c:v>
                </c:pt>
                <c:pt idx="173">
                  <c:v>2.06</c:v>
                </c:pt>
                <c:pt idx="174">
                  <c:v>1.89</c:v>
                </c:pt>
                <c:pt idx="175">
                  <c:v>1.8</c:v>
                </c:pt>
                <c:pt idx="176">
                  <c:v>1.88</c:v>
                </c:pt>
                <c:pt idx="177">
                  <c:v>1.85</c:v>
                </c:pt>
                <c:pt idx="178">
                  <c:v>1.87</c:v>
                </c:pt>
                <c:pt idx="179">
                  <c:v>1.9</c:v>
                </c:pt>
                <c:pt idx="180">
                  <c:v>1.84</c:v>
                </c:pt>
                <c:pt idx="181">
                  <c:v>1.79</c:v>
                </c:pt>
                <c:pt idx="182">
                  <c:v>1.89</c:v>
                </c:pt>
                <c:pt idx="183">
                  <c:v>1.97</c:v>
                </c:pt>
                <c:pt idx="184">
                  <c:v>1.71</c:v>
                </c:pt>
                <c:pt idx="185">
                  <c:v>1.75</c:v>
                </c:pt>
                <c:pt idx="186">
                  <c:v>1.73</c:v>
                </c:pt>
                <c:pt idx="187">
                  <c:v>1.75</c:v>
                </c:pt>
                <c:pt idx="188">
                  <c:v>1.74</c:v>
                </c:pt>
                <c:pt idx="189">
                  <c:v>1.68</c:v>
                </c:pt>
                <c:pt idx="190">
                  <c:v>1.61</c:v>
                </c:pt>
                <c:pt idx="191">
                  <c:v>1.54</c:v>
                </c:pt>
                <c:pt idx="192">
                  <c:v>1.47</c:v>
                </c:pt>
                <c:pt idx="193">
                  <c:v>1.47</c:v>
                </c:pt>
                <c:pt idx="194">
                  <c:v>1.5</c:v>
                </c:pt>
                <c:pt idx="195">
                  <c:v>1.73</c:v>
                </c:pt>
                <c:pt idx="196">
                  <c:v>1.83</c:v>
                </c:pt>
                <c:pt idx="197">
                  <c:v>1.99</c:v>
                </c:pt>
                <c:pt idx="198">
                  <c:v>2.02</c:v>
                </c:pt>
                <c:pt idx="199">
                  <c:v>2.02</c:v>
                </c:pt>
                <c:pt idx="200">
                  <c:v>2.69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0A0-49B5-936A-4D0D158A972C}"/>
            </c:ext>
          </c:extLst>
        </c:ser>
        <c:ser>
          <c:idx val="3"/>
          <c:order val="3"/>
          <c:tx>
            <c:strRef>
              <c:f>CRIPTOS!$F$2</c:f>
              <c:strCache>
                <c:ptCount val="1"/>
                <c:pt idx="0">
                  <c:v>ETHEREUM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CRIPTOS!$B$3:$B$204</c:f>
              <c:numCache>
                <c:formatCode>m/d/yyyy</c:formatCode>
                <c:ptCount val="202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  <c:pt idx="191">
                  <c:v>45598</c:v>
                </c:pt>
                <c:pt idx="192">
                  <c:v>45599</c:v>
                </c:pt>
                <c:pt idx="193">
                  <c:v>45600</c:v>
                </c:pt>
                <c:pt idx="194">
                  <c:v>45601</c:v>
                </c:pt>
                <c:pt idx="195">
                  <c:v>45602</c:v>
                </c:pt>
                <c:pt idx="196">
                  <c:v>45603</c:v>
                </c:pt>
                <c:pt idx="197">
                  <c:v>45604</c:v>
                </c:pt>
                <c:pt idx="198">
                  <c:v>45605</c:v>
                </c:pt>
                <c:pt idx="199">
                  <c:v>45606</c:v>
                </c:pt>
                <c:pt idx="200">
                  <c:v>45607</c:v>
                </c:pt>
              </c:numCache>
            </c:numRef>
          </c:cat>
          <c:val>
            <c:numRef>
              <c:f>CRIPTOS!$F$3:$F$204</c:f>
              <c:numCache>
                <c:formatCode>_-[$$-240A]\ * #,##0.00_-;\-[$$-240A]\ * #,##0.00_-;_-[$$-240A]\ * "-"??_-;_-@_-</c:formatCode>
                <c:ptCount val="202"/>
                <c:pt idx="45">
                  <c:v>3865.9</c:v>
                </c:pt>
                <c:pt idx="46">
                  <c:v>3801.31</c:v>
                </c:pt>
                <c:pt idx="47">
                  <c:v>3688.46</c:v>
                </c:pt>
                <c:pt idx="48">
                  <c:v>3669.88</c:v>
                </c:pt>
                <c:pt idx="49">
                  <c:v>3706.5</c:v>
                </c:pt>
                <c:pt idx="50">
                  <c:v>3669.68</c:v>
                </c:pt>
                <c:pt idx="51">
                  <c:v>3488.53</c:v>
                </c:pt>
                <c:pt idx="52">
                  <c:v>3562.81</c:v>
                </c:pt>
                <c:pt idx="53">
                  <c:v>3483.94</c:v>
                </c:pt>
                <c:pt idx="54">
                  <c:v>3513.24</c:v>
                </c:pt>
                <c:pt idx="55">
                  <c:v>3536.35</c:v>
                </c:pt>
                <c:pt idx="56">
                  <c:v>3552.76</c:v>
                </c:pt>
                <c:pt idx="57">
                  <c:v>3505.79</c:v>
                </c:pt>
                <c:pt idx="58">
                  <c:v>3550.4</c:v>
                </c:pt>
                <c:pt idx="59">
                  <c:v>3546.75</c:v>
                </c:pt>
                <c:pt idx="60">
                  <c:v>3502.79</c:v>
                </c:pt>
                <c:pt idx="61">
                  <c:v>3504.63</c:v>
                </c:pt>
                <c:pt idx="62">
                  <c:v>3517.46</c:v>
                </c:pt>
                <c:pt idx="63">
                  <c:v>3417.88</c:v>
                </c:pt>
                <c:pt idx="64">
                  <c:v>3377.81</c:v>
                </c:pt>
                <c:pt idx="65">
                  <c:v>3409.31</c:v>
                </c:pt>
                <c:pt idx="66">
                  <c:v>3388.2</c:v>
                </c:pt>
                <c:pt idx="67">
                  <c:v>3444.26</c:v>
                </c:pt>
                <c:pt idx="68">
                  <c:v>3359.03</c:v>
                </c:pt>
                <c:pt idx="69">
                  <c:v>3241.13</c:v>
                </c:pt>
                <c:pt idx="70">
                  <c:v>2930.85</c:v>
                </c:pt>
                <c:pt idx="71">
                  <c:v>2969.23</c:v>
                </c:pt>
                <c:pt idx="72">
                  <c:v>3043.45</c:v>
                </c:pt>
                <c:pt idx="73">
                  <c:v>2887.08</c:v>
                </c:pt>
                <c:pt idx="74">
                  <c:v>3055</c:v>
                </c:pt>
                <c:pt idx="75">
                  <c:v>3064.35</c:v>
                </c:pt>
                <c:pt idx="76">
                  <c:v>3105.54</c:v>
                </c:pt>
                <c:pt idx="77">
                  <c:v>3113.12</c:v>
                </c:pt>
                <c:pt idx="78">
                  <c:v>3132.19</c:v>
                </c:pt>
                <c:pt idx="79">
                  <c:v>3157.26</c:v>
                </c:pt>
                <c:pt idx="80">
                  <c:v>3204.71</c:v>
                </c:pt>
                <c:pt idx="81">
                  <c:v>3458.1</c:v>
                </c:pt>
                <c:pt idx="82">
                  <c:v>3486.6</c:v>
                </c:pt>
                <c:pt idx="83">
                  <c:v>3454.6</c:v>
                </c:pt>
                <c:pt idx="84">
                  <c:v>3417.6</c:v>
                </c:pt>
                <c:pt idx="85">
                  <c:v>3503.6</c:v>
                </c:pt>
                <c:pt idx="86">
                  <c:v>3487.95</c:v>
                </c:pt>
                <c:pt idx="87">
                  <c:v>3515.71</c:v>
                </c:pt>
                <c:pt idx="88">
                  <c:v>3476.12</c:v>
                </c:pt>
                <c:pt idx="89">
                  <c:v>3416.83</c:v>
                </c:pt>
                <c:pt idx="90">
                  <c:v>3373.7</c:v>
                </c:pt>
                <c:pt idx="91">
                  <c:v>3245</c:v>
                </c:pt>
                <c:pt idx="92">
                  <c:v>3264.6</c:v>
                </c:pt>
                <c:pt idx="93">
                  <c:v>3319.84</c:v>
                </c:pt>
                <c:pt idx="94">
                  <c:v>3253.7</c:v>
                </c:pt>
                <c:pt idx="95">
                  <c:v>3343.8</c:v>
                </c:pt>
                <c:pt idx="96">
                  <c:v>3328.4</c:v>
                </c:pt>
                <c:pt idx="97">
                  <c:v>3230.4</c:v>
                </c:pt>
                <c:pt idx="98">
                  <c:v>3150.45</c:v>
                </c:pt>
                <c:pt idx="99">
                  <c:v>2999.7</c:v>
                </c:pt>
                <c:pt idx="100">
                  <c:v>2964.1</c:v>
                </c:pt>
                <c:pt idx="101">
                  <c:v>2917.9</c:v>
                </c:pt>
                <c:pt idx="102">
                  <c:v>2400.77</c:v>
                </c:pt>
                <c:pt idx="103">
                  <c:v>2544.6999999999998</c:v>
                </c:pt>
                <c:pt idx="104">
                  <c:v>2354.17</c:v>
                </c:pt>
                <c:pt idx="105">
                  <c:v>2683.9</c:v>
                </c:pt>
                <c:pt idx="106">
                  <c:v>2605.6</c:v>
                </c:pt>
                <c:pt idx="107">
                  <c:v>2599.52</c:v>
                </c:pt>
                <c:pt idx="108">
                  <c:v>2646.52</c:v>
                </c:pt>
                <c:pt idx="109">
                  <c:v>2605.27</c:v>
                </c:pt>
                <c:pt idx="110">
                  <c:v>2706.9</c:v>
                </c:pt>
                <c:pt idx="111">
                  <c:v>2650.94</c:v>
                </c:pt>
                <c:pt idx="112">
                  <c:v>2572.8000000000002</c:v>
                </c:pt>
                <c:pt idx="113">
                  <c:v>2610.4</c:v>
                </c:pt>
                <c:pt idx="114">
                  <c:v>2622.8</c:v>
                </c:pt>
                <c:pt idx="115">
                  <c:v>2611.4</c:v>
                </c:pt>
                <c:pt idx="116">
                  <c:v>2638.2</c:v>
                </c:pt>
                <c:pt idx="117">
                  <c:v>2577.5</c:v>
                </c:pt>
                <c:pt idx="118">
                  <c:v>2631.2</c:v>
                </c:pt>
                <c:pt idx="119">
                  <c:v>2623.1</c:v>
                </c:pt>
                <c:pt idx="120">
                  <c:v>2665</c:v>
                </c:pt>
                <c:pt idx="121">
                  <c:v>2769</c:v>
                </c:pt>
                <c:pt idx="122">
                  <c:v>2758.6</c:v>
                </c:pt>
                <c:pt idx="123">
                  <c:v>2688.4</c:v>
                </c:pt>
                <c:pt idx="124">
                  <c:v>2458.1</c:v>
                </c:pt>
                <c:pt idx="125">
                  <c:v>2528.3000000000002</c:v>
                </c:pt>
                <c:pt idx="126">
                  <c:v>2528.1999999999998</c:v>
                </c:pt>
                <c:pt idx="127">
                  <c:v>2525.3000000000002</c:v>
                </c:pt>
                <c:pt idx="128">
                  <c:v>2512.8000000000002</c:v>
                </c:pt>
                <c:pt idx="129">
                  <c:v>2425.9</c:v>
                </c:pt>
                <c:pt idx="130">
                  <c:v>2538.3000000000002</c:v>
                </c:pt>
                <c:pt idx="131">
                  <c:v>2422.3000000000002</c:v>
                </c:pt>
                <c:pt idx="132">
                  <c:v>2450</c:v>
                </c:pt>
                <c:pt idx="133">
                  <c:v>2367.3000000000002</c:v>
                </c:pt>
                <c:pt idx="134">
                  <c:v>2223.5</c:v>
                </c:pt>
                <c:pt idx="135">
                  <c:v>2273</c:v>
                </c:pt>
                <c:pt idx="136">
                  <c:v>2295.9</c:v>
                </c:pt>
                <c:pt idx="137">
                  <c:v>2360.1</c:v>
                </c:pt>
                <c:pt idx="138">
                  <c:v>2352.5</c:v>
                </c:pt>
                <c:pt idx="139">
                  <c:v>2326.6</c:v>
                </c:pt>
                <c:pt idx="140">
                  <c:v>2349.5</c:v>
                </c:pt>
                <c:pt idx="141">
                  <c:v>2349.4</c:v>
                </c:pt>
                <c:pt idx="142">
                  <c:v>2418.1999999999998</c:v>
                </c:pt>
                <c:pt idx="143">
                  <c:v>2317.3000000000002</c:v>
                </c:pt>
                <c:pt idx="144">
                  <c:v>2307.5</c:v>
                </c:pt>
                <c:pt idx="145">
                  <c:v>2311.4</c:v>
                </c:pt>
                <c:pt idx="146">
                  <c:v>2307.8000000000002</c:v>
                </c:pt>
                <c:pt idx="147">
                  <c:v>2427.3000000000002</c:v>
                </c:pt>
                <c:pt idx="148">
                  <c:v>2554.8000000000002</c:v>
                </c:pt>
                <c:pt idx="149">
                  <c:v>2616.9</c:v>
                </c:pt>
                <c:pt idx="150">
                  <c:v>2581.1999999999998</c:v>
                </c:pt>
                <c:pt idx="151">
                  <c:v>2649.3</c:v>
                </c:pt>
                <c:pt idx="152">
                  <c:v>2639.4</c:v>
                </c:pt>
                <c:pt idx="153">
                  <c:v>2620.0300000000002</c:v>
                </c:pt>
                <c:pt idx="154">
                  <c:v>2629.7</c:v>
                </c:pt>
                <c:pt idx="155">
                  <c:v>2659.7</c:v>
                </c:pt>
                <c:pt idx="156">
                  <c:v>2675.6</c:v>
                </c:pt>
                <c:pt idx="157">
                  <c:v>2635</c:v>
                </c:pt>
                <c:pt idx="158">
                  <c:v>2592.6999999999998</c:v>
                </c:pt>
                <c:pt idx="159">
                  <c:v>2630.6</c:v>
                </c:pt>
                <c:pt idx="160">
                  <c:v>2458.1999999999998</c:v>
                </c:pt>
                <c:pt idx="161">
                  <c:v>2343.5</c:v>
                </c:pt>
                <c:pt idx="162">
                  <c:v>2381.3000000000002</c:v>
                </c:pt>
                <c:pt idx="163">
                  <c:v>2414.6999999999998</c:v>
                </c:pt>
                <c:pt idx="164">
                  <c:v>2439.9</c:v>
                </c:pt>
                <c:pt idx="165">
                  <c:v>2461.3000000000002</c:v>
                </c:pt>
                <c:pt idx="166">
                  <c:v>2435.6999999999998</c:v>
                </c:pt>
                <c:pt idx="167">
                  <c:v>2434.1999999999998</c:v>
                </c:pt>
                <c:pt idx="168">
                  <c:v>2403.6999999999998</c:v>
                </c:pt>
                <c:pt idx="169">
                  <c:v>2419.4</c:v>
                </c:pt>
                <c:pt idx="170">
                  <c:v>2437.6</c:v>
                </c:pt>
                <c:pt idx="171">
                  <c:v>2575.9</c:v>
                </c:pt>
                <c:pt idx="172">
                  <c:v>2468</c:v>
                </c:pt>
                <c:pt idx="173">
                  <c:v>2629.3</c:v>
                </c:pt>
                <c:pt idx="174">
                  <c:v>2610.6</c:v>
                </c:pt>
                <c:pt idx="175">
                  <c:v>2599.4</c:v>
                </c:pt>
                <c:pt idx="176">
                  <c:v>2623.4</c:v>
                </c:pt>
                <c:pt idx="177">
                  <c:v>2649.3</c:v>
                </c:pt>
                <c:pt idx="178">
                  <c:v>2750</c:v>
                </c:pt>
                <c:pt idx="179">
                  <c:v>2709.4</c:v>
                </c:pt>
                <c:pt idx="180">
                  <c:v>2632.9</c:v>
                </c:pt>
                <c:pt idx="181">
                  <c:v>2579.1</c:v>
                </c:pt>
                <c:pt idx="182">
                  <c:v>2527.3000000000002</c:v>
                </c:pt>
                <c:pt idx="183">
                  <c:v>2548.9</c:v>
                </c:pt>
                <c:pt idx="184">
                  <c:v>2479.6</c:v>
                </c:pt>
                <c:pt idx="185">
                  <c:v>2505.4</c:v>
                </c:pt>
                <c:pt idx="186">
                  <c:v>2524.6</c:v>
                </c:pt>
                <c:pt idx="187">
                  <c:v>2619.9</c:v>
                </c:pt>
                <c:pt idx="188">
                  <c:v>2664</c:v>
                </c:pt>
                <c:pt idx="189">
                  <c:v>2630</c:v>
                </c:pt>
                <c:pt idx="190">
                  <c:v>2517.8000000000002</c:v>
                </c:pt>
                <c:pt idx="191">
                  <c:v>2493.4</c:v>
                </c:pt>
                <c:pt idx="192">
                  <c:v>2445.3000000000002</c:v>
                </c:pt>
                <c:pt idx="193">
                  <c:v>2412</c:v>
                </c:pt>
                <c:pt idx="194">
                  <c:v>2438.6</c:v>
                </c:pt>
                <c:pt idx="195">
                  <c:v>2622.5</c:v>
                </c:pt>
                <c:pt idx="196">
                  <c:v>2819.3</c:v>
                </c:pt>
                <c:pt idx="197">
                  <c:v>2924.8</c:v>
                </c:pt>
                <c:pt idx="198">
                  <c:v>3128.4</c:v>
                </c:pt>
                <c:pt idx="199">
                  <c:v>3186.8</c:v>
                </c:pt>
                <c:pt idx="200">
                  <c:v>3355.6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A7-45B2-BF71-1C562316B80A}"/>
            </c:ext>
          </c:extLst>
        </c:ser>
        <c:ser>
          <c:idx val="4"/>
          <c:order val="4"/>
          <c:tx>
            <c:strRef>
              <c:f>CRIPTOS!$G$2</c:f>
              <c:strCache>
                <c:ptCount val="1"/>
                <c:pt idx="0">
                  <c:v>USDT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CRIPTOS!$B$3:$B$204</c:f>
              <c:numCache>
                <c:formatCode>m/d/yyyy</c:formatCode>
                <c:ptCount val="202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  <c:pt idx="191">
                  <c:v>45598</c:v>
                </c:pt>
                <c:pt idx="192">
                  <c:v>45599</c:v>
                </c:pt>
                <c:pt idx="193">
                  <c:v>45600</c:v>
                </c:pt>
                <c:pt idx="194">
                  <c:v>45601</c:v>
                </c:pt>
                <c:pt idx="195">
                  <c:v>45602</c:v>
                </c:pt>
                <c:pt idx="196">
                  <c:v>45603</c:v>
                </c:pt>
                <c:pt idx="197">
                  <c:v>45604</c:v>
                </c:pt>
                <c:pt idx="198">
                  <c:v>45605</c:v>
                </c:pt>
                <c:pt idx="199">
                  <c:v>45606</c:v>
                </c:pt>
                <c:pt idx="200">
                  <c:v>45607</c:v>
                </c:pt>
              </c:numCache>
            </c:numRef>
          </c:cat>
          <c:val>
            <c:numRef>
              <c:f>CRIPTOS!$G$3:$G$204</c:f>
              <c:numCache>
                <c:formatCode>_-[$$-240A]\ * #,##0.00_-;\-[$$-240A]\ * #,##0.00_-;_-[$$-240A]\ * "-"??_-;_-@_-</c:formatCode>
                <c:ptCount val="202"/>
                <c:pt idx="89">
                  <c:v>3956</c:v>
                </c:pt>
                <c:pt idx="90">
                  <c:v>3983</c:v>
                </c:pt>
                <c:pt idx="91">
                  <c:v>3969</c:v>
                </c:pt>
                <c:pt idx="92">
                  <c:v>3950</c:v>
                </c:pt>
                <c:pt idx="93">
                  <c:v>3924.76</c:v>
                </c:pt>
                <c:pt idx="94">
                  <c:v>3960</c:v>
                </c:pt>
                <c:pt idx="95">
                  <c:v>4000</c:v>
                </c:pt>
                <c:pt idx="96">
                  <c:v>4021</c:v>
                </c:pt>
                <c:pt idx="97">
                  <c:v>3992</c:v>
                </c:pt>
                <c:pt idx="98">
                  <c:v>4004</c:v>
                </c:pt>
                <c:pt idx="99">
                  <c:v>4072</c:v>
                </c:pt>
                <c:pt idx="100">
                  <c:v>4074</c:v>
                </c:pt>
                <c:pt idx="101">
                  <c:v>4070</c:v>
                </c:pt>
                <c:pt idx="102">
                  <c:v>4179</c:v>
                </c:pt>
                <c:pt idx="103">
                  <c:v>4099</c:v>
                </c:pt>
                <c:pt idx="104">
                  <c:v>4080</c:v>
                </c:pt>
                <c:pt idx="105">
                  <c:v>4020</c:v>
                </c:pt>
                <c:pt idx="106">
                  <c:v>4014</c:v>
                </c:pt>
                <c:pt idx="107">
                  <c:v>4021</c:v>
                </c:pt>
                <c:pt idx="108">
                  <c:v>4002</c:v>
                </c:pt>
                <c:pt idx="109">
                  <c:v>4043.31</c:v>
                </c:pt>
                <c:pt idx="110">
                  <c:v>3980</c:v>
                </c:pt>
                <c:pt idx="111">
                  <c:v>3965</c:v>
                </c:pt>
                <c:pt idx="112">
                  <c:v>3959</c:v>
                </c:pt>
                <c:pt idx="113">
                  <c:v>3966</c:v>
                </c:pt>
                <c:pt idx="114">
                  <c:v>3967</c:v>
                </c:pt>
                <c:pt idx="115">
                  <c:v>3883</c:v>
                </c:pt>
                <c:pt idx="116">
                  <c:v>3917</c:v>
                </c:pt>
                <c:pt idx="117">
                  <c:v>3955</c:v>
                </c:pt>
                <c:pt idx="118">
                  <c:v>3962</c:v>
                </c:pt>
                <c:pt idx="119">
                  <c:v>4004</c:v>
                </c:pt>
                <c:pt idx="120">
                  <c:v>4000</c:v>
                </c:pt>
                <c:pt idx="121">
                  <c:v>3933</c:v>
                </c:pt>
                <c:pt idx="122">
                  <c:v>3929</c:v>
                </c:pt>
                <c:pt idx="123">
                  <c:v>3932</c:v>
                </c:pt>
                <c:pt idx="124">
                  <c:v>3966</c:v>
                </c:pt>
                <c:pt idx="125">
                  <c:v>4009</c:v>
                </c:pt>
                <c:pt idx="126">
                  <c:v>4026</c:v>
                </c:pt>
                <c:pt idx="127">
                  <c:v>4066</c:v>
                </c:pt>
                <c:pt idx="128">
                  <c:v>4018</c:v>
                </c:pt>
                <c:pt idx="129">
                  <c:v>4005</c:v>
                </c:pt>
                <c:pt idx="130">
                  <c:v>4029</c:v>
                </c:pt>
                <c:pt idx="131">
                  <c:v>4024</c:v>
                </c:pt>
                <c:pt idx="132">
                  <c:v>4036</c:v>
                </c:pt>
                <c:pt idx="133">
                  <c:v>4035</c:v>
                </c:pt>
                <c:pt idx="134">
                  <c:v>4068</c:v>
                </c:pt>
                <c:pt idx="135">
                  <c:v>4045</c:v>
                </c:pt>
                <c:pt idx="136">
                  <c:v>4060</c:v>
                </c:pt>
                <c:pt idx="137">
                  <c:v>4059</c:v>
                </c:pt>
                <c:pt idx="138">
                  <c:v>4084</c:v>
                </c:pt>
                <c:pt idx="139">
                  <c:v>4146</c:v>
                </c:pt>
                <c:pt idx="140">
                  <c:v>4136</c:v>
                </c:pt>
                <c:pt idx="141">
                  <c:v>4090</c:v>
                </c:pt>
                <c:pt idx="142">
                  <c:v>4066</c:v>
                </c:pt>
                <c:pt idx="143">
                  <c:v>4090</c:v>
                </c:pt>
                <c:pt idx="144">
                  <c:v>4098</c:v>
                </c:pt>
                <c:pt idx="145">
                  <c:v>4135</c:v>
                </c:pt>
                <c:pt idx="146">
                  <c:v>4098</c:v>
                </c:pt>
                <c:pt idx="147">
                  <c:v>4097</c:v>
                </c:pt>
                <c:pt idx="148">
                  <c:v>4094</c:v>
                </c:pt>
                <c:pt idx="149">
                  <c:v>4033</c:v>
                </c:pt>
                <c:pt idx="150">
                  <c:v>4041</c:v>
                </c:pt>
                <c:pt idx="151">
                  <c:v>4051</c:v>
                </c:pt>
                <c:pt idx="152">
                  <c:v>4073</c:v>
                </c:pt>
                <c:pt idx="153">
                  <c:v>4071</c:v>
                </c:pt>
                <c:pt idx="154">
                  <c:v>4032</c:v>
                </c:pt>
                <c:pt idx="155">
                  <c:v>4001</c:v>
                </c:pt>
                <c:pt idx="156">
                  <c:v>3975</c:v>
                </c:pt>
                <c:pt idx="157">
                  <c:v>3977</c:v>
                </c:pt>
                <c:pt idx="158">
                  <c:v>4000</c:v>
                </c:pt>
                <c:pt idx="159">
                  <c:v>4047</c:v>
                </c:pt>
                <c:pt idx="160">
                  <c:v>4083</c:v>
                </c:pt>
                <c:pt idx="161">
                  <c:v>4070</c:v>
                </c:pt>
                <c:pt idx="162">
                  <c:v>4057</c:v>
                </c:pt>
                <c:pt idx="163">
                  <c:v>4004</c:v>
                </c:pt>
                <c:pt idx="164">
                  <c:v>4002</c:v>
                </c:pt>
                <c:pt idx="165">
                  <c:v>4002</c:v>
                </c:pt>
                <c:pt idx="166">
                  <c:v>4035</c:v>
                </c:pt>
                <c:pt idx="167">
                  <c:v>4052</c:v>
                </c:pt>
                <c:pt idx="168">
                  <c:v>4052</c:v>
                </c:pt>
                <c:pt idx="169">
                  <c:v>4024</c:v>
                </c:pt>
                <c:pt idx="170">
                  <c:v>4023</c:v>
                </c:pt>
                <c:pt idx="171">
                  <c:v>4023</c:v>
                </c:pt>
                <c:pt idx="172">
                  <c:v>4023</c:v>
                </c:pt>
                <c:pt idx="173">
                  <c:v>4023</c:v>
                </c:pt>
                <c:pt idx="174">
                  <c:v>4141</c:v>
                </c:pt>
                <c:pt idx="175">
                  <c:v>4150</c:v>
                </c:pt>
                <c:pt idx="176">
                  <c:v>4149</c:v>
                </c:pt>
                <c:pt idx="177">
                  <c:v>4159</c:v>
                </c:pt>
                <c:pt idx="178">
                  <c:v>4159</c:v>
                </c:pt>
                <c:pt idx="179">
                  <c:v>4173</c:v>
                </c:pt>
                <c:pt idx="180">
                  <c:v>4189</c:v>
                </c:pt>
                <c:pt idx="181">
                  <c:v>4176</c:v>
                </c:pt>
                <c:pt idx="182">
                  <c:v>4214</c:v>
                </c:pt>
                <c:pt idx="183">
                  <c:v>4202</c:v>
                </c:pt>
                <c:pt idx="184">
                  <c:v>4200</c:v>
                </c:pt>
                <c:pt idx="185">
                  <c:v>4215</c:v>
                </c:pt>
                <c:pt idx="186">
                  <c:v>4207</c:v>
                </c:pt>
                <c:pt idx="187">
                  <c:v>4254</c:v>
                </c:pt>
                <c:pt idx="188">
                  <c:v>4288</c:v>
                </c:pt>
                <c:pt idx="189">
                  <c:v>4314</c:v>
                </c:pt>
                <c:pt idx="190">
                  <c:v>4293</c:v>
                </c:pt>
                <c:pt idx="191">
                  <c:v>4327</c:v>
                </c:pt>
                <c:pt idx="192">
                  <c:v>4328</c:v>
                </c:pt>
                <c:pt idx="193">
                  <c:v>4338</c:v>
                </c:pt>
                <c:pt idx="194">
                  <c:v>4287</c:v>
                </c:pt>
                <c:pt idx="195">
                  <c:v>4338</c:v>
                </c:pt>
                <c:pt idx="196">
                  <c:v>4331</c:v>
                </c:pt>
                <c:pt idx="197">
                  <c:v>4234</c:v>
                </c:pt>
                <c:pt idx="198">
                  <c:v>4258</c:v>
                </c:pt>
                <c:pt idx="199">
                  <c:v>4246</c:v>
                </c:pt>
                <c:pt idx="200">
                  <c:v>4267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29-428F-BE26-1F11B322E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768272"/>
        <c:axId val="459775888"/>
      </c:lineChart>
      <c:dateAx>
        <c:axId val="459768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9775888"/>
        <c:crosses val="autoZero"/>
        <c:auto val="1"/>
        <c:lblOffset val="100"/>
        <c:baseTimeUnit val="days"/>
      </c:dateAx>
      <c:valAx>
        <c:axId val="4597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976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VOO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 Bolsa'!$C$2</c:f>
              <c:strCache>
                <c:ptCount val="1"/>
                <c:pt idx="0">
                  <c:v>PRECIO DEL 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Bolsa'!$B$3:$B$92</c:f>
              <c:numCache>
                <c:formatCode>m/d/yyyy</c:formatCode>
                <c:ptCount val="90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  <c:pt idx="88">
                  <c:v>45604</c:v>
                </c:pt>
                <c:pt idx="89">
                  <c:v>45607</c:v>
                </c:pt>
              </c:numCache>
            </c:numRef>
          </c:cat>
          <c:val>
            <c:numRef>
              <c:f>'Inv Bolsa'!$C$3:$C$92</c:f>
              <c:numCache>
                <c:formatCode>_("$"* #,##0.00_);_("$"* \(#,##0.00\);_("$"* "-"??_);_(@_)</c:formatCode>
                <c:ptCount val="90"/>
                <c:pt idx="0">
                  <c:v>4090.5</c:v>
                </c:pt>
                <c:pt idx="1">
                  <c:v>4078.65</c:v>
                </c:pt>
                <c:pt idx="2">
                  <c:v>4049.27</c:v>
                </c:pt>
                <c:pt idx="3">
                  <c:v>4009.91</c:v>
                </c:pt>
                <c:pt idx="4">
                  <c:v>3955.21</c:v>
                </c:pt>
                <c:pt idx="5">
                  <c:v>3975.25</c:v>
                </c:pt>
                <c:pt idx="6">
                  <c:v>3993.09</c:v>
                </c:pt>
                <c:pt idx="7">
                  <c:v>3953.88</c:v>
                </c:pt>
                <c:pt idx="8">
                  <c:v>3972.87</c:v>
                </c:pt>
                <c:pt idx="9">
                  <c:v>3999.25</c:v>
                </c:pt>
                <c:pt idx="10">
                  <c:v>4047.22</c:v>
                </c:pt>
                <c:pt idx="11">
                  <c:v>4041.33</c:v>
                </c:pt>
                <c:pt idx="12">
                  <c:v>3995.01</c:v>
                </c:pt>
                <c:pt idx="13">
                  <c:v>4014.08</c:v>
                </c:pt>
                <c:pt idx="14">
                  <c:v>4044.19</c:v>
                </c:pt>
                <c:pt idx="15">
                  <c:v>4042.31</c:v>
                </c:pt>
                <c:pt idx="16">
                  <c:v>4030.02</c:v>
                </c:pt>
                <c:pt idx="17">
                  <c:v>4077.08</c:v>
                </c:pt>
                <c:pt idx="18">
                  <c:v>4077.07</c:v>
                </c:pt>
                <c:pt idx="19">
                  <c:v>4045.51</c:v>
                </c:pt>
                <c:pt idx="20">
                  <c:v>4064.07</c:v>
                </c:pt>
                <c:pt idx="21">
                  <c:v>3925.64</c:v>
                </c:pt>
                <c:pt idx="22">
                  <c:v>4155.3100000000004</c:v>
                </c:pt>
                <c:pt idx="23">
                  <c:v>4140.09</c:v>
                </c:pt>
                <c:pt idx="24">
                  <c:v>4148.24</c:v>
                </c:pt>
                <c:pt idx="25">
                  <c:v>4063.32</c:v>
                </c:pt>
                <c:pt idx="26">
                  <c:v>4057.55</c:v>
                </c:pt>
                <c:pt idx="27">
                  <c:v>4073.83</c:v>
                </c:pt>
                <c:pt idx="28">
                  <c:v>4046.96</c:v>
                </c:pt>
                <c:pt idx="29">
                  <c:v>4038.46</c:v>
                </c:pt>
                <c:pt idx="30">
                  <c:v>4037.16</c:v>
                </c:pt>
                <c:pt idx="31">
                  <c:v>4014.8</c:v>
                </c:pt>
                <c:pt idx="32">
                  <c:v>4030.16</c:v>
                </c:pt>
                <c:pt idx="33">
                  <c:v>4023.02</c:v>
                </c:pt>
                <c:pt idx="34">
                  <c:v>4010.2</c:v>
                </c:pt>
                <c:pt idx="35">
                  <c:v>4036.25</c:v>
                </c:pt>
                <c:pt idx="36">
                  <c:v>4069.62</c:v>
                </c:pt>
                <c:pt idx="37">
                  <c:v>4029.75</c:v>
                </c:pt>
                <c:pt idx="38">
                  <c:v>4023.92</c:v>
                </c:pt>
                <c:pt idx="39">
                  <c:v>4045.64</c:v>
                </c:pt>
                <c:pt idx="40">
                  <c:v>4065.34</c:v>
                </c:pt>
                <c:pt idx="41">
                  <c:v>4132.1099999999997</c:v>
                </c:pt>
                <c:pt idx="42">
                  <c:v>4160.3100000000004</c:v>
                </c:pt>
                <c:pt idx="43">
                  <c:v>4185.8</c:v>
                </c:pt>
                <c:pt idx="44">
                  <c:v>4185.82</c:v>
                </c:pt>
                <c:pt idx="45">
                  <c:v>4172.5</c:v>
                </c:pt>
                <c:pt idx="46">
                  <c:v>4149.79</c:v>
                </c:pt>
                <c:pt idx="47">
                  <c:v>4243.8</c:v>
                </c:pt>
                <c:pt idx="48">
                  <c:v>4279.09</c:v>
                </c:pt>
                <c:pt idx="49">
                  <c:v>4270.62</c:v>
                </c:pt>
                <c:pt idx="50">
                  <c:v>4197.38</c:v>
                </c:pt>
                <c:pt idx="51">
                  <c:v>4172.13</c:v>
                </c:pt>
                <c:pt idx="52">
                  <c:v>4220.58</c:v>
                </c:pt>
                <c:pt idx="53">
                  <c:v>4225.01</c:v>
                </c:pt>
                <c:pt idx="54">
                  <c:v>4176.8500000000004</c:v>
                </c:pt>
                <c:pt idx="55">
                  <c:v>4153.9799999999996</c:v>
                </c:pt>
                <c:pt idx="56">
                  <c:v>4161.75</c:v>
                </c:pt>
                <c:pt idx="57">
                  <c:v>4148.75</c:v>
                </c:pt>
                <c:pt idx="58">
                  <c:v>4200.75</c:v>
                </c:pt>
                <c:pt idx="59">
                  <c:v>4157.54</c:v>
                </c:pt>
                <c:pt idx="60">
                  <c:v>4157.66</c:v>
                </c:pt>
                <c:pt idx="61">
                  <c:v>4199.12</c:v>
                </c:pt>
                <c:pt idx="62">
                  <c:v>4221.2700000000004</c:v>
                </c:pt>
                <c:pt idx="63">
                  <c:v>4194.26</c:v>
                </c:pt>
                <c:pt idx="64">
                  <c:v>4189.17</c:v>
                </c:pt>
                <c:pt idx="65">
                  <c:v>4167.41</c:v>
                </c:pt>
                <c:pt idx="66">
                  <c:v>4213.55</c:v>
                </c:pt>
                <c:pt idx="67">
                  <c:v>4231.08</c:v>
                </c:pt>
                <c:pt idx="68">
                  <c:v>4233.05</c:v>
                </c:pt>
                <c:pt idx="69">
                  <c:v>4210.95</c:v>
                </c:pt>
                <c:pt idx="70">
                  <c:v>4207.21</c:v>
                </c:pt>
                <c:pt idx="71">
                  <c:v>4257.21</c:v>
                </c:pt>
                <c:pt idx="72">
                  <c:v>4278.74</c:v>
                </c:pt>
                <c:pt idx="73">
                  <c:v>4247.29</c:v>
                </c:pt>
                <c:pt idx="74">
                  <c:v>4247.29</c:v>
                </c:pt>
                <c:pt idx="75">
                  <c:v>4270</c:v>
                </c:pt>
                <c:pt idx="76">
                  <c:v>4280.04</c:v>
                </c:pt>
                <c:pt idx="77">
                  <c:v>4270.37</c:v>
                </c:pt>
                <c:pt idx="78">
                  <c:v>4323.92</c:v>
                </c:pt>
                <c:pt idx="79">
                  <c:v>4323.1099999999997</c:v>
                </c:pt>
                <c:pt idx="80">
                  <c:v>4321.6400000000003</c:v>
                </c:pt>
                <c:pt idx="81">
                  <c:v>4345.13</c:v>
                </c:pt>
                <c:pt idx="82">
                  <c:v>4323.01</c:v>
                </c:pt>
                <c:pt idx="83">
                  <c:v>4418.63</c:v>
                </c:pt>
                <c:pt idx="84">
                  <c:v>4445.3500000000004</c:v>
                </c:pt>
                <c:pt idx="85">
                  <c:v>4438.62</c:v>
                </c:pt>
                <c:pt idx="86">
                  <c:v>4439.75</c:v>
                </c:pt>
                <c:pt idx="87">
                  <c:v>4389.7299999999996</c:v>
                </c:pt>
                <c:pt idx="88">
                  <c:v>4399.58</c:v>
                </c:pt>
                <c:pt idx="89">
                  <c:v>4346.7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71-461F-AA13-6F100B07A507}"/>
            </c:ext>
          </c:extLst>
        </c:ser>
        <c:ser>
          <c:idx val="1"/>
          <c:order val="1"/>
          <c:tx>
            <c:strRef>
              <c:f>'Inv Bolsa'!$D$2</c:f>
              <c:strCache>
                <c:ptCount val="1"/>
                <c:pt idx="0">
                  <c:v>VOO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Bolsa'!$B$3:$B$92</c:f>
              <c:numCache>
                <c:formatCode>m/d/yyyy</c:formatCode>
                <c:ptCount val="90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  <c:pt idx="88">
                  <c:v>45604</c:v>
                </c:pt>
                <c:pt idx="89">
                  <c:v>45607</c:v>
                </c:pt>
              </c:numCache>
            </c:numRef>
          </c:cat>
          <c:val>
            <c:numRef>
              <c:f>'Inv Bolsa'!$D$3:$D$92</c:f>
              <c:numCache>
                <c:formatCode>_("$"* #,##0.00_);_("$"* \(#,##0.00\);_("$"* "-"??_);_(@_)</c:formatCode>
                <c:ptCount val="90"/>
                <c:pt idx="0">
                  <c:v>507.08</c:v>
                </c:pt>
                <c:pt idx="1">
                  <c:v>510.33</c:v>
                </c:pt>
                <c:pt idx="2">
                  <c:v>510.89</c:v>
                </c:pt>
                <c:pt idx="3">
                  <c:v>514.4</c:v>
                </c:pt>
                <c:pt idx="4">
                  <c:v>511.39</c:v>
                </c:pt>
                <c:pt idx="5">
                  <c:v>514.54999999999995</c:v>
                </c:pt>
                <c:pt idx="6">
                  <c:v>516.11</c:v>
                </c:pt>
                <c:pt idx="7">
                  <c:v>519.04</c:v>
                </c:pt>
                <c:pt idx="8">
                  <c:v>511.79</c:v>
                </c:pt>
                <c:pt idx="9">
                  <c:v>507.94</c:v>
                </c:pt>
                <c:pt idx="10">
                  <c:v>504.55</c:v>
                </c:pt>
                <c:pt idx="11">
                  <c:v>509.79</c:v>
                </c:pt>
                <c:pt idx="12">
                  <c:v>508.94</c:v>
                </c:pt>
                <c:pt idx="13">
                  <c:v>497.29</c:v>
                </c:pt>
                <c:pt idx="14">
                  <c:v>494.78</c:v>
                </c:pt>
                <c:pt idx="15">
                  <c:v>500.33</c:v>
                </c:pt>
                <c:pt idx="16">
                  <c:v>500.7</c:v>
                </c:pt>
                <c:pt idx="17">
                  <c:v>498.08</c:v>
                </c:pt>
                <c:pt idx="18">
                  <c:v>505.93</c:v>
                </c:pt>
                <c:pt idx="19">
                  <c:v>499.03</c:v>
                </c:pt>
                <c:pt idx="20">
                  <c:v>489.91</c:v>
                </c:pt>
                <c:pt idx="21">
                  <c:v>475.2</c:v>
                </c:pt>
                <c:pt idx="22">
                  <c:v>479.94</c:v>
                </c:pt>
                <c:pt idx="23">
                  <c:v>476.61</c:v>
                </c:pt>
                <c:pt idx="24">
                  <c:v>487.73</c:v>
                </c:pt>
                <c:pt idx="25">
                  <c:v>489.82</c:v>
                </c:pt>
                <c:pt idx="26">
                  <c:v>489.82</c:v>
                </c:pt>
                <c:pt idx="27">
                  <c:v>490.07</c:v>
                </c:pt>
                <c:pt idx="28">
                  <c:v>498.21</c:v>
                </c:pt>
                <c:pt idx="29">
                  <c:v>499.8</c:v>
                </c:pt>
                <c:pt idx="30">
                  <c:v>508.38</c:v>
                </c:pt>
                <c:pt idx="31">
                  <c:v>509.45</c:v>
                </c:pt>
                <c:pt idx="32">
                  <c:v>514.35</c:v>
                </c:pt>
                <c:pt idx="33">
                  <c:v>513.5</c:v>
                </c:pt>
                <c:pt idx="34">
                  <c:v>515.29999999999995</c:v>
                </c:pt>
                <c:pt idx="35">
                  <c:v>511.13</c:v>
                </c:pt>
                <c:pt idx="36">
                  <c:v>516.66</c:v>
                </c:pt>
                <c:pt idx="37">
                  <c:v>515.39</c:v>
                </c:pt>
                <c:pt idx="38">
                  <c:v>516.08000000000004</c:v>
                </c:pt>
                <c:pt idx="39">
                  <c:v>513.13</c:v>
                </c:pt>
                <c:pt idx="40">
                  <c:v>513.21</c:v>
                </c:pt>
                <c:pt idx="41">
                  <c:v>518.04</c:v>
                </c:pt>
                <c:pt idx="42">
                  <c:v>507.56</c:v>
                </c:pt>
                <c:pt idx="43">
                  <c:v>506.3</c:v>
                </c:pt>
                <c:pt idx="44">
                  <c:v>505.05</c:v>
                </c:pt>
                <c:pt idx="45">
                  <c:v>496.64</c:v>
                </c:pt>
                <c:pt idx="46">
                  <c:v>502.23</c:v>
                </c:pt>
                <c:pt idx="47">
                  <c:v>504.3</c:v>
                </c:pt>
                <c:pt idx="48">
                  <c:v>509.46</c:v>
                </c:pt>
                <c:pt idx="49">
                  <c:v>513.84</c:v>
                </c:pt>
                <c:pt idx="50">
                  <c:v>517.34</c:v>
                </c:pt>
                <c:pt idx="51">
                  <c:v>517.35</c:v>
                </c:pt>
                <c:pt idx="52">
                  <c:v>517.59</c:v>
                </c:pt>
                <c:pt idx="53">
                  <c:v>515.91</c:v>
                </c:pt>
                <c:pt idx="54">
                  <c:v>524.91</c:v>
                </c:pt>
                <c:pt idx="55">
                  <c:v>525.16999999999996</c:v>
                </c:pt>
                <c:pt idx="56">
                  <c:v>526.67999999999995</c:v>
                </c:pt>
                <c:pt idx="57">
                  <c:v>525.61</c:v>
                </c:pt>
                <c:pt idx="58">
                  <c:v>527.70000000000005</c:v>
                </c:pt>
                <c:pt idx="59">
                  <c:v>525.38</c:v>
                </c:pt>
                <c:pt idx="60">
                  <c:v>527.66999999999996</c:v>
                </c:pt>
                <c:pt idx="61">
                  <c:v>522.74</c:v>
                </c:pt>
                <c:pt idx="62">
                  <c:v>521.97</c:v>
                </c:pt>
                <c:pt idx="63">
                  <c:v>521.84</c:v>
                </c:pt>
                <c:pt idx="64">
                  <c:v>526.65</c:v>
                </c:pt>
                <c:pt idx="65">
                  <c:v>521.91</c:v>
                </c:pt>
                <c:pt idx="66">
                  <c:v>526.85</c:v>
                </c:pt>
                <c:pt idx="67">
                  <c:v>530.45000000000005</c:v>
                </c:pt>
                <c:pt idx="68">
                  <c:v>529.55999999999995</c:v>
                </c:pt>
                <c:pt idx="69">
                  <c:v>537.07000000000005</c:v>
                </c:pt>
                <c:pt idx="70">
                  <c:v>532.98</c:v>
                </c:pt>
                <c:pt idx="71">
                  <c:v>535.22</c:v>
                </c:pt>
                <c:pt idx="72">
                  <c:v>537.36</c:v>
                </c:pt>
                <c:pt idx="73">
                  <c:v>535.29999999999995</c:v>
                </c:pt>
                <c:pt idx="74">
                  <c:v>537.36</c:v>
                </c:pt>
                <c:pt idx="75">
                  <c:v>536.53</c:v>
                </c:pt>
                <c:pt idx="76">
                  <c:v>536.16</c:v>
                </c:pt>
                <c:pt idx="77">
                  <c:v>531.27</c:v>
                </c:pt>
                <c:pt idx="78">
                  <c:v>532.47</c:v>
                </c:pt>
                <c:pt idx="79">
                  <c:v>532.26</c:v>
                </c:pt>
                <c:pt idx="80">
                  <c:v>533.91999999999996</c:v>
                </c:pt>
                <c:pt idx="81">
                  <c:v>534.77</c:v>
                </c:pt>
                <c:pt idx="82">
                  <c:v>533.16</c:v>
                </c:pt>
                <c:pt idx="83">
                  <c:v>522.66999999999996</c:v>
                </c:pt>
                <c:pt idx="84">
                  <c:v>523.79999999999995</c:v>
                </c:pt>
                <c:pt idx="85">
                  <c:v>530.1</c:v>
                </c:pt>
                <c:pt idx="86">
                  <c:v>543.29999999999995</c:v>
                </c:pt>
                <c:pt idx="87">
                  <c:v>547.53</c:v>
                </c:pt>
                <c:pt idx="88">
                  <c:v>549.95000000000005</c:v>
                </c:pt>
                <c:pt idx="89">
                  <c:v>550.41999999999996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71-461F-AA13-6F100B07A507}"/>
            </c:ext>
          </c:extLst>
        </c:ser>
        <c:ser>
          <c:idx val="2"/>
          <c:order val="2"/>
          <c:tx>
            <c:strRef>
              <c:f>'Inv Bolsa'!$E$2</c:f>
              <c:strCache>
                <c:ptCount val="1"/>
                <c:pt idx="0">
                  <c:v>VALOR INVERSION 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Bolsa'!$B$3:$B$92</c:f>
              <c:numCache>
                <c:formatCode>m/d/yyyy</c:formatCode>
                <c:ptCount val="90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  <c:pt idx="88">
                  <c:v>45604</c:v>
                </c:pt>
                <c:pt idx="89">
                  <c:v>45607</c:v>
                </c:pt>
              </c:numCache>
            </c:numRef>
          </c:cat>
          <c:val>
            <c:numRef>
              <c:f>'Inv Bolsa'!$E$3:$E$92</c:f>
              <c:numCache>
                <c:formatCode>_("$"* #,##0.00_);_("$"* \(#,##0.00\);_("$"* "-"??_);_(@_)</c:formatCode>
                <c:ptCount val="90"/>
                <c:pt idx="0">
                  <c:v>7.6974743999999999</c:v>
                </c:pt>
                <c:pt idx="1">
                  <c:v>7.7468094000000001</c:v>
                </c:pt>
                <c:pt idx="2">
                  <c:v>7.7553102000000003</c:v>
                </c:pt>
                <c:pt idx="3">
                  <c:v>7.808592</c:v>
                </c:pt>
                <c:pt idx="4">
                  <c:v>7.7629001999999998</c:v>
                </c:pt>
                <c:pt idx="5">
                  <c:v>7.8108689999999994</c:v>
                </c:pt>
                <c:pt idx="6">
                  <c:v>7.8345498000000005</c:v>
                </c:pt>
                <c:pt idx="7">
                  <c:v>7.8790271999999995</c:v>
                </c:pt>
                <c:pt idx="8">
                  <c:v>7.7689722000000003</c:v>
                </c:pt>
                <c:pt idx="9">
                  <c:v>7.7105292000000007</c:v>
                </c:pt>
                <c:pt idx="10">
                  <c:v>7.6590690000000006</c:v>
                </c:pt>
                <c:pt idx="11">
                  <c:v>7.7386122000000004</c:v>
                </c:pt>
                <c:pt idx="12">
                  <c:v>7.7257092000000007</c:v>
                </c:pt>
                <c:pt idx="13">
                  <c:v>7.5488622000000003</c:v>
                </c:pt>
                <c:pt idx="14">
                  <c:v>7.5107603999999997</c:v>
                </c:pt>
                <c:pt idx="15">
                  <c:v>7.5950094000000004</c:v>
                </c:pt>
                <c:pt idx="16">
                  <c:v>7.6006260000000001</c:v>
                </c:pt>
                <c:pt idx="17">
                  <c:v>7.5608544000000002</c:v>
                </c:pt>
                <c:pt idx="18">
                  <c:v>7.6800174000000005</c:v>
                </c:pt>
                <c:pt idx="19">
                  <c:v>7.5752753999999998</c:v>
                </c:pt>
                <c:pt idx="20">
                  <c:v>7.4368338000000005</c:v>
                </c:pt>
                <c:pt idx="21">
                  <c:v>7.2135360000000004</c:v>
                </c:pt>
                <c:pt idx="22">
                  <c:v>7.2854892000000007</c:v>
                </c:pt>
                <c:pt idx="23">
                  <c:v>7.2349398000000003</c:v>
                </c:pt>
                <c:pt idx="24">
                  <c:v>7.4037414000000004</c:v>
                </c:pt>
                <c:pt idx="25">
                  <c:v>7.4354676</c:v>
                </c:pt>
                <c:pt idx="26">
                  <c:v>7.4354676</c:v>
                </c:pt>
                <c:pt idx="27">
                  <c:v>7.4392626000000002</c:v>
                </c:pt>
                <c:pt idx="28">
                  <c:v>7.5628278</c:v>
                </c:pt>
                <c:pt idx="29">
                  <c:v>7.5869640000000009</c:v>
                </c:pt>
                <c:pt idx="30">
                  <c:v>7.7172084000000005</c:v>
                </c:pt>
                <c:pt idx="31">
                  <c:v>7.7334510000000005</c:v>
                </c:pt>
                <c:pt idx="32">
                  <c:v>7.8078330000000005</c:v>
                </c:pt>
                <c:pt idx="33">
                  <c:v>7.7949300000000008</c:v>
                </c:pt>
                <c:pt idx="34">
                  <c:v>7.822254</c:v>
                </c:pt>
                <c:pt idx="35">
                  <c:v>7.7589534000000002</c:v>
                </c:pt>
                <c:pt idx="36">
                  <c:v>7.8428987999999995</c:v>
                </c:pt>
                <c:pt idx="37">
                  <c:v>7.8236202000000006</c:v>
                </c:pt>
                <c:pt idx="38">
                  <c:v>7.8340944000000015</c:v>
                </c:pt>
                <c:pt idx="39">
                  <c:v>7.7893134000000002</c:v>
                </c:pt>
                <c:pt idx="40">
                  <c:v>7.7905278000000013</c:v>
                </c:pt>
                <c:pt idx="41">
                  <c:v>7.8638471999999995</c:v>
                </c:pt>
                <c:pt idx="42">
                  <c:v>7.7047608000000007</c:v>
                </c:pt>
                <c:pt idx="43">
                  <c:v>7.6856340000000003</c:v>
                </c:pt>
                <c:pt idx="44">
                  <c:v>7.666659000000001</c:v>
                </c:pt>
                <c:pt idx="45">
                  <c:v>7.5389952000000005</c:v>
                </c:pt>
                <c:pt idx="46">
                  <c:v>7.6238514000000004</c:v>
                </c:pt>
                <c:pt idx="47">
                  <c:v>7.6552740000000004</c:v>
                </c:pt>
                <c:pt idx="48">
                  <c:v>7.7336027999999999</c:v>
                </c:pt>
                <c:pt idx="49">
                  <c:v>7.8000912000000007</c:v>
                </c:pt>
                <c:pt idx="50">
                  <c:v>7.853221200000001</c:v>
                </c:pt>
                <c:pt idx="51">
                  <c:v>7.8533730000000004</c:v>
                </c:pt>
                <c:pt idx="52">
                  <c:v>7.8570162000000012</c:v>
                </c:pt>
                <c:pt idx="53">
                  <c:v>7.8315137999999997</c:v>
                </c:pt>
                <c:pt idx="54">
                  <c:v>7.9681337999999995</c:v>
                </c:pt>
                <c:pt idx="55">
                  <c:v>7.9720806</c:v>
                </c:pt>
                <c:pt idx="56">
                  <c:v>7.9950023999999997</c:v>
                </c:pt>
                <c:pt idx="57">
                  <c:v>7.9787598000000006</c:v>
                </c:pt>
                <c:pt idx="58">
                  <c:v>8.0104860000000002</c:v>
                </c:pt>
                <c:pt idx="59">
                  <c:v>7.9752684</c:v>
                </c:pt>
                <c:pt idx="60">
                  <c:v>8.0100306000000003</c:v>
                </c:pt>
                <c:pt idx="61">
                  <c:v>7.9351932000000005</c:v>
                </c:pt>
                <c:pt idx="62">
                  <c:v>7.9235046000000011</c:v>
                </c:pt>
                <c:pt idx="63">
                  <c:v>7.9215312000000013</c:v>
                </c:pt>
                <c:pt idx="64">
                  <c:v>7.9945469999999998</c:v>
                </c:pt>
                <c:pt idx="65">
                  <c:v>7.9225937999999996</c:v>
                </c:pt>
                <c:pt idx="66">
                  <c:v>7.9975830000000006</c:v>
                </c:pt>
                <c:pt idx="67">
                  <c:v>8.0522310000000008</c:v>
                </c:pt>
                <c:pt idx="68">
                  <c:v>8.0387208000000001</c:v>
                </c:pt>
                <c:pt idx="69">
                  <c:v>8.1527226000000006</c:v>
                </c:pt>
                <c:pt idx="70">
                  <c:v>8.0906364000000011</c:v>
                </c:pt>
                <c:pt idx="71">
                  <c:v>8.1246396000000001</c:v>
                </c:pt>
                <c:pt idx="72">
                  <c:v>8.1571248000000001</c:v>
                </c:pt>
                <c:pt idx="73">
                  <c:v>8.1258540000000004</c:v>
                </c:pt>
                <c:pt idx="74">
                  <c:v>8.1571248000000001</c:v>
                </c:pt>
                <c:pt idx="75">
                  <c:v>8.1445253999999991</c:v>
                </c:pt>
                <c:pt idx="76">
                  <c:v>8.1389087999999994</c:v>
                </c:pt>
                <c:pt idx="77">
                  <c:v>8.0646786000000006</c:v>
                </c:pt>
                <c:pt idx="78">
                  <c:v>8.0828946000000013</c:v>
                </c:pt>
                <c:pt idx="79">
                  <c:v>8.0797068000000003</c:v>
                </c:pt>
                <c:pt idx="80">
                  <c:v>8.1049056000000004</c:v>
                </c:pt>
                <c:pt idx="81">
                  <c:v>8.1178086</c:v>
                </c:pt>
                <c:pt idx="82">
                  <c:v>8.0933688000000004</c:v>
                </c:pt>
                <c:pt idx="83">
                  <c:v>7.9341305999999996</c:v>
                </c:pt>
                <c:pt idx="84">
                  <c:v>7.9512839999999994</c:v>
                </c:pt>
                <c:pt idx="85">
                  <c:v>8.0469180000000016</c:v>
                </c:pt>
                <c:pt idx="86">
                  <c:v>8.2472940000000001</c:v>
                </c:pt>
                <c:pt idx="87">
                  <c:v>8.3115053999999997</c:v>
                </c:pt>
                <c:pt idx="88">
                  <c:v>8.3482410000000016</c:v>
                </c:pt>
                <c:pt idx="89">
                  <c:v>8.3553756000000003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8B-4E81-8DB4-D282ACD52EF7}"/>
            </c:ext>
          </c:extLst>
        </c:ser>
        <c:ser>
          <c:idx val="3"/>
          <c:order val="3"/>
          <c:tx>
            <c:strRef>
              <c:f>'Inv Bolsa'!$F$2</c:f>
              <c:strCache>
                <c:ptCount val="1"/>
                <c:pt idx="0">
                  <c:v>GAN/PER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Bolsa'!$B$3:$B$92</c:f>
              <c:numCache>
                <c:formatCode>m/d/yyyy</c:formatCode>
                <c:ptCount val="90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  <c:pt idx="88">
                  <c:v>45604</c:v>
                </c:pt>
                <c:pt idx="89">
                  <c:v>45607</c:v>
                </c:pt>
              </c:numCache>
            </c:numRef>
          </c:cat>
          <c:val>
            <c:numRef>
              <c:f>'Inv Bolsa'!$F$3:$F$92</c:f>
              <c:numCache>
                <c:formatCode>_("$"* #,##0.00_);_("$"* \(#,##0.00\);_("$"* "-"??_);_(@_)</c:formatCode>
                <c:ptCount val="90"/>
                <c:pt idx="0">
                  <c:v>-2.5256000000002388E-3</c:v>
                </c:pt>
                <c:pt idx="1">
                  <c:v>4.680939999999989E-2</c:v>
                </c:pt>
                <c:pt idx="2">
                  <c:v>5.5310200000000087E-2</c:v>
                </c:pt>
                <c:pt idx="3">
                  <c:v>0.1085919999999998</c:v>
                </c:pt>
                <c:pt idx="4">
                  <c:v>6.2900199999999629E-2</c:v>
                </c:pt>
                <c:pt idx="5">
                  <c:v>0.11086899999999922</c:v>
                </c:pt>
                <c:pt idx="6">
                  <c:v>0.13454980000000027</c:v>
                </c:pt>
                <c:pt idx="7">
                  <c:v>0.17902719999999928</c:v>
                </c:pt>
                <c:pt idx="8">
                  <c:v>6.897220000000015E-2</c:v>
                </c:pt>
                <c:pt idx="9">
                  <c:v>1.0529200000000571E-2</c:v>
                </c:pt>
                <c:pt idx="10">
                  <c:v>-4.0930999999999607E-2</c:v>
                </c:pt>
                <c:pt idx="11">
                  <c:v>3.8612200000000207E-2</c:v>
                </c:pt>
                <c:pt idx="12">
                  <c:v>2.5709200000000543E-2</c:v>
                </c:pt>
                <c:pt idx="13">
                  <c:v>-0.15113779999999988</c:v>
                </c:pt>
                <c:pt idx="14">
                  <c:v>-0.18923960000000051</c:v>
                </c:pt>
                <c:pt idx="15">
                  <c:v>-0.10499059999999982</c:v>
                </c:pt>
                <c:pt idx="16">
                  <c:v>-9.9374000000000073E-2</c:v>
                </c:pt>
                <c:pt idx="17">
                  <c:v>-0.13914559999999998</c:v>
                </c:pt>
                <c:pt idx="18">
                  <c:v>-1.9982599999999628E-2</c:v>
                </c:pt>
                <c:pt idx="19">
                  <c:v>-0.12472460000000041</c:v>
                </c:pt>
                <c:pt idx="20">
                  <c:v>-0.26316619999999968</c:v>
                </c:pt>
                <c:pt idx="21">
                  <c:v>-0.48646399999999979</c:v>
                </c:pt>
                <c:pt idx="22">
                  <c:v>-0.41451079999999951</c:v>
                </c:pt>
                <c:pt idx="23">
                  <c:v>-0.46506019999999992</c:v>
                </c:pt>
                <c:pt idx="24">
                  <c:v>-0.29625859999999982</c:v>
                </c:pt>
                <c:pt idx="25">
                  <c:v>-0.26453240000000022</c:v>
                </c:pt>
                <c:pt idx="26">
                  <c:v>-0.26453240000000022</c:v>
                </c:pt>
                <c:pt idx="27">
                  <c:v>-0.26073740000000001</c:v>
                </c:pt>
                <c:pt idx="28">
                  <c:v>-0.13717220000000019</c:v>
                </c:pt>
                <c:pt idx="29">
                  <c:v>-0.11303599999999925</c:v>
                </c:pt>
                <c:pt idx="30">
                  <c:v>1.7208400000000346E-2</c:v>
                </c:pt>
                <c:pt idx="31">
                  <c:v>3.3451000000000342E-2</c:v>
                </c:pt>
                <c:pt idx="32">
                  <c:v>0.10783300000000029</c:v>
                </c:pt>
                <c:pt idx="33">
                  <c:v>9.4930000000000625E-2</c:v>
                </c:pt>
                <c:pt idx="34">
                  <c:v>0.12225399999999986</c:v>
                </c:pt>
                <c:pt idx="35">
                  <c:v>5.8953400000000045E-2</c:v>
                </c:pt>
                <c:pt idx="36">
                  <c:v>0.14289879999999933</c:v>
                </c:pt>
                <c:pt idx="37">
                  <c:v>0.1236202000000004</c:v>
                </c:pt>
                <c:pt idx="38">
                  <c:v>0.13409440000000128</c:v>
                </c:pt>
                <c:pt idx="39">
                  <c:v>8.9313399999999987E-2</c:v>
                </c:pt>
                <c:pt idx="40">
                  <c:v>9.0527800000001157E-2</c:v>
                </c:pt>
                <c:pt idx="41">
                  <c:v>0.1638471999999993</c:v>
                </c:pt>
                <c:pt idx="42">
                  <c:v>4.7608000000005646E-3</c:v>
                </c:pt>
                <c:pt idx="43">
                  <c:v>-1.4365999999999879E-2</c:v>
                </c:pt>
                <c:pt idx="44">
                  <c:v>-3.3340999999999177E-2</c:v>
                </c:pt>
                <c:pt idx="45">
                  <c:v>-0.16100479999999973</c:v>
                </c:pt>
                <c:pt idx="46">
                  <c:v>-7.6148599999999789E-2</c:v>
                </c:pt>
                <c:pt idx="47">
                  <c:v>-4.4725999999999821E-2</c:v>
                </c:pt>
                <c:pt idx="48">
                  <c:v>3.3602799999999711E-2</c:v>
                </c:pt>
                <c:pt idx="49">
                  <c:v>0.10009120000000049</c:v>
                </c:pt>
                <c:pt idx="50">
                  <c:v>0.15322120000000083</c:v>
                </c:pt>
                <c:pt idx="51">
                  <c:v>0.1533730000000002</c:v>
                </c:pt>
                <c:pt idx="52">
                  <c:v>0.15701620000000105</c:v>
                </c:pt>
                <c:pt idx="53">
                  <c:v>0.13151379999999957</c:v>
                </c:pt>
                <c:pt idx="54">
                  <c:v>0.26813379999999931</c:v>
                </c:pt>
                <c:pt idx="55">
                  <c:v>0.27208059999999978</c:v>
                </c:pt>
                <c:pt idx="56">
                  <c:v>0.29500239999999955</c:v>
                </c:pt>
                <c:pt idx="57">
                  <c:v>0.27875980000000045</c:v>
                </c:pt>
                <c:pt idx="58">
                  <c:v>0.31048600000000004</c:v>
                </c:pt>
                <c:pt idx="59">
                  <c:v>0.27526839999999986</c:v>
                </c:pt>
                <c:pt idx="60">
                  <c:v>0.31003060000000016</c:v>
                </c:pt>
                <c:pt idx="61">
                  <c:v>0.23519320000000032</c:v>
                </c:pt>
                <c:pt idx="62">
                  <c:v>0.22350460000000094</c:v>
                </c:pt>
                <c:pt idx="63">
                  <c:v>0.22153120000000115</c:v>
                </c:pt>
                <c:pt idx="64">
                  <c:v>0.29454699999999967</c:v>
                </c:pt>
                <c:pt idx="65">
                  <c:v>0.2225937999999994</c:v>
                </c:pt>
                <c:pt idx="66">
                  <c:v>0.29758300000000037</c:v>
                </c:pt>
                <c:pt idx="67">
                  <c:v>0.35223100000000063</c:v>
                </c:pt>
                <c:pt idx="68">
                  <c:v>0.33872079999999993</c:v>
                </c:pt>
                <c:pt idx="69">
                  <c:v>0.45272260000000042</c:v>
                </c:pt>
                <c:pt idx="70">
                  <c:v>0.39063640000000088</c:v>
                </c:pt>
                <c:pt idx="71">
                  <c:v>0.42463959999999989</c:v>
                </c:pt>
                <c:pt idx="72">
                  <c:v>0.45712479999999989</c:v>
                </c:pt>
                <c:pt idx="73">
                  <c:v>0.42585400000000018</c:v>
                </c:pt>
                <c:pt idx="74">
                  <c:v>0.45712479999999989</c:v>
                </c:pt>
                <c:pt idx="75">
                  <c:v>0.44452539999999896</c:v>
                </c:pt>
                <c:pt idx="76">
                  <c:v>0.43890879999999921</c:v>
                </c:pt>
                <c:pt idx="77">
                  <c:v>0.36467860000000041</c:v>
                </c:pt>
                <c:pt idx="78">
                  <c:v>0.38289460000000108</c:v>
                </c:pt>
                <c:pt idx="79">
                  <c:v>0.37970680000000012</c:v>
                </c:pt>
                <c:pt idx="80">
                  <c:v>0.4049056000000002</c:v>
                </c:pt>
                <c:pt idx="81">
                  <c:v>0.41780859999999986</c:v>
                </c:pt>
                <c:pt idx="82">
                  <c:v>0.39336880000000018</c:v>
                </c:pt>
                <c:pt idx="83">
                  <c:v>0.23413059999999941</c:v>
                </c:pt>
                <c:pt idx="84">
                  <c:v>0.25128399999999917</c:v>
                </c:pt>
                <c:pt idx="85">
                  <c:v>0.34691800000000139</c:v>
                </c:pt>
                <c:pt idx="86">
                  <c:v>0.54729399999999995</c:v>
                </c:pt>
                <c:pt idx="87">
                  <c:v>0.61150539999999953</c:v>
                </c:pt>
                <c:pt idx="88">
                  <c:v>0.6482410000000014</c:v>
                </c:pt>
                <c:pt idx="89">
                  <c:v>0.65537560000000017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BB-485C-9373-F604CDCFFE39}"/>
            </c:ext>
          </c:extLst>
        </c:ser>
        <c:ser>
          <c:idx val="4"/>
          <c:order val="4"/>
          <c:tx>
            <c:strRef>
              <c:f>'Inv Bolsa'!$G$2</c:f>
              <c:strCache>
                <c:ptCount val="1"/>
                <c:pt idx="0">
                  <c:v>VALOR EN COP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Bolsa'!$B$3:$B$92</c:f>
              <c:numCache>
                <c:formatCode>m/d/yyyy</c:formatCode>
                <c:ptCount val="90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  <c:pt idx="88">
                  <c:v>45604</c:v>
                </c:pt>
                <c:pt idx="89">
                  <c:v>45607</c:v>
                </c:pt>
              </c:numCache>
            </c:numRef>
          </c:cat>
          <c:val>
            <c:numRef>
              <c:f>'Inv Bolsa'!$G$3:$G$92</c:f>
              <c:numCache>
                <c:formatCode>_("$"* #,##0.00_);_("$"* \(#,##0.00\);_("$"* "-"??_);_(@_)</c:formatCode>
                <c:ptCount val="90"/>
                <c:pt idx="0">
                  <c:v>31486.519033199998</c:v>
                </c:pt>
                <c:pt idx="1">
                  <c:v>31596.52415931</c:v>
                </c:pt>
                <c:pt idx="2">
                  <c:v>31403.344933554003</c:v>
                </c:pt>
                <c:pt idx="3">
                  <c:v>31311.751146719998</c:v>
                </c:pt>
                <c:pt idx="4">
                  <c:v>30703.900500042</c:v>
                </c:pt>
                <c:pt idx="5">
                  <c:v>31050.156992249998</c:v>
                </c:pt>
                <c:pt idx="6">
                  <c:v>31284.062460882004</c:v>
                </c:pt>
                <c:pt idx="7">
                  <c:v>31152.728065535997</c:v>
                </c:pt>
                <c:pt idx="8">
                  <c:v>30865.116584214</c:v>
                </c:pt>
                <c:pt idx="9">
                  <c:v>30836.333903100003</c:v>
                </c:pt>
                <c:pt idx="10">
                  <c:v>30997.937238180002</c:v>
                </c:pt>
                <c:pt idx="11">
                  <c:v>31274.285642226001</c:v>
                </c:pt>
                <c:pt idx="12">
                  <c:v>30864.285511092006</c:v>
                </c:pt>
                <c:pt idx="13">
                  <c:v>30301.736779776002</c:v>
                </c:pt>
                <c:pt idx="14">
                  <c:v>30374.942102075998</c:v>
                </c:pt>
                <c:pt idx="15">
                  <c:v>30701.382447714001</c:v>
                </c:pt>
                <c:pt idx="16">
                  <c:v>30630.67479252</c:v>
                </c:pt>
                <c:pt idx="17">
                  <c:v>30826.208257152</c:v>
                </c:pt>
                <c:pt idx="18">
                  <c:v>31311.968541018003</c:v>
                </c:pt>
                <c:pt idx="19">
                  <c:v>30645.852383453999</c:v>
                </c:pt>
                <c:pt idx="20">
                  <c:v>30223.813141566003</c:v>
                </c:pt>
                <c:pt idx="21">
                  <c:v>28317.745463039999</c:v>
                </c:pt>
                <c:pt idx="22">
                  <c:v>30273.466127652006</c:v>
                </c:pt>
                <c:pt idx="23">
                  <c:v>29953.301916582001</c:v>
                </c:pt>
                <c:pt idx="24">
                  <c:v>30712.496225136001</c:v>
                </c:pt>
                <c:pt idx="25">
                  <c:v>30212.684208432001</c:v>
                </c:pt>
                <c:pt idx="26">
                  <c:v>30169.781560380001</c:v>
                </c:pt>
                <c:pt idx="27">
                  <c:v>30306.291157758002</c:v>
                </c:pt>
                <c:pt idx="28">
                  <c:v>30606.461593487998</c:v>
                </c:pt>
                <c:pt idx="29">
                  <c:v>30639.650635440004</c:v>
                </c:pt>
                <c:pt idx="30">
                  <c:v>31155.605064144002</c:v>
                </c:pt>
                <c:pt idx="31">
                  <c:v>31048.259074800004</c:v>
                </c:pt>
                <c:pt idx="32">
                  <c:v>31466.816243280002</c:v>
                </c:pt>
                <c:pt idx="33">
                  <c:v>31359.159288600003</c:v>
                </c:pt>
                <c:pt idx="34">
                  <c:v>31368.802990799999</c:v>
                </c:pt>
                <c:pt idx="35">
                  <c:v>31317.075660750001</c:v>
                </c:pt>
                <c:pt idx="36">
                  <c:v>31917.617814455996</c:v>
                </c:pt>
                <c:pt idx="37">
                  <c:v>31527.233500950002</c:v>
                </c:pt>
                <c:pt idx="38">
                  <c:v>31523.769138048006</c:v>
                </c:pt>
                <c:pt idx="39">
                  <c:v>31512.757863576</c:v>
                </c:pt>
                <c:pt idx="40">
                  <c:v>31671.144286452007</c:v>
                </c:pt>
                <c:pt idx="41">
                  <c:v>32494.281653591996</c:v>
                </c:pt>
                <c:pt idx="42">
                  <c:v>32054.193403848007</c:v>
                </c:pt>
                <c:pt idx="43">
                  <c:v>32170.526797200004</c:v>
                </c:pt>
                <c:pt idx="44">
                  <c:v>32091.25457538</c:v>
                </c:pt>
                <c:pt idx="45">
                  <c:v>31456.457472000002</c:v>
                </c:pt>
                <c:pt idx="46">
                  <c:v>31637.382301206002</c:v>
                </c:pt>
                <c:pt idx="47">
                  <c:v>32487.451801200004</c:v>
                </c:pt>
                <c:pt idx="48">
                  <c:v>33092.782405452002</c:v>
                </c:pt>
                <c:pt idx="49">
                  <c:v>33311.225480544002</c:v>
                </c:pt>
                <c:pt idx="50">
                  <c:v>32962.953600456007</c:v>
                </c:pt>
                <c:pt idx="51">
                  <c:v>32765.293094490004</c:v>
                </c:pt>
                <c:pt idx="52">
                  <c:v>33161.165433396003</c:v>
                </c:pt>
                <c:pt idx="53">
                  <c:v>33088.224120138002</c:v>
                </c:pt>
                <c:pt idx="54">
                  <c:v>33281.699662530002</c:v>
                </c:pt>
                <c:pt idx="55">
                  <c:v>33115.863370788</c:v>
                </c:pt>
                <c:pt idx="56">
                  <c:v>33273.201238199996</c:v>
                </c:pt>
                <c:pt idx="57">
                  <c:v>33101.879720249999</c:v>
                </c:pt>
                <c:pt idx="58">
                  <c:v>33650.049064500003</c:v>
                </c:pt>
                <c:pt idx="59">
                  <c:v>33157.497383736001</c:v>
                </c:pt>
                <c:pt idx="60">
                  <c:v>33302.983824395997</c:v>
                </c:pt>
                <c:pt idx="61">
                  <c:v>33320.828469984001</c:v>
                </c:pt>
                <c:pt idx="62">
                  <c:v>33447.252262842005</c:v>
                </c:pt>
                <c:pt idx="63">
                  <c:v>33224.961450912007</c:v>
                </c:pt>
                <c:pt idx="64">
                  <c:v>33490.51645599</c:v>
                </c:pt>
                <c:pt idx="65">
                  <c:v>33016.696628057995</c:v>
                </c:pt>
                <c:pt idx="66">
                  <c:v>33698.215849650005</c:v>
                </c:pt>
                <c:pt idx="67">
                  <c:v>34069.633539480004</c:v>
                </c:pt>
                <c:pt idx="68">
                  <c:v>34028.307082439998</c:v>
                </c:pt>
                <c:pt idx="69">
                  <c:v>34330.707232469998</c:v>
                </c:pt>
                <c:pt idx="70">
                  <c:v>34039.006368444003</c:v>
                </c:pt>
                <c:pt idx="71">
                  <c:v>34588.296951516</c:v>
                </c:pt>
                <c:pt idx="72">
                  <c:v>34902.216166751998</c:v>
                </c:pt>
                <c:pt idx="73">
                  <c:v>34512.858435660004</c:v>
                </c:pt>
                <c:pt idx="74">
                  <c:v>34645.674591791998</c:v>
                </c:pt>
                <c:pt idx="75">
                  <c:v>34777.123457999995</c:v>
                </c:pt>
                <c:pt idx="76">
                  <c:v>34834.855220351994</c:v>
                </c:pt>
                <c:pt idx="77">
                  <c:v>34439.161553081998</c:v>
                </c:pt>
                <c:pt idx="78">
                  <c:v>34949.789618832008</c:v>
                </c:pt>
                <c:pt idx="79">
                  <c:v>34929.461264147998</c:v>
                </c:pt>
                <c:pt idx="80">
                  <c:v>35026.484237184006</c:v>
                </c:pt>
                <c:pt idx="81">
                  <c:v>35272.933682118004</c:v>
                </c:pt>
                <c:pt idx="82">
                  <c:v>34987.714256088002</c:v>
                </c:pt>
                <c:pt idx="83">
                  <c:v>35057.987493077999</c:v>
                </c:pt>
                <c:pt idx="84">
                  <c:v>35346.240329400003</c:v>
                </c:pt>
                <c:pt idx="85">
                  <c:v>35717.211173160009</c:v>
                </c:pt>
                <c:pt idx="86">
                  <c:v>36615.923536499999</c:v>
                </c:pt>
                <c:pt idx="87">
                  <c:v>36485.264599541995</c:v>
                </c:pt>
                <c:pt idx="88">
                  <c:v>36728.754138780008</c:v>
                </c:pt>
                <c:pt idx="89">
                  <c:v>36318.311120519997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BB-485C-9373-F604CDCFFE39}"/>
            </c:ext>
          </c:extLst>
        </c:ser>
        <c:ser>
          <c:idx val="5"/>
          <c:order val="5"/>
          <c:tx>
            <c:strRef>
              <c:f>'Inv Bolsa'!$H$2</c:f>
              <c:strCache>
                <c:ptCount val="1"/>
                <c:pt idx="0">
                  <c:v>VALOR INVERSION 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Bolsa'!$B$3:$B$92</c:f>
              <c:numCache>
                <c:formatCode>m/d/yyyy</c:formatCode>
                <c:ptCount val="90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  <c:pt idx="88">
                  <c:v>45604</c:v>
                </c:pt>
                <c:pt idx="89">
                  <c:v>45607</c:v>
                </c:pt>
              </c:numCache>
            </c:numRef>
          </c:cat>
          <c:val>
            <c:numRef>
              <c:f>'Inv Bolsa'!$H$3:$H$92</c:f>
              <c:numCache>
                <c:formatCode>_("$"* #,##0.00_);_("$"* \(#,##0.00\);_("$"* "-"??_);_(@_)</c:formatCode>
                <c:ptCount val="90"/>
                <c:pt idx="0">
                  <c:v>7.7431115999999998</c:v>
                </c:pt>
                <c:pt idx="1">
                  <c:v>7.7927391000000004</c:v>
                </c:pt>
                <c:pt idx="2">
                  <c:v>7.8012902999999998</c:v>
                </c:pt>
                <c:pt idx="3">
                  <c:v>7.8548879999999999</c:v>
                </c:pt>
                <c:pt idx="4">
                  <c:v>7.8089253000000003</c:v>
                </c:pt>
                <c:pt idx="5">
                  <c:v>7.8571784999999998</c:v>
                </c:pt>
                <c:pt idx="6">
                  <c:v>7.8809997000000003</c:v>
                </c:pt>
                <c:pt idx="7">
                  <c:v>7.9257407999999998</c:v>
                </c:pt>
                <c:pt idx="8">
                  <c:v>7.8150333000000005</c:v>
                </c:pt>
                <c:pt idx="9">
                  <c:v>7.7562438</c:v>
                </c:pt>
                <c:pt idx="10">
                  <c:v>7.7044785000000005</c:v>
                </c:pt>
                <c:pt idx="11">
                  <c:v>7.7844933000000003</c:v>
                </c:pt>
                <c:pt idx="12">
                  <c:v>7.7715138000000001</c:v>
                </c:pt>
                <c:pt idx="13">
                  <c:v>7.593618300000001</c:v>
                </c:pt>
                <c:pt idx="14">
                  <c:v>7.5552906000000002</c:v>
                </c:pt>
                <c:pt idx="15">
                  <c:v>7.6400391000000001</c:v>
                </c:pt>
                <c:pt idx="16">
                  <c:v>7.645689</c:v>
                </c:pt>
                <c:pt idx="17">
                  <c:v>7.6056816000000005</c:v>
                </c:pt>
                <c:pt idx="18">
                  <c:v>7.7255511000000006</c:v>
                </c:pt>
                <c:pt idx="19">
                  <c:v>7.6201881</c:v>
                </c:pt>
                <c:pt idx="20">
                  <c:v>7.4809257000000002</c:v>
                </c:pt>
                <c:pt idx="21">
                  <c:v>7.2563040000000001</c:v>
                </c:pt>
                <c:pt idx="22">
                  <c:v>7.3286838000000003</c:v>
                </c:pt>
                <c:pt idx="23">
                  <c:v>7.2778347000000005</c:v>
                </c:pt>
                <c:pt idx="24">
                  <c:v>7.4476371000000006</c:v>
                </c:pt>
                <c:pt idx="25">
                  <c:v>7.4795514000000001</c:v>
                </c:pt>
                <c:pt idx="26">
                  <c:v>7.4795514000000001</c:v>
                </c:pt>
                <c:pt idx="27">
                  <c:v>7.4833689000000003</c:v>
                </c:pt>
                <c:pt idx="28">
                  <c:v>7.6076667000000002</c:v>
                </c:pt>
                <c:pt idx="29">
                  <c:v>7.6319460000000001</c:v>
                </c:pt>
                <c:pt idx="30">
                  <c:v>7.7629625999999998</c:v>
                </c:pt>
                <c:pt idx="31">
                  <c:v>7.7793014999999999</c:v>
                </c:pt>
                <c:pt idx="32">
                  <c:v>7.8541245000000011</c:v>
                </c:pt>
                <c:pt idx="33">
                  <c:v>7.841145</c:v>
                </c:pt>
                <c:pt idx="34">
                  <c:v>7.8686309999999997</c:v>
                </c:pt>
                <c:pt idx="35">
                  <c:v>7.8049550999999999</c:v>
                </c:pt>
                <c:pt idx="36">
                  <c:v>7.8893981999999996</c:v>
                </c:pt>
                <c:pt idx="37">
                  <c:v>7.8700052999999999</c:v>
                </c:pt>
                <c:pt idx="38">
                  <c:v>7.8805416000000008</c:v>
                </c:pt>
                <c:pt idx="39">
                  <c:v>7.8354951000000002</c:v>
                </c:pt>
                <c:pt idx="40">
                  <c:v>7.8367167000000011</c:v>
                </c:pt>
                <c:pt idx="41">
                  <c:v>7.9104707999999997</c:v>
                </c:pt>
                <c:pt idx="42">
                  <c:v>7.7504412</c:v>
                </c:pt>
                <c:pt idx="43">
                  <c:v>7.7312010000000004</c:v>
                </c:pt>
                <c:pt idx="44">
                  <c:v>7.7121135000000001</c:v>
                </c:pt>
                <c:pt idx="45">
                  <c:v>7.5836927999999997</c:v>
                </c:pt>
                <c:pt idx="46">
                  <c:v>7.6690521000000009</c:v>
                </c:pt>
                <c:pt idx="47">
                  <c:v>7.7006610000000002</c:v>
                </c:pt>
                <c:pt idx="48">
                  <c:v>7.7794542</c:v>
                </c:pt>
                <c:pt idx="49">
                  <c:v>7.8463368000000004</c:v>
                </c:pt>
                <c:pt idx="50">
                  <c:v>7.8997818000000004</c:v>
                </c:pt>
                <c:pt idx="51">
                  <c:v>7.8999345000000005</c:v>
                </c:pt>
                <c:pt idx="52">
                  <c:v>7.9035993000000007</c:v>
                </c:pt>
                <c:pt idx="53">
                  <c:v>7.8779456999999997</c:v>
                </c:pt>
                <c:pt idx="54">
                  <c:v>8.0153756999999999</c:v>
                </c:pt>
                <c:pt idx="55">
                  <c:v>8.0193458999999994</c:v>
                </c:pt>
                <c:pt idx="56">
                  <c:v>8.0424036000000001</c:v>
                </c:pt>
                <c:pt idx="57">
                  <c:v>8.0260647000000009</c:v>
                </c:pt>
                <c:pt idx="58">
                  <c:v>8.0579790000000013</c:v>
                </c:pt>
                <c:pt idx="59">
                  <c:v>8.0225526000000009</c:v>
                </c:pt>
                <c:pt idx="60">
                  <c:v>8.0575209000000001</c:v>
                </c:pt>
                <c:pt idx="61">
                  <c:v>7.9822398000000003</c:v>
                </c:pt>
                <c:pt idx="62">
                  <c:v>7.9704819000000011</c:v>
                </c:pt>
                <c:pt idx="63">
                  <c:v>7.9684968000000005</c:v>
                </c:pt>
                <c:pt idx="64">
                  <c:v>8.0419455000000006</c:v>
                </c:pt>
                <c:pt idx="65">
                  <c:v>7.9695656999999995</c:v>
                </c:pt>
                <c:pt idx="66">
                  <c:v>8.0449995000000012</c:v>
                </c:pt>
                <c:pt idx="67">
                  <c:v>8.0999715000000005</c:v>
                </c:pt>
                <c:pt idx="68">
                  <c:v>8.0863811999999999</c:v>
                </c:pt>
                <c:pt idx="69">
                  <c:v>8.2010589000000014</c:v>
                </c:pt>
                <c:pt idx="70">
                  <c:v>8.1386046000000007</c:v>
                </c:pt>
                <c:pt idx="71">
                  <c:v>8.1728094000000002</c:v>
                </c:pt>
                <c:pt idx="72">
                  <c:v>8.2054872000000003</c:v>
                </c:pt>
                <c:pt idx="73">
                  <c:v>8.1740309999999994</c:v>
                </c:pt>
                <c:pt idx="74">
                  <c:v>8.2054872000000003</c:v>
                </c:pt>
                <c:pt idx="75">
                  <c:v>8.1928131000000004</c:v>
                </c:pt>
                <c:pt idx="76">
                  <c:v>8.1871632000000005</c:v>
                </c:pt>
                <c:pt idx="77">
                  <c:v>8.1124928999999995</c:v>
                </c:pt>
                <c:pt idx="78">
                  <c:v>8.130816900000001</c:v>
                </c:pt>
                <c:pt idx="79">
                  <c:v>8.1276101999999995</c:v>
                </c:pt>
                <c:pt idx="80">
                  <c:v>8.1529583999999993</c:v>
                </c:pt>
                <c:pt idx="81">
                  <c:v>8.1659378999999994</c:v>
                </c:pt>
                <c:pt idx="82">
                  <c:v>8.1413531999999993</c:v>
                </c:pt>
                <c:pt idx="83">
                  <c:v>7.9811708999999995</c:v>
                </c:pt>
                <c:pt idx="84">
                  <c:v>7.9984259999999994</c:v>
                </c:pt>
                <c:pt idx="85">
                  <c:v>8.0946270000000009</c:v>
                </c:pt>
                <c:pt idx="86">
                  <c:v>8.2961910000000003</c:v>
                </c:pt>
                <c:pt idx="87">
                  <c:v>8.360783099999999</c:v>
                </c:pt>
                <c:pt idx="88">
                  <c:v>8.3977365000000006</c:v>
                </c:pt>
                <c:pt idx="89">
                  <c:v>8.4049133999999999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29C-4079-80C8-968F6E97D864}"/>
            </c:ext>
          </c:extLst>
        </c:ser>
        <c:ser>
          <c:idx val="6"/>
          <c:order val="6"/>
          <c:tx>
            <c:strRef>
              <c:f>'Inv Bolsa'!$I$2</c:f>
              <c:strCache>
                <c:ptCount val="1"/>
                <c:pt idx="0">
                  <c:v>GAN/PER2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Bolsa'!$B$3:$B$92</c:f>
              <c:numCache>
                <c:formatCode>m/d/yyyy</c:formatCode>
                <c:ptCount val="90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  <c:pt idx="88">
                  <c:v>45604</c:v>
                </c:pt>
                <c:pt idx="89">
                  <c:v>45607</c:v>
                </c:pt>
              </c:numCache>
            </c:numRef>
          </c:cat>
          <c:val>
            <c:numRef>
              <c:f>'Inv Bolsa'!$I$3:$I$92</c:f>
              <c:numCache>
                <c:formatCode>_("$"* #,##0.00_);_("$"* \(#,##0.00\);_("$"* "-"??_);_(@_)</c:formatCode>
                <c:ptCount val="90"/>
                <c:pt idx="0">
                  <c:v>-0.15688840000000059</c:v>
                </c:pt>
                <c:pt idx="1">
                  <c:v>-0.10726089999999999</c:v>
                </c:pt>
                <c:pt idx="2">
                  <c:v>-9.8709700000000566E-2</c:v>
                </c:pt>
                <c:pt idx="3">
                  <c:v>-4.5112000000000485E-2</c:v>
                </c:pt>
                <c:pt idx="4">
                  <c:v>-9.1074700000000064E-2</c:v>
                </c:pt>
                <c:pt idx="5">
                  <c:v>-4.2821500000000512E-2</c:v>
                </c:pt>
                <c:pt idx="6">
                  <c:v>-1.9000300000000081E-2</c:v>
                </c:pt>
                <c:pt idx="7">
                  <c:v>2.5740799999999453E-2</c:v>
                </c:pt>
                <c:pt idx="8">
                  <c:v>-8.496669999999984E-2</c:v>
                </c:pt>
                <c:pt idx="9">
                  <c:v>-0.14375620000000033</c:v>
                </c:pt>
                <c:pt idx="10">
                  <c:v>-0.1955214999999999</c:v>
                </c:pt>
                <c:pt idx="11">
                  <c:v>-0.11550670000000007</c:v>
                </c:pt>
                <c:pt idx="12">
                  <c:v>-0.12848620000000022</c:v>
                </c:pt>
                <c:pt idx="13">
                  <c:v>-0.30638169999999931</c:v>
                </c:pt>
                <c:pt idx="14">
                  <c:v>-0.34470940000000017</c:v>
                </c:pt>
                <c:pt idx="15">
                  <c:v>-0.25996090000000027</c:v>
                </c:pt>
                <c:pt idx="16">
                  <c:v>-0.2543110000000004</c:v>
                </c:pt>
                <c:pt idx="17">
                  <c:v>-0.29431839999999987</c:v>
                </c:pt>
                <c:pt idx="18">
                  <c:v>-0.1744488999999998</c:v>
                </c:pt>
                <c:pt idx="19">
                  <c:v>-0.27981190000000034</c:v>
                </c:pt>
                <c:pt idx="20">
                  <c:v>-0.41907430000000012</c:v>
                </c:pt>
                <c:pt idx="21">
                  <c:v>-0.64369600000000027</c:v>
                </c:pt>
                <c:pt idx="22">
                  <c:v>-0.57131620000000005</c:v>
                </c:pt>
                <c:pt idx="23">
                  <c:v>-0.62216529999999981</c:v>
                </c:pt>
                <c:pt idx="24">
                  <c:v>-0.45236289999999979</c:v>
                </c:pt>
                <c:pt idx="25">
                  <c:v>-0.42044860000000028</c:v>
                </c:pt>
                <c:pt idx="26">
                  <c:v>-0.42044860000000028</c:v>
                </c:pt>
                <c:pt idx="27">
                  <c:v>-0.41663110000000003</c:v>
                </c:pt>
                <c:pt idx="28">
                  <c:v>-0.29233330000000013</c:v>
                </c:pt>
                <c:pt idx="29">
                  <c:v>-0.26805400000000024</c:v>
                </c:pt>
                <c:pt idx="30">
                  <c:v>-0.13703740000000053</c:v>
                </c:pt>
                <c:pt idx="31">
                  <c:v>-0.12069850000000049</c:v>
                </c:pt>
                <c:pt idx="32">
                  <c:v>-4.5875499999999292E-2</c:v>
                </c:pt>
                <c:pt idx="33">
                  <c:v>-5.8855000000000324E-2</c:v>
                </c:pt>
                <c:pt idx="34">
                  <c:v>-3.1369000000000646E-2</c:v>
                </c:pt>
                <c:pt idx="35">
                  <c:v>-9.5044900000000432E-2</c:v>
                </c:pt>
                <c:pt idx="36">
                  <c:v>-1.0601800000000772E-2</c:v>
                </c:pt>
                <c:pt idx="37">
                  <c:v>-2.9994700000000485E-2</c:v>
                </c:pt>
                <c:pt idx="38">
                  <c:v>-1.9458399999999543E-2</c:v>
                </c:pt>
                <c:pt idx="39">
                  <c:v>-6.4504900000000198E-2</c:v>
                </c:pt>
                <c:pt idx="40">
                  <c:v>-6.3283299999999265E-2</c:v>
                </c:pt>
                <c:pt idx="41">
                  <c:v>1.0470799999999336E-2</c:v>
                </c:pt>
                <c:pt idx="42">
                  <c:v>-0.14955880000000032</c:v>
                </c:pt>
                <c:pt idx="43">
                  <c:v>-0.16879899999999992</c:v>
                </c:pt>
                <c:pt idx="44">
                  <c:v>-0.18788650000000029</c:v>
                </c:pt>
                <c:pt idx="45">
                  <c:v>-0.31630720000000068</c:v>
                </c:pt>
                <c:pt idx="46">
                  <c:v>-0.23094789999999943</c:v>
                </c:pt>
                <c:pt idx="47">
                  <c:v>-0.19933900000000015</c:v>
                </c:pt>
                <c:pt idx="48">
                  <c:v>-0.12054580000000037</c:v>
                </c:pt>
                <c:pt idx="49">
                  <c:v>-5.3663199999999911E-2</c:v>
                </c:pt>
                <c:pt idx="50">
                  <c:v>-2.1819999999994621E-4</c:v>
                </c:pt>
                <c:pt idx="51">
                  <c:v>-6.5499999999829583E-5</c:v>
                </c:pt>
                <c:pt idx="52">
                  <c:v>3.599300000000305E-3</c:v>
                </c:pt>
                <c:pt idx="53">
                  <c:v>-2.2054300000000637E-2</c:v>
                </c:pt>
                <c:pt idx="54">
                  <c:v>0.11537569999999953</c:v>
                </c:pt>
                <c:pt idx="55">
                  <c:v>0.11934589999999901</c:v>
                </c:pt>
                <c:pt idx="56">
                  <c:v>0.14240359999999974</c:v>
                </c:pt>
                <c:pt idx="57">
                  <c:v>0.12606470000000058</c:v>
                </c:pt>
                <c:pt idx="58">
                  <c:v>0.15797900000000098</c:v>
                </c:pt>
                <c:pt idx="59">
                  <c:v>0.12255260000000057</c:v>
                </c:pt>
                <c:pt idx="60">
                  <c:v>0.15752089999999974</c:v>
                </c:pt>
                <c:pt idx="61">
                  <c:v>8.2239799999999974E-2</c:v>
                </c:pt>
                <c:pt idx="62">
                  <c:v>7.0481900000000763E-2</c:v>
                </c:pt>
                <c:pt idx="63">
                  <c:v>6.8496800000000135E-2</c:v>
                </c:pt>
                <c:pt idx="64">
                  <c:v>0.14194550000000028</c:v>
                </c:pt>
                <c:pt idx="65">
                  <c:v>6.9565699999999175E-2</c:v>
                </c:pt>
                <c:pt idx="66">
                  <c:v>0.14499950000000084</c:v>
                </c:pt>
                <c:pt idx="67">
                  <c:v>0.19997150000000019</c:v>
                </c:pt>
                <c:pt idx="68">
                  <c:v>0.18638119999999958</c:v>
                </c:pt>
                <c:pt idx="69">
                  <c:v>0.30105890000000102</c:v>
                </c:pt>
                <c:pt idx="70">
                  <c:v>0.23860460000000039</c:v>
                </c:pt>
                <c:pt idx="71">
                  <c:v>0.27280939999999987</c:v>
                </c:pt>
                <c:pt idx="72">
                  <c:v>0.30548719999999996</c:v>
                </c:pt>
                <c:pt idx="73">
                  <c:v>0.27403099999999903</c:v>
                </c:pt>
                <c:pt idx="74">
                  <c:v>0.30548719999999996</c:v>
                </c:pt>
                <c:pt idx="75">
                  <c:v>0.29281310000000005</c:v>
                </c:pt>
                <c:pt idx="76">
                  <c:v>0.28716320000000017</c:v>
                </c:pt>
                <c:pt idx="77">
                  <c:v>0.2124928999999991</c:v>
                </c:pt>
                <c:pt idx="78">
                  <c:v>0.23081690000000066</c:v>
                </c:pt>
                <c:pt idx="79">
                  <c:v>0.2276101999999991</c:v>
                </c:pt>
                <c:pt idx="80">
                  <c:v>0.25295839999999892</c:v>
                </c:pt>
                <c:pt idx="81">
                  <c:v>0.26593789999999906</c:v>
                </c:pt>
                <c:pt idx="82">
                  <c:v>0.24135319999999894</c:v>
                </c:pt>
                <c:pt idx="83">
                  <c:v>8.1170899999999158E-2</c:v>
                </c:pt>
                <c:pt idx="84">
                  <c:v>9.8425999999999014E-2</c:v>
                </c:pt>
                <c:pt idx="85">
                  <c:v>0.19462700000000055</c:v>
                </c:pt>
                <c:pt idx="86">
                  <c:v>0.39619099999999996</c:v>
                </c:pt>
                <c:pt idx="87">
                  <c:v>0.46078309999999867</c:v>
                </c:pt>
                <c:pt idx="88">
                  <c:v>0.49773650000000025</c:v>
                </c:pt>
                <c:pt idx="89">
                  <c:v>0.50491339999999951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29C-4079-80C8-968F6E97D864}"/>
            </c:ext>
          </c:extLst>
        </c:ser>
        <c:ser>
          <c:idx val="7"/>
          <c:order val="7"/>
          <c:tx>
            <c:strRef>
              <c:f>'Inv Bolsa'!$J$2</c:f>
              <c:strCache>
                <c:ptCount val="1"/>
                <c:pt idx="0">
                  <c:v>VALOR EN COP2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Bolsa'!$B$3:$B$92</c:f>
              <c:numCache>
                <c:formatCode>m/d/yyyy</c:formatCode>
                <c:ptCount val="90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  <c:pt idx="88">
                  <c:v>45604</c:v>
                </c:pt>
                <c:pt idx="89">
                  <c:v>45607</c:v>
                </c:pt>
              </c:numCache>
            </c:numRef>
          </c:cat>
          <c:val>
            <c:numRef>
              <c:f>'Inv Bolsa'!$J$3:$J$92</c:f>
              <c:numCache>
                <c:formatCode>_("$"* #,##0.00_);_("$"* \(#,##0.00\);_("$"* "-"??_);_(@_)</c:formatCode>
                <c:ptCount val="90"/>
                <c:pt idx="0">
                  <c:v>31673.197999799999</c:v>
                </c:pt>
                <c:pt idx="1">
                  <c:v>31783.855330215003</c:v>
                </c:pt>
                <c:pt idx="2">
                  <c:v>31589.530773080998</c:v>
                </c:pt>
                <c:pt idx="3">
                  <c:v>31497.393940079997</c:v>
                </c:pt>
                <c:pt idx="4">
                  <c:v>30885.939435813001</c:v>
                </c:pt>
                <c:pt idx="5">
                  <c:v>31234.248832124998</c:v>
                </c:pt>
                <c:pt idx="6">
                  <c:v>31469.541092073003</c:v>
                </c:pt>
                <c:pt idx="7">
                  <c:v>31337.428034304001</c:v>
                </c:pt>
                <c:pt idx="8">
                  <c:v>31048.111346571</c:v>
                </c:pt>
                <c:pt idx="9">
                  <c:v>31019.158017149999</c:v>
                </c:pt>
                <c:pt idx="10">
                  <c:v>31181.719474770001</c:v>
                </c:pt>
                <c:pt idx="11">
                  <c:v>31459.706308089</c:v>
                </c:pt>
                <c:pt idx="12">
                  <c:v>31047.275346138002</c:v>
                </c:pt>
                <c:pt idx="13">
                  <c:v>30481.391345664004</c:v>
                </c:pt>
                <c:pt idx="14">
                  <c:v>30555.030691614</c:v>
                </c:pt>
                <c:pt idx="15">
                  <c:v>30883.406454321001</c:v>
                </c:pt>
                <c:pt idx="16">
                  <c:v>30812.27958378</c:v>
                </c:pt>
                <c:pt idx="17">
                  <c:v>31008.972337728002</c:v>
                </c:pt>
                <c:pt idx="18">
                  <c:v>31497.612623277004</c:v>
                </c:pt>
                <c:pt idx="19">
                  <c:v>30827.547160431001</c:v>
                </c:pt>
                <c:pt idx="20">
                  <c:v>30403.005709599001</c:v>
                </c:pt>
                <c:pt idx="21">
                  <c:v>28485.637234559999</c:v>
                </c:pt>
                <c:pt idx="22">
                  <c:v>30452.953080978004</c:v>
                </c:pt>
                <c:pt idx="23">
                  <c:v>30130.890663123002</c:v>
                </c:pt>
                <c:pt idx="24">
                  <c:v>30894.586123704001</c:v>
                </c:pt>
                <c:pt idx="25">
                  <c:v>30391.810794648001</c:v>
                </c:pt>
                <c:pt idx="26">
                  <c:v>30348.65378307</c:v>
                </c:pt>
                <c:pt idx="27">
                  <c:v>30485.972725887001</c:v>
                </c:pt>
                <c:pt idx="28">
                  <c:v>30787.922828232</c:v>
                </c:pt>
                <c:pt idx="29">
                  <c:v>30821.308643160002</c:v>
                </c:pt>
                <c:pt idx="30">
                  <c:v>31340.322090215999</c:v>
                </c:pt>
                <c:pt idx="31">
                  <c:v>31232.3396622</c:v>
                </c:pt>
                <c:pt idx="32">
                  <c:v>31653.378394920004</c:v>
                </c:pt>
                <c:pt idx="33">
                  <c:v>31545.083157900001</c:v>
                </c:pt>
                <c:pt idx="34">
                  <c:v>31554.784036199999</c:v>
                </c:pt>
                <c:pt idx="35">
                  <c:v>31502.750022374999</c:v>
                </c:pt>
                <c:pt idx="36">
                  <c:v>32106.852702683998</c:v>
                </c:pt>
                <c:pt idx="37">
                  <c:v>31714.153857674999</c:v>
                </c:pt>
                <c:pt idx="38">
                  <c:v>31710.668955072004</c:v>
                </c:pt>
                <c:pt idx="39">
                  <c:v>31699.592396363998</c:v>
                </c:pt>
                <c:pt idx="40">
                  <c:v>31858.917869178007</c:v>
                </c:pt>
                <c:pt idx="41">
                  <c:v>32686.935497387996</c:v>
                </c:pt>
                <c:pt idx="42">
                  <c:v>32244.238028772004</c:v>
                </c:pt>
                <c:pt idx="43">
                  <c:v>32361.261145800003</c:v>
                </c:pt>
                <c:pt idx="44">
                  <c:v>32281.518930569997</c:v>
                </c:pt>
                <c:pt idx="45">
                  <c:v>31642.958208</c:v>
                </c:pt>
                <c:pt idx="46">
                  <c:v>31824.955714059004</c:v>
                </c:pt>
                <c:pt idx="47">
                  <c:v>32680.065151800001</c:v>
                </c:pt>
                <c:pt idx="48">
                  <c:v>33288.984672678002</c:v>
                </c:pt>
                <c:pt idx="49">
                  <c:v>33508.722864816002</c:v>
                </c:pt>
                <c:pt idx="50">
                  <c:v>33158.386131684005</c:v>
                </c:pt>
                <c:pt idx="51">
                  <c:v>32959.553725485006</c:v>
                </c:pt>
                <c:pt idx="52">
                  <c:v>33357.773133594004</c:v>
                </c:pt>
                <c:pt idx="53">
                  <c:v>33284.399361957003</c:v>
                </c:pt>
                <c:pt idx="54">
                  <c:v>33479.021992545</c:v>
                </c:pt>
                <c:pt idx="55">
                  <c:v>33312.20248168199</c:v>
                </c:pt>
                <c:pt idx="56">
                  <c:v>33470.473182300004</c:v>
                </c:pt>
                <c:pt idx="57">
                  <c:v>33298.135924125003</c:v>
                </c:pt>
                <c:pt idx="58">
                  <c:v>33849.555284250004</c:v>
                </c:pt>
                <c:pt idx="59">
                  <c:v>33354.083336604002</c:v>
                </c:pt>
                <c:pt idx="60">
                  <c:v>33500.432345093999</c:v>
                </c:pt>
                <c:pt idx="61">
                  <c:v>33518.382788976</c:v>
                </c:pt>
                <c:pt idx="62">
                  <c:v>33645.556130013007</c:v>
                </c:pt>
                <c:pt idx="63">
                  <c:v>33421.947388368004</c:v>
                </c:pt>
                <c:pt idx="64">
                  <c:v>33689.076830235004</c:v>
                </c:pt>
                <c:pt idx="65">
                  <c:v>33212.447793836996</c:v>
                </c:pt>
                <c:pt idx="66">
                  <c:v>33898.007643225006</c:v>
                </c:pt>
                <c:pt idx="67">
                  <c:v>34271.627414219998</c:v>
                </c:pt>
                <c:pt idx="68">
                  <c:v>34230.05593866</c:v>
                </c:pt>
                <c:pt idx="69">
                  <c:v>34534.248974955008</c:v>
                </c:pt>
                <c:pt idx="70">
                  <c:v>34240.818659166005</c:v>
                </c:pt>
                <c:pt idx="71">
                  <c:v>34793.365905774001</c:v>
                </c:pt>
                <c:pt idx="72">
                  <c:v>35109.146302128</c:v>
                </c:pt>
                <c:pt idx="73">
                  <c:v>34717.480125989998</c:v>
                </c:pt>
                <c:pt idx="74">
                  <c:v>34851.083729687998</c:v>
                </c:pt>
                <c:pt idx="75">
                  <c:v>34983.311936999999</c:v>
                </c:pt>
                <c:pt idx="76">
                  <c:v>35041.385982528001</c:v>
                </c:pt>
                <c:pt idx="77">
                  <c:v>34643.346305372994</c:v>
                </c:pt>
                <c:pt idx="78">
                  <c:v>35157.001810248003</c:v>
                </c:pt>
                <c:pt idx="79">
                  <c:v>35136.552931721992</c:v>
                </c:pt>
                <c:pt idx="80">
                  <c:v>35234.151139775997</c:v>
                </c:pt>
                <c:pt idx="81">
                  <c:v>35482.061747426997</c:v>
                </c:pt>
                <c:pt idx="82">
                  <c:v>35195.151297131997</c:v>
                </c:pt>
                <c:pt idx="83">
                  <c:v>35265.841173866997</c:v>
                </c:pt>
                <c:pt idx="84">
                  <c:v>35555.8030191</c:v>
                </c:pt>
                <c:pt idx="85">
                  <c:v>35928.973294740004</c:v>
                </c:pt>
                <c:pt idx="86">
                  <c:v>36833.013992250002</c:v>
                </c:pt>
                <c:pt idx="87">
                  <c:v>36701.58039756299</c:v>
                </c:pt>
                <c:pt idx="88">
                  <c:v>36946.513550670003</c:v>
                </c:pt>
                <c:pt idx="89">
                  <c:v>36533.637075779996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29C-4079-80C8-968F6E97D864}"/>
            </c:ext>
          </c:extLst>
        </c:ser>
        <c:ser>
          <c:idx val="8"/>
          <c:order val="8"/>
          <c:tx>
            <c:strRef>
              <c:f>'Inv Bolsa'!$K$2</c:f>
              <c:strCache>
                <c:ptCount val="1"/>
                <c:pt idx="0">
                  <c:v>VALOR INVERSION 3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Bolsa'!$B$3:$B$92</c:f>
              <c:numCache>
                <c:formatCode>m/d/yyyy</c:formatCode>
                <c:ptCount val="90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  <c:pt idx="88">
                  <c:v>45604</c:v>
                </c:pt>
                <c:pt idx="89">
                  <c:v>45607</c:v>
                </c:pt>
              </c:numCache>
            </c:numRef>
          </c:cat>
          <c:val>
            <c:numRef>
              <c:f>'Inv Bolsa'!$K$3:$K$92</c:f>
              <c:numCache>
                <c:formatCode>_("$"* #,##0.00_);_("$"* \(#,##0.00\);_("$"* "-"??_);_(@_)</c:formatCode>
                <c:ptCount val="90"/>
                <c:pt idx="0">
                  <c:v>6.5109072000000001</c:v>
                </c:pt>
                <c:pt idx="1">
                  <c:v>6.5526372000000004</c:v>
                </c:pt>
                <c:pt idx="2">
                  <c:v>6.5598276000000002</c:v>
                </c:pt>
                <c:pt idx="3">
                  <c:v>6.6048960000000001</c:v>
                </c:pt>
                <c:pt idx="4">
                  <c:v>6.5662476000000005</c:v>
                </c:pt>
                <c:pt idx="5">
                  <c:v>6.6068220000000002</c:v>
                </c:pt>
                <c:pt idx="6">
                  <c:v>6.6268524000000006</c:v>
                </c:pt>
                <c:pt idx="7">
                  <c:v>6.6644736</c:v>
                </c:pt>
                <c:pt idx="8">
                  <c:v>6.5713836000000008</c:v>
                </c:pt>
                <c:pt idx="9">
                  <c:v>6.5219496000000001</c:v>
                </c:pt>
                <c:pt idx="10">
                  <c:v>6.4784220000000001</c:v>
                </c:pt>
                <c:pt idx="11">
                  <c:v>6.5457036000000004</c:v>
                </c:pt>
                <c:pt idx="12">
                  <c:v>6.5347896000000008</c:v>
                </c:pt>
                <c:pt idx="13">
                  <c:v>6.3852036000000005</c:v>
                </c:pt>
                <c:pt idx="14">
                  <c:v>6.3529752000000004</c:v>
                </c:pt>
                <c:pt idx="15">
                  <c:v>6.4242372000000003</c:v>
                </c:pt>
                <c:pt idx="16">
                  <c:v>6.4289880000000004</c:v>
                </c:pt>
                <c:pt idx="17">
                  <c:v>6.3953471999999998</c:v>
                </c:pt>
                <c:pt idx="18">
                  <c:v>6.4961412000000003</c:v>
                </c:pt>
                <c:pt idx="19">
                  <c:v>6.4075452000000004</c:v>
                </c:pt>
                <c:pt idx="20">
                  <c:v>6.290444400000001</c:v>
                </c:pt>
                <c:pt idx="21">
                  <c:v>6.1015680000000003</c:v>
                </c:pt>
                <c:pt idx="22">
                  <c:v>6.1624296000000003</c:v>
                </c:pt>
                <c:pt idx="23">
                  <c:v>6.1196724000000007</c:v>
                </c:pt>
                <c:pt idx="24">
                  <c:v>6.2624532000000004</c:v>
                </c:pt>
                <c:pt idx="25">
                  <c:v>6.2892888000000005</c:v>
                </c:pt>
                <c:pt idx="26">
                  <c:v>6.2892888000000005</c:v>
                </c:pt>
                <c:pt idx="27">
                  <c:v>6.2924988000000006</c:v>
                </c:pt>
                <c:pt idx="28">
                  <c:v>6.3970164</c:v>
                </c:pt>
                <c:pt idx="29">
                  <c:v>6.4174320000000007</c:v>
                </c:pt>
                <c:pt idx="30">
                  <c:v>6.5275992</c:v>
                </c:pt>
                <c:pt idx="31">
                  <c:v>6.5413380000000005</c:v>
                </c:pt>
                <c:pt idx="32">
                  <c:v>6.604254000000001</c:v>
                </c:pt>
                <c:pt idx="33">
                  <c:v>6.5933400000000004</c:v>
                </c:pt>
                <c:pt idx="34">
                  <c:v>6.6164519999999998</c:v>
                </c:pt>
                <c:pt idx="35">
                  <c:v>6.5629092</c:v>
                </c:pt>
                <c:pt idx="36">
                  <c:v>6.6339144000000001</c:v>
                </c:pt>
                <c:pt idx="37">
                  <c:v>6.6176076000000004</c:v>
                </c:pt>
                <c:pt idx="38">
                  <c:v>6.6264672000000013</c:v>
                </c:pt>
                <c:pt idx="39">
                  <c:v>6.5885892000000004</c:v>
                </c:pt>
                <c:pt idx="40">
                  <c:v>6.5896164000000006</c:v>
                </c:pt>
                <c:pt idx="41">
                  <c:v>6.6516336000000003</c:v>
                </c:pt>
                <c:pt idx="42">
                  <c:v>6.5170704000000006</c:v>
                </c:pt>
                <c:pt idx="43">
                  <c:v>6.5008920000000003</c:v>
                </c:pt>
                <c:pt idx="44">
                  <c:v>6.4848420000000004</c:v>
                </c:pt>
                <c:pt idx="45">
                  <c:v>6.3768576000000001</c:v>
                </c:pt>
                <c:pt idx="46">
                  <c:v>6.4486332000000006</c:v>
                </c:pt>
                <c:pt idx="47">
                  <c:v>6.4752120000000009</c:v>
                </c:pt>
                <c:pt idx="48">
                  <c:v>6.5414664</c:v>
                </c:pt>
                <c:pt idx="49">
                  <c:v>6.5977056000000012</c:v>
                </c:pt>
                <c:pt idx="50">
                  <c:v>6.6426456000000007</c:v>
                </c:pt>
                <c:pt idx="51">
                  <c:v>6.6427740000000011</c:v>
                </c:pt>
                <c:pt idx="52">
                  <c:v>6.6458556000000009</c:v>
                </c:pt>
                <c:pt idx="53">
                  <c:v>6.6242843999999996</c:v>
                </c:pt>
                <c:pt idx="54">
                  <c:v>6.7398444</c:v>
                </c:pt>
                <c:pt idx="55">
                  <c:v>6.7431827999999996</c:v>
                </c:pt>
                <c:pt idx="56">
                  <c:v>6.7625712</c:v>
                </c:pt>
                <c:pt idx="57">
                  <c:v>6.7488324000000004</c:v>
                </c:pt>
                <c:pt idx="58">
                  <c:v>6.7756680000000014</c:v>
                </c:pt>
                <c:pt idx="59">
                  <c:v>6.7458792000000001</c:v>
                </c:pt>
                <c:pt idx="60">
                  <c:v>6.7752828000000003</c:v>
                </c:pt>
                <c:pt idx="61">
                  <c:v>6.7119816000000005</c:v>
                </c:pt>
                <c:pt idx="62">
                  <c:v>6.7020948000000011</c:v>
                </c:pt>
                <c:pt idx="63">
                  <c:v>6.7004256000000009</c:v>
                </c:pt>
                <c:pt idx="64">
                  <c:v>6.7621859999999998</c:v>
                </c:pt>
                <c:pt idx="65">
                  <c:v>6.7013243999999998</c:v>
                </c:pt>
                <c:pt idx="66">
                  <c:v>6.7647540000000008</c:v>
                </c:pt>
                <c:pt idx="67">
                  <c:v>6.8109780000000013</c:v>
                </c:pt>
                <c:pt idx="68">
                  <c:v>6.7995503999999993</c:v>
                </c:pt>
                <c:pt idx="69">
                  <c:v>6.8959788000000009</c:v>
                </c:pt>
                <c:pt idx="70">
                  <c:v>6.8434632000000004</c:v>
                </c:pt>
                <c:pt idx="71">
                  <c:v>6.8722248000000006</c:v>
                </c:pt>
                <c:pt idx="72">
                  <c:v>6.8997024000000007</c:v>
                </c:pt>
                <c:pt idx="73">
                  <c:v>6.8732519999999999</c:v>
                </c:pt>
                <c:pt idx="74">
                  <c:v>6.8997024000000007</c:v>
                </c:pt>
                <c:pt idx="75">
                  <c:v>6.8890452</c:v>
                </c:pt>
                <c:pt idx="76">
                  <c:v>6.8842943999999999</c:v>
                </c:pt>
                <c:pt idx="77">
                  <c:v>6.8215067999999999</c:v>
                </c:pt>
                <c:pt idx="78">
                  <c:v>6.8369148000000006</c:v>
                </c:pt>
                <c:pt idx="79">
                  <c:v>6.8342184000000001</c:v>
                </c:pt>
                <c:pt idx="80">
                  <c:v>6.8555327999999998</c:v>
                </c:pt>
                <c:pt idx="81">
                  <c:v>6.8664468000000003</c:v>
                </c:pt>
                <c:pt idx="82">
                  <c:v>6.8457743999999998</c:v>
                </c:pt>
                <c:pt idx="83">
                  <c:v>6.7110827999999998</c:v>
                </c:pt>
                <c:pt idx="84">
                  <c:v>6.7255919999999998</c:v>
                </c:pt>
                <c:pt idx="85">
                  <c:v>6.8064840000000011</c:v>
                </c:pt>
                <c:pt idx="86">
                  <c:v>6.9759719999999996</c:v>
                </c:pt>
                <c:pt idx="87">
                  <c:v>7.0302851999999998</c:v>
                </c:pt>
                <c:pt idx="88">
                  <c:v>7.0613580000000011</c:v>
                </c:pt>
                <c:pt idx="89">
                  <c:v>7.0673927999999995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0A-48EB-A9BC-8DC913FE986C}"/>
            </c:ext>
          </c:extLst>
        </c:ser>
        <c:ser>
          <c:idx val="9"/>
          <c:order val="9"/>
          <c:tx>
            <c:strRef>
              <c:f>'Inv Bolsa'!$L$2</c:f>
              <c:strCache>
                <c:ptCount val="1"/>
                <c:pt idx="0">
                  <c:v>GAN/PER3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Bolsa'!$B$3:$B$92</c:f>
              <c:numCache>
                <c:formatCode>m/d/yyyy</c:formatCode>
                <c:ptCount val="90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  <c:pt idx="88">
                  <c:v>45604</c:v>
                </c:pt>
                <c:pt idx="89">
                  <c:v>45607</c:v>
                </c:pt>
              </c:numCache>
            </c:numRef>
          </c:cat>
          <c:val>
            <c:numRef>
              <c:f>'Inv Bolsa'!$L$3:$L$92</c:f>
              <c:numCache>
                <c:formatCode>_("$"* #,##0.00_);_("$"* \(#,##0.00\);_("$"* "-"??_);_(@_)</c:formatCode>
                <c:ptCount val="90"/>
                <c:pt idx="0">
                  <c:v>-0.38909280000000024</c:v>
                </c:pt>
                <c:pt idx="1">
                  <c:v>-0.34736279999999997</c:v>
                </c:pt>
                <c:pt idx="2">
                  <c:v>-0.34017240000000015</c:v>
                </c:pt>
                <c:pt idx="3">
                  <c:v>-0.29510400000000025</c:v>
                </c:pt>
                <c:pt idx="4">
                  <c:v>-0.33375239999999984</c:v>
                </c:pt>
                <c:pt idx="5">
                  <c:v>-0.29317800000000016</c:v>
                </c:pt>
                <c:pt idx="6">
                  <c:v>-0.27314759999999971</c:v>
                </c:pt>
                <c:pt idx="7">
                  <c:v>-0.23552640000000036</c:v>
                </c:pt>
                <c:pt idx="8">
                  <c:v>-0.32861639999999959</c:v>
                </c:pt>
                <c:pt idx="9">
                  <c:v>-0.37805040000000023</c:v>
                </c:pt>
                <c:pt idx="10">
                  <c:v>-0.42157800000000023</c:v>
                </c:pt>
                <c:pt idx="11">
                  <c:v>-0.35429639999999996</c:v>
                </c:pt>
                <c:pt idx="12">
                  <c:v>-0.3652103999999996</c:v>
                </c:pt>
                <c:pt idx="13">
                  <c:v>-0.51479639999999982</c:v>
                </c:pt>
                <c:pt idx="14">
                  <c:v>-0.54702479999999998</c:v>
                </c:pt>
                <c:pt idx="15">
                  <c:v>-0.47576280000000004</c:v>
                </c:pt>
                <c:pt idx="16">
                  <c:v>-0.47101199999999999</c:v>
                </c:pt>
                <c:pt idx="17">
                  <c:v>-0.50465280000000057</c:v>
                </c:pt>
                <c:pt idx="18">
                  <c:v>-0.40385880000000007</c:v>
                </c:pt>
                <c:pt idx="19">
                  <c:v>-0.49245479999999997</c:v>
                </c:pt>
                <c:pt idx="20">
                  <c:v>-0.60955559999999931</c:v>
                </c:pt>
                <c:pt idx="21">
                  <c:v>-0.79843200000000003</c:v>
                </c:pt>
                <c:pt idx="22">
                  <c:v>-0.73757040000000007</c:v>
                </c:pt>
                <c:pt idx="23">
                  <c:v>-0.78032759999999968</c:v>
                </c:pt>
                <c:pt idx="24">
                  <c:v>-0.63754679999999997</c:v>
                </c:pt>
                <c:pt idx="25">
                  <c:v>-0.6107111999999999</c:v>
                </c:pt>
                <c:pt idx="26">
                  <c:v>-0.6107111999999999</c:v>
                </c:pt>
                <c:pt idx="27">
                  <c:v>-0.60750119999999974</c:v>
                </c:pt>
                <c:pt idx="28">
                  <c:v>-0.50298360000000031</c:v>
                </c:pt>
                <c:pt idx="29">
                  <c:v>-0.48256799999999966</c:v>
                </c:pt>
                <c:pt idx="30">
                  <c:v>-0.37240080000000031</c:v>
                </c:pt>
                <c:pt idx="31">
                  <c:v>-0.35866199999999981</c:v>
                </c:pt>
                <c:pt idx="32">
                  <c:v>-0.2957459999999994</c:v>
                </c:pt>
                <c:pt idx="33">
                  <c:v>-0.30665999999999993</c:v>
                </c:pt>
                <c:pt idx="34">
                  <c:v>-0.28354800000000058</c:v>
                </c:pt>
                <c:pt idx="35">
                  <c:v>-0.33709080000000036</c:v>
                </c:pt>
                <c:pt idx="36">
                  <c:v>-0.26608560000000026</c:v>
                </c:pt>
                <c:pt idx="37">
                  <c:v>-0.28239239999999999</c:v>
                </c:pt>
                <c:pt idx="38">
                  <c:v>-0.27353279999999902</c:v>
                </c:pt>
                <c:pt idx="39">
                  <c:v>-0.31141079999999999</c:v>
                </c:pt>
                <c:pt idx="40">
                  <c:v>-0.31038359999999976</c:v>
                </c:pt>
                <c:pt idx="41">
                  <c:v>-0.2483664000000001</c:v>
                </c:pt>
                <c:pt idx="42">
                  <c:v>-0.38292959999999976</c:v>
                </c:pt>
                <c:pt idx="43">
                  <c:v>-0.39910800000000002</c:v>
                </c:pt>
                <c:pt idx="44">
                  <c:v>-0.41515799999999992</c:v>
                </c:pt>
                <c:pt idx="45">
                  <c:v>-0.52314240000000023</c:v>
                </c:pt>
                <c:pt idx="46">
                  <c:v>-0.45136679999999973</c:v>
                </c:pt>
                <c:pt idx="47">
                  <c:v>-0.4247879999999995</c:v>
                </c:pt>
                <c:pt idx="48">
                  <c:v>-0.35853360000000034</c:v>
                </c:pt>
                <c:pt idx="49">
                  <c:v>-0.30229439999999919</c:v>
                </c:pt>
                <c:pt idx="50">
                  <c:v>-0.25735439999999965</c:v>
                </c:pt>
                <c:pt idx="51">
                  <c:v>-0.25722599999999929</c:v>
                </c:pt>
                <c:pt idx="52">
                  <c:v>-0.25414439999999949</c:v>
                </c:pt>
                <c:pt idx="53">
                  <c:v>-0.27571560000000073</c:v>
                </c:pt>
                <c:pt idx="54">
                  <c:v>-0.1601556000000004</c:v>
                </c:pt>
                <c:pt idx="55">
                  <c:v>-0.15681720000000077</c:v>
                </c:pt>
                <c:pt idx="56">
                  <c:v>-0.13742880000000035</c:v>
                </c:pt>
                <c:pt idx="57">
                  <c:v>-0.15116759999999996</c:v>
                </c:pt>
                <c:pt idx="58">
                  <c:v>-0.124331999999999</c:v>
                </c:pt>
                <c:pt idx="59">
                  <c:v>-0.15412080000000028</c:v>
                </c:pt>
                <c:pt idx="60">
                  <c:v>-0.12471720000000008</c:v>
                </c:pt>
                <c:pt idx="61">
                  <c:v>-0.18801839999999981</c:v>
                </c:pt>
                <c:pt idx="62">
                  <c:v>-0.19790519999999923</c:v>
                </c:pt>
                <c:pt idx="63">
                  <c:v>-0.19957439999999949</c:v>
                </c:pt>
                <c:pt idx="64">
                  <c:v>-0.13781400000000055</c:v>
                </c:pt>
                <c:pt idx="65">
                  <c:v>-0.19867560000000051</c:v>
                </c:pt>
                <c:pt idx="66">
                  <c:v>-0.13524599999999953</c:v>
                </c:pt>
                <c:pt idx="67">
                  <c:v>-8.9021999999999046E-2</c:v>
                </c:pt>
                <c:pt idx="68">
                  <c:v>-0.10044960000000103</c:v>
                </c:pt>
                <c:pt idx="69">
                  <c:v>-4.0211999999995029E-3</c:v>
                </c:pt>
                <c:pt idx="70">
                  <c:v>-5.6536799999999943E-2</c:v>
                </c:pt>
                <c:pt idx="71">
                  <c:v>-2.7775199999999778E-2</c:v>
                </c:pt>
                <c:pt idx="72">
                  <c:v>-2.975999999996759E-4</c:v>
                </c:pt>
                <c:pt idx="73">
                  <c:v>-2.6748000000000438E-2</c:v>
                </c:pt>
                <c:pt idx="74">
                  <c:v>-2.975999999996759E-4</c:v>
                </c:pt>
                <c:pt idx="75">
                  <c:v>-1.0954800000000375E-2</c:v>
                </c:pt>
                <c:pt idx="76">
                  <c:v>-1.570560000000043E-2</c:v>
                </c:pt>
                <c:pt idx="77">
                  <c:v>-7.8493200000000485E-2</c:v>
                </c:pt>
                <c:pt idx="78">
                  <c:v>-6.308519999999973E-2</c:v>
                </c:pt>
                <c:pt idx="79">
                  <c:v>-6.5781600000000218E-2</c:v>
                </c:pt>
                <c:pt idx="80">
                  <c:v>-4.4467200000000595E-2</c:v>
                </c:pt>
                <c:pt idx="81">
                  <c:v>-3.3553200000000061E-2</c:v>
                </c:pt>
                <c:pt idx="82">
                  <c:v>-5.422560000000054E-2</c:v>
                </c:pt>
                <c:pt idx="83">
                  <c:v>-0.18891720000000056</c:v>
                </c:pt>
                <c:pt idx="84">
                  <c:v>-0.17440800000000056</c:v>
                </c:pt>
                <c:pt idx="85">
                  <c:v>-9.3515999999999266E-2</c:v>
                </c:pt>
                <c:pt idx="86">
                  <c:v>7.5971999999999262E-2</c:v>
                </c:pt>
                <c:pt idx="87">
                  <c:v>0.13028519999999943</c:v>
                </c:pt>
                <c:pt idx="88">
                  <c:v>0.16135800000000078</c:v>
                </c:pt>
                <c:pt idx="89">
                  <c:v>0.16739279999999912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0A-48EB-A9BC-8DC913FE986C}"/>
            </c:ext>
          </c:extLst>
        </c:ser>
        <c:ser>
          <c:idx val="10"/>
          <c:order val="10"/>
          <c:tx>
            <c:strRef>
              <c:f>'Inv Bolsa'!$M$2</c:f>
              <c:strCache>
                <c:ptCount val="1"/>
                <c:pt idx="0">
                  <c:v>VALOR EN COP3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Bolsa'!$B$3:$B$92</c:f>
              <c:numCache>
                <c:formatCode>m/d/yyyy</c:formatCode>
                <c:ptCount val="90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  <c:pt idx="88">
                  <c:v>45604</c:v>
                </c:pt>
                <c:pt idx="89">
                  <c:v>45607</c:v>
                </c:pt>
              </c:numCache>
            </c:numRef>
          </c:cat>
          <c:val>
            <c:numRef>
              <c:f>'Inv Bolsa'!$M$3:$M$92</c:f>
              <c:numCache>
                <c:formatCode>_("$"* #,##0.00_);_("$"* \(#,##0.00\);_("$"* "-"??_);_(@_)</c:formatCode>
                <c:ptCount val="90"/>
                <c:pt idx="0">
                  <c:v>26632.865901600002</c:v>
                </c:pt>
                <c:pt idx="1">
                  <c:v>26725.913715780003</c:v>
                </c:pt>
                <c:pt idx="2">
                  <c:v>26562.513105852002</c:v>
                </c:pt>
                <c:pt idx="3">
                  <c:v>26485.038519359998</c:v>
                </c:pt>
                <c:pt idx="4">
                  <c:v>25970.888169996004</c:v>
                </c:pt>
                <c:pt idx="5">
                  <c:v>26263.769155500002</c:v>
                </c:pt>
                <c:pt idx="6">
                  <c:v>26461.618049916004</c:v>
                </c:pt>
                <c:pt idx="7">
                  <c:v>26350.528877568002</c:v>
                </c:pt>
                <c:pt idx="8">
                  <c:v>26107.252762932003</c:v>
                </c:pt>
                <c:pt idx="9">
                  <c:v>26082.906937800002</c:v>
                </c:pt>
                <c:pt idx="10">
                  <c:v>26219.59908684</c:v>
                </c:pt>
                <c:pt idx="11">
                  <c:v>26453.348329788001</c:v>
                </c:pt>
                <c:pt idx="12">
                  <c:v>26106.549799896005</c:v>
                </c:pt>
                <c:pt idx="13">
                  <c:v>25630.718066688001</c:v>
                </c:pt>
                <c:pt idx="14">
                  <c:v>25692.638774088002</c:v>
                </c:pt>
                <c:pt idx="15">
                  <c:v>25968.758275931999</c:v>
                </c:pt>
                <c:pt idx="16">
                  <c:v>25908.950219760001</c:v>
                </c:pt>
                <c:pt idx="17">
                  <c:v>26074.342162175999</c:v>
                </c:pt>
                <c:pt idx="18">
                  <c:v>26485.222402284002</c:v>
                </c:pt>
                <c:pt idx="19">
                  <c:v>25921.788182052002</c:v>
                </c:pt>
                <c:pt idx="20">
                  <c:v>25564.806372708004</c:v>
                </c:pt>
                <c:pt idx="21">
                  <c:v>23952.559403520001</c:v>
                </c:pt>
                <c:pt idx="22">
                  <c:v>25606.805341176005</c:v>
                </c:pt>
                <c:pt idx="23">
                  <c:v>25335.994506516003</c:v>
                </c:pt>
                <c:pt idx="24">
                  <c:v>25978.158862368</c:v>
                </c:pt>
                <c:pt idx="25">
                  <c:v>25555.392966816002</c:v>
                </c:pt>
                <c:pt idx="26">
                  <c:v>25519.103770440004</c:v>
                </c:pt>
                <c:pt idx="27">
                  <c:v>25634.570386404001</c:v>
                </c:pt>
                <c:pt idx="28">
                  <c:v>25888.469490144002</c:v>
                </c:pt>
                <c:pt idx="29">
                  <c:v>25916.542434720002</c:v>
                </c:pt>
                <c:pt idx="30">
                  <c:v>26352.962386272</c:v>
                </c:pt>
                <c:pt idx="31">
                  <c:v>26262.163802400002</c:v>
                </c:pt>
                <c:pt idx="32">
                  <c:v>26616.200300640005</c:v>
                </c:pt>
                <c:pt idx="33">
                  <c:v>26525.138686800001</c:v>
                </c:pt>
                <c:pt idx="34">
                  <c:v>26533.295810399999</c:v>
                </c:pt>
                <c:pt idx="35">
                  <c:v>26489.542258500001</c:v>
                </c:pt>
                <c:pt idx="36">
                  <c:v>26997.510720528</c:v>
                </c:pt>
                <c:pt idx="37">
                  <c:v>26667.304226100001</c:v>
                </c:pt>
                <c:pt idx="38">
                  <c:v>26664.373895424007</c:v>
                </c:pt>
                <c:pt idx="39">
                  <c:v>26655.060011088</c:v>
                </c:pt>
                <c:pt idx="40">
                  <c:v>26789.031135576002</c:v>
                </c:pt>
                <c:pt idx="41">
                  <c:v>27485.281714895998</c:v>
                </c:pt>
                <c:pt idx="42">
                  <c:v>27113.033155824007</c:v>
                </c:pt>
                <c:pt idx="43">
                  <c:v>27211.433733600003</c:v>
                </c:pt>
                <c:pt idx="44">
                  <c:v>27144.381340439999</c:v>
                </c:pt>
                <c:pt idx="45">
                  <c:v>26607.438335999999</c:v>
                </c:pt>
                <c:pt idx="46">
                  <c:v>26760.473567028002</c:v>
                </c:pt>
                <c:pt idx="47">
                  <c:v>27479.504685600004</c:v>
                </c:pt>
                <c:pt idx="48">
                  <c:v>27991.523457576001</c:v>
                </c:pt>
                <c:pt idx="49">
                  <c:v>28176.293489472006</c:v>
                </c:pt>
                <c:pt idx="50">
                  <c:v>27881.707788528005</c:v>
                </c:pt>
                <c:pt idx="51">
                  <c:v>27714.516688620006</c:v>
                </c:pt>
                <c:pt idx="52">
                  <c:v>28049.365228248003</c:v>
                </c:pt>
                <c:pt idx="53">
                  <c:v>27987.667832843999</c:v>
                </c:pt>
                <c:pt idx="54">
                  <c:v>28151.319082140002</c:v>
                </c:pt>
                <c:pt idx="55">
                  <c:v>28011.046487543994</c:v>
                </c:pt>
                <c:pt idx="56">
                  <c:v>28144.130691599999</c:v>
                </c:pt>
                <c:pt idx="57">
                  <c:v>27999.218419500001</c:v>
                </c:pt>
                <c:pt idx="58">
                  <c:v>28462.887351000005</c:v>
                </c:pt>
                <c:pt idx="59">
                  <c:v>28046.262609167999</c:v>
                </c:pt>
                <c:pt idx="60">
                  <c:v>28169.322286248</c:v>
                </c:pt>
                <c:pt idx="61">
                  <c:v>28184.416176192</c:v>
                </c:pt>
                <c:pt idx="62">
                  <c:v>28291.351716396006</c:v>
                </c:pt>
                <c:pt idx="63">
                  <c:v>28103.327077056005</c:v>
                </c:pt>
                <c:pt idx="64">
                  <c:v>28327.946725620001</c:v>
                </c:pt>
                <c:pt idx="65">
                  <c:v>27927.166317804</c:v>
                </c:pt>
                <c:pt idx="66">
                  <c:v>28503.629216700007</c:v>
                </c:pt>
                <c:pt idx="67">
                  <c:v>28817.792796240006</c:v>
                </c:pt>
                <c:pt idx="68">
                  <c:v>28782.83682072</c:v>
                </c:pt>
                <c:pt idx="69">
                  <c:v>29038.621927860004</c:v>
                </c:pt>
                <c:pt idx="70">
                  <c:v>28791.886809672003</c:v>
                </c:pt>
                <c:pt idx="71">
                  <c:v>29256.504140808003</c:v>
                </c:pt>
                <c:pt idx="72">
                  <c:v>29522.032646976</c:v>
                </c:pt>
                <c:pt idx="73">
                  <c:v>29192.69448708</c:v>
                </c:pt>
                <c:pt idx="74">
                  <c:v>29305.037006496004</c:v>
                </c:pt>
                <c:pt idx="75">
                  <c:v>29416.223003999999</c:v>
                </c:pt>
                <c:pt idx="76">
                  <c:v>29465.055403776001</c:v>
                </c:pt>
                <c:pt idx="77">
                  <c:v>29130.357993515998</c:v>
                </c:pt>
                <c:pt idx="78">
                  <c:v>29562.272642016003</c:v>
                </c:pt>
                <c:pt idx="79">
                  <c:v>29545.077907223997</c:v>
                </c:pt>
                <c:pt idx="80">
                  <c:v>29627.144769792001</c:v>
                </c:pt>
                <c:pt idx="81">
                  <c:v>29835.603984084002</c:v>
                </c:pt>
                <c:pt idx="82">
                  <c:v>29594.351188944001</c:v>
                </c:pt>
                <c:pt idx="83">
                  <c:v>29653.791792563999</c:v>
                </c:pt>
                <c:pt idx="84">
                  <c:v>29897.610397200002</c:v>
                </c:pt>
                <c:pt idx="85">
                  <c:v>30211.396012080004</c:v>
                </c:pt>
                <c:pt idx="86">
                  <c:v>30971.571687</c:v>
                </c:pt>
                <c:pt idx="87">
                  <c:v>30861.053850995995</c:v>
                </c:pt>
                <c:pt idx="88">
                  <c:v>31067.009429640006</c:v>
                </c:pt>
                <c:pt idx="89">
                  <c:v>30719.836283759996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A0A-48EB-A9BC-8DC913FE9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774800"/>
        <c:axId val="459768816"/>
      </c:lineChart>
      <c:dateAx>
        <c:axId val="459774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9768816"/>
        <c:crosses val="autoZero"/>
        <c:auto val="1"/>
        <c:lblOffset val="100"/>
        <c:baseTimeUnit val="days"/>
      </c:dateAx>
      <c:valAx>
        <c:axId val="4597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977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BOLSA!$C$2</c:f>
              <c:strCache>
                <c:ptCount val="1"/>
                <c:pt idx="0">
                  <c:v>DÓLAR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BOLSA!$C$3:$C$52</c:f>
              <c:numCache>
                <c:formatCode>_-[$$-240A]\ * #,##0.00_-;\-[$$-240A]\ * #,##0.00_-;_-[$$-240A]\ * "-"??_-;_-@_-</c:formatCode>
                <c:ptCount val="50"/>
                <c:pt idx="0">
                  <c:v>4129.43</c:v>
                </c:pt>
                <c:pt idx="1">
                  <c:v>4124.49</c:v>
                </c:pt>
                <c:pt idx="2">
                  <c:v>4146.2</c:v>
                </c:pt>
                <c:pt idx="3">
                  <c:v>4163.8</c:v>
                </c:pt>
                <c:pt idx="4">
                  <c:v>4167.01</c:v>
                </c:pt>
                <c:pt idx="5">
                  <c:v>4144.4799999999996</c:v>
                </c:pt>
                <c:pt idx="6">
                  <c:v>4094.7</c:v>
                </c:pt>
                <c:pt idx="7">
                  <c:v>4095.53</c:v>
                </c:pt>
                <c:pt idx="8">
                  <c:v>4140.1899999999996</c:v>
                </c:pt>
                <c:pt idx="9">
                  <c:v>#N/A</c:v>
                </c:pt>
                <c:pt idx="10">
                  <c:v>#N/A</c:v>
                </c:pt>
                <c:pt idx="11">
                  <c:v>4129.08</c:v>
                </c:pt>
                <c:pt idx="12">
                  <c:v>4119.8999999999996</c:v>
                </c:pt>
                <c:pt idx="13">
                  <c:v>4106.37</c:v>
                </c:pt>
                <c:pt idx="14">
                  <c:v>4090.5</c:v>
                </c:pt>
                <c:pt idx="15">
                  <c:v>4078.65</c:v>
                </c:pt>
                <c:pt idx="16">
                  <c:v>4049.27</c:v>
                </c:pt>
                <c:pt idx="17">
                  <c:v>4009.91</c:v>
                </c:pt>
                <c:pt idx="18">
                  <c:v>3955.21</c:v>
                </c:pt>
                <c:pt idx="19">
                  <c:v>3975.25</c:v>
                </c:pt>
                <c:pt idx="20">
                  <c:v>3993.09</c:v>
                </c:pt>
                <c:pt idx="21">
                  <c:v>3953.88</c:v>
                </c:pt>
                <c:pt idx="22">
                  <c:v>3972.87</c:v>
                </c:pt>
                <c:pt idx="23">
                  <c:v>3999.25</c:v>
                </c:pt>
                <c:pt idx="24">
                  <c:v>4047.22</c:v>
                </c:pt>
                <c:pt idx="25">
                  <c:v>4041.33</c:v>
                </c:pt>
                <c:pt idx="26">
                  <c:v>3995.01</c:v>
                </c:pt>
                <c:pt idx="27">
                  <c:v>4014.08</c:v>
                </c:pt>
                <c:pt idx="28">
                  <c:v>4044.19</c:v>
                </c:pt>
                <c:pt idx="29">
                  <c:v>4042.31</c:v>
                </c:pt>
                <c:pt idx="30">
                  <c:v>4030.02</c:v>
                </c:pt>
                <c:pt idx="31">
                  <c:v>4077.08</c:v>
                </c:pt>
                <c:pt idx="32">
                  <c:v>4077.07</c:v>
                </c:pt>
                <c:pt idx="33">
                  <c:v>4045.51</c:v>
                </c:pt>
                <c:pt idx="34">
                  <c:v>4064.07</c:v>
                </c:pt>
                <c:pt idx="35">
                  <c:v>4116.91</c:v>
                </c:pt>
                <c:pt idx="36">
                  <c:v>4155.3100000000004</c:v>
                </c:pt>
                <c:pt idx="37">
                  <c:v>4140.09</c:v>
                </c:pt>
                <c:pt idx="38">
                  <c:v>4148.24</c:v>
                </c:pt>
                <c:pt idx="39">
                  <c:v>4063.32</c:v>
                </c:pt>
                <c:pt idx="40">
                  <c:v>4073.83</c:v>
                </c:pt>
                <c:pt idx="41">
                  <c:v>4046.96</c:v>
                </c:pt>
                <c:pt idx="42">
                  <c:v>4038.46</c:v>
                </c:pt>
                <c:pt idx="43">
                  <c:v>4037.16</c:v>
                </c:pt>
                <c:pt idx="44">
                  <c:v>4014.8</c:v>
                </c:pt>
                <c:pt idx="45">
                  <c:v>4030.16</c:v>
                </c:pt>
                <c:pt idx="46">
                  <c:v>4023.02</c:v>
                </c:pt>
                <c:pt idx="47">
                  <c:v>4010.2</c:v>
                </c:pt>
                <c:pt idx="48">
                  <c:v>4036.25</c:v>
                </c:pt>
                <c:pt idx="49">
                  <c:v>4069.62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7A-498C-A6C2-DEF6B2EB6215}"/>
            </c:ext>
          </c:extLst>
        </c:ser>
        <c:ser>
          <c:idx val="1"/>
          <c:order val="1"/>
          <c:tx>
            <c:strRef>
              <c:f>BOLSA!$D$2</c:f>
              <c:strCache>
                <c:ptCount val="1"/>
                <c:pt idx="0">
                  <c:v>S&amp;P 500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BOLSA!$D$3:$D$52</c:f>
              <c:numCache>
                <c:formatCode>_-[$$-240A]\ * #,##0.00_-;\-[$$-240A]\ * #,##0.00_-;_-[$$-240A]\ * "-"??_-;_-@_-</c:formatCode>
                <c:ptCount val="50"/>
                <c:pt idx="0">
                  <c:v>5473.23</c:v>
                </c:pt>
                <c:pt idx="1">
                  <c:v>5487.03</c:v>
                </c:pt>
                <c:pt idx="2">
                  <c:v>5483.03</c:v>
                </c:pt>
                <c:pt idx="3">
                  <c:v>5473.16</c:v>
                </c:pt>
                <c:pt idx="4">
                  <c:v>5464.61</c:v>
                </c:pt>
                <c:pt idx="5">
                  <c:v>5447.87</c:v>
                </c:pt>
                <c:pt idx="6">
                  <c:v>5469.3</c:v>
                </c:pt>
                <c:pt idx="7">
                  <c:v>5477.9</c:v>
                </c:pt>
                <c:pt idx="8">
                  <c:v>5482.87</c:v>
                </c:pt>
                <c:pt idx="9">
                  <c:v>5465.2</c:v>
                </c:pt>
                <c:pt idx="10">
                  <c:v>5475.22</c:v>
                </c:pt>
                <c:pt idx="11">
                  <c:v>5509.01</c:v>
                </c:pt>
                <c:pt idx="12">
                  <c:v>5537.01</c:v>
                </c:pt>
                <c:pt idx="13">
                  <c:v>5537.01</c:v>
                </c:pt>
                <c:pt idx="14">
                  <c:v>5567.2</c:v>
                </c:pt>
                <c:pt idx="15">
                  <c:v>5572.86</c:v>
                </c:pt>
                <c:pt idx="16">
                  <c:v>5576.97</c:v>
                </c:pt>
                <c:pt idx="17">
                  <c:v>5616.45</c:v>
                </c:pt>
                <c:pt idx="18">
                  <c:v>5584.55</c:v>
                </c:pt>
                <c:pt idx="19">
                  <c:v>5615.34</c:v>
                </c:pt>
                <c:pt idx="20">
                  <c:v>5631.21</c:v>
                </c:pt>
                <c:pt idx="21">
                  <c:v>5667.21</c:v>
                </c:pt>
                <c:pt idx="22">
                  <c:v>5588.28</c:v>
                </c:pt>
                <c:pt idx="23">
                  <c:v>5544.28</c:v>
                </c:pt>
                <c:pt idx="24">
                  <c:v>5504.99</c:v>
                </c:pt>
                <c:pt idx="25">
                  <c:v>5564.4</c:v>
                </c:pt>
                <c:pt idx="26">
                  <c:v>5555.75</c:v>
                </c:pt>
                <c:pt idx="27">
                  <c:v>5427.12</c:v>
                </c:pt>
                <c:pt idx="28">
                  <c:v>5399.23</c:v>
                </c:pt>
                <c:pt idx="29">
                  <c:v>5459.09</c:v>
                </c:pt>
                <c:pt idx="30">
                  <c:v>5463.55</c:v>
                </c:pt>
                <c:pt idx="31">
                  <c:v>5436.45</c:v>
                </c:pt>
                <c:pt idx="32">
                  <c:v>5522.29</c:v>
                </c:pt>
                <c:pt idx="33">
                  <c:v>5446.69</c:v>
                </c:pt>
                <c:pt idx="34">
                  <c:v>5346.55</c:v>
                </c:pt>
                <c:pt idx="35">
                  <c:v>5186.34</c:v>
                </c:pt>
                <c:pt idx="36">
                  <c:v>5240.04</c:v>
                </c:pt>
                <c:pt idx="37">
                  <c:v>5199.51</c:v>
                </c:pt>
                <c:pt idx="38">
                  <c:v>5319.3</c:v>
                </c:pt>
                <c:pt idx="39">
                  <c:v>5344.15</c:v>
                </c:pt>
                <c:pt idx="40">
                  <c:v>5344.38</c:v>
                </c:pt>
                <c:pt idx="41">
                  <c:v>5434.44</c:v>
                </c:pt>
                <c:pt idx="42">
                  <c:v>5455.2</c:v>
                </c:pt>
                <c:pt idx="43">
                  <c:v>5543.21</c:v>
                </c:pt>
                <c:pt idx="44">
                  <c:v>5554.26</c:v>
                </c:pt>
                <c:pt idx="45">
                  <c:v>5608.24</c:v>
                </c:pt>
                <c:pt idx="46">
                  <c:v>5597.11</c:v>
                </c:pt>
                <c:pt idx="47">
                  <c:v>5620.94</c:v>
                </c:pt>
                <c:pt idx="48">
                  <c:v>5570.65</c:v>
                </c:pt>
                <c:pt idx="49">
                  <c:v>5634.6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7A-498C-A6C2-DEF6B2EB6215}"/>
            </c:ext>
          </c:extLst>
        </c:ser>
        <c:ser>
          <c:idx val="2"/>
          <c:order val="2"/>
          <c:tx>
            <c:strRef>
              <c:f>BOLSA!$E$2</c:f>
              <c:strCache>
                <c:ptCount val="1"/>
                <c:pt idx="0">
                  <c:v>NASDAQ-100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BOLSA!$E$3:$E$52</c:f>
              <c:numCache>
                <c:formatCode>_-[$$-240A]\ * #,##0.00_-;\-[$$-240A]\ * #,##0.00_-;_-[$$-240A]\ * "-"??_-;_-@_-</c:formatCode>
                <c:ptCount val="50"/>
                <c:pt idx="0">
                  <c:v>17857.02</c:v>
                </c:pt>
                <c:pt idx="1">
                  <c:v>19947.25</c:v>
                </c:pt>
                <c:pt idx="2">
                  <c:v>19984.25</c:v>
                </c:pt>
                <c:pt idx="3">
                  <c:v>19781.080000000002</c:v>
                </c:pt>
                <c:pt idx="4">
                  <c:v>19734.099999999999</c:v>
                </c:pt>
                <c:pt idx="5">
                  <c:v>19474.62</c:v>
                </c:pt>
                <c:pt idx="6">
                  <c:v>19701.13</c:v>
                </c:pt>
                <c:pt idx="7">
                  <c:v>19751.05</c:v>
                </c:pt>
                <c:pt idx="8">
                  <c:v>19789.03</c:v>
                </c:pt>
                <c:pt idx="9">
                  <c:v>19718.73</c:v>
                </c:pt>
                <c:pt idx="10">
                  <c:v>19809</c:v>
                </c:pt>
                <c:pt idx="11">
                  <c:v>20011.89</c:v>
                </c:pt>
                <c:pt idx="12">
                  <c:v>20186.63</c:v>
                </c:pt>
                <c:pt idx="13">
                  <c:v>20186.63</c:v>
                </c:pt>
                <c:pt idx="14">
                  <c:v>20391.97</c:v>
                </c:pt>
                <c:pt idx="15">
                  <c:v>20439.54</c:v>
                </c:pt>
                <c:pt idx="16">
                  <c:v>20453.02</c:v>
                </c:pt>
                <c:pt idx="17">
                  <c:v>20630.990000000002</c:v>
                </c:pt>
                <c:pt idx="18">
                  <c:v>20211.36</c:v>
                </c:pt>
                <c:pt idx="19">
                  <c:v>20331.490000000002</c:v>
                </c:pt>
                <c:pt idx="20">
                  <c:v>20386.88</c:v>
                </c:pt>
                <c:pt idx="21">
                  <c:v>20398.62</c:v>
                </c:pt>
                <c:pt idx="22">
                  <c:v>19799.14</c:v>
                </c:pt>
                <c:pt idx="23">
                  <c:v>19705.09</c:v>
                </c:pt>
                <c:pt idx="24">
                  <c:v>19522.62</c:v>
                </c:pt>
                <c:pt idx="25">
                  <c:v>19822.87</c:v>
                </c:pt>
                <c:pt idx="26">
                  <c:v>19754.34</c:v>
                </c:pt>
                <c:pt idx="27">
                  <c:v>19032.39</c:v>
                </c:pt>
                <c:pt idx="28">
                  <c:v>18830.580000000002</c:v>
                </c:pt>
                <c:pt idx="29">
                  <c:v>19023.66</c:v>
                </c:pt>
                <c:pt idx="30">
                  <c:v>19059.490000000002</c:v>
                </c:pt>
                <c:pt idx="31">
                  <c:v>18796.27</c:v>
                </c:pt>
                <c:pt idx="32">
                  <c:v>19362.43</c:v>
                </c:pt>
                <c:pt idx="33">
                  <c:v>18890.39</c:v>
                </c:pt>
                <c:pt idx="34">
                  <c:v>18440.849999999999</c:v>
                </c:pt>
                <c:pt idx="35">
                  <c:v>17895.16</c:v>
                </c:pt>
                <c:pt idx="36">
                  <c:v>18077.919999999998</c:v>
                </c:pt>
                <c:pt idx="37">
                  <c:v>17867.37</c:v>
                </c:pt>
                <c:pt idx="38">
                  <c:v>18413.82</c:v>
                </c:pt>
                <c:pt idx="39">
                  <c:v>18513.099999999999</c:v>
                </c:pt>
                <c:pt idx="40">
                  <c:v>18542.03</c:v>
                </c:pt>
                <c:pt idx="41">
                  <c:v>19006.43</c:v>
                </c:pt>
                <c:pt idx="42">
                  <c:v>19022.68</c:v>
                </c:pt>
                <c:pt idx="43">
                  <c:v>19490.150000000001</c:v>
                </c:pt>
                <c:pt idx="44">
                  <c:v>19508.52</c:v>
                </c:pt>
                <c:pt idx="45">
                  <c:v>19766.490000000002</c:v>
                </c:pt>
                <c:pt idx="46">
                  <c:v>19719.82</c:v>
                </c:pt>
                <c:pt idx="47">
                  <c:v>19824.84</c:v>
                </c:pt>
                <c:pt idx="48">
                  <c:v>19491.84</c:v>
                </c:pt>
                <c:pt idx="49">
                  <c:v>19720.87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47A-498C-A6C2-DEF6B2EB62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9780784"/>
        <c:axId val="459779696"/>
      </c:lineChart>
      <c:dateAx>
        <c:axId val="459780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9779696"/>
        <c:crosses val="autoZero"/>
        <c:auto val="1"/>
        <c:lblOffset val="100"/>
        <c:baseTimeUnit val="days"/>
      </c:dateAx>
      <c:valAx>
        <c:axId val="459779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978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ACCIONES</a:t>
            </a:r>
            <a:r>
              <a:rPr lang="es-CO" baseline="0"/>
              <a:t>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BOLSA!$F$2</c:f>
              <c:strCache>
                <c:ptCount val="1"/>
                <c:pt idx="0">
                  <c:v>KO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BOLSA!$F$3:$F$52</c:f>
              <c:numCache>
                <c:formatCode>_-[$$-240A]\ * #,##0.00_-;\-[$$-240A]\ * #,##0.00_-;_-[$$-240A]\ * "-"??_-;_-@_-</c:formatCode>
                <c:ptCount val="50"/>
                <c:pt idx="0">
                  <c:v>62.62</c:v>
                </c:pt>
                <c:pt idx="1">
                  <c:v>62.63</c:v>
                </c:pt>
                <c:pt idx="2">
                  <c:v>62.63</c:v>
                </c:pt>
                <c:pt idx="3">
                  <c:v>62.18</c:v>
                </c:pt>
                <c:pt idx="4">
                  <c:v>62.77</c:v>
                </c:pt>
                <c:pt idx="5">
                  <c:v>63.97</c:v>
                </c:pt>
                <c:pt idx="6">
                  <c:v>63.84</c:v>
                </c:pt>
                <c:pt idx="7">
                  <c:v>64.05</c:v>
                </c:pt>
                <c:pt idx="8">
                  <c:v>63.91</c:v>
                </c:pt>
                <c:pt idx="9">
                  <c:v>63.59</c:v>
                </c:pt>
                <c:pt idx="10">
                  <c:v>63.32</c:v>
                </c:pt>
                <c:pt idx="11">
                  <c:v>63.15</c:v>
                </c:pt>
                <c:pt idx="12">
                  <c:v>63.33</c:v>
                </c:pt>
                <c:pt idx="13">
                  <c:v>63.33</c:v>
                </c:pt>
                <c:pt idx="14">
                  <c:v>63.76</c:v>
                </c:pt>
                <c:pt idx="15">
                  <c:v>62.96</c:v>
                </c:pt>
                <c:pt idx="16">
                  <c:v>62.69</c:v>
                </c:pt>
                <c:pt idx="17">
                  <c:v>62.59</c:v>
                </c:pt>
                <c:pt idx="18">
                  <c:v>63.1</c:v>
                </c:pt>
                <c:pt idx="19">
                  <c:v>63.72</c:v>
                </c:pt>
                <c:pt idx="20">
                  <c:v>63.41</c:v>
                </c:pt>
                <c:pt idx="21">
                  <c:v>64.27</c:v>
                </c:pt>
                <c:pt idx="22">
                  <c:v>65.209999999999994</c:v>
                </c:pt>
                <c:pt idx="23">
                  <c:v>65.19</c:v>
                </c:pt>
                <c:pt idx="24">
                  <c:v>65.290000000000006</c:v>
                </c:pt>
                <c:pt idx="25">
                  <c:v>64.77</c:v>
                </c:pt>
                <c:pt idx="26">
                  <c:v>64.959999999999994</c:v>
                </c:pt>
                <c:pt idx="27">
                  <c:v>65.81</c:v>
                </c:pt>
                <c:pt idx="28">
                  <c:v>66.069999999999993</c:v>
                </c:pt>
                <c:pt idx="29">
                  <c:v>67.05</c:v>
                </c:pt>
                <c:pt idx="30">
                  <c:v>66.83</c:v>
                </c:pt>
                <c:pt idx="31">
                  <c:v>67.680000000000007</c:v>
                </c:pt>
                <c:pt idx="32">
                  <c:v>66.739999999999995</c:v>
                </c:pt>
                <c:pt idx="33">
                  <c:v>67.959999999999994</c:v>
                </c:pt>
                <c:pt idx="34">
                  <c:v>69.33</c:v>
                </c:pt>
                <c:pt idx="35">
                  <c:v>68.099999999999994</c:v>
                </c:pt>
                <c:pt idx="36">
                  <c:v>68.05</c:v>
                </c:pt>
                <c:pt idx="37">
                  <c:v>68.459999999999994</c:v>
                </c:pt>
                <c:pt idx="38">
                  <c:v>68.73</c:v>
                </c:pt>
                <c:pt idx="39">
                  <c:v>68.680000000000007</c:v>
                </c:pt>
                <c:pt idx="40">
                  <c:v>68.17</c:v>
                </c:pt>
                <c:pt idx="41">
                  <c:v>68.459999999999994</c:v>
                </c:pt>
                <c:pt idx="42">
                  <c:v>68.58</c:v>
                </c:pt>
                <c:pt idx="43">
                  <c:v>68.650000000000006</c:v>
                </c:pt>
                <c:pt idx="44">
                  <c:v>69.180000000000007</c:v>
                </c:pt>
                <c:pt idx="45">
                  <c:v>68.98</c:v>
                </c:pt>
                <c:pt idx="46">
                  <c:v>69.38</c:v>
                </c:pt>
                <c:pt idx="47">
                  <c:v>69.569999999999993</c:v>
                </c:pt>
                <c:pt idx="48">
                  <c:v>69.33</c:v>
                </c:pt>
                <c:pt idx="49">
                  <c:v>69.790000000000006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1A-4066-B239-09FE80CECF66}"/>
            </c:ext>
          </c:extLst>
        </c:ser>
        <c:ser>
          <c:idx val="1"/>
          <c:order val="1"/>
          <c:tx>
            <c:strRef>
              <c:f>BOLSA!$G$2</c:f>
              <c:strCache>
                <c:ptCount val="1"/>
                <c:pt idx="0">
                  <c:v>JNJ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BOLSA!$G$3:$G$52</c:f>
              <c:numCache>
                <c:formatCode>_-[$$-240A]\ * #,##0.00_-;\-[$$-240A]\ * #,##0.00_-;_-[$$-240A]\ * "-"??_-;_-@_-</c:formatCode>
                <c:ptCount val="50"/>
                <c:pt idx="0">
                  <c:v>145.94999999999999</c:v>
                </c:pt>
                <c:pt idx="1">
                  <c:v>145.65</c:v>
                </c:pt>
                <c:pt idx="2">
                  <c:v>145.65</c:v>
                </c:pt>
                <c:pt idx="3">
                  <c:v>147.78</c:v>
                </c:pt>
                <c:pt idx="4">
                  <c:v>148.75</c:v>
                </c:pt>
                <c:pt idx="5">
                  <c:v>149.12</c:v>
                </c:pt>
                <c:pt idx="6">
                  <c:v>147.19</c:v>
                </c:pt>
                <c:pt idx="7">
                  <c:v>146.82</c:v>
                </c:pt>
                <c:pt idx="8">
                  <c:v>145.80000000000001</c:v>
                </c:pt>
                <c:pt idx="9">
                  <c:v>145.9</c:v>
                </c:pt>
                <c:pt idx="10">
                  <c:v>146.34</c:v>
                </c:pt>
                <c:pt idx="11">
                  <c:v>146.03</c:v>
                </c:pt>
                <c:pt idx="12">
                  <c:v>145.69</c:v>
                </c:pt>
                <c:pt idx="13">
                  <c:v>145.69</c:v>
                </c:pt>
                <c:pt idx="14">
                  <c:v>146.47999999999999</c:v>
                </c:pt>
                <c:pt idx="15">
                  <c:v>145.47999999999999</c:v>
                </c:pt>
                <c:pt idx="16">
                  <c:v>147.05000000000001</c:v>
                </c:pt>
                <c:pt idx="17">
                  <c:v>148.62</c:v>
                </c:pt>
                <c:pt idx="18">
                  <c:v>149.69999999999999</c:v>
                </c:pt>
                <c:pt idx="19">
                  <c:v>149.88999999999999</c:v>
                </c:pt>
                <c:pt idx="20">
                  <c:v>149.24</c:v>
                </c:pt>
                <c:pt idx="21">
                  <c:v>151.01</c:v>
                </c:pt>
                <c:pt idx="22">
                  <c:v>156.58000000000001</c:v>
                </c:pt>
                <c:pt idx="23">
                  <c:v>155.41999999999999</c:v>
                </c:pt>
                <c:pt idx="24">
                  <c:v>154.69</c:v>
                </c:pt>
                <c:pt idx="25">
                  <c:v>154.24</c:v>
                </c:pt>
                <c:pt idx="26">
                  <c:v>152.35</c:v>
                </c:pt>
                <c:pt idx="27">
                  <c:v>156.28</c:v>
                </c:pt>
                <c:pt idx="28">
                  <c:v>159.63999999999999</c:v>
                </c:pt>
                <c:pt idx="29">
                  <c:v>160.63999999999999</c:v>
                </c:pt>
                <c:pt idx="30">
                  <c:v>158.56</c:v>
                </c:pt>
                <c:pt idx="31">
                  <c:v>161.33000000000001</c:v>
                </c:pt>
                <c:pt idx="32">
                  <c:v>157.85</c:v>
                </c:pt>
                <c:pt idx="33">
                  <c:v>160.76</c:v>
                </c:pt>
                <c:pt idx="34">
                  <c:v>164.14</c:v>
                </c:pt>
                <c:pt idx="35">
                  <c:v>161.25</c:v>
                </c:pt>
                <c:pt idx="36">
                  <c:v>158.97</c:v>
                </c:pt>
                <c:pt idx="37">
                  <c:v>158.9</c:v>
                </c:pt>
                <c:pt idx="38">
                  <c:v>160.22</c:v>
                </c:pt>
                <c:pt idx="39">
                  <c:v>160.62</c:v>
                </c:pt>
                <c:pt idx="40">
                  <c:v>159.88</c:v>
                </c:pt>
                <c:pt idx="41">
                  <c:v>158.38999999999999</c:v>
                </c:pt>
                <c:pt idx="42">
                  <c:v>158.47999999999999</c:v>
                </c:pt>
                <c:pt idx="43">
                  <c:v>159.09</c:v>
                </c:pt>
                <c:pt idx="44">
                  <c:v>159.38999999999999</c:v>
                </c:pt>
                <c:pt idx="45">
                  <c:v>159.63</c:v>
                </c:pt>
                <c:pt idx="46">
                  <c:v>160.16</c:v>
                </c:pt>
                <c:pt idx="47">
                  <c:v>161.43</c:v>
                </c:pt>
                <c:pt idx="48">
                  <c:v>162.35</c:v>
                </c:pt>
                <c:pt idx="49">
                  <c:v>164.13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71A-4066-B239-09FE80CECF66}"/>
            </c:ext>
          </c:extLst>
        </c:ser>
        <c:ser>
          <c:idx val="2"/>
          <c:order val="2"/>
          <c:tx>
            <c:strRef>
              <c:f>BOLSA!$H$2</c:f>
              <c:strCache>
                <c:ptCount val="1"/>
                <c:pt idx="0">
                  <c:v>PG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BOLSA!$H$3:$H$52</c:f>
              <c:numCache>
                <c:formatCode>_-[$$-240A]\ * #,##0.00_-;\-[$$-240A]\ * #,##0.00_-;_-[$$-240A]\ * "-"??_-;_-@_-</c:formatCode>
                <c:ptCount val="50"/>
                <c:pt idx="0">
                  <c:v>167.5</c:v>
                </c:pt>
                <c:pt idx="1">
                  <c:v>168.56</c:v>
                </c:pt>
                <c:pt idx="2">
                  <c:v>168.56</c:v>
                </c:pt>
                <c:pt idx="3">
                  <c:v>167.67</c:v>
                </c:pt>
                <c:pt idx="4">
                  <c:v>168.26</c:v>
                </c:pt>
                <c:pt idx="5">
                  <c:v>168.45</c:v>
                </c:pt>
                <c:pt idx="6">
                  <c:v>166.85</c:v>
                </c:pt>
                <c:pt idx="7">
                  <c:v>167.45</c:v>
                </c:pt>
                <c:pt idx="8">
                  <c:v>166.62</c:v>
                </c:pt>
                <c:pt idx="9">
                  <c:v>164.68</c:v>
                </c:pt>
                <c:pt idx="10">
                  <c:v>162.9</c:v>
                </c:pt>
                <c:pt idx="11">
                  <c:v>163.9</c:v>
                </c:pt>
                <c:pt idx="12">
                  <c:v>163.83000000000001</c:v>
                </c:pt>
                <c:pt idx="13">
                  <c:v>163.83000000000001</c:v>
                </c:pt>
                <c:pt idx="14">
                  <c:v>165.21</c:v>
                </c:pt>
                <c:pt idx="15">
                  <c:v>166.52</c:v>
                </c:pt>
                <c:pt idx="16">
                  <c:v>165.66</c:v>
                </c:pt>
                <c:pt idx="17">
                  <c:v>166.56</c:v>
                </c:pt>
                <c:pt idx="18">
                  <c:v>165.54</c:v>
                </c:pt>
                <c:pt idx="19">
                  <c:v>166.61</c:v>
                </c:pt>
                <c:pt idx="20">
                  <c:v>164.58</c:v>
                </c:pt>
                <c:pt idx="21">
                  <c:v>166.95</c:v>
                </c:pt>
                <c:pt idx="22">
                  <c:v>169.44</c:v>
                </c:pt>
                <c:pt idx="23">
                  <c:v>168.44</c:v>
                </c:pt>
                <c:pt idx="24">
                  <c:v>167.96</c:v>
                </c:pt>
                <c:pt idx="25">
                  <c:v>168.25</c:v>
                </c:pt>
                <c:pt idx="26">
                  <c:v>166.62</c:v>
                </c:pt>
                <c:pt idx="27">
                  <c:v>168</c:v>
                </c:pt>
                <c:pt idx="28">
                  <c:v>166.9</c:v>
                </c:pt>
                <c:pt idx="29">
                  <c:v>169.11</c:v>
                </c:pt>
                <c:pt idx="30">
                  <c:v>169.93</c:v>
                </c:pt>
                <c:pt idx="31">
                  <c:v>161.69999999999999</c:v>
                </c:pt>
                <c:pt idx="32">
                  <c:v>160.76</c:v>
                </c:pt>
                <c:pt idx="33">
                  <c:v>165.69</c:v>
                </c:pt>
                <c:pt idx="34">
                  <c:v>170.08</c:v>
                </c:pt>
                <c:pt idx="35">
                  <c:v>168.06</c:v>
                </c:pt>
                <c:pt idx="36">
                  <c:v>168.09</c:v>
                </c:pt>
                <c:pt idx="37">
                  <c:v>170.02</c:v>
                </c:pt>
                <c:pt idx="38">
                  <c:v>170.87</c:v>
                </c:pt>
                <c:pt idx="39">
                  <c:v>170.54</c:v>
                </c:pt>
                <c:pt idx="40">
                  <c:v>166.81</c:v>
                </c:pt>
                <c:pt idx="41">
                  <c:v>167.29</c:v>
                </c:pt>
                <c:pt idx="42">
                  <c:v>168.8</c:v>
                </c:pt>
                <c:pt idx="43">
                  <c:v>167.92</c:v>
                </c:pt>
                <c:pt idx="44">
                  <c:v>167.89</c:v>
                </c:pt>
                <c:pt idx="45">
                  <c:v>168.42</c:v>
                </c:pt>
                <c:pt idx="46">
                  <c:v>170.41</c:v>
                </c:pt>
                <c:pt idx="47">
                  <c:v>170.16</c:v>
                </c:pt>
                <c:pt idx="48">
                  <c:v>170.15</c:v>
                </c:pt>
                <c:pt idx="49">
                  <c:v>169.17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71A-4066-B239-09FE80CECF66}"/>
            </c:ext>
          </c:extLst>
        </c:ser>
        <c:ser>
          <c:idx val="3"/>
          <c:order val="3"/>
          <c:tx>
            <c:strRef>
              <c:f>BOLSA!$I$2</c:f>
              <c:strCache>
                <c:ptCount val="1"/>
                <c:pt idx="0">
                  <c:v>PEP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BOLSA!$I$3:$I$52</c:f>
              <c:numCache>
                <c:formatCode>_-[$$-240A]\ * #,##0.00_-;\-[$$-240A]\ * #,##0.00_-;_-[$$-240A]\ * "-"??_-;_-@_-</c:formatCode>
                <c:ptCount val="50"/>
                <c:pt idx="0">
                  <c:v>166.14</c:v>
                </c:pt>
                <c:pt idx="1">
                  <c:v>166.48</c:v>
                </c:pt>
                <c:pt idx="2">
                  <c:v>166.48</c:v>
                </c:pt>
                <c:pt idx="3">
                  <c:v>166.68</c:v>
                </c:pt>
                <c:pt idx="4">
                  <c:v>167.28</c:v>
                </c:pt>
                <c:pt idx="5">
                  <c:v>168.08</c:v>
                </c:pt>
                <c:pt idx="6">
                  <c:v>167.35</c:v>
                </c:pt>
                <c:pt idx="7">
                  <c:v>166.74</c:v>
                </c:pt>
                <c:pt idx="8">
                  <c:v>166.26</c:v>
                </c:pt>
                <c:pt idx="9">
                  <c:v>165.09</c:v>
                </c:pt>
                <c:pt idx="10">
                  <c:v>163.28</c:v>
                </c:pt>
                <c:pt idx="11">
                  <c:v>163.58000000000001</c:v>
                </c:pt>
                <c:pt idx="12">
                  <c:v>162.6</c:v>
                </c:pt>
                <c:pt idx="13">
                  <c:v>162.6</c:v>
                </c:pt>
                <c:pt idx="14">
                  <c:v>164.39</c:v>
                </c:pt>
                <c:pt idx="15">
                  <c:v>162.12</c:v>
                </c:pt>
                <c:pt idx="16">
                  <c:v>161.9</c:v>
                </c:pt>
                <c:pt idx="17">
                  <c:v>162.91999999999999</c:v>
                </c:pt>
                <c:pt idx="18">
                  <c:v>163.95</c:v>
                </c:pt>
                <c:pt idx="19">
                  <c:v>166.38</c:v>
                </c:pt>
                <c:pt idx="20">
                  <c:v>163.86</c:v>
                </c:pt>
                <c:pt idx="21">
                  <c:v>164.76</c:v>
                </c:pt>
                <c:pt idx="22">
                  <c:v>169.89</c:v>
                </c:pt>
                <c:pt idx="23">
                  <c:v>170.37</c:v>
                </c:pt>
                <c:pt idx="24">
                  <c:v>169.36</c:v>
                </c:pt>
                <c:pt idx="25">
                  <c:v>167.66</c:v>
                </c:pt>
                <c:pt idx="26">
                  <c:v>166.28</c:v>
                </c:pt>
                <c:pt idx="27">
                  <c:v>168.17</c:v>
                </c:pt>
                <c:pt idx="28">
                  <c:v>171.02</c:v>
                </c:pt>
                <c:pt idx="29">
                  <c:v>172.75</c:v>
                </c:pt>
                <c:pt idx="30">
                  <c:v>173.21</c:v>
                </c:pt>
                <c:pt idx="31">
                  <c:v>173.18</c:v>
                </c:pt>
                <c:pt idx="32">
                  <c:v>172.67</c:v>
                </c:pt>
                <c:pt idx="33">
                  <c:v>174.96</c:v>
                </c:pt>
                <c:pt idx="34">
                  <c:v>178.04</c:v>
                </c:pt>
                <c:pt idx="35">
                  <c:v>174.04</c:v>
                </c:pt>
                <c:pt idx="36">
                  <c:v>172.49</c:v>
                </c:pt>
                <c:pt idx="37">
                  <c:v>171.79</c:v>
                </c:pt>
                <c:pt idx="38">
                  <c:v>172.37</c:v>
                </c:pt>
                <c:pt idx="39">
                  <c:v>172.39</c:v>
                </c:pt>
                <c:pt idx="40">
                  <c:v>171.42</c:v>
                </c:pt>
                <c:pt idx="41">
                  <c:v>172.37</c:v>
                </c:pt>
                <c:pt idx="42">
                  <c:v>173.31</c:v>
                </c:pt>
                <c:pt idx="43">
                  <c:v>172.52</c:v>
                </c:pt>
                <c:pt idx="44">
                  <c:v>172.62</c:v>
                </c:pt>
                <c:pt idx="45">
                  <c:v>173.82</c:v>
                </c:pt>
                <c:pt idx="46">
                  <c:v>175.85</c:v>
                </c:pt>
                <c:pt idx="47">
                  <c:v>175.21</c:v>
                </c:pt>
                <c:pt idx="48">
                  <c:v>175.74</c:v>
                </c:pt>
                <c:pt idx="49">
                  <c:v>175.87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71A-4066-B239-09FE80CECF66}"/>
            </c:ext>
          </c:extLst>
        </c:ser>
        <c:ser>
          <c:idx val="4"/>
          <c:order val="4"/>
          <c:tx>
            <c:strRef>
              <c:f>BOLSA!$J$2</c:f>
              <c:strCache>
                <c:ptCount val="1"/>
                <c:pt idx="0">
                  <c:v>MSFT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BOLSA!$J$3:$J$52</c:f>
              <c:numCache>
                <c:formatCode>_-[$$-240A]\ * #,##0.00_-;\-[$$-240A]\ * #,##0.00_-;_-[$$-240A]\ * "-"??_-;_-@_-</c:formatCode>
                <c:ptCount val="50"/>
                <c:pt idx="12">
                  <c:v>460.77</c:v>
                </c:pt>
                <c:pt idx="13">
                  <c:v>460.77</c:v>
                </c:pt>
                <c:pt idx="14">
                  <c:v>467.56</c:v>
                </c:pt>
                <c:pt idx="15">
                  <c:v>466.24</c:v>
                </c:pt>
                <c:pt idx="16">
                  <c:v>459.54</c:v>
                </c:pt>
                <c:pt idx="17">
                  <c:v>463.95</c:v>
                </c:pt>
                <c:pt idx="18">
                  <c:v>454.7</c:v>
                </c:pt>
                <c:pt idx="19">
                  <c:v>453.55</c:v>
                </c:pt>
                <c:pt idx="20">
                  <c:v>453.96</c:v>
                </c:pt>
                <c:pt idx="21">
                  <c:v>449.52</c:v>
                </c:pt>
                <c:pt idx="22">
                  <c:v>443.52</c:v>
                </c:pt>
                <c:pt idx="23">
                  <c:v>440.37</c:v>
                </c:pt>
                <c:pt idx="24">
                  <c:v>437.11</c:v>
                </c:pt>
                <c:pt idx="25">
                  <c:v>442.94</c:v>
                </c:pt>
                <c:pt idx="26">
                  <c:v>444.85</c:v>
                </c:pt>
                <c:pt idx="27">
                  <c:v>428.9</c:v>
                </c:pt>
                <c:pt idx="28">
                  <c:v>418.4</c:v>
                </c:pt>
                <c:pt idx="29">
                  <c:v>425.27</c:v>
                </c:pt>
                <c:pt idx="30">
                  <c:v>426.73</c:v>
                </c:pt>
                <c:pt idx="31">
                  <c:v>422.92</c:v>
                </c:pt>
                <c:pt idx="32">
                  <c:v>418.35</c:v>
                </c:pt>
                <c:pt idx="33">
                  <c:v>417.11</c:v>
                </c:pt>
                <c:pt idx="34">
                  <c:v>408.49</c:v>
                </c:pt>
                <c:pt idx="35">
                  <c:v>395.15</c:v>
                </c:pt>
                <c:pt idx="36">
                  <c:v>399.61</c:v>
                </c:pt>
                <c:pt idx="37">
                  <c:v>398.43</c:v>
                </c:pt>
                <c:pt idx="38">
                  <c:v>402.69</c:v>
                </c:pt>
                <c:pt idx="39">
                  <c:v>406.02</c:v>
                </c:pt>
                <c:pt idx="40">
                  <c:v>406.06</c:v>
                </c:pt>
                <c:pt idx="41">
                  <c:v>414.01</c:v>
                </c:pt>
                <c:pt idx="42">
                  <c:v>416.86</c:v>
                </c:pt>
                <c:pt idx="43">
                  <c:v>421.03</c:v>
                </c:pt>
                <c:pt idx="44">
                  <c:v>418.47</c:v>
                </c:pt>
                <c:pt idx="45">
                  <c:v>421.53</c:v>
                </c:pt>
                <c:pt idx="46">
                  <c:v>424.8</c:v>
                </c:pt>
                <c:pt idx="47">
                  <c:v>424.14</c:v>
                </c:pt>
                <c:pt idx="48">
                  <c:v>415.55</c:v>
                </c:pt>
                <c:pt idx="49">
                  <c:v>416.79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71A-4066-B239-09FE80CECF66}"/>
            </c:ext>
          </c:extLst>
        </c:ser>
        <c:ser>
          <c:idx val="5"/>
          <c:order val="5"/>
          <c:tx>
            <c:strRef>
              <c:f>BOLSA!$K$2</c:f>
              <c:strCache>
                <c:ptCount val="1"/>
                <c:pt idx="0">
                  <c:v>MCD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BOLSA!$K$3:$K$52</c:f>
              <c:numCache>
                <c:formatCode>_-[$$-240A]\ * #,##0.00_-;\-[$$-240A]\ * #,##0.00_-;_-[$$-240A]\ * "-"??_-;_-@_-</c:formatCode>
                <c:ptCount val="50"/>
                <c:pt idx="0">
                  <c:v>253.51</c:v>
                </c:pt>
                <c:pt idx="1">
                  <c:v>250.79</c:v>
                </c:pt>
                <c:pt idx="2">
                  <c:v>250.79</c:v>
                </c:pt>
                <c:pt idx="3">
                  <c:v>253.8</c:v>
                </c:pt>
                <c:pt idx="4">
                  <c:v>259.39</c:v>
                </c:pt>
                <c:pt idx="5">
                  <c:v>260.38</c:v>
                </c:pt>
                <c:pt idx="6">
                  <c:v>257.38</c:v>
                </c:pt>
                <c:pt idx="7">
                  <c:v>257.83</c:v>
                </c:pt>
                <c:pt idx="8">
                  <c:v>258.17</c:v>
                </c:pt>
                <c:pt idx="9">
                  <c:v>253.56</c:v>
                </c:pt>
                <c:pt idx="10">
                  <c:v>249.81</c:v>
                </c:pt>
                <c:pt idx="11">
                  <c:v>247.79</c:v>
                </c:pt>
                <c:pt idx="12">
                  <c:v>250</c:v>
                </c:pt>
                <c:pt idx="13">
                  <c:v>250</c:v>
                </c:pt>
                <c:pt idx="14">
                  <c:v>251.09</c:v>
                </c:pt>
                <c:pt idx="15">
                  <c:v>247.85</c:v>
                </c:pt>
                <c:pt idx="16">
                  <c:v>245.82</c:v>
                </c:pt>
                <c:pt idx="17">
                  <c:v>248.89</c:v>
                </c:pt>
                <c:pt idx="18">
                  <c:v>254.8</c:v>
                </c:pt>
                <c:pt idx="19">
                  <c:v>253.9</c:v>
                </c:pt>
                <c:pt idx="20">
                  <c:v>251.53</c:v>
                </c:pt>
                <c:pt idx="21">
                  <c:v>257.27</c:v>
                </c:pt>
                <c:pt idx="22">
                  <c:v>261</c:v>
                </c:pt>
                <c:pt idx="23">
                  <c:v>259.52</c:v>
                </c:pt>
                <c:pt idx="24">
                  <c:v>257.27999999999997</c:v>
                </c:pt>
                <c:pt idx="25">
                  <c:v>259.54000000000002</c:v>
                </c:pt>
                <c:pt idx="26">
                  <c:v>254.05</c:v>
                </c:pt>
                <c:pt idx="27">
                  <c:v>253.37</c:v>
                </c:pt>
                <c:pt idx="28">
                  <c:v>251.46</c:v>
                </c:pt>
                <c:pt idx="29">
                  <c:v>252</c:v>
                </c:pt>
                <c:pt idx="30">
                  <c:v>261.42</c:v>
                </c:pt>
                <c:pt idx="31">
                  <c:v>266.44</c:v>
                </c:pt>
                <c:pt idx="32">
                  <c:v>265.39999999999998</c:v>
                </c:pt>
                <c:pt idx="33">
                  <c:v>268.75</c:v>
                </c:pt>
                <c:pt idx="34">
                  <c:v>276.69</c:v>
                </c:pt>
                <c:pt idx="35">
                  <c:v>268.45</c:v>
                </c:pt>
                <c:pt idx="36">
                  <c:v>270.06</c:v>
                </c:pt>
                <c:pt idx="37">
                  <c:v>269.37</c:v>
                </c:pt>
                <c:pt idx="38">
                  <c:v>271.19</c:v>
                </c:pt>
                <c:pt idx="39">
                  <c:v>267.91000000000003</c:v>
                </c:pt>
                <c:pt idx="40">
                  <c:v>269.45999999999998</c:v>
                </c:pt>
                <c:pt idx="41">
                  <c:v>270.31</c:v>
                </c:pt>
                <c:pt idx="42">
                  <c:v>271.14999999999998</c:v>
                </c:pt>
                <c:pt idx="43">
                  <c:v>274.87</c:v>
                </c:pt>
                <c:pt idx="44">
                  <c:v>278.49</c:v>
                </c:pt>
                <c:pt idx="45">
                  <c:v>287.55</c:v>
                </c:pt>
                <c:pt idx="46">
                  <c:v>285.63</c:v>
                </c:pt>
                <c:pt idx="47">
                  <c:v>289.70999999999998</c:v>
                </c:pt>
                <c:pt idx="48">
                  <c:v>289.20999999999998</c:v>
                </c:pt>
                <c:pt idx="49">
                  <c:v>289.52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71A-4066-B239-09FE80CECF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9772624"/>
        <c:axId val="459766640"/>
      </c:lineChart>
      <c:dateAx>
        <c:axId val="459772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9766640"/>
        <c:crosses val="autoZero"/>
        <c:auto val="1"/>
        <c:lblOffset val="100"/>
        <c:baseTimeUnit val="days"/>
      </c:dateAx>
      <c:valAx>
        <c:axId val="4597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977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</xdr:colOff>
      <xdr:row>6</xdr:row>
      <xdr:rowOff>104775</xdr:rowOff>
    </xdr:from>
    <xdr:to>
      <xdr:col>24</xdr:col>
      <xdr:colOff>1181100</xdr:colOff>
      <xdr:row>21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0</xdr:row>
      <xdr:rowOff>185735</xdr:rowOff>
    </xdr:from>
    <xdr:to>
      <xdr:col>31</xdr:col>
      <xdr:colOff>504824</xdr:colOff>
      <xdr:row>36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D92835F9-C7F3-545E-FB04-06952DB02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</xdr:colOff>
      <xdr:row>0</xdr:row>
      <xdr:rowOff>166687</xdr:rowOff>
    </xdr:from>
    <xdr:to>
      <xdr:col>34</xdr:col>
      <xdr:colOff>638174</xdr:colOff>
      <xdr:row>21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11115F50-93D4-B74E-FD40-A1C1BD9D4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761999</xdr:colOff>
      <xdr:row>3</xdr:row>
      <xdr:rowOff>33337</xdr:rowOff>
    </xdr:from>
    <xdr:to>
      <xdr:col>30</xdr:col>
      <xdr:colOff>314324</xdr:colOff>
      <xdr:row>17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D3444A9-0FAA-5A85-BA8C-E32A79896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18</xdr:row>
      <xdr:rowOff>119061</xdr:rowOff>
    </xdr:from>
    <xdr:to>
      <xdr:col>30</xdr:col>
      <xdr:colOff>342900</xdr:colOff>
      <xdr:row>40</xdr:row>
      <xdr:rowOff>104774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9A95013C-61DC-82BC-67A7-CED152560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Tabla8" displayName="Tabla8" ref="B2:I37" totalsRowShown="0">
  <autoFilter ref="B2:I37"/>
  <tableColumns count="8">
    <tableColumn id="1" name="MES"/>
    <tableColumn id="2" name="TIPO DE INVERSION"/>
    <tableColumn id="7" name="NOMBRE"/>
    <tableColumn id="3" name="CAPITAL A INICIO DE MES" dataCellStyle="Moneda"/>
    <tableColumn id="8" name="CAPITAL INVERTIDO ESTE MES" dataDxfId="120" dataCellStyle="Moneda"/>
    <tableColumn id="4" name="CAPITAL A FIN DE MES" dataCellStyle="Moneda"/>
    <tableColumn id="5" name="GANANCIA/PERDIDA" dataCellStyle="Moneda">
      <calculatedColumnFormula>(Tabla8[[#This Row],[CAPITAL A FIN DE MES]]-(Tabla8[[#This Row],[CAPITAL A INICIO DE MES]]+Tabla8[[#This Row],[CAPITAL INVERTIDO ESTE MES]]))</calculatedColumnFormula>
    </tableColumn>
    <tableColumn id="6" name="RENTABILIDAD" dataCellStyle="Porcentaje">
      <calculatedColumnFormula>(Tabla8[[#This Row],[CAPITAL A FIN DE MES]]-Tabla8[[#This Row],[CAPITAL A INICIO DE MES]])/Tabla8[[#This Row],[CAPITAL A INICIO DE MES]]</calculatedColumnFormula>
    </tableColumn>
  </tableColumns>
  <tableStyleInfo name="Estilo de tabla 5" showFirstColumn="0" showLastColumn="0" showRowStripes="1" showColumnStripes="0"/>
</table>
</file>

<file path=xl/tables/table10.xml><?xml version="1.0" encoding="utf-8"?>
<table xmlns="http://schemas.openxmlformats.org/spreadsheetml/2006/main" id="3" name="Tabla3" displayName="Tabla3" ref="B2:T14" totalsRowShown="0" headerRowDxfId="82">
  <autoFilter ref="B2:T14"/>
  <tableColumns count="19">
    <tableColumn id="1" name="FECHA ACTUAL" dataDxfId="81">
      <calculatedColumnFormula>TODAY()</calculatedColumnFormula>
    </tableColumn>
    <tableColumn id="2" name="PRECIO ACT KO" dataDxfId="80" dataCellStyle="Moneda">
      <calculatedColumnFormula>VLOOKUP(B3,Tabla1[],5,FALSE)</calculatedColumnFormula>
    </tableColumn>
    <tableColumn id="3" name="PRECIO ACT JNJ" dataDxfId="79">
      <calculatedColumnFormula>VLOOKUP(B3,Tabla1[],6,FALSE)</calculatedColumnFormula>
    </tableColumn>
    <tableColumn id="4" name="PRECIO ACT PG" dataDxfId="78">
      <calculatedColumnFormula>VLOOKUP(B3,Tabla1[],7,FALSE)</calculatedColumnFormula>
    </tableColumn>
    <tableColumn id="5" name="PRECIO ACT PEP" dataDxfId="77">
      <calculatedColumnFormula>VLOOKUP(B3,Tabla1[],8,FALSE)</calculatedColumnFormula>
    </tableColumn>
    <tableColumn id="6" name="PRECIO ACT MSFT" dataDxfId="76">
      <calculatedColumnFormula>VLOOKUP(B3,Tabla1[],9,FALSE)</calculatedColumnFormula>
    </tableColumn>
    <tableColumn id="7" name="PRECIO ACT MCD" dataDxfId="75">
      <calculatedColumnFormula>VLOOKUP(B3,Tabla1[],10,FALSE)</calculatedColumnFormula>
    </tableColumn>
    <tableColumn id="20" name="PRECIO ACT VOO" dataDxfId="74">
      <calculatedColumnFormula>VLOOKUP(B3,Tabla2[],3,FALSE)</calculatedColumnFormula>
    </tableColumn>
    <tableColumn id="8" name="EMPRESA" dataDxfId="73"/>
    <tableColumn id="9" name="FECHA COMPRA" dataDxfId="72"/>
    <tableColumn id="10" name="PRECIO COMPRA" dataDxfId="71" dataCellStyle="Moneda"/>
    <tableColumn id="11" name="CAPITAL INVE" dataDxfId="70" dataCellStyle="Moneda"/>
    <tableColumn id="12" name="CANTIDAD DE ACCIONES" dataDxfId="69" dataCellStyle="Moneda">
      <calculatedColumnFormula>(M3/L3)</calculatedColumnFormula>
    </tableColumn>
    <tableColumn id="13" name="VALOR ACTUAL INVE" dataDxfId="68" dataCellStyle="Moneda">
      <calculatedColumnFormula>ROUND(IF(J3="KO",N3*C3,IF(J3="JNJ",N3*D3,IF(J3="PG",N3*E3,IF(J3="PEP",N3*F3,IF(J3="MSFT",N3*G3,IF(J3="MCD",N3*H3,IF(J3="VOO",N3*I3,0))))))),2)</calculatedColumnFormula>
    </tableColumn>
    <tableColumn id="14" name="FECHA DIVIDENDO" dataDxfId="67"/>
    <tableColumn id="15" name="VALOR DIVIDENDO POR ACCION" dataDxfId="66" dataCellStyle="Moneda"/>
    <tableColumn id="16" name="TOTAL DIVIDENDO RECIBIDO" dataDxfId="65" dataCellStyle="Moneda">
      <calculatedColumnFormula>ROUND(Q3*N3,2)</calculatedColumnFormula>
    </tableColumn>
    <tableColumn id="17" name="GANACIA/PERDIDA" dataDxfId="64" dataCellStyle="Moneda">
      <calculatedColumnFormula>ROUND(O3-M3,2)</calculatedColumnFormula>
    </tableColumn>
    <tableColumn id="18" name="RENTABILIDAD" dataDxfId="63" dataCellStyle="Porcentaje">
      <calculatedColumnFormula>ROUND((S3+R3)/M3,2)</calculatedColumnFormula>
    </tableColumn>
  </tableColumns>
  <tableStyleInfo name="Estilo de tabla 3" showFirstColumn="0" showLastColumn="0" showRowStripes="1" showColumnStripes="0"/>
</table>
</file>

<file path=xl/tables/table2.xml><?xml version="1.0" encoding="utf-8"?>
<table xmlns="http://schemas.openxmlformats.org/spreadsheetml/2006/main" id="10" name="Tabla10" displayName="Tabla10" ref="L2:Y3" totalsRowShown="0" headerRowDxfId="20" dataDxfId="19" headerRowBorderDxfId="17" tableBorderDxfId="18" totalsRowBorderDxfId="16" dataCellStyle="Moneda">
  <autoFilter ref="L2:Y3"/>
  <tableColumns count="14">
    <tableColumn id="1" name="MES" dataDxfId="15"/>
    <tableColumn id="2" name="ENERO" dataDxfId="14" dataCellStyle="Moneda"/>
    <tableColumn id="3" name="FEBRERO" dataDxfId="13" dataCellStyle="Moneda"/>
    <tableColumn id="4" name="MARZO" dataDxfId="12" dataCellStyle="Moneda"/>
    <tableColumn id="5" name="ABRIL" dataDxfId="11" dataCellStyle="Moneda"/>
    <tableColumn id="6" name="MAYO" dataDxfId="10" dataCellStyle="Moneda"/>
    <tableColumn id="7" name="JUNIO" dataDxfId="9" dataCellStyle="Moneda"/>
    <tableColumn id="8" name="JULIO" dataDxfId="8" dataCellStyle="Moneda">
      <calculatedColumnFormula>SUM(H3:H9)</calculatedColumnFormula>
    </tableColumn>
    <tableColumn id="9" name="AGOSTO" dataDxfId="7" dataCellStyle="Moneda">
      <calculatedColumnFormula>SUM(H10:H16)</calculatedColumnFormula>
    </tableColumn>
    <tableColumn id="10" name="SEPTIEMBRE" dataDxfId="6" dataCellStyle="Moneda">
      <calculatedColumnFormula>SUM(H17:H23)</calculatedColumnFormula>
    </tableColumn>
    <tableColumn id="11" name="OCTUBRE" dataDxfId="5" dataCellStyle="Moneda">
      <calculatedColumnFormula>SUM(H24:H30)</calculatedColumnFormula>
    </tableColumn>
    <tableColumn id="12" name="NOVIEMBRE" dataDxfId="4" dataCellStyle="Moneda"/>
    <tableColumn id="13" name="DICIEMBRE" dataDxfId="3" dataCellStyle="Moneda"/>
    <tableColumn id="14" name="TOTAL ANUAL" dataDxfId="2" dataCellStyle="Moneda">
      <calculatedColumnFormula>SUM(M3:X3)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B2:J16" totalsRowShown="0" headerRowDxfId="119">
  <autoFilter ref="B2:J16"/>
  <tableColumns count="9">
    <tableColumn id="1" name="MES"/>
    <tableColumn id="2" name="CUENTA"/>
    <tableColumn id="3" name="CANTIDAD INICIAL" dataDxfId="118"/>
    <tableColumn id="4" name="CAPITAL INVERTIDO" dataDxfId="117"/>
    <tableColumn id="5" name="INTERES OBTENIDO" dataDxfId="116"/>
    <tableColumn id="6" name="PORCENTAJE DE INTERES" dataDxfId="115" dataCellStyle="Porcentaje">
      <calculatedColumnFormula>(F3/(D3+E3))</calculatedColumnFormula>
    </tableColumn>
    <tableColumn id="7" name="RETIROS DE CAPITAL" dataDxfId="114"/>
    <tableColumn id="8" name="TOTAL CAPITAL FIN DE MES" dataDxfId="113">
      <calculatedColumnFormula>D3+E3+F3-H3</calculatedColumnFormula>
    </tableColumn>
    <tableColumn id="9" name="RENTABILIDAD" dataDxfId="112" dataCellStyle="Porcentaje">
      <calculatedColumnFormula>((I3-(D3+E3))/(D3+E3))</calculatedColumnFormula>
    </tableColumn>
  </tableColumns>
  <tableStyleInfo name="Estilo de tabla 4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2:G203" totalsRowShown="0">
  <autoFilter ref="B2:G203"/>
  <tableColumns count="6">
    <tableColumn id="1" name="FECHA" dataDxfId="62"/>
    <tableColumn id="2" name="DÓLAR" dataDxfId="61"/>
    <tableColumn id="3" name="BITCOIN" dataDxfId="60"/>
    <tableColumn id="5" name="io.net" dataDxfId="59"/>
    <tableColumn id="4" name="ETHEREUM" dataDxfId="58"/>
    <tableColumn id="6" name="USDT" dataDxfId="57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6" name="Tabla6" displayName="Tabla6" ref="B2:Z77" totalsRowShown="0">
  <autoFilter ref="B2:Z77"/>
  <sortState ref="B3:Z77">
    <sortCondition ref="H2:H77"/>
  </sortState>
  <tableColumns count="25">
    <tableColumn id="1" name="fecha act" dataDxfId="54">
      <calculatedColumnFormula>TODAY()</calculatedColumnFormula>
    </tableColumn>
    <tableColumn id="2" name="precio actual dólar" dataDxfId="53">
      <calculatedColumnFormula>VLOOKUP(B3,Tabla4[],2,FALSE)</calculatedColumnFormula>
    </tableColumn>
    <tableColumn id="3" name="precio actual btc" dataDxfId="52">
      <calculatedColumnFormula>VLOOKUP(B3,Tabla4[],3,FALSE)</calculatedColumnFormula>
    </tableColumn>
    <tableColumn id="4" name="precio actul eth" dataDxfId="51">
      <calculatedColumnFormula>VLOOKUP(B3,Tabla4[],5,FALSE)</calculatedColumnFormula>
    </tableColumn>
    <tableColumn id="5" name="precio actual io.net" dataDxfId="50">
      <calculatedColumnFormula>VLOOKUP(B3,Tabla4[],4,FALSE)</calculatedColumnFormula>
    </tableColumn>
    <tableColumn id="6" name="moneda"/>
    <tableColumn id="27" name="FECHA COMPRA"/>
    <tableColumn id="20" name="PRECIO DEL DÓLAR, DIA COMPRA" dataDxfId="49">
      <calculatedColumnFormula>VLOOKUP(H3,Tabla4[],2,FALSE)</calculatedColumnFormula>
    </tableColumn>
    <tableColumn id="7" name="precio de compra" dataDxfId="48"/>
    <tableColumn id="8" name="cantidad" dataDxfId="47" dataCellStyle="Porcentaje"/>
    <tableColumn id="18" name="COSTO DE COMPRA" dataDxfId="46" dataCellStyle="Porcentaje">
      <calculatedColumnFormula>Tabla6[[#This Row],[precio de compra]]*Tabla6[[#This Row],[cantidad]]*Tabla6[[#This Row],[PRECIO DEL DÓLAR, DIA COMPRA]]</calculatedColumnFormula>
    </tableColumn>
    <tableColumn id="21" name="VALOR ACTUAL INV" dataDxfId="45" dataCellStyle="Porcentaje">
      <calculatedColumnFormula xml:space="preserve"> K3 * (IF(G3="BTC", D3, IF(G3="ETH", E3, IF(G3="IO.NET", F3, 0)))) * C3</calculatedColumnFormula>
    </tableColumn>
    <tableColumn id="9" name="rentabilidad" dataDxfId="44" dataCellStyle="Porcentaje">
      <calculatedColumnFormula>IF(G3 = "BTC", (D3 - J3) / J3,
 IF(G3 = "ETH", (E3 - J3) / J3,
 IF(G3 = "IO.NET", (F3 - J3) / J3,
 "Moneda no soportada")))</calculatedColumnFormula>
    </tableColumn>
    <tableColumn id="10" name="meta1" dataDxfId="43" dataCellStyle="Porcentaje"/>
    <tableColumn id="11" name="META2" dataDxfId="42" dataCellStyle="Porcentaje"/>
    <tableColumn id="12" name="ACCION" dataDxfId="41">
      <calculatedColumnFormula>IF(N3 &lt; O3, "MANTENER", IF(N3 &lt; P3, "VENTA PARCIAL", "VENDER"))</calculatedColumnFormula>
    </tableColumn>
    <tableColumn id="13" name="FECHA DE VENTA"/>
    <tableColumn id="17" name="CANTIDAD VENDIDA"/>
    <tableColumn id="14" name="PRECIO DE VENTA" dataDxfId="40"/>
    <tableColumn id="23" name="INVENTARIO" dataDxfId="39">
      <calculatedColumnFormula>Tabla6[[#This Row],[cantidad]]-Tabla6[[#This Row],[CANTIDAD VENDIDA]]</calculatedColumnFormula>
    </tableColumn>
    <tableColumn id="24" name="VALOR ACTUAL" dataDxfId="38">
      <calculatedColumnFormula>IF(G3="BTC", D3 * U3 * C3, IF(G3="ETH", E3 * U3 * C3, IF(G3="IO.NET", F3 * U3 * C3, 0)))</calculatedColumnFormula>
    </tableColumn>
    <tableColumn id="15" name="GANANCIA/PERDIDA" dataDxfId="37">
      <calculatedColumnFormula>IF(G3 = "BTC", ((T3 - L3)), IF(G3 = "ETH", ((T3 - L3)), IF(G3 = "IO.NET", ((T3 - L3)), "Moneda no soportada")))</calculatedColumnFormula>
    </tableColumn>
    <tableColumn id="25" name="RENTABILIDAD TOTAL" dataDxfId="36" dataCellStyle="Porcentaje">
      <calculatedColumnFormula>IF(G3 = "BTC", (((D3 - J3) / J3)),IF(G3 = "ETH", ((E3 - J3) / J3), IF(G3 = "IO.NET", ((F3 - J3) / J3), "Moneda no soportada")))</calculatedColumnFormula>
    </tableColumn>
    <tableColumn id="26" name="ESTADO DE LA INVERSION" dataDxfId="35">
      <calculatedColumnFormula>IF(U3=0,"VENDIDA","ACTIVA")</calculatedColumnFormula>
    </tableColumn>
    <tableColumn id="16" name="NOTAS"/>
  </tableColumns>
  <tableStyleInfo name="Estilo de tabla 2" showFirstColumn="0" showLastColumn="0" showRowStripes="1" showColumnStripes="0"/>
</table>
</file>

<file path=xl/tables/table6.xml><?xml version="1.0" encoding="utf-8"?>
<table xmlns="http://schemas.openxmlformats.org/spreadsheetml/2006/main" id="5" name="Tabla5" displayName="Tabla5" ref="B2:M20" totalsRowShown="0">
  <autoFilter ref="B2:M20"/>
  <tableColumns count="12">
    <tableColumn id="1" name="FECHA ACT" dataDxfId="111">
      <calculatedColumnFormula>TODAY()</calculatedColumnFormula>
    </tableColumn>
    <tableColumn id="11" name="FECHA COMPRA" dataDxfId="110"/>
    <tableColumn id="2" name="PRECIO DEL USD,DIA COMPRA"/>
    <tableColumn id="3" name="CANTIDAD COPRADA"/>
    <tableColumn id="4" name="CONTO EN COP">
      <calculatedColumnFormula>D3*E3</calculatedColumnFormula>
    </tableColumn>
    <tableColumn id="5" name="CANTIDAD TOTAL(USD)" dataDxfId="109">
      <calculatedColumnFormula>G2+E3</calculatedColumnFormula>
    </tableColumn>
    <tableColumn id="6" name="PRECIO ACTUAL(USD)">
      <calculatedColumnFormula>VLOOKUP(B3,Tabla4[],6,FALSE)</calculatedColumnFormula>
    </tableColumn>
    <tableColumn id="7" name="VALOR ACTUAL EN COP">
      <calculatedColumnFormula>G3*H3</calculatedColumnFormula>
    </tableColumn>
    <tableColumn id="8" name="COSTO TOTAL EN COP">
      <calculatedColumnFormula>F3+J2</calculatedColumnFormula>
    </tableColumn>
    <tableColumn id="12" name="DIFERENCIA" dataDxfId="108">
      <calculatedColumnFormula>Tabla5[[#This Row],[VALOR ACTUAL EN COP]]-Tabla5[[#This Row],[COSTO TOTAL EN COP]]</calculatedColumnFormula>
    </tableColumn>
    <tableColumn id="9" name="RENTABILIDAD" dataDxfId="107" dataCellStyle="Porcentaje">
      <calculatedColumnFormula>((I3-J3)/J3)</calculatedColumnFormula>
    </tableColumn>
    <tableColumn id="10" name="META 10%">
      <calculatedColumnFormula>D3*1.1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a9" displayName="Tabla9" ref="B2:O22" totalsRowShown="0">
  <autoFilter ref="B2:O22"/>
  <tableColumns count="14">
    <tableColumn id="1" name="MES" dataDxfId="106"/>
    <tableColumn id="2" name="CRIPTOMONEDA"/>
    <tableColumn id="3" name="CANTIDAD INICIAL"/>
    <tableColumn id="4" name="PRECIO DÓLAR INICIAL"/>
    <tableColumn id="5" name="PRECIO INICIAL USD" dataCellStyle="Moneda"/>
    <tableColumn id="6" name="VALOR INICIAL EN COP">
      <calculatedColumnFormula>D3*F3*E3</calculatedColumnFormula>
    </tableColumn>
    <tableColumn id="7" name="CANTIDAD A FIN DE MES"/>
    <tableColumn id="8" name="PRECIO DÓLAR FINAL"/>
    <tableColumn id="9" name="PRECIO A FIN DE MES(USD)"/>
    <tableColumn id="10" name="PRECIO FINAL(COP)">
      <calculatedColumnFormula>H3*J3*I3</calculatedColumnFormula>
    </tableColumn>
    <tableColumn id="11" name="DIFERENCIA DE CANTIDAD">
      <calculatedColumnFormula>H3-D3</calculatedColumnFormula>
    </tableColumn>
    <tableColumn id="12" name="DIFERENCIA EN PRECIO" dataDxfId="105">
      <calculatedColumnFormula>F3-J3</calculatedColumnFormula>
    </tableColumn>
    <tableColumn id="13" name="PRECIO DE LA DIFERENCIA EN COP">
      <calculatedColumnFormula>L3*J3*I3</calculatedColumnFormula>
    </tableColumn>
    <tableColumn id="14" name="RENTABILIDAD">
      <calculatedColumnFormula>(K3-G3)/G3</calculatedColumnFormula>
    </tableColumn>
  </tableColumns>
  <tableStyleInfo name="Estilo de tabla 2" showFirstColumn="0" showLastColumn="0" showRowStripes="1" showColumnStripes="0"/>
</table>
</file>

<file path=xl/tables/table8.xml><?xml version="1.0" encoding="utf-8"?>
<table xmlns="http://schemas.openxmlformats.org/spreadsheetml/2006/main" id="2" name="Tabla2" displayName="Tabla2" ref="B2:M92" totalsRowShown="0">
  <autoFilter ref="B2:M92"/>
  <tableColumns count="12">
    <tableColumn id="1" name="FECHA" dataDxfId="104"/>
    <tableColumn id="5" name="PRECIO DEL DÓLAR" dataDxfId="103">
      <calculatedColumnFormula>VLOOKUP(B3,Tabla4[],2,FALSE)</calculatedColumnFormula>
    </tableColumn>
    <tableColumn id="2" name="VOO" dataDxfId="102" dataCellStyle="Moneda"/>
    <tableColumn id="3" name="VALOR INVERSION 1" dataDxfId="101">
      <calculatedColumnFormula>0.01518 * D3</calculatedColumnFormula>
    </tableColumn>
    <tableColumn id="4" name="GAN/PER" dataDxfId="100">
      <calculatedColumnFormula>Tabla2[[#This Row],[VALOR INVERSION 1]]-7.7</calculatedColumnFormula>
    </tableColumn>
    <tableColumn id="6" name="VALOR EN COP" dataDxfId="99">
      <calculatedColumnFormula>Tabla2[[#This Row],[VALOR INVERSION 1]]*Tabla2[[#This Row],[PRECIO DEL DÓLAR]]</calculatedColumnFormula>
    </tableColumn>
    <tableColumn id="8" name="VALOR INVERSION 2" dataDxfId="98">
      <calculatedColumnFormula>Tabla2[[#This Row],[VOO]]*0.01527</calculatedColumnFormula>
    </tableColumn>
    <tableColumn id="9" name="GAN/PER2" dataDxfId="97">
      <calculatedColumnFormula>Tabla2[[#This Row],[VALOR INVERSION 2]]-7.9</calculatedColumnFormula>
    </tableColumn>
    <tableColumn id="10" name="VALOR EN COP2" dataDxfId="96">
      <calculatedColumnFormula>Tabla2[[#This Row],[VALOR INVERSION 2]]*Tabla2[[#This Row],[PRECIO DEL DÓLAR]]</calculatedColumnFormula>
    </tableColumn>
    <tableColumn id="7" name="VALOR INVERSION 3" dataDxfId="95">
      <calculatedColumnFormula>Tabla2[[#This Row],[VOO]]*0.01284</calculatedColumnFormula>
    </tableColumn>
    <tableColumn id="11" name="GAN/PER3" dataDxfId="94">
      <calculatedColumnFormula>Tabla2[[#This Row],[VALOR INVERSION 3]]-6.9</calculatedColumnFormula>
    </tableColumn>
    <tableColumn id="12" name="VALOR EN COP3" dataDxfId="93">
      <calculatedColumnFormula>Tabla2[[#This Row],[VALOR INVERSION 3]]*Tabla2[[#This Row],[PRECIO DEL DÓLAR]]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" name="Tabla1" displayName="Tabla1" ref="B2:K52" totalsRowShown="0" headerRowDxfId="92">
  <autoFilter ref="B2:K52"/>
  <tableColumns count="10">
    <tableColumn id="1" name="FECHA"/>
    <tableColumn id="2" name="DÓLAR" dataDxfId="91">
      <calculatedColumnFormula>VLOOKUP(B3,Tabla4[],2,FALSE)</calculatedColumnFormula>
    </tableColumn>
    <tableColumn id="3" name="S&amp;P 500" dataDxfId="90"/>
    <tableColumn id="4" name="NASDAQ-100" dataDxfId="89"/>
    <tableColumn id="5" name="KO" dataDxfId="88"/>
    <tableColumn id="6" name="JNJ" dataDxfId="87"/>
    <tableColumn id="7" name="PG" dataDxfId="86"/>
    <tableColumn id="8" name="PEP" dataDxfId="85"/>
    <tableColumn id="13" name="MSFT" dataDxfId="84"/>
    <tableColumn id="9" name="MCD" dataDxfId="83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7"/>
  <sheetViews>
    <sheetView tabSelected="1" topLeftCell="A16" workbookViewId="0">
      <selection activeCell="Z4" sqref="Z4"/>
    </sheetView>
  </sheetViews>
  <sheetFormatPr baseColWidth="10" defaultRowHeight="14.25"/>
  <cols>
    <col min="2" max="2" width="12.625" bestFit="1" customWidth="1"/>
    <col min="3" max="4" width="20.875" customWidth="1"/>
    <col min="5" max="6" width="25.875" customWidth="1"/>
    <col min="7" max="7" width="22.875" customWidth="1"/>
    <col min="8" max="8" width="21.75" customWidth="1"/>
    <col min="9" max="9" width="16.375" customWidth="1"/>
    <col min="12" max="12" width="14.5" bestFit="1" customWidth="1"/>
    <col min="14" max="14" width="12" customWidth="1"/>
    <col min="21" max="21" width="15.125" customWidth="1"/>
    <col min="22" max="22" width="12.25" customWidth="1"/>
    <col min="23" max="23" width="14.125" customWidth="1"/>
    <col min="24" max="24" width="13.375" customWidth="1"/>
    <col min="25" max="25" width="15.625" customWidth="1"/>
  </cols>
  <sheetData>
    <row r="2" spans="2:25">
      <c r="B2" t="s">
        <v>52</v>
      </c>
      <c r="C2" t="s">
        <v>98</v>
      </c>
      <c r="D2" t="s">
        <v>102</v>
      </c>
      <c r="E2" t="s">
        <v>100</v>
      </c>
      <c r="F2" t="s">
        <v>104</v>
      </c>
      <c r="G2" t="s">
        <v>99</v>
      </c>
      <c r="H2" t="s">
        <v>28</v>
      </c>
      <c r="I2" t="s">
        <v>47</v>
      </c>
      <c r="L2" s="33" t="s">
        <v>52</v>
      </c>
      <c r="M2" s="34" t="s">
        <v>109</v>
      </c>
      <c r="N2" s="34" t="s">
        <v>110</v>
      </c>
      <c r="O2" s="34" t="s">
        <v>92</v>
      </c>
      <c r="P2" s="34" t="s">
        <v>94</v>
      </c>
      <c r="Q2" s="34" t="s">
        <v>95</v>
      </c>
      <c r="R2" s="34" t="s">
        <v>97</v>
      </c>
      <c r="S2" s="34" t="s">
        <v>64</v>
      </c>
      <c r="T2" s="34" t="s">
        <v>85</v>
      </c>
      <c r="U2" s="34" t="s">
        <v>108</v>
      </c>
      <c r="V2" s="34" t="s">
        <v>111</v>
      </c>
      <c r="W2" s="34" t="s">
        <v>112</v>
      </c>
      <c r="X2" s="34" t="s">
        <v>113</v>
      </c>
      <c r="Y2" s="35" t="s">
        <v>115</v>
      </c>
    </row>
    <row r="3" spans="2:25">
      <c r="B3" t="s">
        <v>64</v>
      </c>
      <c r="C3" t="s">
        <v>101</v>
      </c>
      <c r="D3" t="s">
        <v>93</v>
      </c>
      <c r="E3" s="7">
        <v>18566.62</v>
      </c>
      <c r="F3" s="7">
        <v>6200</v>
      </c>
      <c r="G3" s="7">
        <v>24997.599999999999</v>
      </c>
      <c r="H3" s="7">
        <f>(Tabla8[[#This Row],[CAPITAL A FIN DE MES]]-(Tabla8[[#This Row],[CAPITAL A INICIO DE MES]]+Tabla8[[#This Row],[CAPITAL INVERTIDO ESTE MES]]))</f>
        <v>230.97999999999956</v>
      </c>
      <c r="I3" s="9">
        <f>(Tabla8[[#This Row],[CAPITAL A FIN DE MES]]-Tabla8[[#This Row],[CAPITAL A INICIO DE MES]])/Tabla8[[#This Row],[CAPITAL A INICIO DE MES]]</f>
        <v>0.34637322248206726</v>
      </c>
      <c r="L3" s="36" t="s">
        <v>114</v>
      </c>
      <c r="M3" s="37"/>
      <c r="N3" s="37"/>
      <c r="O3" s="37"/>
      <c r="P3" s="37"/>
      <c r="Q3" s="37"/>
      <c r="R3" s="37"/>
      <c r="S3" s="37">
        <f>SUM(H3:H9)</f>
        <v>-3075.5499999999988</v>
      </c>
      <c r="T3" s="37">
        <f>SUM(H10:H16)</f>
        <v>1769.3199999999993</v>
      </c>
      <c r="U3" s="37">
        <f>SUM(H17:H23)</f>
        <v>5206.7821492273697</v>
      </c>
      <c r="V3" s="37">
        <f>SUM(H24:H30)</f>
        <v>-3958.345066650003</v>
      </c>
      <c r="W3" s="37"/>
      <c r="X3" s="37"/>
      <c r="Y3" s="38">
        <f>SUM(M3:X3)</f>
        <v>-57.792917422632854</v>
      </c>
    </row>
    <row r="4" spans="2:25">
      <c r="B4" t="s">
        <v>64</v>
      </c>
      <c r="C4" t="s">
        <v>101</v>
      </c>
      <c r="D4" t="s">
        <v>96</v>
      </c>
      <c r="E4" s="7">
        <v>730</v>
      </c>
      <c r="F4" s="7"/>
      <c r="G4" s="7">
        <v>743.13</v>
      </c>
      <c r="H4" s="7">
        <f>(Tabla8[[#This Row],[CAPITAL A FIN DE MES]]-(Tabla8[[#This Row],[CAPITAL A INICIO DE MES]]+Tabla8[[#This Row],[CAPITAL INVERTIDO ESTE MES]]))</f>
        <v>13.129999999999995</v>
      </c>
      <c r="I4" s="9">
        <f>(Tabla8[[#This Row],[CAPITAL A FIN DE MES]]-Tabla8[[#This Row],[CAPITAL A INICIO DE MES]])/Tabla8[[#This Row],[CAPITAL A INICIO DE MES]]</f>
        <v>1.7986301369863008E-2</v>
      </c>
    </row>
    <row r="5" spans="2:25">
      <c r="B5" t="s">
        <v>64</v>
      </c>
      <c r="C5" t="s">
        <v>53</v>
      </c>
      <c r="D5" t="s">
        <v>14</v>
      </c>
      <c r="E5" s="7">
        <v>5738.44</v>
      </c>
      <c r="F5" s="7">
        <v>1400</v>
      </c>
      <c r="G5" s="7">
        <v>6780.1</v>
      </c>
      <c r="H5" s="7">
        <f>(Tabla8[[#This Row],[CAPITAL A FIN DE MES]]-(Tabla8[[#This Row],[CAPITAL A INICIO DE MES]]+Tabla8[[#This Row],[CAPITAL INVERTIDO ESTE MES]]))</f>
        <v>-358.33999999999924</v>
      </c>
      <c r="I5" s="9">
        <f>(Tabla8[[#This Row],[CAPITAL A FIN DE MES]]-Tabla8[[#This Row],[CAPITAL A INICIO DE MES]])/Tabla8[[#This Row],[CAPITAL A INICIO DE MES]]</f>
        <v>0.18152320142756584</v>
      </c>
    </row>
    <row r="6" spans="2:25">
      <c r="B6" t="s">
        <v>64</v>
      </c>
      <c r="C6" t="s">
        <v>53</v>
      </c>
      <c r="D6" t="s">
        <v>15</v>
      </c>
      <c r="E6" s="7">
        <v>2943.49</v>
      </c>
      <c r="F6" s="7">
        <v>1400</v>
      </c>
      <c r="G6" s="7">
        <v>3150.45</v>
      </c>
      <c r="H6" s="7">
        <f>(Tabla8[[#This Row],[CAPITAL A FIN DE MES]]-(Tabla8[[#This Row],[CAPITAL A INICIO DE MES]]+Tabla8[[#This Row],[CAPITAL INVERTIDO ESTE MES]]))</f>
        <v>-1193.04</v>
      </c>
      <c r="I6" s="9">
        <f>(Tabla8[[#This Row],[CAPITAL A FIN DE MES]]-Tabla8[[#This Row],[CAPITAL A INICIO DE MES]])/Tabla8[[#This Row],[CAPITAL A INICIO DE MES]]</f>
        <v>7.0311093294014942E-2</v>
      </c>
    </row>
    <row r="7" spans="2:25">
      <c r="B7" t="s">
        <v>64</v>
      </c>
      <c r="C7" t="s">
        <v>53</v>
      </c>
      <c r="D7" t="s">
        <v>63</v>
      </c>
      <c r="E7" s="7">
        <v>700</v>
      </c>
      <c r="F7" s="7">
        <v>800</v>
      </c>
      <c r="G7" s="7">
        <v>1506.4</v>
      </c>
      <c r="H7" s="7">
        <f>(Tabla8[[#This Row],[CAPITAL A FIN DE MES]]-(Tabla8[[#This Row],[CAPITAL A INICIO DE MES]]+Tabla8[[#This Row],[CAPITAL INVERTIDO ESTE MES]]))</f>
        <v>6.4000000000000909</v>
      </c>
      <c r="I7" s="9">
        <f>(Tabla8[[#This Row],[CAPITAL A FIN DE MES]]-Tabla8[[#This Row],[CAPITAL A INICIO DE MES]])/Tabla8[[#This Row],[CAPITAL A INICIO DE MES]]</f>
        <v>1.1520000000000001</v>
      </c>
    </row>
    <row r="8" spans="2:25">
      <c r="B8" t="s">
        <v>64</v>
      </c>
      <c r="C8" t="s">
        <v>53</v>
      </c>
      <c r="D8" t="s">
        <v>41</v>
      </c>
      <c r="E8" s="7">
        <v>2778.27</v>
      </c>
      <c r="F8" s="7">
        <v>700</v>
      </c>
      <c r="G8" s="7">
        <v>2535.48</v>
      </c>
      <c r="H8" s="7">
        <f>(Tabla8[[#This Row],[CAPITAL A FIN DE MES]]-(Tabla8[[#This Row],[CAPITAL A INICIO DE MES]]+Tabla8[[#This Row],[CAPITAL INVERTIDO ESTE MES]]))</f>
        <v>-942.79</v>
      </c>
      <c r="I8" s="9">
        <f>(Tabla8[[#This Row],[CAPITAL A FIN DE MES]]-Tabla8[[#This Row],[CAPITAL A INICIO DE MES]])/Tabla8[[#This Row],[CAPITAL A INICIO DE MES]]</f>
        <v>-8.738891468431792E-2</v>
      </c>
    </row>
    <row r="9" spans="2:25">
      <c r="B9" t="s">
        <v>64</v>
      </c>
      <c r="C9" t="s">
        <v>103</v>
      </c>
      <c r="D9" t="s">
        <v>13</v>
      </c>
      <c r="E9" s="7">
        <v>31496.85</v>
      </c>
      <c r="F9" s="7"/>
      <c r="G9" s="7">
        <v>30664.959999999999</v>
      </c>
      <c r="H9" s="7">
        <f>(Tabla8[[#This Row],[CAPITAL A FIN DE MES]]-(Tabla8[[#This Row],[CAPITAL A INICIO DE MES]]+Tabla8[[#This Row],[CAPITAL INVERTIDO ESTE MES]]))</f>
        <v>-831.88999999999942</v>
      </c>
      <c r="I9" s="9">
        <f>(Tabla8[[#This Row],[CAPITAL A FIN DE MES]]-Tabla8[[#This Row],[CAPITAL A INICIO DE MES]])/Tabla8[[#This Row],[CAPITAL A INICIO DE MES]]</f>
        <v>-2.6411847533959729E-2</v>
      </c>
    </row>
    <row r="10" spans="2:25">
      <c r="B10" t="s">
        <v>85</v>
      </c>
      <c r="C10" t="s">
        <v>101</v>
      </c>
      <c r="D10" t="s">
        <v>93</v>
      </c>
      <c r="E10" s="7">
        <v>24997.599999999999</v>
      </c>
      <c r="F10" s="7">
        <v>6000</v>
      </c>
      <c r="G10" s="7">
        <v>31345.439999999999</v>
      </c>
      <c r="H10" s="7">
        <f>(Tabla8[[#This Row],[CAPITAL A FIN DE MES]]-(Tabla8[[#This Row],[CAPITAL A INICIO DE MES]]+Tabla8[[#This Row],[CAPITAL INVERTIDO ESTE MES]]))</f>
        <v>347.84000000000015</v>
      </c>
      <c r="I10" s="9">
        <f>(Tabla8[[#This Row],[CAPITAL A FIN DE MES]]-Tabla8[[#This Row],[CAPITAL A INICIO DE MES]])/Tabla8[[#This Row],[CAPITAL A INICIO DE MES]]</f>
        <v>0.25393797804589241</v>
      </c>
    </row>
    <row r="11" spans="2:25">
      <c r="B11" t="s">
        <v>85</v>
      </c>
      <c r="C11" t="s">
        <v>101</v>
      </c>
      <c r="D11" t="s">
        <v>96</v>
      </c>
      <c r="E11" s="7">
        <v>743.13</v>
      </c>
      <c r="F11" s="7">
        <v>6000</v>
      </c>
      <c r="G11" s="7">
        <v>6814.06</v>
      </c>
      <c r="H11" s="7">
        <f>(Tabla8[[#This Row],[CAPITAL A FIN DE MES]]-(Tabla8[[#This Row],[CAPITAL A INICIO DE MES]]+Tabla8[[#This Row],[CAPITAL INVERTIDO ESTE MES]]))</f>
        <v>70.930000000000291</v>
      </c>
      <c r="I11" s="9">
        <f>(Tabla8[[#This Row],[CAPITAL A FIN DE MES]]-Tabla8[[#This Row],[CAPITAL A INICIO DE MES]])/Tabla8[[#This Row],[CAPITAL A INICIO DE MES]]</f>
        <v>8.169405083901875</v>
      </c>
    </row>
    <row r="12" spans="2:25">
      <c r="B12" t="s">
        <v>85</v>
      </c>
      <c r="C12" t="s">
        <v>53</v>
      </c>
      <c r="D12" t="s">
        <v>14</v>
      </c>
      <c r="E12" s="7">
        <v>6780.1</v>
      </c>
      <c r="F12" s="7">
        <v>2800</v>
      </c>
      <c r="G12" s="7">
        <v>9798.34</v>
      </c>
      <c r="H12" s="7">
        <f>(Tabla8[[#This Row],[CAPITAL A FIN DE MES]]-(Tabla8[[#This Row],[CAPITAL A INICIO DE MES]]+Tabla8[[#This Row],[CAPITAL INVERTIDO ESTE MES]]))</f>
        <v>218.23999999999978</v>
      </c>
      <c r="I12" s="9">
        <f>(Tabla8[[#This Row],[CAPITAL A FIN DE MES]]-Tabla8[[#This Row],[CAPITAL A INICIO DE MES]])/Tabla8[[#This Row],[CAPITAL A INICIO DE MES]]</f>
        <v>0.44516157578796767</v>
      </c>
    </row>
    <row r="13" spans="2:25">
      <c r="B13" t="s">
        <v>85</v>
      </c>
      <c r="C13" t="s">
        <v>53</v>
      </c>
      <c r="D13" t="s">
        <v>15</v>
      </c>
      <c r="E13" s="7">
        <v>3942.9</v>
      </c>
      <c r="F13" s="7">
        <v>2800</v>
      </c>
      <c r="G13" s="7">
        <v>6569.61</v>
      </c>
      <c r="H13" s="7">
        <f>(Tabla8[[#This Row],[CAPITAL A FIN DE MES]]-(Tabla8[[#This Row],[CAPITAL A INICIO DE MES]]+Tabla8[[#This Row],[CAPITAL INVERTIDO ESTE MES]]))</f>
        <v>-173.28999999999996</v>
      </c>
      <c r="I13" s="9">
        <f>(Tabla8[[#This Row],[CAPITAL A FIN DE MES]]-Tabla8[[#This Row],[CAPITAL A INICIO DE MES]])/Tabla8[[#This Row],[CAPITAL A INICIO DE MES]]</f>
        <v>0.66618732405082537</v>
      </c>
    </row>
    <row r="14" spans="2:25">
      <c r="B14" t="s">
        <v>85</v>
      </c>
      <c r="C14" t="s">
        <v>53</v>
      </c>
      <c r="D14" t="s">
        <v>41</v>
      </c>
      <c r="E14" s="7">
        <v>2535.48</v>
      </c>
      <c r="F14" s="7">
        <v>1400</v>
      </c>
      <c r="G14" s="7">
        <v>3187.74</v>
      </c>
      <c r="H14" s="7">
        <f>(Tabla8[[#This Row],[CAPITAL A FIN DE MES]]-(Tabla8[[#This Row],[CAPITAL A INICIO DE MES]]+Tabla8[[#This Row],[CAPITAL INVERTIDO ESTE MES]]))</f>
        <v>-747.74000000000024</v>
      </c>
      <c r="I14" s="9">
        <f>(Tabla8[[#This Row],[CAPITAL A FIN DE MES]]-Tabla8[[#This Row],[CAPITAL A INICIO DE MES]])/Tabla8[[#This Row],[CAPITAL A INICIO DE MES]]</f>
        <v>0.25725306450849533</v>
      </c>
    </row>
    <row r="15" spans="2:25">
      <c r="B15" t="s">
        <v>85</v>
      </c>
      <c r="C15" t="s">
        <v>53</v>
      </c>
      <c r="D15" t="s">
        <v>63</v>
      </c>
      <c r="E15" s="7">
        <v>1529.58</v>
      </c>
      <c r="F15" s="7">
        <v>2800</v>
      </c>
      <c r="G15" s="7">
        <v>4993.6899999999996</v>
      </c>
      <c r="H15" s="7">
        <f>(Tabla8[[#This Row],[CAPITAL A FIN DE MES]]-(Tabla8[[#This Row],[CAPITAL A INICIO DE MES]]+Tabla8[[#This Row],[CAPITAL INVERTIDO ESTE MES]]))</f>
        <v>664.10999999999967</v>
      </c>
      <c r="I15" s="9">
        <f>(Tabla8[[#This Row],[CAPITAL A FIN DE MES]]-Tabla8[[#This Row],[CAPITAL A INICIO DE MES]])/Tabla8[[#This Row],[CAPITAL A INICIO DE MES]]</f>
        <v>2.2647458779534251</v>
      </c>
    </row>
    <row r="16" spans="2:25">
      <c r="B16" t="s">
        <v>85</v>
      </c>
      <c r="C16" t="s">
        <v>103</v>
      </c>
      <c r="D16" t="s">
        <v>13</v>
      </c>
      <c r="E16" s="7">
        <v>30664.959999999999</v>
      </c>
      <c r="F16" s="7"/>
      <c r="G16" s="7">
        <v>32054.19</v>
      </c>
      <c r="H16" s="7">
        <f>(Tabla8[[#This Row],[CAPITAL A FIN DE MES]]-(Tabla8[[#This Row],[CAPITAL A INICIO DE MES]]+Tabla8[[#This Row],[CAPITAL INVERTIDO ESTE MES]]))</f>
        <v>1389.2299999999996</v>
      </c>
      <c r="I16" s="9">
        <f>(Tabla8[[#This Row],[CAPITAL A FIN DE MES]]-Tabla8[[#This Row],[CAPITAL A INICIO DE MES]])/Tabla8[[#This Row],[CAPITAL A INICIO DE MES]]</f>
        <v>4.5303499499102548E-2</v>
      </c>
    </row>
    <row r="17" spans="2:9">
      <c r="B17" t="s">
        <v>108</v>
      </c>
      <c r="C17" t="s">
        <v>101</v>
      </c>
      <c r="D17" t="s">
        <v>93</v>
      </c>
      <c r="E17" s="7">
        <v>31345.439999999999</v>
      </c>
      <c r="F17" s="29">
        <v>6000</v>
      </c>
      <c r="G17" s="7">
        <v>37696</v>
      </c>
      <c r="H17" s="7">
        <f>(Tabla8[[#This Row],[CAPITAL A FIN DE MES]]-(Tabla8[[#This Row],[CAPITAL A INICIO DE MES]]+Tabla8[[#This Row],[CAPITAL INVERTIDO ESTE MES]]))</f>
        <v>350.55999999999767</v>
      </c>
      <c r="I17" s="9">
        <f>(Tabla8[[#This Row],[CAPITAL A FIN DE MES]]-Tabla8[[#This Row],[CAPITAL A INICIO DE MES]])/Tabla8[[#This Row],[CAPITAL A INICIO DE MES]]</f>
        <v>0.2025991659392882</v>
      </c>
    </row>
    <row r="18" spans="2:9">
      <c r="B18" t="s">
        <v>108</v>
      </c>
      <c r="C18" t="s">
        <v>101</v>
      </c>
      <c r="D18" t="s">
        <v>96</v>
      </c>
      <c r="E18" s="7">
        <v>6814.06</v>
      </c>
      <c r="F18" s="29">
        <v>6000</v>
      </c>
      <c r="G18" s="7">
        <v>12940.41</v>
      </c>
      <c r="H18" s="7">
        <f>(Tabla8[[#This Row],[CAPITAL A FIN DE MES]]-(Tabla8[[#This Row],[CAPITAL A INICIO DE MES]]+Tabla8[[#This Row],[CAPITAL INVERTIDO ESTE MES]]))</f>
        <v>126.34999999999854</v>
      </c>
      <c r="I18" s="9">
        <f>(Tabla8[[#This Row],[CAPITAL A FIN DE MES]]-Tabla8[[#This Row],[CAPITAL A INICIO DE MES]])/Tabla8[[#This Row],[CAPITAL A INICIO DE MES]]</f>
        <v>0.89907485405176935</v>
      </c>
    </row>
    <row r="19" spans="2:9">
      <c r="B19" t="s">
        <v>108</v>
      </c>
      <c r="C19" t="s">
        <v>53</v>
      </c>
      <c r="D19" t="s">
        <v>14</v>
      </c>
      <c r="E19" s="7">
        <v>9798.34</v>
      </c>
      <c r="F19" s="29">
        <v>3500</v>
      </c>
      <c r="G19" s="7">
        <v>14069.857322894881</v>
      </c>
      <c r="H19" s="7">
        <f>(Tabla8[[#This Row],[CAPITAL A FIN DE MES]]-(Tabla8[[#This Row],[CAPITAL A INICIO DE MES]]+Tabla8[[#This Row],[CAPITAL INVERTIDO ESTE MES]]))</f>
        <v>771.51732289488064</v>
      </c>
      <c r="I19" s="9">
        <f>(Tabla8[[#This Row],[CAPITAL A FIN DE MES]]-Tabla8[[#This Row],[CAPITAL A INICIO DE MES]])/Tabla8[[#This Row],[CAPITAL A INICIO DE MES]]</f>
        <v>0.43594295798011506</v>
      </c>
    </row>
    <row r="20" spans="2:9">
      <c r="B20" t="s">
        <v>108</v>
      </c>
      <c r="C20" t="s">
        <v>53</v>
      </c>
      <c r="D20" t="s">
        <v>15</v>
      </c>
      <c r="E20" s="7">
        <v>6569.61</v>
      </c>
      <c r="F20" s="29">
        <v>3500</v>
      </c>
      <c r="G20" s="7">
        <v>11373.39366623264</v>
      </c>
      <c r="H20" s="7">
        <f>(Tabla8[[#This Row],[CAPITAL A FIN DE MES]]-(Tabla8[[#This Row],[CAPITAL A INICIO DE MES]]+Tabla8[[#This Row],[CAPITAL INVERTIDO ESTE MES]]))</f>
        <v>1303.783666232639</v>
      </c>
      <c r="I20" s="9">
        <f>(Tabla8[[#This Row],[CAPITAL A FIN DE MES]]-Tabla8[[#This Row],[CAPITAL A INICIO DE MES]])/Tabla8[[#This Row],[CAPITAL A INICIO DE MES]]</f>
        <v>0.73121291313070946</v>
      </c>
    </row>
    <row r="21" spans="2:9">
      <c r="B21" t="s">
        <v>108</v>
      </c>
      <c r="C21" t="s">
        <v>53</v>
      </c>
      <c r="D21" t="s">
        <v>41</v>
      </c>
      <c r="E21" s="7">
        <v>3187.74</v>
      </c>
      <c r="F21" s="29">
        <v>1750</v>
      </c>
      <c r="G21" s="7">
        <v>6375.4667619334559</v>
      </c>
      <c r="H21" s="7">
        <f>(Tabla8[[#This Row],[CAPITAL A FIN DE MES]]-(Tabla8[[#This Row],[CAPITAL A INICIO DE MES]]+Tabla8[[#This Row],[CAPITAL INVERTIDO ESTE MES]]))</f>
        <v>1437.7267619334561</v>
      </c>
      <c r="I21" s="9">
        <f>(Tabla8[[#This Row],[CAPITAL A FIN DE MES]]-Tabla8[[#This Row],[CAPITAL A INICIO DE MES]])/Tabla8[[#This Row],[CAPITAL A INICIO DE MES]]</f>
        <v>0.99999584719376622</v>
      </c>
    </row>
    <row r="22" spans="2:9">
      <c r="B22" t="s">
        <v>108</v>
      </c>
      <c r="C22" t="s">
        <v>53</v>
      </c>
      <c r="D22" t="s">
        <v>63</v>
      </c>
      <c r="E22" s="7">
        <v>4993.6899999999996</v>
      </c>
      <c r="F22" s="29">
        <v>3500</v>
      </c>
      <c r="G22" s="7">
        <v>8119.6943981663999</v>
      </c>
      <c r="H22" s="7">
        <f>(Tabla8[[#This Row],[CAPITAL A FIN DE MES]]-(Tabla8[[#This Row],[CAPITAL A INICIO DE MES]]+Tabla8[[#This Row],[CAPITAL INVERTIDO ESTE MES]]))</f>
        <v>-373.99560183359881</v>
      </c>
      <c r="I22" s="9">
        <f>(Tabla8[[#This Row],[CAPITAL A FIN DE MES]]-Tabla8[[#This Row],[CAPITAL A INICIO DE MES]])/Tabla8[[#This Row],[CAPITAL A INICIO DE MES]]</f>
        <v>0.62599088012399662</v>
      </c>
    </row>
    <row r="23" spans="2:9">
      <c r="B23" t="s">
        <v>108</v>
      </c>
      <c r="C23" t="s">
        <v>103</v>
      </c>
      <c r="D23" t="s">
        <v>13</v>
      </c>
      <c r="E23" s="7">
        <v>32054.19</v>
      </c>
      <c r="F23" s="29">
        <v>33158.39</v>
      </c>
      <c r="G23" s="7">
        <v>66803.42</v>
      </c>
      <c r="H23" s="7">
        <f>(Tabla8[[#This Row],[CAPITAL A FIN DE MES]]-(Tabla8[[#This Row],[CAPITAL A INICIO DE MES]]+Tabla8[[#This Row],[CAPITAL INVERTIDO ESTE MES]]))</f>
        <v>1590.8399999999965</v>
      </c>
      <c r="I23" s="9">
        <f>(Tabla8[[#This Row],[CAPITAL A FIN DE MES]]-Tabla8[[#This Row],[CAPITAL A INICIO DE MES]])/Tabla8[[#This Row],[CAPITAL A INICIO DE MES]]</f>
        <v>1.0840776198057103</v>
      </c>
    </row>
    <row r="24" spans="2:9">
      <c r="B24" t="s">
        <v>111</v>
      </c>
      <c r="C24" t="s">
        <v>101</v>
      </c>
      <c r="D24" t="s">
        <v>93</v>
      </c>
      <c r="E24" s="7">
        <v>37696</v>
      </c>
      <c r="F24" s="29">
        <v>6000</v>
      </c>
      <c r="G24" s="7">
        <v>44138.1</v>
      </c>
      <c r="H24" s="7">
        <f>(Tabla8[[#This Row],[CAPITAL A FIN DE MES]]-(Tabla8[[#This Row],[CAPITAL A INICIO DE MES]]+Tabla8[[#This Row],[CAPITAL INVERTIDO ESTE MES]]))</f>
        <v>442.09999999999854</v>
      </c>
      <c r="I24" s="9">
        <f>(Tabla8[[#This Row],[CAPITAL A FIN DE MES]]-Tabla8[[#This Row],[CAPITAL A INICIO DE MES]])/Tabla8[[#This Row],[CAPITAL A INICIO DE MES]]</f>
        <v>0.17089611629881152</v>
      </c>
    </row>
    <row r="25" spans="2:9">
      <c r="B25" t="s">
        <v>111</v>
      </c>
      <c r="C25" t="s">
        <v>101</v>
      </c>
      <c r="D25" t="s">
        <v>96</v>
      </c>
      <c r="E25" s="7">
        <v>12940.41</v>
      </c>
      <c r="F25" s="29">
        <v>6000</v>
      </c>
      <c r="G25" s="7">
        <v>19138.02</v>
      </c>
      <c r="H25" s="7">
        <f>(Tabla8[[#This Row],[CAPITAL A FIN DE MES]]-(Tabla8[[#This Row],[CAPITAL A INICIO DE MES]]+Tabla8[[#This Row],[CAPITAL INVERTIDO ESTE MES]]))</f>
        <v>197.61000000000058</v>
      </c>
      <c r="I25" s="9">
        <f>(Tabla8[[#This Row],[CAPITAL A FIN DE MES]]-Tabla8[[#This Row],[CAPITAL A INICIO DE MES]])/Tabla8[[#This Row],[CAPITAL A INICIO DE MES]]</f>
        <v>0.47893459326250098</v>
      </c>
    </row>
    <row r="26" spans="2:9">
      <c r="B26" t="s">
        <v>111</v>
      </c>
      <c r="C26" t="s">
        <v>53</v>
      </c>
      <c r="D26" t="s">
        <v>14</v>
      </c>
      <c r="E26" s="7">
        <v>14069.86</v>
      </c>
      <c r="F26" s="29">
        <v>2800</v>
      </c>
      <c r="G26" s="7">
        <v>19782.494933349997</v>
      </c>
      <c r="H26" s="7">
        <f>(Tabla8[[#This Row],[CAPITAL A FIN DE MES]]-(Tabla8[[#This Row],[CAPITAL A INICIO DE MES]]+Tabla8[[#This Row],[CAPITAL INVERTIDO ESTE MES]]))</f>
        <v>2912.6349333499966</v>
      </c>
      <c r="I26" s="9">
        <f>(Tabla8[[#This Row],[CAPITAL A FIN DE MES]]-Tabla8[[#This Row],[CAPITAL A INICIO DE MES]])/Tabla8[[#This Row],[CAPITAL A INICIO DE MES]]</f>
        <v>0.40601931599532592</v>
      </c>
    </row>
    <row r="27" spans="2:9">
      <c r="B27" t="s">
        <v>111</v>
      </c>
      <c r="C27" t="s">
        <v>53</v>
      </c>
      <c r="D27" t="s">
        <v>15</v>
      </c>
      <c r="E27" s="7">
        <v>11373.39</v>
      </c>
      <c r="F27" s="29">
        <v>2800</v>
      </c>
      <c r="G27" s="7">
        <v>14770.53</v>
      </c>
      <c r="H27" s="7">
        <f>(Tabla8[[#This Row],[CAPITAL A FIN DE MES]]-(Tabla8[[#This Row],[CAPITAL A INICIO DE MES]]+Tabla8[[#This Row],[CAPITAL INVERTIDO ESTE MES]]))</f>
        <v>597.14000000000124</v>
      </c>
      <c r="I27" s="9">
        <f>(Tabla8[[#This Row],[CAPITAL A FIN DE MES]]-Tabla8[[#This Row],[CAPITAL A INICIO DE MES]])/Tabla8[[#This Row],[CAPITAL A INICIO DE MES]]</f>
        <v>0.29869194672828431</v>
      </c>
    </row>
    <row r="28" spans="2:9">
      <c r="B28" t="s">
        <v>111</v>
      </c>
      <c r="C28" t="s">
        <v>53</v>
      </c>
      <c r="D28" t="s">
        <v>41</v>
      </c>
      <c r="E28" s="7">
        <v>8119.69</v>
      </c>
      <c r="F28" s="29">
        <v>1400</v>
      </c>
      <c r="G28" s="7">
        <v>6757.24</v>
      </c>
      <c r="H28" s="7">
        <f>(Tabla8[[#This Row],[CAPITAL A FIN DE MES]]-(Tabla8[[#This Row],[CAPITAL A INICIO DE MES]]+Tabla8[[#This Row],[CAPITAL INVERTIDO ESTE MES]]))</f>
        <v>-2762.4499999999989</v>
      </c>
      <c r="I28" s="9">
        <f>(Tabla8[[#This Row],[CAPITAL A FIN DE MES]]-Tabla8[[#This Row],[CAPITAL A INICIO DE MES]])/Tabla8[[#This Row],[CAPITAL A INICIO DE MES]]</f>
        <v>-0.1677958148648532</v>
      </c>
    </row>
    <row r="29" spans="2:9">
      <c r="B29" t="s">
        <v>111</v>
      </c>
      <c r="C29" t="s">
        <v>53</v>
      </c>
      <c r="D29" t="s">
        <v>63</v>
      </c>
      <c r="E29" s="7">
        <v>8119.69</v>
      </c>
      <c r="F29" s="29">
        <v>2800</v>
      </c>
      <c r="G29" s="7">
        <v>11513.11</v>
      </c>
      <c r="H29" s="7">
        <f>(Tabla8[[#This Row],[CAPITAL A FIN DE MES]]-(Tabla8[[#This Row],[CAPITAL A INICIO DE MES]]+Tabla8[[#This Row],[CAPITAL INVERTIDO ESTE MES]]))</f>
        <v>593.42000000000189</v>
      </c>
      <c r="I29" s="9">
        <f>(Tabla8[[#This Row],[CAPITAL A FIN DE MES]]-Tabla8[[#This Row],[CAPITAL A INICIO DE MES]])/Tabla8[[#This Row],[CAPITAL A INICIO DE MES]]</f>
        <v>0.41792482225306643</v>
      </c>
    </row>
    <row r="30" spans="2:9">
      <c r="B30" t="s">
        <v>111</v>
      </c>
      <c r="C30" t="s">
        <v>103</v>
      </c>
      <c r="D30" t="s">
        <v>13</v>
      </c>
      <c r="E30" s="7">
        <v>66803.42</v>
      </c>
      <c r="F30" s="29">
        <v>39113</v>
      </c>
      <c r="G30" s="7">
        <v>99977.62</v>
      </c>
      <c r="H30" s="7">
        <f>(Tabla8[[#This Row],[CAPITAL A FIN DE MES]]-(Tabla8[[#This Row],[CAPITAL A INICIO DE MES]]+Tabla8[[#This Row],[CAPITAL INVERTIDO ESTE MES]]))</f>
        <v>-5938.8000000000029</v>
      </c>
      <c r="I30" s="9">
        <f>(Tabla8[[#This Row],[CAPITAL A FIN DE MES]]-Tabla8[[#This Row],[CAPITAL A INICIO DE MES]])/Tabla8[[#This Row],[CAPITAL A INICIO DE MES]]</f>
        <v>0.49659433603848424</v>
      </c>
    </row>
    <row r="31" spans="2:9">
      <c r="B31" t="s">
        <v>112</v>
      </c>
      <c r="C31" t="s">
        <v>101</v>
      </c>
      <c r="D31" t="s">
        <v>93</v>
      </c>
      <c r="E31" s="7">
        <v>44138.1</v>
      </c>
      <c r="F31" s="29">
        <v>6000</v>
      </c>
      <c r="G31" s="7"/>
      <c r="H31" s="7">
        <f>(Tabla8[[#This Row],[CAPITAL A FIN DE MES]]-(Tabla8[[#This Row],[CAPITAL A INICIO DE MES]]+Tabla8[[#This Row],[CAPITAL INVERTIDO ESTE MES]]))</f>
        <v>-50138.1</v>
      </c>
      <c r="I31" s="9">
        <f>(Tabla8[[#This Row],[CAPITAL A FIN DE MES]]-Tabla8[[#This Row],[CAPITAL A INICIO DE MES]])/Tabla8[[#This Row],[CAPITAL A INICIO DE MES]]</f>
        <v>-1</v>
      </c>
    </row>
    <row r="32" spans="2:9">
      <c r="B32" t="s">
        <v>112</v>
      </c>
      <c r="C32" t="s">
        <v>101</v>
      </c>
      <c r="D32" t="s">
        <v>96</v>
      </c>
      <c r="E32" s="7">
        <v>19138.02</v>
      </c>
      <c r="F32" s="29">
        <v>6000</v>
      </c>
      <c r="G32" s="7"/>
      <c r="H32" s="7">
        <f>(Tabla8[[#This Row],[CAPITAL A FIN DE MES]]-(Tabla8[[#This Row],[CAPITAL A INICIO DE MES]]+Tabla8[[#This Row],[CAPITAL INVERTIDO ESTE MES]]))</f>
        <v>-25138.02</v>
      </c>
      <c r="I32" s="9">
        <f>(Tabla8[[#This Row],[CAPITAL A FIN DE MES]]-Tabla8[[#This Row],[CAPITAL A INICIO DE MES]])/Tabla8[[#This Row],[CAPITAL A INICIO DE MES]]</f>
        <v>-1</v>
      </c>
    </row>
    <row r="33" spans="2:9">
      <c r="B33" t="s">
        <v>112</v>
      </c>
      <c r="C33" t="s">
        <v>53</v>
      </c>
      <c r="D33" t="s">
        <v>14</v>
      </c>
      <c r="E33" s="7">
        <v>19782.494933349997</v>
      </c>
      <c r="F33" s="29">
        <v>2800</v>
      </c>
      <c r="G33" s="7"/>
      <c r="H33" s="7">
        <f>(Tabla8[[#This Row],[CAPITAL A FIN DE MES]]-(Tabla8[[#This Row],[CAPITAL A INICIO DE MES]]+Tabla8[[#This Row],[CAPITAL INVERTIDO ESTE MES]]))</f>
        <v>-22582.494933349997</v>
      </c>
      <c r="I33" s="9">
        <f>(Tabla8[[#This Row],[CAPITAL A FIN DE MES]]-Tabla8[[#This Row],[CAPITAL A INICIO DE MES]])/Tabla8[[#This Row],[CAPITAL A INICIO DE MES]]</f>
        <v>-1</v>
      </c>
    </row>
    <row r="34" spans="2:9">
      <c r="B34" t="s">
        <v>112</v>
      </c>
      <c r="C34" t="s">
        <v>53</v>
      </c>
      <c r="D34" t="s">
        <v>15</v>
      </c>
      <c r="E34" s="7">
        <v>14770.53</v>
      </c>
      <c r="F34" s="29">
        <v>2800</v>
      </c>
      <c r="G34" s="7"/>
      <c r="H34" s="7">
        <f>(Tabla8[[#This Row],[CAPITAL A FIN DE MES]]-(Tabla8[[#This Row],[CAPITAL A INICIO DE MES]]+Tabla8[[#This Row],[CAPITAL INVERTIDO ESTE MES]]))</f>
        <v>-17570.53</v>
      </c>
      <c r="I34" s="9">
        <f>(Tabla8[[#This Row],[CAPITAL A FIN DE MES]]-Tabla8[[#This Row],[CAPITAL A INICIO DE MES]])/Tabla8[[#This Row],[CAPITAL A INICIO DE MES]]</f>
        <v>-1</v>
      </c>
    </row>
    <row r="35" spans="2:9">
      <c r="B35" t="s">
        <v>112</v>
      </c>
      <c r="C35" t="s">
        <v>53</v>
      </c>
      <c r="D35" t="s">
        <v>41</v>
      </c>
      <c r="E35" s="7">
        <v>6757.24</v>
      </c>
      <c r="F35" s="29">
        <v>1400</v>
      </c>
      <c r="G35" s="7"/>
      <c r="H35" s="7">
        <f>(Tabla8[[#This Row],[CAPITAL A FIN DE MES]]-(Tabla8[[#This Row],[CAPITAL A INICIO DE MES]]+Tabla8[[#This Row],[CAPITAL INVERTIDO ESTE MES]]))</f>
        <v>-8157.24</v>
      </c>
      <c r="I35" s="9">
        <f>(Tabla8[[#This Row],[CAPITAL A FIN DE MES]]-Tabla8[[#This Row],[CAPITAL A INICIO DE MES]])/Tabla8[[#This Row],[CAPITAL A INICIO DE MES]]</f>
        <v>-1</v>
      </c>
    </row>
    <row r="36" spans="2:9">
      <c r="B36" t="s">
        <v>112</v>
      </c>
      <c r="C36" t="s">
        <v>53</v>
      </c>
      <c r="D36" t="s">
        <v>63</v>
      </c>
      <c r="E36" s="7">
        <v>11513.11</v>
      </c>
      <c r="F36" s="29">
        <v>2800</v>
      </c>
      <c r="G36" s="7"/>
      <c r="H36" s="7">
        <f>(Tabla8[[#This Row],[CAPITAL A FIN DE MES]]-(Tabla8[[#This Row],[CAPITAL A INICIO DE MES]]+Tabla8[[#This Row],[CAPITAL INVERTIDO ESTE MES]]))</f>
        <v>-14313.11</v>
      </c>
      <c r="I36" s="9">
        <f>(Tabla8[[#This Row],[CAPITAL A FIN DE MES]]-Tabla8[[#This Row],[CAPITAL A INICIO DE MES]])/Tabla8[[#This Row],[CAPITAL A INICIO DE MES]]</f>
        <v>-1</v>
      </c>
    </row>
    <row r="37" spans="2:9">
      <c r="B37" t="s">
        <v>112</v>
      </c>
      <c r="C37" t="s">
        <v>103</v>
      </c>
      <c r="D37" t="s">
        <v>13</v>
      </c>
      <c r="E37" s="7">
        <v>99977.62</v>
      </c>
      <c r="F37" s="29"/>
      <c r="G37" s="7"/>
      <c r="H37" s="7">
        <f>(Tabla8[[#This Row],[CAPITAL A FIN DE MES]]-(Tabla8[[#This Row],[CAPITAL A INICIO DE MES]]+Tabla8[[#This Row],[CAPITAL INVERTIDO ESTE MES]]))</f>
        <v>-99977.62</v>
      </c>
      <c r="I37" s="9">
        <f>(Tabla8[[#This Row],[CAPITAL A FIN DE MES]]-Tabla8[[#This Row],[CAPITAL A INICIO DE MES]])/Tabla8[[#This Row],[CAPITAL A INICIO DE MES]]</f>
        <v>-1</v>
      </c>
    </row>
  </sheetData>
  <conditionalFormatting sqref="H1:H1048576">
    <cfRule type="cellIs" dxfId="32" priority="3" operator="lessThan">
      <formula>0</formula>
    </cfRule>
    <cfRule type="cellIs" dxfId="31" priority="4" operator="lessThan">
      <formula>0</formula>
    </cfRule>
  </conditionalFormatting>
  <conditionalFormatting sqref="M3:X3">
    <cfRule type="cellIs" dxfId="1" priority="2" operator="lessThan">
      <formula>0</formula>
    </cfRule>
  </conditionalFormatting>
  <conditionalFormatting sqref="M3:Y3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ignoredErrors>
    <ignoredError sqref="H3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topLeftCell="D1" workbookViewId="0">
      <selection activeCell="I14" sqref="I14"/>
    </sheetView>
  </sheetViews>
  <sheetFormatPr baseColWidth="10" defaultRowHeight="14.25"/>
  <cols>
    <col min="2" max="2" width="17.125" bestFit="1" customWidth="1"/>
    <col min="3" max="3" width="13.25" bestFit="1" customWidth="1"/>
    <col min="4" max="4" width="19.875" customWidth="1"/>
    <col min="5" max="5" width="21" customWidth="1"/>
    <col min="6" max="6" width="20.875" customWidth="1"/>
    <col min="7" max="7" width="26.125" customWidth="1"/>
    <col min="8" max="8" width="21.875" customWidth="1"/>
    <col min="9" max="9" width="27.25" customWidth="1"/>
    <col min="10" max="10" width="16.375" customWidth="1"/>
    <col min="30" max="30" width="12.125" bestFit="1" customWidth="1"/>
    <col min="31" max="31" width="14.25" bestFit="1" customWidth="1"/>
  </cols>
  <sheetData>
    <row r="2" spans="2:10">
      <c r="B2" s="23" t="s">
        <v>52</v>
      </c>
      <c r="C2" s="23" t="s">
        <v>86</v>
      </c>
      <c r="D2" s="23" t="s">
        <v>54</v>
      </c>
      <c r="E2" s="23" t="s">
        <v>87</v>
      </c>
      <c r="F2" s="23" t="s">
        <v>88</v>
      </c>
      <c r="G2" s="23" t="s">
        <v>89</v>
      </c>
      <c r="H2" s="23" t="s">
        <v>90</v>
      </c>
      <c r="I2" s="23" t="s">
        <v>91</v>
      </c>
      <c r="J2" s="23" t="s">
        <v>47</v>
      </c>
    </row>
    <row r="3" spans="2:10">
      <c r="B3" t="s">
        <v>92</v>
      </c>
      <c r="C3" t="s">
        <v>93</v>
      </c>
      <c r="D3" s="2">
        <v>200</v>
      </c>
      <c r="E3" s="2"/>
      <c r="F3" s="2">
        <v>1.1399999999999999</v>
      </c>
      <c r="G3" s="12">
        <f t="shared" ref="G3:G10" si="0">(F3/(D3+E3))</f>
        <v>5.6999999999999993E-3</v>
      </c>
      <c r="H3" s="2"/>
      <c r="I3" s="2">
        <f t="shared" ref="I3:I10" si="1">D3+E3+F3-H3</f>
        <v>201.14</v>
      </c>
      <c r="J3" s="12">
        <f t="shared" ref="J3:J10" si="2">((I3-(D3+E3))/(D3+E3))</f>
        <v>5.6999999999999317E-3</v>
      </c>
    </row>
    <row r="4" spans="2:10">
      <c r="B4" t="s">
        <v>94</v>
      </c>
      <c r="C4" t="s">
        <v>93</v>
      </c>
      <c r="D4" s="2">
        <v>200</v>
      </c>
      <c r="E4" s="2">
        <v>8700</v>
      </c>
      <c r="F4" s="2">
        <v>76.849999999999994</v>
      </c>
      <c r="G4" s="12">
        <f t="shared" si="0"/>
        <v>8.6348314606741559E-3</v>
      </c>
      <c r="H4" s="2"/>
      <c r="I4" s="2">
        <f t="shared" si="1"/>
        <v>8976.85</v>
      </c>
      <c r="J4" s="12">
        <f t="shared" si="2"/>
        <v>8.6348314606741975E-3</v>
      </c>
    </row>
    <row r="5" spans="2:10">
      <c r="B5" t="s">
        <v>95</v>
      </c>
      <c r="C5" t="s">
        <v>93</v>
      </c>
      <c r="D5" s="2">
        <v>8976.85</v>
      </c>
      <c r="E5" s="2">
        <v>3099.99</v>
      </c>
      <c r="F5" s="2">
        <v>111.91</v>
      </c>
      <c r="G5" s="12">
        <f t="shared" si="0"/>
        <v>9.2664968650739751E-3</v>
      </c>
      <c r="H5" s="2"/>
      <c r="I5" s="2">
        <f t="shared" si="1"/>
        <v>12188.75</v>
      </c>
      <c r="J5" s="12">
        <f t="shared" si="2"/>
        <v>9.2664968650739647E-3</v>
      </c>
    </row>
    <row r="6" spans="2:10">
      <c r="B6" t="s">
        <v>97</v>
      </c>
      <c r="C6" t="s">
        <v>93</v>
      </c>
      <c r="D6" s="2">
        <v>12188.75</v>
      </c>
      <c r="E6" s="2">
        <v>6200</v>
      </c>
      <c r="F6" s="2">
        <v>177.87</v>
      </c>
      <c r="G6" s="12">
        <f t="shared" si="0"/>
        <v>9.6727618788661554E-3</v>
      </c>
      <c r="H6" s="2"/>
      <c r="I6" s="2">
        <f t="shared" si="1"/>
        <v>18566.62</v>
      </c>
      <c r="J6" s="12">
        <f t="shared" si="2"/>
        <v>9.6727618788660999E-3</v>
      </c>
    </row>
    <row r="7" spans="2:10">
      <c r="B7" t="s">
        <v>64</v>
      </c>
      <c r="C7" t="s">
        <v>93</v>
      </c>
      <c r="D7" s="2">
        <v>18566.62</v>
      </c>
      <c r="E7" s="2">
        <v>6200</v>
      </c>
      <c r="F7" s="2">
        <v>230.98</v>
      </c>
      <c r="G7" s="12">
        <f t="shared" si="0"/>
        <v>9.326262525932081E-3</v>
      </c>
      <c r="H7" s="2"/>
      <c r="I7" s="2">
        <f t="shared" si="1"/>
        <v>24997.599999999999</v>
      </c>
      <c r="J7" s="12">
        <f t="shared" si="2"/>
        <v>9.3262625259320636E-3</v>
      </c>
    </row>
    <row r="8" spans="2:10">
      <c r="B8" t="s">
        <v>64</v>
      </c>
      <c r="C8" t="s">
        <v>96</v>
      </c>
      <c r="D8" s="2">
        <v>730</v>
      </c>
      <c r="E8" s="2"/>
      <c r="F8" s="2">
        <v>13.73</v>
      </c>
      <c r="G8" s="12">
        <f t="shared" si="0"/>
        <v>1.8808219178082192E-2</v>
      </c>
      <c r="H8" s="2"/>
      <c r="I8" s="2">
        <f t="shared" si="1"/>
        <v>743.73</v>
      </c>
      <c r="J8" s="12">
        <f t="shared" si="2"/>
        <v>1.8808219178082217E-2</v>
      </c>
    </row>
    <row r="9" spans="2:10">
      <c r="B9" t="s">
        <v>85</v>
      </c>
      <c r="C9" t="s">
        <v>93</v>
      </c>
      <c r="D9" s="2">
        <v>24997.599999999999</v>
      </c>
      <c r="E9" s="2">
        <v>6000</v>
      </c>
      <c r="F9" s="2">
        <v>347.84</v>
      </c>
      <c r="G9" s="12">
        <f t="shared" si="0"/>
        <v>1.1221513923658605E-2</v>
      </c>
      <c r="H9" s="2"/>
      <c r="I9" s="2">
        <f t="shared" si="1"/>
        <v>31345.439999999999</v>
      </c>
      <c r="J9" s="12">
        <f t="shared" si="2"/>
        <v>1.122151392365861E-2</v>
      </c>
    </row>
    <row r="10" spans="2:10">
      <c r="B10" t="s">
        <v>85</v>
      </c>
      <c r="C10" t="s">
        <v>96</v>
      </c>
      <c r="D10" s="2">
        <v>743.73</v>
      </c>
      <c r="E10" s="2">
        <v>6000</v>
      </c>
      <c r="F10" s="2">
        <v>70.33</v>
      </c>
      <c r="G10" s="12">
        <f t="shared" si="0"/>
        <v>1.0428946591871265E-2</v>
      </c>
      <c r="H10" s="2"/>
      <c r="I10" s="2">
        <f t="shared" si="1"/>
        <v>6814.0599999999995</v>
      </c>
      <c r="J10" s="12">
        <f t="shared" si="2"/>
        <v>1.0428946591871255E-2</v>
      </c>
    </row>
    <row r="11" spans="2:10">
      <c r="B11" t="s">
        <v>108</v>
      </c>
      <c r="C11" t="s">
        <v>93</v>
      </c>
      <c r="D11" s="2">
        <f>I9</f>
        <v>31345.439999999999</v>
      </c>
      <c r="E11" s="2">
        <v>6000</v>
      </c>
      <c r="F11" s="2">
        <v>350.56</v>
      </c>
      <c r="G11" s="27">
        <f t="shared" ref="G11:G16" si="3">(F11/(D11+E11))</f>
        <v>9.3869559442866374E-3</v>
      </c>
      <c r="H11" s="2"/>
      <c r="I11" s="2">
        <f t="shared" ref="I11:I16" si="4">D11+E11+F11-H11</f>
        <v>37696</v>
      </c>
      <c r="J11" s="27">
        <f t="shared" ref="J11:J16" si="5">((I11-(D11+E11))/(D11+E11))</f>
        <v>9.3869559442865749E-3</v>
      </c>
    </row>
    <row r="12" spans="2:10">
      <c r="B12" t="s">
        <v>108</v>
      </c>
      <c r="C12" t="s">
        <v>96</v>
      </c>
      <c r="D12" s="2">
        <f>I10</f>
        <v>6814.0599999999995</v>
      </c>
      <c r="E12" s="2">
        <v>6000</v>
      </c>
      <c r="F12" s="2">
        <v>126.35</v>
      </c>
      <c r="G12" s="27">
        <f t="shared" si="3"/>
        <v>9.8602628675064728E-3</v>
      </c>
      <c r="H12" s="2"/>
      <c r="I12" s="2">
        <f t="shared" si="4"/>
        <v>12940.41</v>
      </c>
      <c r="J12" s="27">
        <f t="shared" si="5"/>
        <v>9.8602628675065022E-3</v>
      </c>
    </row>
    <row r="13" spans="2:10">
      <c r="B13" t="s">
        <v>111</v>
      </c>
      <c r="C13" t="s">
        <v>93</v>
      </c>
      <c r="D13" s="2">
        <v>37696</v>
      </c>
      <c r="E13" s="2">
        <v>6000</v>
      </c>
      <c r="F13" s="2">
        <v>442.1</v>
      </c>
      <c r="G13" s="27">
        <f t="shared" si="3"/>
        <v>1.0117630904430613E-2</v>
      </c>
      <c r="H13" s="2"/>
      <c r="I13" s="2">
        <f t="shared" si="4"/>
        <v>44138.1</v>
      </c>
      <c r="J13" s="27">
        <f t="shared" si="5"/>
        <v>1.0117630904430578E-2</v>
      </c>
    </row>
    <row r="14" spans="2:10">
      <c r="B14" t="s">
        <v>111</v>
      </c>
      <c r="C14" t="s">
        <v>96</v>
      </c>
      <c r="D14" s="2">
        <v>12940.41</v>
      </c>
      <c r="E14" s="2">
        <v>6000</v>
      </c>
      <c r="F14" s="2">
        <v>197.61</v>
      </c>
      <c r="G14" s="27">
        <f t="shared" si="3"/>
        <v>1.0433248277096432E-2</v>
      </c>
      <c r="H14" s="2"/>
      <c r="I14" s="2">
        <f t="shared" si="4"/>
        <v>19138.02</v>
      </c>
      <c r="J14" s="27">
        <f t="shared" si="5"/>
        <v>1.0433248277096461E-2</v>
      </c>
    </row>
    <row r="15" spans="2:10">
      <c r="B15" t="s">
        <v>112</v>
      </c>
      <c r="C15" t="s">
        <v>93</v>
      </c>
      <c r="D15" s="2">
        <v>44138.1</v>
      </c>
      <c r="E15" s="2">
        <v>6000</v>
      </c>
      <c r="F15" s="2"/>
      <c r="G15" s="27">
        <f t="shared" si="3"/>
        <v>0</v>
      </c>
      <c r="H15" s="2"/>
      <c r="I15" s="2">
        <f t="shared" si="4"/>
        <v>50138.1</v>
      </c>
      <c r="J15" s="27">
        <f t="shared" si="5"/>
        <v>0</v>
      </c>
    </row>
    <row r="16" spans="2:10">
      <c r="B16" t="s">
        <v>112</v>
      </c>
      <c r="C16" t="s">
        <v>96</v>
      </c>
      <c r="D16" s="2">
        <v>19138.02</v>
      </c>
      <c r="E16" s="2">
        <v>6000</v>
      </c>
      <c r="F16" s="2"/>
      <c r="G16" s="27">
        <f t="shared" si="3"/>
        <v>0</v>
      </c>
      <c r="H16" s="2"/>
      <c r="I16" s="2">
        <f t="shared" si="4"/>
        <v>25138.02</v>
      </c>
      <c r="J16" s="27">
        <f t="shared" si="5"/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3"/>
  <sheetViews>
    <sheetView topLeftCell="A181" zoomScaleNormal="100" workbookViewId="0">
      <selection activeCell="I193" sqref="I193"/>
    </sheetView>
  </sheetViews>
  <sheetFormatPr baseColWidth="10" defaultRowHeight="14.25"/>
  <cols>
    <col min="3" max="3" width="11.625" bestFit="1" customWidth="1"/>
    <col min="4" max="4" width="14.125" bestFit="1" customWidth="1"/>
    <col min="5" max="5" width="12" customWidth="1"/>
    <col min="6" max="7" width="13.125" customWidth="1"/>
  </cols>
  <sheetData>
    <row r="2" spans="2:7"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63</v>
      </c>
    </row>
    <row r="3" spans="2:7">
      <c r="B3" s="1">
        <v>45404</v>
      </c>
      <c r="C3" s="3">
        <v>3912.77</v>
      </c>
      <c r="D3" s="3">
        <v>66429</v>
      </c>
      <c r="E3" s="3"/>
      <c r="F3" s="3"/>
      <c r="G3" s="3"/>
    </row>
    <row r="4" spans="2:7">
      <c r="B4" s="1">
        <v>45405</v>
      </c>
      <c r="C4" s="3">
        <v>3910.09</v>
      </c>
      <c r="D4" s="3">
        <v>66429</v>
      </c>
      <c r="E4" s="3"/>
      <c r="F4" s="3"/>
      <c r="G4" s="3"/>
    </row>
    <row r="5" spans="2:7">
      <c r="B5" s="1">
        <v>45406</v>
      </c>
      <c r="C5" s="3">
        <v>3906.66</v>
      </c>
      <c r="D5" s="3">
        <v>66651</v>
      </c>
      <c r="E5" s="3"/>
      <c r="F5" s="3"/>
      <c r="G5" s="3"/>
    </row>
    <row r="6" spans="2:7">
      <c r="B6" s="1">
        <v>45407</v>
      </c>
      <c r="C6" s="3">
        <v>3954.52</v>
      </c>
      <c r="D6" s="3">
        <v>64247</v>
      </c>
      <c r="E6" s="3"/>
      <c r="F6" s="3"/>
      <c r="G6" s="3"/>
    </row>
    <row r="7" spans="2:7">
      <c r="B7" s="1">
        <v>45408</v>
      </c>
      <c r="C7" s="3">
        <v>3959.14</v>
      </c>
      <c r="D7" s="3">
        <v>64262</v>
      </c>
      <c r="E7" s="3"/>
      <c r="F7" s="3"/>
      <c r="G7" s="3"/>
    </row>
    <row r="8" spans="2:7">
      <c r="B8" s="1">
        <v>45409</v>
      </c>
      <c r="C8" s="3">
        <v>3965.23</v>
      </c>
      <c r="D8" s="3">
        <v>64262</v>
      </c>
      <c r="E8" s="3"/>
      <c r="F8" s="3"/>
      <c r="G8" s="3"/>
    </row>
    <row r="9" spans="2:7">
      <c r="B9" s="1">
        <v>45410</v>
      </c>
      <c r="C9" s="3">
        <v>3965.23</v>
      </c>
      <c r="D9" s="3">
        <v>64262</v>
      </c>
      <c r="E9" s="3"/>
      <c r="F9" s="3"/>
      <c r="G9" s="3"/>
    </row>
    <row r="10" spans="2:7">
      <c r="B10" s="1">
        <v>45411</v>
      </c>
      <c r="C10" s="3">
        <v>3899.11</v>
      </c>
      <c r="D10" s="3">
        <v>62651</v>
      </c>
      <c r="E10" s="3"/>
      <c r="F10" s="3"/>
      <c r="G10" s="3"/>
    </row>
    <row r="11" spans="2:7">
      <c r="B11" s="1">
        <v>45412</v>
      </c>
      <c r="C11" s="3">
        <v>3866.12</v>
      </c>
      <c r="D11" s="3">
        <v>63665</v>
      </c>
      <c r="E11" s="3"/>
      <c r="F11" s="3"/>
      <c r="G11" s="3"/>
    </row>
    <row r="12" spans="2:7">
      <c r="B12" s="1">
        <v>45413</v>
      </c>
      <c r="C12" s="3">
        <v>3910.78</v>
      </c>
      <c r="D12" s="3">
        <v>60239</v>
      </c>
      <c r="E12" s="3"/>
      <c r="F12" s="3"/>
      <c r="G12" s="3"/>
    </row>
    <row r="13" spans="2:7">
      <c r="B13" s="1">
        <v>45414</v>
      </c>
      <c r="C13" s="3">
        <v>3914.91</v>
      </c>
      <c r="D13" s="3">
        <v>57733</v>
      </c>
      <c r="E13" s="3"/>
      <c r="F13" s="3"/>
      <c r="G13" s="3"/>
    </row>
    <row r="14" spans="2:7">
      <c r="B14" s="1">
        <v>45415</v>
      </c>
      <c r="C14" s="3">
        <v>3876.29</v>
      </c>
      <c r="D14" s="3">
        <v>59715</v>
      </c>
      <c r="E14" s="3"/>
      <c r="F14" s="3"/>
      <c r="G14" s="3"/>
    </row>
    <row r="15" spans="2:7">
      <c r="B15" s="1">
        <v>45416</v>
      </c>
      <c r="C15" s="3">
        <v>3884.06</v>
      </c>
      <c r="D15" s="3">
        <v>59715</v>
      </c>
      <c r="E15" s="3"/>
      <c r="F15" s="3"/>
      <c r="G15" s="3"/>
    </row>
    <row r="16" spans="2:7">
      <c r="B16" s="1">
        <v>45417</v>
      </c>
      <c r="C16" s="3">
        <v>3884.06</v>
      </c>
      <c r="D16" s="3">
        <v>59715</v>
      </c>
      <c r="E16" s="3"/>
      <c r="F16" s="3"/>
      <c r="G16" s="3"/>
    </row>
    <row r="17" spans="2:7">
      <c r="B17" s="1">
        <v>45418</v>
      </c>
      <c r="C17" s="3">
        <v>3899.49</v>
      </c>
      <c r="D17" s="3">
        <v>64047</v>
      </c>
      <c r="E17" s="3"/>
      <c r="F17" s="3"/>
      <c r="G17" s="3"/>
    </row>
    <row r="18" spans="2:7">
      <c r="B18" s="1">
        <v>45419</v>
      </c>
      <c r="C18" s="3">
        <v>3892.43</v>
      </c>
      <c r="D18" s="3">
        <v>63488</v>
      </c>
      <c r="E18" s="3"/>
      <c r="F18" s="3"/>
      <c r="G18" s="3"/>
    </row>
    <row r="19" spans="2:7">
      <c r="B19" s="1">
        <v>45420</v>
      </c>
      <c r="C19" s="3">
        <v>3887.67</v>
      </c>
      <c r="D19" s="3">
        <v>62410</v>
      </c>
      <c r="E19" s="3"/>
      <c r="F19" s="3"/>
      <c r="G19" s="3"/>
    </row>
    <row r="20" spans="2:7">
      <c r="B20" s="1">
        <v>45421</v>
      </c>
      <c r="C20" s="3">
        <v>3889.78</v>
      </c>
      <c r="D20" s="3">
        <v>61611</v>
      </c>
      <c r="E20" s="3"/>
      <c r="F20" s="3"/>
      <c r="G20" s="3"/>
    </row>
    <row r="21" spans="2:7">
      <c r="B21" s="1">
        <v>45422</v>
      </c>
      <c r="C21" s="3">
        <v>3893.04</v>
      </c>
      <c r="D21" s="3">
        <v>63035</v>
      </c>
      <c r="E21" s="3"/>
      <c r="F21" s="3"/>
      <c r="G21" s="3"/>
    </row>
    <row r="22" spans="2:7">
      <c r="B22" s="1">
        <v>45423</v>
      </c>
      <c r="C22" s="3">
        <v>3886.61</v>
      </c>
      <c r="D22" s="3">
        <v>63035</v>
      </c>
      <c r="E22" s="3"/>
      <c r="F22" s="3"/>
      <c r="G22" s="3"/>
    </row>
    <row r="23" spans="2:7">
      <c r="B23" s="1">
        <v>45424</v>
      </c>
      <c r="C23" s="3">
        <v>3886.63</v>
      </c>
      <c r="D23" s="3">
        <v>63035</v>
      </c>
      <c r="E23" s="3"/>
      <c r="F23" s="3"/>
      <c r="G23" s="3"/>
    </row>
    <row r="24" spans="2:7">
      <c r="B24" s="1">
        <v>45425</v>
      </c>
      <c r="C24" s="3">
        <v>3875.84</v>
      </c>
      <c r="D24" s="3">
        <v>61620</v>
      </c>
      <c r="E24" s="3"/>
      <c r="F24" s="3"/>
      <c r="G24" s="3"/>
    </row>
    <row r="25" spans="2:7">
      <c r="B25" s="1">
        <v>45426</v>
      </c>
      <c r="C25" s="3">
        <v>3884.72</v>
      </c>
      <c r="D25" s="3">
        <v>62663</v>
      </c>
      <c r="E25" s="3"/>
      <c r="F25" s="3"/>
      <c r="G25" s="3"/>
    </row>
    <row r="26" spans="2:7">
      <c r="B26" s="1">
        <v>45427</v>
      </c>
      <c r="C26" s="3">
        <v>3835.2</v>
      </c>
      <c r="D26" s="3">
        <v>62058</v>
      </c>
      <c r="E26" s="3"/>
      <c r="F26" s="3"/>
      <c r="G26" s="3"/>
    </row>
    <row r="27" spans="2:7">
      <c r="B27" s="1">
        <v>45428</v>
      </c>
      <c r="C27" s="3">
        <v>3824.57</v>
      </c>
      <c r="D27" s="3">
        <v>65932</v>
      </c>
      <c r="E27" s="3"/>
      <c r="F27" s="3"/>
      <c r="G27" s="3"/>
    </row>
    <row r="28" spans="2:7">
      <c r="B28" s="1">
        <v>45429</v>
      </c>
      <c r="C28" s="3">
        <v>3825.81</v>
      </c>
      <c r="D28" s="3">
        <v>65932</v>
      </c>
      <c r="E28" s="3"/>
      <c r="F28" s="3"/>
      <c r="G28" s="3"/>
    </row>
    <row r="29" spans="2:7">
      <c r="B29" s="1">
        <v>45430</v>
      </c>
      <c r="C29" s="3">
        <v>3807.16</v>
      </c>
      <c r="D29" s="3">
        <v>65932</v>
      </c>
      <c r="E29" s="3"/>
      <c r="F29" s="3"/>
      <c r="G29" s="3"/>
    </row>
    <row r="30" spans="2:7">
      <c r="B30" s="1">
        <v>45431</v>
      </c>
      <c r="C30" s="3">
        <v>3907.16</v>
      </c>
      <c r="D30" s="3">
        <v>65932</v>
      </c>
      <c r="E30" s="3"/>
      <c r="F30" s="3"/>
      <c r="G30" s="3"/>
    </row>
    <row r="31" spans="2:7">
      <c r="B31" s="1">
        <v>45432</v>
      </c>
      <c r="C31" s="3">
        <v>3834.1</v>
      </c>
      <c r="D31" s="3">
        <v>71061</v>
      </c>
      <c r="E31" s="3"/>
      <c r="F31" s="3"/>
      <c r="G31" s="3"/>
    </row>
    <row r="32" spans="2:7">
      <c r="B32" s="1">
        <v>45432</v>
      </c>
      <c r="C32" s="3">
        <v>3823.33</v>
      </c>
      <c r="D32" s="3">
        <v>69820.39</v>
      </c>
      <c r="E32" s="3"/>
      <c r="F32" s="3"/>
      <c r="G32" s="3"/>
    </row>
    <row r="33" spans="2:7">
      <c r="B33" s="1">
        <v>45433</v>
      </c>
      <c r="C33" s="3">
        <v>3823.33</v>
      </c>
      <c r="D33" s="3">
        <v>71061</v>
      </c>
      <c r="E33" s="3"/>
      <c r="F33" s="3"/>
      <c r="G33" s="3"/>
    </row>
    <row r="34" spans="2:7">
      <c r="B34" s="1">
        <v>45434</v>
      </c>
      <c r="C34" s="3">
        <v>3815.89</v>
      </c>
      <c r="D34" s="3">
        <v>69820.39</v>
      </c>
      <c r="E34" s="3"/>
      <c r="F34" s="3"/>
      <c r="G34" s="3"/>
    </row>
    <row r="35" spans="2:7">
      <c r="B35" s="1">
        <v>45435</v>
      </c>
      <c r="C35" s="3">
        <v>3826.91</v>
      </c>
      <c r="D35" s="3">
        <v>67894.8</v>
      </c>
      <c r="E35" s="3"/>
      <c r="F35" s="3"/>
      <c r="G35" s="3"/>
    </row>
    <row r="36" spans="2:7">
      <c r="B36" s="1">
        <v>45436</v>
      </c>
      <c r="C36" s="3">
        <v>3865.43</v>
      </c>
      <c r="D36" s="3">
        <v>68270.3</v>
      </c>
      <c r="E36" s="3"/>
      <c r="F36" s="3"/>
      <c r="G36" s="3"/>
    </row>
    <row r="37" spans="2:7">
      <c r="B37" s="1">
        <v>45437</v>
      </c>
      <c r="C37" s="3">
        <v>3864.74</v>
      </c>
      <c r="D37" s="3">
        <v>69162.5</v>
      </c>
      <c r="E37" s="3"/>
      <c r="F37" s="3"/>
      <c r="G37" s="3"/>
    </row>
    <row r="38" spans="2:7">
      <c r="B38" s="1">
        <v>45438</v>
      </c>
      <c r="C38" s="3">
        <v>3864.74</v>
      </c>
      <c r="D38" s="3">
        <v>69068.899999999994</v>
      </c>
      <c r="E38" s="3"/>
      <c r="F38" s="3"/>
      <c r="G38" s="3"/>
    </row>
    <row r="39" spans="2:7">
      <c r="B39" s="1">
        <v>45439</v>
      </c>
      <c r="C39" s="3">
        <v>3879.67</v>
      </c>
      <c r="D39" s="3">
        <v>69906.399999999994</v>
      </c>
      <c r="E39" s="3"/>
      <c r="F39" s="3"/>
      <c r="G39" s="3"/>
    </row>
    <row r="40" spans="2:7">
      <c r="B40" s="1">
        <v>45440</v>
      </c>
      <c r="C40" s="3">
        <v>3871.11</v>
      </c>
      <c r="D40" s="3">
        <v>68284.7</v>
      </c>
      <c r="E40" s="3"/>
      <c r="F40" s="3"/>
      <c r="G40" s="3"/>
    </row>
    <row r="41" spans="2:7">
      <c r="B41" s="1">
        <v>45441</v>
      </c>
      <c r="C41" s="3">
        <v>3840.64</v>
      </c>
      <c r="D41" s="3">
        <v>67458.899999999994</v>
      </c>
      <c r="E41" s="3"/>
      <c r="F41" s="3"/>
      <c r="G41" s="3"/>
    </row>
    <row r="42" spans="2:7">
      <c r="B42" s="1">
        <v>45442</v>
      </c>
      <c r="C42" s="3">
        <v>3864.68</v>
      </c>
      <c r="D42" s="3">
        <v>69144.5</v>
      </c>
      <c r="E42" s="3"/>
      <c r="F42" s="3"/>
      <c r="G42" s="3"/>
    </row>
    <row r="43" spans="2:7">
      <c r="B43" s="1">
        <v>45443</v>
      </c>
      <c r="C43" s="3">
        <v>3849.44</v>
      </c>
      <c r="D43" s="3">
        <v>68269.22</v>
      </c>
      <c r="E43" s="3"/>
      <c r="F43" s="3"/>
      <c r="G43" s="3"/>
    </row>
    <row r="44" spans="2:7">
      <c r="B44" s="1">
        <v>45444</v>
      </c>
      <c r="C44" s="3">
        <v>3857.24</v>
      </c>
      <c r="D44" s="3">
        <v>67839.77</v>
      </c>
      <c r="E44" s="3"/>
      <c r="F44" s="3"/>
      <c r="G44" s="3"/>
    </row>
    <row r="45" spans="2:7">
      <c r="B45" s="1">
        <v>45445</v>
      </c>
      <c r="C45" s="3">
        <v>3857.42</v>
      </c>
      <c r="D45" s="3">
        <v>68409.16</v>
      </c>
      <c r="E45" s="3"/>
      <c r="F45" s="3"/>
      <c r="G45" s="3"/>
    </row>
    <row r="46" spans="2:7">
      <c r="B46" s="1">
        <v>45446</v>
      </c>
      <c r="C46" s="3">
        <v>3869.91</v>
      </c>
      <c r="D46" s="3">
        <v>68500.160000000003</v>
      </c>
      <c r="E46" s="3"/>
      <c r="F46" s="3"/>
      <c r="G46" s="3"/>
    </row>
    <row r="47" spans="2:7">
      <c r="B47" s="1">
        <v>45447</v>
      </c>
      <c r="C47" s="3">
        <v>3860.88</v>
      </c>
      <c r="D47" s="3">
        <v>69306.850000000006</v>
      </c>
      <c r="E47" s="3"/>
      <c r="F47" s="3"/>
      <c r="G47" s="3"/>
    </row>
    <row r="48" spans="2:7">
      <c r="B48" s="1">
        <v>45448</v>
      </c>
      <c r="C48" s="3">
        <v>3925.64</v>
      </c>
      <c r="D48" s="3">
        <v>71131.899999999994</v>
      </c>
      <c r="E48" s="3"/>
      <c r="F48" s="3">
        <v>3865.9</v>
      </c>
      <c r="G48" s="3"/>
    </row>
    <row r="49" spans="2:8">
      <c r="B49" s="1">
        <v>45449</v>
      </c>
      <c r="C49" s="3">
        <v>3931.5</v>
      </c>
      <c r="D49" s="4">
        <v>70947</v>
      </c>
      <c r="E49" s="4"/>
      <c r="F49" s="4">
        <v>3801.31</v>
      </c>
      <c r="G49" s="4"/>
      <c r="H49">
        <v>1</v>
      </c>
    </row>
    <row r="50" spans="2:8">
      <c r="B50" s="1">
        <v>45450</v>
      </c>
      <c r="C50" s="3">
        <v>3961.4</v>
      </c>
      <c r="D50" s="3">
        <v>69485.8</v>
      </c>
      <c r="E50" s="3"/>
      <c r="F50" s="3">
        <v>3688.46</v>
      </c>
      <c r="G50" s="3"/>
    </row>
    <row r="51" spans="2:8">
      <c r="B51" s="1">
        <v>45451</v>
      </c>
      <c r="C51" s="3">
        <v>3967.4</v>
      </c>
      <c r="D51" s="3">
        <v>69204</v>
      </c>
      <c r="E51" s="3"/>
      <c r="F51" s="3">
        <v>3669.88</v>
      </c>
      <c r="G51" s="3"/>
    </row>
    <row r="52" spans="2:8">
      <c r="B52" s="1">
        <v>45452</v>
      </c>
      <c r="C52" s="3">
        <v>3967.4</v>
      </c>
      <c r="D52" s="3">
        <v>69813.7</v>
      </c>
      <c r="E52" s="3"/>
      <c r="F52" s="3">
        <v>3706.5</v>
      </c>
      <c r="G52" s="3"/>
    </row>
    <row r="53" spans="2:8">
      <c r="B53" s="1">
        <v>45453</v>
      </c>
      <c r="C53" s="3">
        <v>3995.66</v>
      </c>
      <c r="D53" s="4">
        <v>69276</v>
      </c>
      <c r="E53" s="4"/>
      <c r="F53" s="4">
        <v>3669.68</v>
      </c>
      <c r="G53" s="4"/>
      <c r="H53">
        <v>2</v>
      </c>
    </row>
    <row r="54" spans="2:8">
      <c r="B54" s="1">
        <v>45454</v>
      </c>
      <c r="C54" s="3">
        <v>3838.72</v>
      </c>
      <c r="D54" s="3">
        <v>67166</v>
      </c>
      <c r="E54" s="3"/>
      <c r="F54" s="3">
        <v>3488.53</v>
      </c>
      <c r="G54" s="3"/>
    </row>
    <row r="55" spans="2:8">
      <c r="B55" s="1">
        <v>45455</v>
      </c>
      <c r="C55" s="3">
        <v>3965.25</v>
      </c>
      <c r="D55" s="3">
        <v>68264</v>
      </c>
      <c r="E55" s="3">
        <v>5.68</v>
      </c>
      <c r="F55" s="3">
        <v>3562.81</v>
      </c>
      <c r="G55" s="3"/>
    </row>
    <row r="56" spans="2:8">
      <c r="B56" s="1">
        <v>45456</v>
      </c>
      <c r="C56" s="3">
        <v>4042.4</v>
      </c>
      <c r="D56" s="3">
        <v>66943</v>
      </c>
      <c r="E56" s="3">
        <v>4.9000000000000004</v>
      </c>
      <c r="F56" s="3">
        <v>3483.94</v>
      </c>
      <c r="G56" s="3"/>
    </row>
    <row r="57" spans="2:8">
      <c r="B57" s="1">
        <v>45457</v>
      </c>
      <c r="C57" s="3">
        <v>4153.17</v>
      </c>
      <c r="D57" s="3">
        <v>66113</v>
      </c>
      <c r="E57" s="3">
        <v>4.9800000000000004</v>
      </c>
      <c r="F57" s="3">
        <v>3513.24</v>
      </c>
      <c r="G57" s="3"/>
    </row>
    <row r="58" spans="2:8">
      <c r="B58" s="1">
        <v>45458</v>
      </c>
      <c r="C58" s="3">
        <v>4140.0600000000004</v>
      </c>
      <c r="D58" s="3">
        <v>66136.259999999995</v>
      </c>
      <c r="E58" s="3">
        <v>5.35</v>
      </c>
      <c r="F58" s="3">
        <v>3536.35</v>
      </c>
      <c r="G58" s="3"/>
    </row>
    <row r="59" spans="2:8">
      <c r="B59" s="1">
        <v>45459</v>
      </c>
      <c r="C59" s="3">
        <v>4140.0600000000004</v>
      </c>
      <c r="D59" s="3">
        <v>66445.600000000006</v>
      </c>
      <c r="E59" s="3">
        <v>4.28</v>
      </c>
      <c r="F59" s="3">
        <v>3552.76</v>
      </c>
      <c r="G59" s="3"/>
    </row>
    <row r="60" spans="2:8">
      <c r="B60" s="1">
        <v>45460</v>
      </c>
      <c r="C60" s="3">
        <v>4129.43</v>
      </c>
      <c r="D60" s="4">
        <v>66469.899999999994</v>
      </c>
      <c r="E60" s="4">
        <v>4.2300000000000004</v>
      </c>
      <c r="F60" s="4">
        <v>3505.79</v>
      </c>
      <c r="G60" s="4"/>
      <c r="H60">
        <v>3</v>
      </c>
    </row>
    <row r="61" spans="2:8">
      <c r="B61" s="1">
        <v>45461</v>
      </c>
      <c r="C61" s="3">
        <v>4124.49</v>
      </c>
      <c r="D61" s="3">
        <v>65432.12</v>
      </c>
      <c r="E61" s="3">
        <v>3.94</v>
      </c>
      <c r="F61" s="3">
        <v>3550.4</v>
      </c>
      <c r="G61" s="3"/>
    </row>
    <row r="62" spans="2:8">
      <c r="B62" s="1">
        <v>45462</v>
      </c>
      <c r="C62" s="3">
        <v>4146.2</v>
      </c>
      <c r="D62" s="3">
        <v>65172.6</v>
      </c>
      <c r="E62" s="3">
        <v>3.93</v>
      </c>
      <c r="F62" s="3">
        <v>3546.75</v>
      </c>
      <c r="G62" s="3"/>
    </row>
    <row r="63" spans="2:8">
      <c r="B63" s="1">
        <v>45463</v>
      </c>
      <c r="C63" s="3">
        <v>4163.8</v>
      </c>
      <c r="D63" s="3">
        <v>64627.6</v>
      </c>
      <c r="E63" s="3">
        <v>4</v>
      </c>
      <c r="F63" s="3">
        <v>3502.79</v>
      </c>
      <c r="G63" s="3"/>
    </row>
    <row r="64" spans="2:8">
      <c r="B64" s="1">
        <v>45464</v>
      </c>
      <c r="C64" s="3">
        <v>4167.01</v>
      </c>
      <c r="D64" s="3">
        <v>64265.599999999999</v>
      </c>
      <c r="E64" s="3">
        <v>3.89</v>
      </c>
      <c r="F64" s="3">
        <v>3504.63</v>
      </c>
      <c r="G64" s="3"/>
    </row>
    <row r="65" spans="2:8">
      <c r="B65" s="1">
        <v>45465</v>
      </c>
      <c r="C65" s="3">
        <v>4163.3100000000004</v>
      </c>
      <c r="D65" s="3">
        <v>64384</v>
      </c>
      <c r="E65" s="3">
        <v>3.77</v>
      </c>
      <c r="F65" s="3">
        <v>3517.46</v>
      </c>
      <c r="G65" s="3"/>
    </row>
    <row r="66" spans="2:8">
      <c r="B66" s="1">
        <v>45466</v>
      </c>
      <c r="C66" s="3">
        <v>4163.3100000000004</v>
      </c>
      <c r="D66" s="3">
        <v>63211.3</v>
      </c>
      <c r="E66" s="3">
        <v>3.27</v>
      </c>
      <c r="F66" s="3">
        <v>3417.88</v>
      </c>
      <c r="G66" s="3"/>
    </row>
    <row r="67" spans="2:8">
      <c r="B67" s="1">
        <v>45467</v>
      </c>
      <c r="C67" s="3">
        <v>4144.4799999999996</v>
      </c>
      <c r="D67" s="4">
        <v>61441.2</v>
      </c>
      <c r="E67" s="4">
        <v>3.4</v>
      </c>
      <c r="F67" s="4">
        <v>3377.81</v>
      </c>
      <c r="G67" s="4"/>
      <c r="H67">
        <v>4</v>
      </c>
    </row>
    <row r="68" spans="2:8">
      <c r="B68" s="1">
        <v>45468</v>
      </c>
      <c r="C68" s="3">
        <v>4094.7</v>
      </c>
      <c r="D68" s="3">
        <v>61993.7</v>
      </c>
      <c r="E68" s="3">
        <v>3.56</v>
      </c>
      <c r="F68" s="3">
        <v>3409.31</v>
      </c>
      <c r="G68" s="3"/>
    </row>
    <row r="69" spans="2:8">
      <c r="B69" s="1">
        <v>45469</v>
      </c>
      <c r="C69" s="3">
        <v>4095.53</v>
      </c>
      <c r="D69" s="3">
        <v>61003.7</v>
      </c>
      <c r="E69" s="3">
        <v>3.52</v>
      </c>
      <c r="F69" s="3">
        <v>3388.2</v>
      </c>
      <c r="G69" s="3"/>
    </row>
    <row r="70" spans="2:8">
      <c r="B70" s="1">
        <v>45470</v>
      </c>
      <c r="C70" s="3">
        <v>4140.1899999999996</v>
      </c>
      <c r="D70" s="3">
        <v>61413.599999999999</v>
      </c>
      <c r="E70" s="3">
        <v>3.67</v>
      </c>
      <c r="F70" s="3">
        <v>3444.26</v>
      </c>
      <c r="G70" s="3"/>
    </row>
    <row r="71" spans="2:8">
      <c r="B71" s="1">
        <v>45475</v>
      </c>
      <c r="C71" s="3">
        <v>4129.08</v>
      </c>
      <c r="D71" s="4">
        <v>60973.4</v>
      </c>
      <c r="E71" s="4">
        <v>2.83</v>
      </c>
      <c r="F71" s="4">
        <v>3359.03</v>
      </c>
      <c r="G71" s="4"/>
      <c r="H71">
        <v>5</v>
      </c>
    </row>
    <row r="72" spans="2:8">
      <c r="B72" s="1">
        <v>45476</v>
      </c>
      <c r="C72" s="3">
        <v>4119.8999999999996</v>
      </c>
      <c r="D72" s="3">
        <v>59061.1</v>
      </c>
      <c r="E72" s="3">
        <v>2.7</v>
      </c>
      <c r="F72" s="3">
        <v>3241.13</v>
      </c>
      <c r="G72" s="3"/>
    </row>
    <row r="73" spans="2:8">
      <c r="B73" s="1">
        <v>45477</v>
      </c>
      <c r="C73" s="3">
        <v>4106.37</v>
      </c>
      <c r="D73" s="3">
        <v>55446.6</v>
      </c>
      <c r="E73" s="3">
        <v>2.0299999999999998</v>
      </c>
      <c r="F73" s="3">
        <v>2930.85</v>
      </c>
      <c r="G73" s="3"/>
    </row>
    <row r="74" spans="2:8">
      <c r="B74" s="1">
        <v>45478</v>
      </c>
      <c r="C74" s="3">
        <v>4090.5</v>
      </c>
      <c r="D74" s="3">
        <v>56219.6</v>
      </c>
      <c r="E74" s="3">
        <v>2.11</v>
      </c>
      <c r="F74" s="3">
        <v>2969.23</v>
      </c>
      <c r="G74" s="3"/>
    </row>
    <row r="75" spans="2:8">
      <c r="B75" s="1">
        <v>45479</v>
      </c>
      <c r="C75" s="3">
        <v>4082.28</v>
      </c>
      <c r="D75" s="3">
        <v>57945.2</v>
      </c>
      <c r="E75" s="3">
        <v>2.39</v>
      </c>
      <c r="F75" s="3">
        <v>3043.45</v>
      </c>
      <c r="G75" s="3"/>
    </row>
    <row r="76" spans="2:8">
      <c r="B76" s="1">
        <v>45480</v>
      </c>
      <c r="C76" s="3">
        <v>4082.28</v>
      </c>
      <c r="D76" s="3">
        <v>55221.3</v>
      </c>
      <c r="E76" s="3">
        <v>2.09</v>
      </c>
      <c r="F76" s="3">
        <v>2887.08</v>
      </c>
      <c r="G76" s="3"/>
    </row>
    <row r="77" spans="2:8">
      <c r="B77" s="1">
        <v>45481</v>
      </c>
      <c r="C77" s="3">
        <v>4078.65</v>
      </c>
      <c r="D77" s="4">
        <v>57094.400000000001</v>
      </c>
      <c r="E77" s="4">
        <v>2.29</v>
      </c>
      <c r="F77" s="4">
        <v>3055</v>
      </c>
      <c r="G77" s="4"/>
      <c r="H77">
        <v>6</v>
      </c>
    </row>
    <row r="78" spans="2:8">
      <c r="B78" s="1">
        <v>45482</v>
      </c>
      <c r="C78" s="3">
        <v>4049.27</v>
      </c>
      <c r="D78" s="3">
        <v>57712.4</v>
      </c>
      <c r="E78" s="3">
        <v>2.29</v>
      </c>
      <c r="F78" s="3">
        <v>3064.35</v>
      </c>
      <c r="G78" s="3"/>
    </row>
    <row r="79" spans="2:8">
      <c r="B79" s="1">
        <v>45483</v>
      </c>
      <c r="C79" s="3">
        <v>4009.91</v>
      </c>
      <c r="D79" s="3">
        <v>57603.8</v>
      </c>
      <c r="E79" s="3">
        <v>2.37</v>
      </c>
      <c r="F79" s="3">
        <v>3105.54</v>
      </c>
      <c r="G79" s="3"/>
    </row>
    <row r="80" spans="2:8">
      <c r="B80" s="1">
        <v>45484</v>
      </c>
      <c r="C80" s="3">
        <v>3955.21</v>
      </c>
      <c r="D80" s="3">
        <v>57474.5</v>
      </c>
      <c r="E80" s="3">
        <v>2.4900000000000002</v>
      </c>
      <c r="F80" s="3">
        <v>3113.12</v>
      </c>
      <c r="G80" s="3"/>
    </row>
    <row r="81" spans="2:8">
      <c r="B81" s="1">
        <v>45485</v>
      </c>
      <c r="C81" s="3">
        <v>3975.25</v>
      </c>
      <c r="D81" s="3">
        <v>58298.6</v>
      </c>
      <c r="E81" s="3">
        <v>2.62</v>
      </c>
      <c r="F81" s="3">
        <v>3132.19</v>
      </c>
      <c r="G81" s="3"/>
    </row>
    <row r="82" spans="2:8">
      <c r="B82" s="1">
        <v>45486</v>
      </c>
      <c r="C82" s="3">
        <v>3963.67</v>
      </c>
      <c r="D82" s="3">
        <v>58849.3</v>
      </c>
      <c r="E82" s="3">
        <v>2.4</v>
      </c>
      <c r="F82" s="3">
        <v>3157.26</v>
      </c>
      <c r="G82" s="3"/>
    </row>
    <row r="83" spans="2:8">
      <c r="B83" s="1">
        <v>45487</v>
      </c>
      <c r="C83" s="3">
        <v>3963.67</v>
      </c>
      <c r="D83" s="3">
        <v>60034.5</v>
      </c>
      <c r="E83" s="3">
        <v>2.4</v>
      </c>
      <c r="F83" s="3">
        <v>3204.71</v>
      </c>
      <c r="G83" s="3"/>
    </row>
    <row r="84" spans="2:8">
      <c r="B84" s="1">
        <v>45488</v>
      </c>
      <c r="C84" s="3">
        <v>3993.09</v>
      </c>
      <c r="D84" s="4">
        <v>62959.9</v>
      </c>
      <c r="E84" s="4">
        <v>2.6</v>
      </c>
      <c r="F84" s="4">
        <v>3458.1</v>
      </c>
      <c r="G84" s="4"/>
      <c r="H84">
        <v>7</v>
      </c>
    </row>
    <row r="85" spans="2:8">
      <c r="B85" s="1">
        <v>45489</v>
      </c>
      <c r="C85" s="3">
        <v>3953.88</v>
      </c>
      <c r="D85" s="3">
        <v>65801.899999999994</v>
      </c>
      <c r="E85" s="3">
        <v>2.76</v>
      </c>
      <c r="F85" s="3">
        <v>3486.6</v>
      </c>
      <c r="G85" s="3"/>
    </row>
    <row r="86" spans="2:8">
      <c r="B86" s="1">
        <v>45490</v>
      </c>
      <c r="C86" s="3">
        <v>3972.87</v>
      </c>
      <c r="D86" s="3">
        <v>64680.7</v>
      </c>
      <c r="E86" s="3">
        <v>2.76</v>
      </c>
      <c r="F86" s="3">
        <v>3454.6</v>
      </c>
      <c r="G86" s="3"/>
    </row>
    <row r="87" spans="2:8">
      <c r="B87" s="1">
        <v>45491</v>
      </c>
      <c r="C87" s="3">
        <v>3999.25</v>
      </c>
      <c r="D87" s="3">
        <v>63807.07</v>
      </c>
      <c r="E87" s="3">
        <v>2.93</v>
      </c>
      <c r="F87" s="3">
        <v>3417.6</v>
      </c>
      <c r="G87" s="3"/>
    </row>
    <row r="88" spans="2:8">
      <c r="B88" s="1">
        <v>45492</v>
      </c>
      <c r="C88" s="3">
        <v>4047.22</v>
      </c>
      <c r="D88" s="3">
        <v>66691.899999999994</v>
      </c>
      <c r="E88" s="3">
        <v>2.92</v>
      </c>
      <c r="F88" s="3">
        <v>3503.6</v>
      </c>
      <c r="G88" s="3"/>
    </row>
    <row r="89" spans="2:8">
      <c r="B89" s="1">
        <v>45493</v>
      </c>
      <c r="C89" s="3">
        <v>4046.27</v>
      </c>
      <c r="D89" s="3">
        <v>66500</v>
      </c>
      <c r="E89" s="3">
        <v>3.01</v>
      </c>
      <c r="F89" s="3">
        <v>3487.95</v>
      </c>
      <c r="G89" s="3"/>
    </row>
    <row r="90" spans="2:8">
      <c r="B90" s="1">
        <v>45494</v>
      </c>
      <c r="C90" s="3">
        <v>4046.27</v>
      </c>
      <c r="D90" s="3">
        <v>67922</v>
      </c>
      <c r="E90" s="3">
        <v>3.03</v>
      </c>
      <c r="F90" s="3">
        <v>3515.71</v>
      </c>
      <c r="G90" s="3"/>
    </row>
    <row r="91" spans="2:8">
      <c r="B91" s="1">
        <v>45495</v>
      </c>
      <c r="C91" s="3">
        <v>4041.33</v>
      </c>
      <c r="D91" s="4">
        <v>67584.800000000003</v>
      </c>
      <c r="E91" s="4">
        <v>2.81</v>
      </c>
      <c r="F91" s="4">
        <v>3476.12</v>
      </c>
      <c r="G91" s="4"/>
      <c r="H91">
        <v>8</v>
      </c>
    </row>
    <row r="92" spans="2:8">
      <c r="B92" s="1">
        <v>45496</v>
      </c>
      <c r="C92" s="3">
        <v>3995.01</v>
      </c>
      <c r="D92" s="3">
        <v>66098.2</v>
      </c>
      <c r="E92" s="3">
        <v>2.65</v>
      </c>
      <c r="F92" s="3">
        <v>3416.83</v>
      </c>
      <c r="G92" s="3">
        <v>3956</v>
      </c>
    </row>
    <row r="93" spans="2:8">
      <c r="B93" s="1">
        <v>45497</v>
      </c>
      <c r="C93" s="3">
        <v>4014.08</v>
      </c>
      <c r="D93" s="3">
        <v>66001.73</v>
      </c>
      <c r="E93" s="3">
        <v>2.74</v>
      </c>
      <c r="F93" s="3">
        <v>3373.7</v>
      </c>
      <c r="G93" s="3">
        <v>3983</v>
      </c>
    </row>
    <row r="94" spans="2:8">
      <c r="B94" s="1">
        <v>45498</v>
      </c>
      <c r="C94" s="3">
        <v>4044.19</v>
      </c>
      <c r="D94" s="3">
        <v>67119.75</v>
      </c>
      <c r="E94" s="3">
        <v>2.79</v>
      </c>
      <c r="F94" s="3">
        <v>3245</v>
      </c>
      <c r="G94" s="3">
        <v>3969</v>
      </c>
    </row>
    <row r="95" spans="2:8">
      <c r="B95" s="1">
        <v>45499</v>
      </c>
      <c r="C95" s="3">
        <v>4042.31</v>
      </c>
      <c r="D95" s="3">
        <v>67984.95</v>
      </c>
      <c r="E95" s="3">
        <v>2.98</v>
      </c>
      <c r="F95" s="3">
        <v>3264.6</v>
      </c>
      <c r="G95" s="3">
        <v>3950</v>
      </c>
    </row>
    <row r="96" spans="2:8">
      <c r="B96" s="1">
        <v>45500</v>
      </c>
      <c r="C96" s="3">
        <v>4037.98</v>
      </c>
      <c r="D96" s="3">
        <v>69261.740000000005</v>
      </c>
      <c r="E96" s="3">
        <v>2.99</v>
      </c>
      <c r="F96" s="3">
        <v>3319.84</v>
      </c>
      <c r="G96" s="3">
        <v>3924.76</v>
      </c>
    </row>
    <row r="97" spans="2:8">
      <c r="B97" s="1">
        <v>45501</v>
      </c>
      <c r="C97" s="3">
        <v>4037.98</v>
      </c>
      <c r="D97" s="3">
        <v>67994.039999999994</v>
      </c>
      <c r="E97" s="3">
        <v>2.98</v>
      </c>
      <c r="F97" s="3">
        <v>3253.7</v>
      </c>
      <c r="G97" s="3">
        <v>3960</v>
      </c>
    </row>
    <row r="98" spans="2:8">
      <c r="B98" s="1">
        <v>45502</v>
      </c>
      <c r="C98" s="3">
        <v>4030.02</v>
      </c>
      <c r="D98" s="4">
        <v>67509.06</v>
      </c>
      <c r="E98" s="4">
        <v>2.77</v>
      </c>
      <c r="F98" s="4">
        <v>3343.8</v>
      </c>
      <c r="G98" s="4">
        <v>4000</v>
      </c>
      <c r="H98">
        <v>9</v>
      </c>
    </row>
    <row r="99" spans="2:8">
      <c r="B99" s="1">
        <v>45503</v>
      </c>
      <c r="C99" s="3">
        <v>4077.08</v>
      </c>
      <c r="D99" s="3">
        <v>66507.94</v>
      </c>
      <c r="E99" s="3">
        <v>2.68</v>
      </c>
      <c r="F99" s="3">
        <v>3328.4</v>
      </c>
      <c r="G99" s="3">
        <v>4021</v>
      </c>
    </row>
    <row r="100" spans="2:8">
      <c r="B100" s="1">
        <v>45504</v>
      </c>
      <c r="C100" s="3">
        <v>4077.07</v>
      </c>
      <c r="D100" s="3">
        <v>64820</v>
      </c>
      <c r="E100" s="3">
        <v>2.44</v>
      </c>
      <c r="F100" s="3">
        <v>3230.4</v>
      </c>
      <c r="G100" s="3">
        <v>3992</v>
      </c>
    </row>
    <row r="101" spans="2:8">
      <c r="B101" s="1">
        <v>45505</v>
      </c>
      <c r="C101" s="3">
        <v>4045.51</v>
      </c>
      <c r="D101" s="3">
        <v>64080</v>
      </c>
      <c r="E101" s="3">
        <v>2.21</v>
      </c>
      <c r="F101" s="3">
        <v>3150.45</v>
      </c>
      <c r="G101" s="3">
        <v>4004</v>
      </c>
    </row>
    <row r="102" spans="2:8">
      <c r="B102" s="1">
        <v>45506</v>
      </c>
      <c r="C102" s="3">
        <v>4064.07</v>
      </c>
      <c r="D102" s="3">
        <v>63407.6</v>
      </c>
      <c r="E102" s="3">
        <v>2.0299999999999998</v>
      </c>
      <c r="F102" s="3">
        <v>2999.7</v>
      </c>
      <c r="G102" s="3">
        <v>4072</v>
      </c>
    </row>
    <row r="103" spans="2:8">
      <c r="B103" s="1">
        <v>45507</v>
      </c>
      <c r="C103" s="3">
        <v>4052</v>
      </c>
      <c r="D103" s="3">
        <v>61257.3</v>
      </c>
      <c r="E103" s="3">
        <v>1.89</v>
      </c>
      <c r="F103" s="3">
        <v>2964.1</v>
      </c>
      <c r="G103" s="3">
        <v>4074</v>
      </c>
    </row>
    <row r="104" spans="2:8">
      <c r="B104" s="1">
        <v>45508</v>
      </c>
      <c r="C104" s="3">
        <v>4052</v>
      </c>
      <c r="D104" s="3">
        <v>60700</v>
      </c>
      <c r="E104" s="3">
        <v>1.83</v>
      </c>
      <c r="F104" s="3">
        <v>2917.9</v>
      </c>
      <c r="G104" s="3">
        <v>4070</v>
      </c>
    </row>
    <row r="105" spans="2:8">
      <c r="B105" s="1">
        <v>45509</v>
      </c>
      <c r="C105" s="3">
        <v>4116.91</v>
      </c>
      <c r="D105" s="4">
        <v>53674.2</v>
      </c>
      <c r="E105" s="4">
        <v>1.5</v>
      </c>
      <c r="F105" s="4">
        <v>2400.77</v>
      </c>
      <c r="G105" s="4">
        <v>4179</v>
      </c>
      <c r="H105">
        <v>10</v>
      </c>
    </row>
    <row r="106" spans="2:8">
      <c r="B106" s="1">
        <v>45510</v>
      </c>
      <c r="C106" s="3">
        <v>4155.3100000000004</v>
      </c>
      <c r="D106" s="3">
        <v>56479.199999999997</v>
      </c>
      <c r="E106" s="3">
        <v>1.77</v>
      </c>
      <c r="F106" s="3">
        <v>2544.6999999999998</v>
      </c>
      <c r="G106" s="3">
        <v>4099</v>
      </c>
    </row>
    <row r="107" spans="2:8">
      <c r="B107" s="1">
        <v>45511</v>
      </c>
      <c r="C107" s="3">
        <v>4140.09</v>
      </c>
      <c r="D107" s="3">
        <v>54972.800000000003</v>
      </c>
      <c r="E107" s="3">
        <v>1.6</v>
      </c>
      <c r="F107" s="3">
        <v>2354.17</v>
      </c>
      <c r="G107" s="3">
        <v>4080</v>
      </c>
    </row>
    <row r="108" spans="2:8">
      <c r="B108" s="1">
        <v>45512</v>
      </c>
      <c r="C108" s="3">
        <v>4148.24</v>
      </c>
      <c r="D108" s="3">
        <v>61685.99</v>
      </c>
      <c r="E108" s="3">
        <v>1.9</v>
      </c>
      <c r="F108" s="3">
        <v>2683.9</v>
      </c>
      <c r="G108" s="3">
        <v>4020</v>
      </c>
    </row>
    <row r="109" spans="2:8">
      <c r="B109" s="1">
        <v>45513</v>
      </c>
      <c r="C109" s="3">
        <v>4063.32</v>
      </c>
      <c r="D109" s="3">
        <v>60441.57</v>
      </c>
      <c r="E109" s="3">
        <v>1.66</v>
      </c>
      <c r="F109" s="3">
        <v>2605.6</v>
      </c>
      <c r="G109" s="3">
        <v>4014</v>
      </c>
    </row>
    <row r="110" spans="2:8">
      <c r="B110" s="1">
        <v>45514</v>
      </c>
      <c r="C110" s="3">
        <v>4057.55</v>
      </c>
      <c r="D110" s="3">
        <v>60551.9</v>
      </c>
      <c r="E110" s="3">
        <v>1.67</v>
      </c>
      <c r="F110" s="3">
        <v>2599.52</v>
      </c>
      <c r="G110" s="3">
        <v>4021</v>
      </c>
    </row>
    <row r="111" spans="2:8">
      <c r="B111" s="1">
        <v>45515</v>
      </c>
      <c r="C111" s="3">
        <v>4057.55</v>
      </c>
      <c r="D111" s="3">
        <v>60509.9</v>
      </c>
      <c r="E111" s="3">
        <v>1.61</v>
      </c>
      <c r="F111" s="3">
        <v>2646.52</v>
      </c>
      <c r="G111" s="3">
        <v>4002</v>
      </c>
    </row>
    <row r="112" spans="2:8">
      <c r="B112" s="1">
        <v>45516</v>
      </c>
      <c r="C112" s="3">
        <v>4073.83</v>
      </c>
      <c r="D112" s="4">
        <v>59274.9</v>
      </c>
      <c r="E112" s="4">
        <v>1.59</v>
      </c>
      <c r="F112" s="4">
        <v>2605.27</v>
      </c>
      <c r="G112" s="4">
        <v>4043.31</v>
      </c>
      <c r="H112">
        <v>11</v>
      </c>
    </row>
    <row r="113" spans="2:8">
      <c r="B113" s="1">
        <v>45517</v>
      </c>
      <c r="C113" s="3">
        <v>4046.96</v>
      </c>
      <c r="D113" s="3">
        <v>60747.1</v>
      </c>
      <c r="E113" s="3">
        <v>1.64</v>
      </c>
      <c r="F113" s="3">
        <v>2706.9</v>
      </c>
      <c r="G113" s="3">
        <v>3980</v>
      </c>
    </row>
    <row r="114" spans="2:8">
      <c r="B114" s="1">
        <v>45518</v>
      </c>
      <c r="C114" s="3">
        <v>4038.46</v>
      </c>
      <c r="D114" s="3">
        <v>58409.9</v>
      </c>
      <c r="E114" s="3">
        <v>1.66</v>
      </c>
      <c r="F114" s="3">
        <v>2650.94</v>
      </c>
      <c r="G114" s="3">
        <v>3965</v>
      </c>
    </row>
    <row r="115" spans="2:8">
      <c r="B115" s="1">
        <v>45519</v>
      </c>
      <c r="C115" s="3">
        <v>4037.16</v>
      </c>
      <c r="D115" s="3">
        <v>57582.6</v>
      </c>
      <c r="E115" s="3">
        <v>1.57</v>
      </c>
      <c r="F115" s="3">
        <v>2572.8000000000002</v>
      </c>
      <c r="G115" s="3">
        <v>3959</v>
      </c>
    </row>
    <row r="116" spans="2:8">
      <c r="B116" s="1">
        <v>45520</v>
      </c>
      <c r="C116" s="3">
        <v>4014.8</v>
      </c>
      <c r="D116" s="3">
        <v>58716</v>
      </c>
      <c r="E116" s="3">
        <v>1.62</v>
      </c>
      <c r="F116" s="3">
        <v>2610.4</v>
      </c>
      <c r="G116" s="3">
        <v>3966</v>
      </c>
    </row>
    <row r="117" spans="2:8">
      <c r="B117" s="1">
        <v>45521</v>
      </c>
      <c r="C117" s="3">
        <v>3999.63</v>
      </c>
      <c r="D117" s="3">
        <v>59598.2</v>
      </c>
      <c r="E117" s="3">
        <v>1.76</v>
      </c>
      <c r="F117" s="3">
        <v>2622.8</v>
      </c>
      <c r="G117" s="3">
        <v>3967</v>
      </c>
    </row>
    <row r="118" spans="2:8">
      <c r="B118" s="1">
        <v>45522</v>
      </c>
      <c r="C118" s="3">
        <v>3999.63</v>
      </c>
      <c r="D118" s="3">
        <v>58427.35</v>
      </c>
      <c r="E118" s="3">
        <v>1.72</v>
      </c>
      <c r="F118" s="3">
        <v>2611.4</v>
      </c>
      <c r="G118" s="3">
        <v>3883</v>
      </c>
    </row>
    <row r="119" spans="2:8">
      <c r="B119" s="1">
        <v>45523</v>
      </c>
      <c r="C119" s="3">
        <v>4030.16</v>
      </c>
      <c r="D119" s="4">
        <v>59438.5</v>
      </c>
      <c r="E119" s="4">
        <v>1.72</v>
      </c>
      <c r="F119" s="4">
        <v>2638.2</v>
      </c>
      <c r="G119" s="4">
        <v>3917</v>
      </c>
      <c r="H119">
        <v>12</v>
      </c>
    </row>
    <row r="120" spans="2:8">
      <c r="B120" s="1">
        <v>45524</v>
      </c>
      <c r="C120" s="3">
        <v>4023.02</v>
      </c>
      <c r="D120" s="3">
        <v>59050</v>
      </c>
      <c r="E120" s="3">
        <v>1.65</v>
      </c>
      <c r="F120" s="3">
        <v>2577.5</v>
      </c>
      <c r="G120" s="3">
        <v>3955</v>
      </c>
    </row>
    <row r="121" spans="2:8">
      <c r="B121" s="1">
        <v>45525</v>
      </c>
      <c r="C121" s="3">
        <v>4010.2</v>
      </c>
      <c r="D121" s="3">
        <v>61156.03</v>
      </c>
      <c r="E121" s="3">
        <v>1.68</v>
      </c>
      <c r="F121" s="3">
        <v>2631.2</v>
      </c>
      <c r="G121" s="3">
        <v>3962</v>
      </c>
    </row>
    <row r="122" spans="2:8">
      <c r="B122" s="1">
        <v>45526</v>
      </c>
      <c r="C122" s="3">
        <v>4036.25</v>
      </c>
      <c r="D122" s="3">
        <v>60375.839999999997</v>
      </c>
      <c r="E122" s="3">
        <v>2</v>
      </c>
      <c r="F122" s="3">
        <v>2623.1</v>
      </c>
      <c r="G122" s="3">
        <v>4004</v>
      </c>
    </row>
    <row r="123" spans="2:8">
      <c r="B123" s="1">
        <v>45527</v>
      </c>
      <c r="C123" s="3">
        <v>4069.62</v>
      </c>
      <c r="D123" s="3">
        <v>61146.6</v>
      </c>
      <c r="E123" s="3">
        <v>2.02</v>
      </c>
      <c r="F123" s="3">
        <v>2665</v>
      </c>
      <c r="G123" s="3">
        <v>4000</v>
      </c>
    </row>
    <row r="124" spans="2:8">
      <c r="B124" s="1">
        <v>45528</v>
      </c>
      <c r="C124" s="3">
        <v>4035.33</v>
      </c>
      <c r="D124" s="3">
        <v>64157.01</v>
      </c>
      <c r="E124" s="3">
        <v>2.31</v>
      </c>
      <c r="F124" s="3">
        <v>2769</v>
      </c>
      <c r="G124" s="3">
        <v>3933</v>
      </c>
    </row>
    <row r="125" spans="2:8">
      <c r="B125" s="1">
        <v>45529</v>
      </c>
      <c r="C125" s="3">
        <v>4035.33</v>
      </c>
      <c r="D125" s="3">
        <v>63920.7</v>
      </c>
      <c r="E125" s="3">
        <v>2.31</v>
      </c>
      <c r="F125" s="3">
        <v>2758.6</v>
      </c>
      <c r="G125" s="3">
        <v>3929</v>
      </c>
    </row>
    <row r="126" spans="2:8">
      <c r="B126" s="1">
        <v>45530</v>
      </c>
      <c r="C126" s="3">
        <v>4029.75</v>
      </c>
      <c r="D126" s="4">
        <v>62954.5</v>
      </c>
      <c r="E126" s="4">
        <v>2.17</v>
      </c>
      <c r="F126" s="4">
        <v>2688.4</v>
      </c>
      <c r="G126" s="4">
        <v>3932</v>
      </c>
      <c r="H126">
        <v>13</v>
      </c>
    </row>
    <row r="127" spans="2:8">
      <c r="B127" s="1">
        <v>45531</v>
      </c>
      <c r="C127" s="3">
        <v>4023.92</v>
      </c>
      <c r="D127" s="3">
        <v>59398</v>
      </c>
      <c r="E127" s="3">
        <v>1.97</v>
      </c>
      <c r="F127" s="3">
        <v>2458.1</v>
      </c>
      <c r="G127" s="3">
        <v>3966</v>
      </c>
    </row>
    <row r="128" spans="2:8">
      <c r="B128" s="1">
        <v>45532</v>
      </c>
      <c r="C128" s="3">
        <v>4045.64</v>
      </c>
      <c r="D128" s="3">
        <v>59013.7</v>
      </c>
      <c r="E128" s="3">
        <v>1.74</v>
      </c>
      <c r="F128" s="3">
        <v>2528.3000000000002</v>
      </c>
      <c r="G128" s="3">
        <v>4009</v>
      </c>
    </row>
    <row r="129" spans="2:8">
      <c r="B129" s="1">
        <v>45533</v>
      </c>
      <c r="C129" s="3">
        <v>4065.34</v>
      </c>
      <c r="D129" s="3">
        <v>59356.1</v>
      </c>
      <c r="E129" s="3">
        <v>1.63</v>
      </c>
      <c r="F129" s="3">
        <v>2528.1999999999998</v>
      </c>
      <c r="G129" s="3">
        <v>4026</v>
      </c>
    </row>
    <row r="130" spans="2:8">
      <c r="B130" s="1">
        <v>45534</v>
      </c>
      <c r="C130" s="3">
        <v>4132.1099999999997</v>
      </c>
      <c r="D130" s="3">
        <v>59125.599999999999</v>
      </c>
      <c r="E130" s="3">
        <v>1.57</v>
      </c>
      <c r="F130" s="3">
        <v>2525.3000000000002</v>
      </c>
      <c r="G130" s="3">
        <v>4066</v>
      </c>
    </row>
    <row r="131" spans="2:8">
      <c r="B131" s="1">
        <v>45535</v>
      </c>
      <c r="C131" s="3">
        <v>4160.3100000000004</v>
      </c>
      <c r="D131" s="3">
        <v>58978</v>
      </c>
      <c r="E131" s="3">
        <v>1.47</v>
      </c>
      <c r="F131" s="3">
        <v>2512.8000000000002</v>
      </c>
      <c r="G131" s="3">
        <v>4018</v>
      </c>
    </row>
    <row r="132" spans="2:8">
      <c r="B132" s="1">
        <v>45536</v>
      </c>
      <c r="C132" s="3">
        <v>4160.3100000000004</v>
      </c>
      <c r="D132" s="3">
        <v>57304</v>
      </c>
      <c r="E132" s="3">
        <v>1.39</v>
      </c>
      <c r="F132" s="3">
        <v>2425.9</v>
      </c>
      <c r="G132" s="3">
        <v>4005</v>
      </c>
    </row>
    <row r="133" spans="2:8">
      <c r="B133" s="1">
        <v>45537</v>
      </c>
      <c r="C133" s="3">
        <v>4160.3100000000004</v>
      </c>
      <c r="D133" s="4">
        <v>59134.3</v>
      </c>
      <c r="E133" s="4">
        <v>1.46</v>
      </c>
      <c r="F133" s="4">
        <v>2538.3000000000002</v>
      </c>
      <c r="G133" s="4">
        <v>4029</v>
      </c>
      <c r="H133">
        <v>14</v>
      </c>
    </row>
    <row r="134" spans="2:8">
      <c r="B134" s="1">
        <v>45538</v>
      </c>
      <c r="C134" s="3">
        <v>4160.3100000000004</v>
      </c>
      <c r="D134" s="3">
        <v>57499.9</v>
      </c>
      <c r="E134" s="3">
        <v>1.43</v>
      </c>
      <c r="F134" s="3">
        <v>2422.3000000000002</v>
      </c>
      <c r="G134" s="3">
        <v>4024</v>
      </c>
    </row>
    <row r="135" spans="2:8">
      <c r="B135" s="1">
        <v>45539</v>
      </c>
      <c r="C135" s="3">
        <v>4185.8</v>
      </c>
      <c r="D135" s="3">
        <v>57970</v>
      </c>
      <c r="E135" s="3">
        <v>1.5</v>
      </c>
      <c r="F135" s="3">
        <v>2450</v>
      </c>
      <c r="G135" s="3">
        <v>4036</v>
      </c>
    </row>
    <row r="136" spans="2:8">
      <c r="B136" s="1">
        <v>45540</v>
      </c>
      <c r="C136" s="3">
        <v>4185.82</v>
      </c>
      <c r="D136" s="3">
        <v>56183.9</v>
      </c>
      <c r="E136" s="3">
        <v>1.47</v>
      </c>
      <c r="F136" s="3">
        <v>2367.3000000000002</v>
      </c>
      <c r="G136" s="3">
        <v>4035</v>
      </c>
    </row>
    <row r="137" spans="2:8">
      <c r="B137" s="1">
        <v>45541</v>
      </c>
      <c r="C137" s="3">
        <v>4172.5</v>
      </c>
      <c r="D137" s="3">
        <v>53961.4</v>
      </c>
      <c r="E137" s="3">
        <v>1.5</v>
      </c>
      <c r="F137" s="3">
        <v>2223.5</v>
      </c>
      <c r="G137" s="3">
        <v>4068</v>
      </c>
    </row>
    <row r="138" spans="2:8">
      <c r="B138" s="1">
        <v>45542</v>
      </c>
      <c r="C138" s="3">
        <v>4167.16</v>
      </c>
      <c r="D138" s="3">
        <v>54160.86</v>
      </c>
      <c r="E138" s="3">
        <v>1.56</v>
      </c>
      <c r="F138" s="3">
        <v>2273</v>
      </c>
      <c r="G138" s="3">
        <v>4045</v>
      </c>
    </row>
    <row r="139" spans="2:8">
      <c r="B139" s="1">
        <v>45543</v>
      </c>
      <c r="C139" s="3">
        <v>4149.79</v>
      </c>
      <c r="D139" s="3">
        <v>53629.01</v>
      </c>
      <c r="E139" s="3">
        <v>1.61</v>
      </c>
      <c r="F139" s="3">
        <v>2295.9</v>
      </c>
      <c r="G139" s="3">
        <v>4060</v>
      </c>
    </row>
    <row r="140" spans="2:8">
      <c r="B140" s="1">
        <v>45544</v>
      </c>
      <c r="C140" s="3">
        <v>4149.79</v>
      </c>
      <c r="D140" s="4">
        <v>57042</v>
      </c>
      <c r="E140" s="4">
        <v>1.64</v>
      </c>
      <c r="F140" s="4">
        <v>2360.1</v>
      </c>
      <c r="G140" s="4">
        <v>4059</v>
      </c>
      <c r="H140">
        <v>15</v>
      </c>
    </row>
    <row r="141" spans="2:8">
      <c r="B141" s="1">
        <v>45545</v>
      </c>
      <c r="C141" s="3">
        <v>4243.8</v>
      </c>
      <c r="D141" s="3">
        <v>57245.279999999999</v>
      </c>
      <c r="E141" s="3">
        <v>1.66</v>
      </c>
      <c r="F141" s="3">
        <v>2352.5</v>
      </c>
      <c r="G141" s="3">
        <v>4084</v>
      </c>
    </row>
    <row r="142" spans="2:8">
      <c r="B142" s="1">
        <v>45546</v>
      </c>
      <c r="C142" s="3">
        <v>4279.09</v>
      </c>
      <c r="D142" s="3">
        <v>56780.57</v>
      </c>
      <c r="E142" s="3">
        <v>1.58</v>
      </c>
      <c r="F142" s="3">
        <v>2326.6</v>
      </c>
      <c r="G142" s="3">
        <v>4146</v>
      </c>
    </row>
    <row r="143" spans="2:8">
      <c r="B143" s="1">
        <v>45547</v>
      </c>
      <c r="C143" s="3">
        <v>4270.62</v>
      </c>
      <c r="D143" s="3">
        <v>57978.97</v>
      </c>
      <c r="E143" s="3">
        <v>1.66</v>
      </c>
      <c r="F143" s="3">
        <v>2349.5</v>
      </c>
      <c r="G143" s="3">
        <v>4136</v>
      </c>
    </row>
    <row r="144" spans="2:8">
      <c r="B144" s="1">
        <v>45548</v>
      </c>
      <c r="C144" s="3">
        <v>4197.38</v>
      </c>
      <c r="D144" s="3">
        <v>57821.2</v>
      </c>
      <c r="E144" s="3">
        <v>1.72</v>
      </c>
      <c r="F144" s="3">
        <v>2349.4</v>
      </c>
      <c r="G144" s="3">
        <v>4090</v>
      </c>
    </row>
    <row r="145" spans="2:8">
      <c r="B145" s="1">
        <v>45549</v>
      </c>
      <c r="C145" s="3">
        <v>4172.13</v>
      </c>
      <c r="D145" s="3">
        <v>59993.03</v>
      </c>
      <c r="E145" s="3">
        <v>1.77</v>
      </c>
      <c r="F145" s="3">
        <v>2418.1999999999998</v>
      </c>
      <c r="G145" s="3">
        <v>4066</v>
      </c>
    </row>
    <row r="146" spans="2:8">
      <c r="B146" s="1">
        <v>45550</v>
      </c>
      <c r="C146" s="3">
        <v>4172.13</v>
      </c>
      <c r="D146" s="3">
        <v>59132</v>
      </c>
      <c r="E146" s="3">
        <v>1.7</v>
      </c>
      <c r="F146" s="3">
        <v>2317.3000000000002</v>
      </c>
      <c r="G146" s="3">
        <v>4090</v>
      </c>
    </row>
    <row r="147" spans="2:8">
      <c r="B147" s="1">
        <v>45551</v>
      </c>
      <c r="C147" s="3">
        <v>4172.13</v>
      </c>
      <c r="D147" s="4">
        <v>58671.09</v>
      </c>
      <c r="E147" s="4">
        <v>1.77</v>
      </c>
      <c r="F147" s="4">
        <v>2307.5</v>
      </c>
      <c r="G147" s="4">
        <v>4098</v>
      </c>
      <c r="H147">
        <v>16</v>
      </c>
    </row>
    <row r="148" spans="2:8">
      <c r="B148" s="1">
        <v>45552</v>
      </c>
      <c r="C148" s="3">
        <v>4220.58</v>
      </c>
      <c r="D148" s="3">
        <v>59090.6</v>
      </c>
      <c r="E148" s="3">
        <v>1.89</v>
      </c>
      <c r="F148" s="3">
        <v>2311.4</v>
      </c>
      <c r="G148" s="3">
        <v>4135</v>
      </c>
    </row>
    <row r="149" spans="2:8">
      <c r="B149" s="1">
        <v>45553</v>
      </c>
      <c r="C149" s="3">
        <v>4225.01</v>
      </c>
      <c r="D149" s="3">
        <v>59937.3</v>
      </c>
      <c r="E149" s="3">
        <v>1.89</v>
      </c>
      <c r="F149" s="3">
        <v>2307.8000000000002</v>
      </c>
      <c r="G149" s="3">
        <v>4098</v>
      </c>
    </row>
    <row r="150" spans="2:8">
      <c r="B150" s="1">
        <v>45554</v>
      </c>
      <c r="C150" s="3">
        <v>4176.8500000000004</v>
      </c>
      <c r="D150" s="3">
        <v>62938.7</v>
      </c>
      <c r="E150" s="3">
        <v>2.16</v>
      </c>
      <c r="F150" s="3">
        <v>2427.3000000000002</v>
      </c>
      <c r="G150" s="3">
        <v>4097</v>
      </c>
    </row>
    <row r="151" spans="2:8">
      <c r="B151" s="1">
        <v>45555</v>
      </c>
      <c r="C151" s="3">
        <v>4162.8100000000004</v>
      </c>
      <c r="D151" s="3">
        <v>63468.6</v>
      </c>
      <c r="E151" s="3">
        <v>2.02</v>
      </c>
      <c r="F151" s="3">
        <v>2554.8000000000002</v>
      </c>
      <c r="G151" s="3">
        <v>4094</v>
      </c>
    </row>
    <row r="152" spans="2:8">
      <c r="B152" s="1">
        <v>45556</v>
      </c>
      <c r="C152" s="3">
        <v>4162.8100000000004</v>
      </c>
      <c r="D152" s="3">
        <v>63244.4</v>
      </c>
      <c r="E152" s="3">
        <v>2.0699999999999998</v>
      </c>
      <c r="F152" s="3">
        <v>2616.9</v>
      </c>
      <c r="G152" s="3">
        <v>4033</v>
      </c>
    </row>
    <row r="153" spans="2:8">
      <c r="B153" s="1">
        <v>45557</v>
      </c>
      <c r="C153" s="3">
        <v>4162.8100000000004</v>
      </c>
      <c r="D153" s="3">
        <v>63578.76</v>
      </c>
      <c r="E153" s="3">
        <v>1.97</v>
      </c>
      <c r="F153" s="3">
        <v>2581.1999999999998</v>
      </c>
      <c r="G153" s="3">
        <v>4041</v>
      </c>
    </row>
    <row r="154" spans="2:8">
      <c r="B154" s="1">
        <v>45558</v>
      </c>
      <c r="C154" s="3">
        <v>4153.9799999999996</v>
      </c>
      <c r="D154" s="4">
        <v>63506.5</v>
      </c>
      <c r="E154" s="4">
        <v>2.13</v>
      </c>
      <c r="F154" s="4">
        <v>2649.3</v>
      </c>
      <c r="G154" s="4">
        <v>4051</v>
      </c>
      <c r="H154">
        <v>17</v>
      </c>
    </row>
    <row r="155" spans="2:8">
      <c r="B155" s="1">
        <v>45559</v>
      </c>
      <c r="C155" s="3">
        <v>4161.75</v>
      </c>
      <c r="D155" s="3">
        <v>63505.2</v>
      </c>
      <c r="E155" s="3">
        <v>2.13</v>
      </c>
      <c r="F155" s="3">
        <v>2639.4</v>
      </c>
      <c r="G155" s="3">
        <v>4073</v>
      </c>
    </row>
    <row r="156" spans="2:8">
      <c r="B156" s="1">
        <v>45560</v>
      </c>
      <c r="C156" s="3">
        <v>4148.75</v>
      </c>
      <c r="D156" s="3">
        <v>63675</v>
      </c>
      <c r="E156" s="3">
        <v>2.15</v>
      </c>
      <c r="F156" s="3">
        <v>2620.0300000000002</v>
      </c>
      <c r="G156" s="3">
        <v>4071</v>
      </c>
    </row>
    <row r="157" spans="2:8">
      <c r="B157" s="1">
        <v>45561</v>
      </c>
      <c r="C157" s="3">
        <v>4200.75</v>
      </c>
      <c r="D157" s="3">
        <v>64418.9</v>
      </c>
      <c r="E157" s="3">
        <v>2.16</v>
      </c>
      <c r="F157" s="3">
        <v>2629.7</v>
      </c>
      <c r="G157" s="3">
        <v>4032</v>
      </c>
    </row>
    <row r="158" spans="2:8">
      <c r="B158" s="1">
        <v>45562</v>
      </c>
      <c r="C158" s="3">
        <v>4157.54</v>
      </c>
      <c r="D158" s="3">
        <v>65837.3</v>
      </c>
      <c r="E158" s="3">
        <v>2.2599999999999998</v>
      </c>
      <c r="F158" s="3">
        <v>2659.7</v>
      </c>
      <c r="G158" s="3">
        <v>4001</v>
      </c>
    </row>
    <row r="159" spans="2:8">
      <c r="B159" s="1">
        <v>45563</v>
      </c>
      <c r="C159" s="3">
        <v>4157.54</v>
      </c>
      <c r="D159" s="3">
        <v>65858</v>
      </c>
      <c r="E159" s="3">
        <v>2.1</v>
      </c>
      <c r="F159" s="3">
        <v>2675.6</v>
      </c>
      <c r="G159" s="3">
        <v>3975</v>
      </c>
    </row>
    <row r="160" spans="2:8">
      <c r="B160" s="1">
        <v>45564</v>
      </c>
      <c r="C160" s="3">
        <v>4157.54</v>
      </c>
      <c r="D160" s="3">
        <v>65602.009999999995</v>
      </c>
      <c r="E160" s="3">
        <v>2.21</v>
      </c>
      <c r="F160" s="3">
        <v>2635</v>
      </c>
      <c r="G160" s="3">
        <v>3977</v>
      </c>
    </row>
    <row r="161" spans="2:8">
      <c r="B161" s="1">
        <v>45565</v>
      </c>
      <c r="C161" s="3">
        <v>4157.66</v>
      </c>
      <c r="D161" s="4">
        <v>63629.9</v>
      </c>
      <c r="E161" s="4">
        <v>2.1</v>
      </c>
      <c r="F161" s="4">
        <v>2592.6999999999998</v>
      </c>
      <c r="G161" s="4">
        <v>4000</v>
      </c>
      <c r="H161">
        <v>18</v>
      </c>
    </row>
    <row r="162" spans="2:8">
      <c r="B162" s="1">
        <v>45566</v>
      </c>
      <c r="C162" s="3">
        <v>4199.12</v>
      </c>
      <c r="D162" s="3">
        <v>63785.8</v>
      </c>
      <c r="E162" s="3">
        <v>2.06</v>
      </c>
      <c r="F162" s="3">
        <v>2630.6</v>
      </c>
      <c r="G162" s="3">
        <v>4047</v>
      </c>
    </row>
    <row r="163" spans="2:8">
      <c r="B163" s="1">
        <v>45567</v>
      </c>
      <c r="C163" s="3">
        <v>4221.2700000000004</v>
      </c>
      <c r="D163" s="3">
        <v>61293.1</v>
      </c>
      <c r="E163" s="3">
        <v>1.77</v>
      </c>
      <c r="F163" s="3">
        <v>2458.1999999999998</v>
      </c>
      <c r="G163" s="3">
        <v>4083</v>
      </c>
    </row>
    <row r="164" spans="2:8">
      <c r="B164" s="1">
        <v>45568</v>
      </c>
      <c r="C164" s="3">
        <v>4194.26</v>
      </c>
      <c r="D164" s="3">
        <v>60134.8</v>
      </c>
      <c r="E164" s="3">
        <v>1.67</v>
      </c>
      <c r="F164" s="3">
        <v>2343.5</v>
      </c>
      <c r="G164" s="3">
        <v>4070</v>
      </c>
    </row>
    <row r="165" spans="2:8">
      <c r="B165" s="1">
        <v>45569</v>
      </c>
      <c r="C165" s="3">
        <v>4189.17</v>
      </c>
      <c r="D165" s="3">
        <v>61440.4</v>
      </c>
      <c r="E165" s="3">
        <v>1.69</v>
      </c>
      <c r="F165" s="3">
        <v>2381.3000000000002</v>
      </c>
      <c r="G165" s="3">
        <v>4057</v>
      </c>
    </row>
    <row r="166" spans="2:8">
      <c r="B166" s="1">
        <v>45570</v>
      </c>
      <c r="C166" s="3">
        <v>4189.17</v>
      </c>
      <c r="D166" s="3">
        <v>62058</v>
      </c>
      <c r="E166" s="3">
        <v>1.77</v>
      </c>
      <c r="F166" s="3">
        <v>2414.6999999999998</v>
      </c>
      <c r="G166" s="3">
        <v>4004</v>
      </c>
    </row>
    <row r="167" spans="2:8">
      <c r="B167" s="1">
        <v>45571</v>
      </c>
      <c r="C167" s="3">
        <v>4189.17</v>
      </c>
      <c r="D167" s="3">
        <v>62819.91</v>
      </c>
      <c r="E167" s="3">
        <v>1.83</v>
      </c>
      <c r="F167" s="3">
        <v>2439.9</v>
      </c>
      <c r="G167" s="3">
        <v>4002</v>
      </c>
    </row>
    <row r="168" spans="2:8">
      <c r="B168" s="1">
        <v>45572</v>
      </c>
      <c r="C168" s="3">
        <v>4167.41</v>
      </c>
      <c r="D168" s="4">
        <v>62721.1</v>
      </c>
      <c r="E168" s="4">
        <v>1.85</v>
      </c>
      <c r="F168" s="4">
        <v>2461.3000000000002</v>
      </c>
      <c r="G168" s="4">
        <v>4002</v>
      </c>
      <c r="H168">
        <v>19</v>
      </c>
    </row>
    <row r="169" spans="2:8">
      <c r="B169" s="1">
        <v>45573</v>
      </c>
      <c r="C169" s="3">
        <v>4213.55</v>
      </c>
      <c r="D169" s="3">
        <v>62554</v>
      </c>
      <c r="E169" s="3">
        <v>1.85</v>
      </c>
      <c r="F169" s="3">
        <v>2435.6999999999998</v>
      </c>
      <c r="G169" s="3">
        <v>4035</v>
      </c>
    </row>
    <row r="170" spans="2:8">
      <c r="B170" s="1">
        <v>45574</v>
      </c>
      <c r="C170" s="3">
        <v>4231.08</v>
      </c>
      <c r="D170" s="3">
        <v>62146</v>
      </c>
      <c r="E170" s="3">
        <v>1.85</v>
      </c>
      <c r="F170" s="3">
        <v>2434.1999999999998</v>
      </c>
      <c r="G170" s="3">
        <v>4052</v>
      </c>
    </row>
    <row r="171" spans="2:8">
      <c r="B171" s="1">
        <v>45575</v>
      </c>
      <c r="C171" s="3">
        <v>4233.05</v>
      </c>
      <c r="D171" s="3">
        <v>61260.02</v>
      </c>
      <c r="E171" s="3">
        <v>1.75</v>
      </c>
      <c r="F171" s="3">
        <v>2403.6999999999998</v>
      </c>
      <c r="G171" s="3">
        <v>4052</v>
      </c>
    </row>
    <row r="172" spans="2:8">
      <c r="B172" s="1">
        <v>45576</v>
      </c>
      <c r="C172" s="3">
        <v>4210.95</v>
      </c>
      <c r="D172" s="3">
        <v>61255.99</v>
      </c>
      <c r="E172" s="3">
        <v>1.73</v>
      </c>
      <c r="F172" s="3">
        <v>2419.4</v>
      </c>
      <c r="G172" s="3">
        <v>4024</v>
      </c>
    </row>
    <row r="173" spans="2:8">
      <c r="B173" s="1">
        <v>45577</v>
      </c>
      <c r="C173" s="3">
        <v>4210.95</v>
      </c>
      <c r="D173" s="3">
        <v>63206.22</v>
      </c>
      <c r="E173" s="3">
        <v>1.89</v>
      </c>
      <c r="F173" s="3">
        <v>2437.6</v>
      </c>
      <c r="G173" s="3">
        <v>4023</v>
      </c>
    </row>
    <row r="174" spans="2:8">
      <c r="B174" s="1">
        <v>45578</v>
      </c>
      <c r="C174" s="3">
        <v>4210.95</v>
      </c>
      <c r="D174" s="3">
        <v>62870.02</v>
      </c>
      <c r="E174" s="3">
        <v>1.9</v>
      </c>
      <c r="F174" s="3">
        <v>2575.9</v>
      </c>
      <c r="G174" s="3">
        <v>4023</v>
      </c>
    </row>
    <row r="175" spans="2:8">
      <c r="B175" s="1">
        <v>45579</v>
      </c>
      <c r="C175" s="3">
        <v>4210.95</v>
      </c>
      <c r="D175" s="4">
        <v>66083.990000000005</v>
      </c>
      <c r="E175" s="4">
        <v>2.0699999999999998</v>
      </c>
      <c r="F175" s="4">
        <v>2468</v>
      </c>
      <c r="G175" s="4">
        <v>4023</v>
      </c>
      <c r="H175">
        <v>20</v>
      </c>
    </row>
    <row r="176" spans="2:8">
      <c r="B176" s="1">
        <v>45580</v>
      </c>
      <c r="C176" s="3">
        <v>4207.21</v>
      </c>
      <c r="D176" s="3">
        <v>65440</v>
      </c>
      <c r="E176" s="3">
        <v>2.06</v>
      </c>
      <c r="F176" s="3">
        <v>2629.3</v>
      </c>
      <c r="G176" s="3">
        <v>4023</v>
      </c>
    </row>
    <row r="177" spans="2:8">
      <c r="B177" s="1">
        <v>45581</v>
      </c>
      <c r="C177" s="3">
        <v>4257.21</v>
      </c>
      <c r="D177" s="3">
        <v>67630</v>
      </c>
      <c r="E177" s="3">
        <v>1.89</v>
      </c>
      <c r="F177" s="3">
        <v>2610.6</v>
      </c>
      <c r="G177" s="3">
        <v>4141</v>
      </c>
    </row>
    <row r="178" spans="2:8">
      <c r="B178" s="1">
        <v>45582</v>
      </c>
      <c r="C178" s="3">
        <v>4278.74</v>
      </c>
      <c r="D178" s="3">
        <v>66892</v>
      </c>
      <c r="E178" s="3">
        <v>1.8</v>
      </c>
      <c r="F178" s="3">
        <v>2599.4</v>
      </c>
      <c r="G178" s="3">
        <v>4150</v>
      </c>
    </row>
    <row r="179" spans="2:8">
      <c r="B179" s="1">
        <v>45583</v>
      </c>
      <c r="C179" s="3">
        <v>4247.29</v>
      </c>
      <c r="D179" s="3">
        <v>67725.279999999999</v>
      </c>
      <c r="E179" s="3">
        <v>1.88</v>
      </c>
      <c r="F179" s="3">
        <v>2623.4</v>
      </c>
      <c r="G179" s="3">
        <v>4149</v>
      </c>
    </row>
    <row r="180" spans="2:8">
      <c r="B180" s="1">
        <v>45584</v>
      </c>
      <c r="C180" s="3">
        <v>4237.25</v>
      </c>
      <c r="D180" s="3">
        <v>68340</v>
      </c>
      <c r="E180" s="3">
        <v>1.85</v>
      </c>
      <c r="F180" s="3">
        <v>2649.3</v>
      </c>
      <c r="G180" s="3">
        <v>4159</v>
      </c>
    </row>
    <row r="181" spans="2:8">
      <c r="B181" s="1">
        <v>45585</v>
      </c>
      <c r="C181" s="3">
        <v>4237.25</v>
      </c>
      <c r="D181" s="3">
        <v>69000</v>
      </c>
      <c r="E181" s="3">
        <v>1.87</v>
      </c>
      <c r="F181" s="3">
        <v>2750</v>
      </c>
      <c r="G181" s="3">
        <v>4159</v>
      </c>
    </row>
    <row r="182" spans="2:8">
      <c r="B182" s="1">
        <v>45586</v>
      </c>
      <c r="C182" s="3">
        <v>4270</v>
      </c>
      <c r="D182" s="4">
        <v>68297.87</v>
      </c>
      <c r="E182" s="4">
        <v>1.9</v>
      </c>
      <c r="F182" s="4">
        <v>2709.4</v>
      </c>
      <c r="G182" s="4">
        <v>4173</v>
      </c>
      <c r="H182">
        <v>21</v>
      </c>
    </row>
    <row r="183" spans="2:8">
      <c r="B183" s="1">
        <v>45587</v>
      </c>
      <c r="C183" s="3">
        <v>4280.04</v>
      </c>
      <c r="D183" s="3">
        <v>67353.34</v>
      </c>
      <c r="E183" s="3">
        <v>1.84</v>
      </c>
      <c r="F183" s="3">
        <v>2632.9</v>
      </c>
      <c r="G183" s="3">
        <v>4189</v>
      </c>
    </row>
    <row r="184" spans="2:8">
      <c r="B184" s="1">
        <v>45588</v>
      </c>
      <c r="C184" s="3">
        <v>4270.37</v>
      </c>
      <c r="D184" s="3">
        <v>66410.070000000007</v>
      </c>
      <c r="E184" s="3">
        <v>1.79</v>
      </c>
      <c r="F184" s="3">
        <v>2579.1</v>
      </c>
      <c r="G184" s="3">
        <v>4176</v>
      </c>
    </row>
    <row r="185" spans="2:8">
      <c r="B185" s="1">
        <v>45589</v>
      </c>
      <c r="C185" s="3">
        <v>4323.92</v>
      </c>
      <c r="D185" s="3">
        <v>67293.87</v>
      </c>
      <c r="E185" s="3">
        <v>1.89</v>
      </c>
      <c r="F185" s="3">
        <v>2527.3000000000002</v>
      </c>
      <c r="G185" s="3">
        <v>4214</v>
      </c>
    </row>
    <row r="186" spans="2:8">
      <c r="B186" s="1">
        <v>45590</v>
      </c>
      <c r="C186" s="3">
        <v>4323.1099999999997</v>
      </c>
      <c r="D186" s="3">
        <v>68253.88</v>
      </c>
      <c r="E186" s="3">
        <v>1.97</v>
      </c>
      <c r="F186" s="3">
        <v>2548.9</v>
      </c>
      <c r="G186" s="3">
        <v>4202</v>
      </c>
    </row>
    <row r="187" spans="2:8">
      <c r="B187" s="1">
        <v>45591</v>
      </c>
      <c r="C187" s="3">
        <v>4321.6400000000003</v>
      </c>
      <c r="D187" s="3">
        <v>67092.759999999995</v>
      </c>
      <c r="E187" s="3">
        <v>1.71</v>
      </c>
      <c r="F187" s="3">
        <v>2479.6</v>
      </c>
      <c r="G187" s="3">
        <v>4200</v>
      </c>
    </row>
    <row r="188" spans="2:8">
      <c r="B188" s="1">
        <v>45592</v>
      </c>
      <c r="C188" s="3">
        <v>4321.6400000000003</v>
      </c>
      <c r="D188" s="3">
        <v>68021.7</v>
      </c>
      <c r="E188" s="3">
        <v>1.75</v>
      </c>
      <c r="F188" s="3">
        <v>2505.4</v>
      </c>
      <c r="G188" s="3">
        <v>4215</v>
      </c>
    </row>
    <row r="189" spans="2:8">
      <c r="B189" s="1">
        <v>45593</v>
      </c>
      <c r="C189" s="3">
        <v>4321.6400000000003</v>
      </c>
      <c r="D189" s="4">
        <v>69615</v>
      </c>
      <c r="E189" s="4">
        <v>1.73</v>
      </c>
      <c r="F189" s="4">
        <v>2524.6</v>
      </c>
      <c r="G189" s="4">
        <v>4207</v>
      </c>
      <c r="H189">
        <v>22</v>
      </c>
    </row>
    <row r="190" spans="2:8">
      <c r="B190" s="1">
        <v>45594</v>
      </c>
      <c r="C190" s="3">
        <v>4345.13</v>
      </c>
      <c r="D190" s="3">
        <v>71200.91</v>
      </c>
      <c r="E190" s="3">
        <v>1.75</v>
      </c>
      <c r="F190" s="3">
        <v>2619.9</v>
      </c>
      <c r="G190" s="3">
        <v>4254</v>
      </c>
    </row>
    <row r="191" spans="2:8">
      <c r="B191" s="1">
        <v>45595</v>
      </c>
      <c r="C191" s="3">
        <v>4323.01</v>
      </c>
      <c r="D191" s="3">
        <v>72187.039999999994</v>
      </c>
      <c r="E191" s="3">
        <v>1.74</v>
      </c>
      <c r="F191" s="3">
        <v>2664</v>
      </c>
      <c r="G191" s="3">
        <v>4288</v>
      </c>
    </row>
    <row r="192" spans="2:8">
      <c r="B192" s="1">
        <v>45596</v>
      </c>
      <c r="C192" s="3">
        <v>4374.1000000000004</v>
      </c>
      <c r="D192" s="3">
        <v>72074</v>
      </c>
      <c r="E192" s="3">
        <v>1.68</v>
      </c>
      <c r="F192" s="3">
        <v>2630</v>
      </c>
      <c r="G192" s="3">
        <v>4314</v>
      </c>
    </row>
    <row r="193" spans="2:8">
      <c r="B193" s="1">
        <v>45597</v>
      </c>
      <c r="C193" s="3">
        <v>4418.63</v>
      </c>
      <c r="D193" s="3">
        <v>69923.17</v>
      </c>
      <c r="E193" s="3">
        <v>1.61</v>
      </c>
      <c r="F193" s="3">
        <v>2517.8000000000002</v>
      </c>
      <c r="G193" s="3">
        <v>4293</v>
      </c>
    </row>
    <row r="194" spans="2:8">
      <c r="B194" s="1">
        <v>45598</v>
      </c>
      <c r="C194" s="3">
        <v>4414</v>
      </c>
      <c r="D194" s="3">
        <v>69374.740000000005</v>
      </c>
      <c r="E194" s="3">
        <v>1.54</v>
      </c>
      <c r="F194" s="3">
        <v>2493.4</v>
      </c>
      <c r="G194" s="3">
        <v>4327</v>
      </c>
    </row>
    <row r="195" spans="2:8">
      <c r="B195" s="1">
        <v>45599</v>
      </c>
      <c r="C195" s="3">
        <v>4418.12</v>
      </c>
      <c r="D195" s="3">
        <v>68306.28</v>
      </c>
      <c r="E195" s="3">
        <v>1.47</v>
      </c>
      <c r="F195" s="3">
        <v>2445.3000000000002</v>
      </c>
      <c r="G195" s="3">
        <v>4328</v>
      </c>
    </row>
    <row r="196" spans="2:8">
      <c r="B196" s="1">
        <v>45600</v>
      </c>
      <c r="C196" s="3">
        <v>4445.3500000000004</v>
      </c>
      <c r="D196" s="4">
        <v>67722.23</v>
      </c>
      <c r="E196" s="4">
        <v>1.47</v>
      </c>
      <c r="F196" s="4">
        <v>2412</v>
      </c>
      <c r="G196" s="4">
        <v>4338</v>
      </c>
      <c r="H196">
        <v>23</v>
      </c>
    </row>
    <row r="197" spans="2:8">
      <c r="B197" s="1">
        <v>45601</v>
      </c>
      <c r="C197" s="3">
        <v>4438.62</v>
      </c>
      <c r="D197" s="3">
        <v>68825.05</v>
      </c>
      <c r="E197" s="3">
        <v>1.5</v>
      </c>
      <c r="F197" s="3">
        <v>2438.6</v>
      </c>
      <c r="G197" s="3">
        <v>4287</v>
      </c>
    </row>
    <row r="198" spans="2:8">
      <c r="B198" s="1">
        <v>45602</v>
      </c>
      <c r="C198" s="3">
        <v>4439.75</v>
      </c>
      <c r="D198" s="3">
        <v>75165</v>
      </c>
      <c r="E198" s="3">
        <v>1.73</v>
      </c>
      <c r="F198" s="3">
        <v>2622.5</v>
      </c>
      <c r="G198" s="3">
        <v>4338</v>
      </c>
    </row>
    <row r="199" spans="2:8">
      <c r="B199" s="1">
        <v>45603</v>
      </c>
      <c r="C199" s="3">
        <v>4389.7299999999996</v>
      </c>
      <c r="D199" s="3">
        <v>76495</v>
      </c>
      <c r="E199" s="3">
        <v>1.83</v>
      </c>
      <c r="F199" s="3">
        <v>2819.3</v>
      </c>
      <c r="G199" s="3">
        <v>4331</v>
      </c>
    </row>
    <row r="200" spans="2:8">
      <c r="B200" s="1">
        <v>45604</v>
      </c>
      <c r="C200" s="3">
        <v>4399.58</v>
      </c>
      <c r="D200" s="3">
        <v>76116.72</v>
      </c>
      <c r="E200" s="3">
        <v>1.99</v>
      </c>
      <c r="F200" s="3">
        <v>2924.8</v>
      </c>
      <c r="G200" s="3">
        <v>4234</v>
      </c>
    </row>
    <row r="201" spans="2:8">
      <c r="B201" s="1">
        <v>45605</v>
      </c>
      <c r="C201" s="3">
        <v>4346.7</v>
      </c>
      <c r="D201" s="3">
        <v>76677.460000000006</v>
      </c>
      <c r="E201" s="3">
        <v>2.02</v>
      </c>
      <c r="F201" s="3">
        <v>3128.4</v>
      </c>
      <c r="G201" s="3">
        <v>4258</v>
      </c>
    </row>
    <row r="202" spans="2:8">
      <c r="B202" s="1">
        <v>45606</v>
      </c>
      <c r="C202" s="3">
        <v>4346.7</v>
      </c>
      <c r="D202" s="3">
        <v>80370.009999999995</v>
      </c>
      <c r="E202" s="3">
        <v>2.02</v>
      </c>
      <c r="F202" s="3">
        <v>3186.8</v>
      </c>
      <c r="G202" s="3">
        <v>4246</v>
      </c>
    </row>
    <row r="203" spans="2:8">
      <c r="B203" s="1">
        <v>45607</v>
      </c>
      <c r="C203" s="3">
        <v>4346.7</v>
      </c>
      <c r="D203" s="4">
        <v>87272.61</v>
      </c>
      <c r="E203" s="4">
        <v>2.69</v>
      </c>
      <c r="F203" s="4">
        <v>3355.6</v>
      </c>
      <c r="G203" s="4">
        <v>4267</v>
      </c>
      <c r="H203">
        <v>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77"/>
  <sheetViews>
    <sheetView topLeftCell="G58" workbookViewId="0">
      <selection activeCell="M59" sqref="M59"/>
    </sheetView>
  </sheetViews>
  <sheetFormatPr baseColWidth="10" defaultRowHeight="14.25"/>
  <cols>
    <col min="3" max="3" width="19.75" customWidth="1"/>
    <col min="4" max="4" width="18" customWidth="1"/>
    <col min="5" max="5" width="17.125" customWidth="1"/>
    <col min="6" max="6" width="20.375" customWidth="1"/>
    <col min="9" max="9" width="19.75" customWidth="1"/>
    <col min="10" max="10" width="18.75" customWidth="1"/>
    <col min="12" max="12" width="20.125" bestFit="1" customWidth="1"/>
    <col min="13" max="13" width="18.25" bestFit="1" customWidth="1"/>
    <col min="14" max="14" width="14" customWidth="1"/>
    <col min="17" max="17" width="15.625" bestFit="1" customWidth="1"/>
    <col min="18" max="19" width="18.625" customWidth="1"/>
    <col min="20" max="22" width="19.375" customWidth="1"/>
    <col min="23" max="25" width="21.75" customWidth="1"/>
  </cols>
  <sheetData>
    <row r="2" spans="2:26">
      <c r="B2" t="s">
        <v>40</v>
      </c>
      <c r="C2" t="s">
        <v>20</v>
      </c>
      <c r="D2" t="s">
        <v>21</v>
      </c>
      <c r="E2" t="s">
        <v>22</v>
      </c>
      <c r="F2" t="s">
        <v>23</v>
      </c>
      <c r="G2" t="s">
        <v>16</v>
      </c>
      <c r="H2" t="s">
        <v>39</v>
      </c>
      <c r="I2" t="s">
        <v>33</v>
      </c>
      <c r="J2" t="s">
        <v>17</v>
      </c>
      <c r="K2" t="s">
        <v>18</v>
      </c>
      <c r="L2" t="s">
        <v>32</v>
      </c>
      <c r="M2" t="s">
        <v>34</v>
      </c>
      <c r="N2" t="s">
        <v>19</v>
      </c>
      <c r="O2" t="s">
        <v>24</v>
      </c>
      <c r="P2" t="s">
        <v>25</v>
      </c>
      <c r="Q2" t="s">
        <v>30</v>
      </c>
      <c r="R2" t="s">
        <v>26</v>
      </c>
      <c r="S2" t="s">
        <v>31</v>
      </c>
      <c r="T2" t="s">
        <v>27</v>
      </c>
      <c r="U2" t="s">
        <v>35</v>
      </c>
      <c r="V2" t="s">
        <v>36</v>
      </c>
      <c r="W2" t="s">
        <v>28</v>
      </c>
      <c r="X2" t="s">
        <v>37</v>
      </c>
      <c r="Y2" t="s">
        <v>38</v>
      </c>
      <c r="Z2" t="s">
        <v>29</v>
      </c>
    </row>
    <row r="3" spans="2:26">
      <c r="B3" s="1">
        <f ca="1">TODAY()</f>
        <v>45607</v>
      </c>
      <c r="C3" s="2">
        <f ca="1">VLOOKUP(B3,Tabla4[],2,FALSE)</f>
        <v>4346.7</v>
      </c>
      <c r="D3" s="3">
        <f ca="1">VLOOKUP(B3,Tabla4[],3,FALSE)</f>
        <v>87272.61</v>
      </c>
      <c r="E3" s="2">
        <f ca="1">VLOOKUP(B3,Tabla4[],5,FALSE)</f>
        <v>3355.6</v>
      </c>
      <c r="F3" s="2">
        <f ca="1">VLOOKUP(B3,Tabla4[],4,FALSE)</f>
        <v>2.69</v>
      </c>
      <c r="G3" t="s">
        <v>14</v>
      </c>
      <c r="H3" s="1">
        <v>45449</v>
      </c>
      <c r="I3" s="3">
        <f>VLOOKUP(H3,Tabla4[],2,FALSE)</f>
        <v>3931.5</v>
      </c>
      <c r="J3" s="3">
        <v>70947</v>
      </c>
      <c r="K3" s="11">
        <v>2.52E-6</v>
      </c>
      <c r="L3" s="13">
        <f>Tabla6[[#This Row],[precio de compra]]*Tabla6[[#This Row],[cantidad]]*Tabla6[[#This Row],[PRECIO DEL DÓLAR, DIA COMPRA]]</f>
        <v>702.89888885999994</v>
      </c>
      <c r="M3" s="13">
        <f ca="1" xml:space="preserve"> K3 * (IF(G3="BTC", D3, IF(G3="ETH", E3, IF(G3="IO.NET", F3, 0)))) * C3</f>
        <v>955.95659179524</v>
      </c>
      <c r="N3" s="32">
        <f ca="1">IF(G3 = "BTC", (D3 - J3) / J3,
 IF(G3 = "ETH", (E3 - J3) / J3,
 IF(G3 = "IO.NET", (F3 - J3) / J3,
 "Moneda no soportada")))</f>
        <v>0.23010994122373041</v>
      </c>
      <c r="O3" s="9">
        <v>0.25</v>
      </c>
      <c r="P3" s="9">
        <v>0.5</v>
      </c>
      <c r="Q3" t="str">
        <f ca="1">IF(N3 &lt; O3, "MANTENER", IF(N3 &lt; P3, "VENTA PARCIAL", "VENDER"))</f>
        <v>MANTENER</v>
      </c>
      <c r="T3" s="2"/>
      <c r="U3" s="14">
        <f>Tabla6[[#This Row],[cantidad]]-Tabla6[[#This Row],[CANTIDAD VENDIDA]]</f>
        <v>2.52E-6</v>
      </c>
      <c r="V3" s="2">
        <f ca="1">IF(G3="BTC", D3 * U3 * C3, IF(G3="ETH", E3 * U3 * C3, IF(G3="IO.NET", F3 * U3 * C3, 0)))</f>
        <v>955.95659179524</v>
      </c>
      <c r="W3" s="2">
        <f>IF(G3 = "BTC", ((T3 - L3)), IF(G3 = "ETH", ((T3 - L3)), IF(G3 = "IO.NET", ((T3 - L3)), "Moneda no soportada")))</f>
        <v>-702.89888885999994</v>
      </c>
      <c r="X3" s="9">
        <f ca="1">IF(G3 = "BTC", (((D3 - J3) / J3)),IF(G3 = "ETH", ((E3 - J3) / J3), IF(G3 = "IO.NET", ((F3 - J3) / J3), "Moneda no soportada")))</f>
        <v>0.23010994122373041</v>
      </c>
      <c r="Y3" s="2" t="str">
        <f>IF(U3=0,"VENDIDA","ACTIVA")</f>
        <v>ACTIVA</v>
      </c>
    </row>
    <row r="4" spans="2:26">
      <c r="B4" s="1">
        <f ca="1">TODAY()</f>
        <v>45607</v>
      </c>
      <c r="C4" s="2">
        <f ca="1">VLOOKUP(B4,Tabla4[],2,FALSE)</f>
        <v>4346.7</v>
      </c>
      <c r="D4" s="3">
        <f ca="1">VLOOKUP(B4,Tabla4[],3,FALSE)</f>
        <v>87272.61</v>
      </c>
      <c r="E4" s="2">
        <f ca="1">VLOOKUP(B4,Tabla4[],5,FALSE)</f>
        <v>3355.6</v>
      </c>
      <c r="F4" s="2">
        <f ca="1">VLOOKUP(B4,Tabla4[],4,FALSE)</f>
        <v>2.69</v>
      </c>
      <c r="G4" t="s">
        <v>15</v>
      </c>
      <c r="H4" s="1">
        <v>45449</v>
      </c>
      <c r="I4" s="3">
        <f>VLOOKUP(H4,Tabla4[],2,FALSE)</f>
        <v>3931.5</v>
      </c>
      <c r="J4" s="3">
        <v>3801.31</v>
      </c>
      <c r="K4" s="11">
        <v>4.7200000000000002E-5</v>
      </c>
      <c r="L4" s="7">
        <f>Tabla6[[#This Row],[precio de compra]]*Tabla6[[#This Row],[cantidad]]*Tabla6[[#This Row],[PRECIO DEL DÓLAR, DIA COMPRA]]</f>
        <v>705.39693250799996</v>
      </c>
      <c r="M4" s="13">
        <f ca="1" xml:space="preserve"> K4 * (IF(G4="BTC", D4, IF(G4="ETH", E4, IF(G4="IO.NET", F4, 0)))) * C4</f>
        <v>688.44912374399996</v>
      </c>
      <c r="N4" s="32">
        <f ca="1">IF(G4 = "BTC", (D4 - J4) / J4,
 IF(G4 = "ETH", (E4 - J4) / J4,
 IF(G4 = "IO.NET", (F4 - J4) / J4,
 "Moneda no soportada")))</f>
        <v>-0.11725168428778501</v>
      </c>
      <c r="O4" s="9">
        <v>0.25</v>
      </c>
      <c r="P4" s="9">
        <v>0.5</v>
      </c>
      <c r="Q4" t="str">
        <f ca="1">IF(N4 &lt; O4, "MANTENER", IF(N4 &lt; P4, "VENTA PARCIAL", "VENDER"))</f>
        <v>MANTENER</v>
      </c>
      <c r="T4" s="2"/>
      <c r="U4" s="14">
        <f>Tabla6[[#This Row],[cantidad]]-Tabla6[[#This Row],[CANTIDAD VENDIDA]]</f>
        <v>4.7200000000000002E-5</v>
      </c>
      <c r="V4" s="2">
        <f ca="1">IF(G4="BTC", D4 * U4 * C4, IF(G4="ETH", E4 * U4 * C4, IF(G4="IO.NET", F4 * U4 * C4, 0)))</f>
        <v>688.44912374399996</v>
      </c>
      <c r="W4" s="2">
        <f>IF(G4 = "BTC", ((T4 - L4)), IF(G4 = "ETH", ((T4 - L4)), IF(G4 = "IO.NET", ((T4 - L4)), "Moneda no soportada")))</f>
        <v>-705.39693250799996</v>
      </c>
      <c r="X4" s="9">
        <f ca="1">IF(G4 = "BTC", (((D4 - J4) / J4)),IF(G4 = "ETH", ((E4 - J4) / J4), IF(G4 = "IO.NET", ((F4 - J4) / J4), "Moneda no soportada")))</f>
        <v>-0.11725168428778501</v>
      </c>
      <c r="Y4" s="2" t="str">
        <f>IF(U4=0,"VENDIDA","ACTIVA")</f>
        <v>ACTIVA</v>
      </c>
    </row>
    <row r="5" spans="2:26">
      <c r="B5" s="1">
        <f ca="1">TODAY()</f>
        <v>45607</v>
      </c>
      <c r="C5" s="2">
        <f ca="1">VLOOKUP(B5,Tabla4[],2,FALSE)</f>
        <v>4346.7</v>
      </c>
      <c r="D5" s="3">
        <f ca="1">VLOOKUP(B5,Tabla4[],3,FALSE)</f>
        <v>87272.61</v>
      </c>
      <c r="E5" s="2">
        <f ca="1">VLOOKUP(B5,Tabla4[],5,FALSE)</f>
        <v>3355.6</v>
      </c>
      <c r="F5" s="2">
        <f ca="1">VLOOKUP(B5,Tabla4[],4,FALSE)</f>
        <v>2.69</v>
      </c>
      <c r="G5" t="s">
        <v>15</v>
      </c>
      <c r="H5" s="1">
        <v>45453</v>
      </c>
      <c r="I5" s="3">
        <f>VLOOKUP(H5,Tabla4[],2,FALSE)</f>
        <v>3995.66</v>
      </c>
      <c r="J5" s="3">
        <v>3669.68</v>
      </c>
      <c r="K5" s="11">
        <v>4.867E-5</v>
      </c>
      <c r="L5" s="7">
        <f>Tabla6[[#This Row],[precio de compra]]*Tabla6[[#This Row],[cantidad]]*Tabla6[[#This Row],[PRECIO DEL DÓLAR, DIA COMPRA]]</f>
        <v>713.63816396689595</v>
      </c>
      <c r="M5" s="13">
        <f ca="1" xml:space="preserve"> K5 * (IF(G5="BTC", D5, IF(G5="ETH", E5, IF(G5="IO.NET", F5, 0)))) * C5</f>
        <v>709.89022992839989</v>
      </c>
      <c r="N5" s="32">
        <f ca="1">IF(G5 = "BTC", (D5 - J5) / J5,
 IF(G5 = "ETH", (E5 - J5) / J5,
 IF(G5 = "IO.NET", (F5 - J5) / J5,
 "Moneda no soportada")))</f>
        <v>-8.5587844171698874E-2</v>
      </c>
      <c r="O5" s="9">
        <v>0.25</v>
      </c>
      <c r="P5" s="9">
        <v>0.5</v>
      </c>
      <c r="Q5" t="str">
        <f ca="1">IF(N5 &lt; O5, "MANTENER", IF(N5 &lt; P5, "VENTA PARCIAL", "VENDER"))</f>
        <v>MANTENER</v>
      </c>
      <c r="T5" s="2"/>
      <c r="U5" s="14">
        <f>Tabla6[[#This Row],[cantidad]]-Tabla6[[#This Row],[CANTIDAD VENDIDA]]</f>
        <v>4.867E-5</v>
      </c>
      <c r="V5" s="2">
        <f ca="1">IF(G5="BTC", D5 * U5 * C5, IF(G5="ETH", E5 * U5 * C5, IF(G5="IO.NET", F5 * U5 * C5, 0)))</f>
        <v>709.89022992839989</v>
      </c>
      <c r="W5" s="2">
        <f>IF(G5 = "BTC", ((T5 - L5)), IF(G5 = "ETH", ((T5 - L5)), IF(G5 = "IO.NET", ((T5 - L5)), "Moneda no soportada")))</f>
        <v>-713.63816396689595</v>
      </c>
      <c r="X5" s="9">
        <f ca="1">IF(G5 = "BTC", (((D5 - J5) / J5)),IF(G5 = "ETH", ((E5 - J5) / J5), IF(G5 = "IO.NET", ((F5 - J5) / J5), "Moneda no soportada")))</f>
        <v>-8.5587844171698874E-2</v>
      </c>
      <c r="Y5" s="2" t="str">
        <f>IF(U5=0,"VENDIDA","ACTIVA")</f>
        <v>ACTIVA</v>
      </c>
    </row>
    <row r="6" spans="2:26">
      <c r="B6" s="1">
        <f ca="1">TODAY()</f>
        <v>45607</v>
      </c>
      <c r="C6" s="2">
        <f ca="1">VLOOKUP(B6,Tabla4[],2,FALSE)</f>
        <v>4346.7</v>
      </c>
      <c r="D6" s="3">
        <f ca="1">VLOOKUP(B6,Tabla4[],3,FALSE)</f>
        <v>87272.61</v>
      </c>
      <c r="E6" s="2">
        <f ca="1">VLOOKUP(B6,Tabla4[],5,FALSE)</f>
        <v>3355.6</v>
      </c>
      <c r="F6" s="2">
        <f ca="1">VLOOKUP(B6,Tabla4[],4,FALSE)</f>
        <v>2.69</v>
      </c>
      <c r="G6" t="s">
        <v>14</v>
      </c>
      <c r="H6" s="1">
        <v>45453</v>
      </c>
      <c r="I6" s="3">
        <f>VLOOKUP(H6,Tabla4[],2,FALSE)</f>
        <v>3995.66</v>
      </c>
      <c r="J6" s="3">
        <v>69276</v>
      </c>
      <c r="K6" s="11">
        <v>2.57E-6</v>
      </c>
      <c r="L6" s="7">
        <f>Tabla6[[#This Row],[precio de compra]]*Tabla6[[#This Row],[cantidad]]*Tabla6[[#This Row],[PRECIO DEL DÓLAR, DIA COMPRA]]</f>
        <v>711.38458935120002</v>
      </c>
      <c r="M6" s="13">
        <f ca="1" xml:space="preserve"> K6 * (IF(G6="BTC", D6, IF(G6="ETH", E6, IF(G6="IO.NET", F6, 0)))) * C6</f>
        <v>974.92398448959</v>
      </c>
      <c r="N6" s="32">
        <f ca="1">IF(G6 = "BTC", (D6 - J6) / J6,
 IF(G6 = "ETH", (E6 - J6) / J6,
 IF(G6 = "IO.NET", (F6 - J6) / J6,
 "Moneda no soportada")))</f>
        <v>0.25978130954443096</v>
      </c>
      <c r="O6" s="9">
        <v>0.25</v>
      </c>
      <c r="P6" s="9">
        <v>0.5</v>
      </c>
      <c r="Q6" t="str">
        <f ca="1">IF(N6 &lt; O6, "MANTENER", IF(N6 &lt; P6, "VENTA PARCIAL", "VENDER"))</f>
        <v>VENTA PARCIAL</v>
      </c>
      <c r="T6" s="2"/>
      <c r="U6" s="14">
        <f>Tabla6[[#This Row],[cantidad]]-Tabla6[[#This Row],[CANTIDAD VENDIDA]]</f>
        <v>2.57E-6</v>
      </c>
      <c r="V6" s="2">
        <f ca="1">IF(G6="BTC", D6 * U6 * C6, IF(G6="ETH", E6 * U6 * C6, IF(G6="IO.NET", F6 * U6 * C6, 0)))</f>
        <v>974.92398448959</v>
      </c>
      <c r="W6" s="2">
        <f>IF(G6 = "BTC", ((T6 - L6)), IF(G6 = "ETH", ((T6 - L6)), IF(G6 = "IO.NET", ((T6 - L6)), "Moneda no soportada")))</f>
        <v>-711.38458935120002</v>
      </c>
      <c r="X6" s="9">
        <f ca="1">IF(G6 = "BTC", (((D6 - J6) / J6)),IF(G6 = "ETH", ((E6 - J6) / J6), IF(G6 = "IO.NET", ((F6 - J6) / J6), "Moneda no soportada")))</f>
        <v>0.25978130954443096</v>
      </c>
      <c r="Y6" s="2" t="str">
        <f>IF(U6=0,"VENDIDA","ACTIVA")</f>
        <v>ACTIVA</v>
      </c>
    </row>
    <row r="7" spans="2:26">
      <c r="B7" s="1">
        <f ca="1">TODAY()</f>
        <v>45607</v>
      </c>
      <c r="C7" s="2">
        <f ca="1">VLOOKUP(B7,Tabla4[],2,FALSE)</f>
        <v>4346.7</v>
      </c>
      <c r="D7" s="3">
        <f ca="1">VLOOKUP(B7,Tabla4[],3,FALSE)</f>
        <v>87272.61</v>
      </c>
      <c r="E7" s="2">
        <f ca="1">VLOOKUP(B7,Tabla4[],5,FALSE)</f>
        <v>3355.6</v>
      </c>
      <c r="F7" s="2">
        <f ca="1">VLOOKUP(B7,Tabla4[],4,FALSE)</f>
        <v>2.69</v>
      </c>
      <c r="G7" t="s">
        <v>15</v>
      </c>
      <c r="H7" s="1">
        <v>45460</v>
      </c>
      <c r="I7" s="3">
        <f>VLOOKUP(H7,Tabla4[],2,FALSE)</f>
        <v>4129.43</v>
      </c>
      <c r="J7" s="3">
        <v>3505.79</v>
      </c>
      <c r="K7" s="11">
        <v>4.9200000000000003E-5</v>
      </c>
      <c r="L7" s="7">
        <f>Tabla6[[#This Row],[precio de compra]]*Tabla6[[#This Row],[cantidad]]*Tabla6[[#This Row],[PRECIO DEL DÓLAR, DIA COMPRA]]</f>
        <v>712.26418846524007</v>
      </c>
      <c r="M7" s="13">
        <f ca="1" xml:space="preserve"> K7 * (IF(G7="BTC", D7, IF(G7="ETH", E7, IF(G7="IO.NET", F7, 0)))) * C7</f>
        <v>717.62069678399996</v>
      </c>
      <c r="N7" s="32">
        <f ca="1">IF(G7 = "BTC", (D7 - J7) / J7,
 IF(G7 = "ETH", (E7 - J7) / J7,
 IF(G7 = "IO.NET", (F7 - J7) / J7,
 "Moneda no soportada")))</f>
        <v>-4.2840558048257329E-2</v>
      </c>
      <c r="O7" s="9">
        <v>0.25</v>
      </c>
      <c r="P7" s="9">
        <v>0.5</v>
      </c>
      <c r="Q7" t="str">
        <f ca="1">IF(N7 &lt; O7, "MANTENER", IF(N7 &lt; P7, "VENTA PARCIAL", "VENDER"))</f>
        <v>MANTENER</v>
      </c>
      <c r="T7" s="2"/>
      <c r="U7" s="14">
        <f>Tabla6[[#This Row],[cantidad]]-Tabla6[[#This Row],[CANTIDAD VENDIDA]]</f>
        <v>4.9200000000000003E-5</v>
      </c>
      <c r="V7" s="2">
        <f ca="1">IF(G7="BTC", D7 * U7 * C7, IF(G7="ETH", E7 * U7 * C7, IF(G7="IO.NET", F7 * U7 * C7, 0)))</f>
        <v>717.62069678399996</v>
      </c>
      <c r="W7" s="2">
        <f>IF(G7 = "BTC", ((T7 - L7)), IF(G7 = "ETH", ((T7 - L7)), IF(G7 = "IO.NET", ((T7 - L7)), "Moneda no soportada")))</f>
        <v>-712.26418846524007</v>
      </c>
      <c r="X7" s="9">
        <f ca="1">IF(G7 = "BTC", (((D7 - J7) / J7)),IF(G7 = "ETH", ((E7 - J7) / J7), IF(G7 = "IO.NET", ((F7 - J7) / J7), "Moneda no soportada")))</f>
        <v>-4.2840558048257329E-2</v>
      </c>
      <c r="Y7" s="2" t="str">
        <f>IF(U7=0,"VENDIDA","ACTIVA")</f>
        <v>ACTIVA</v>
      </c>
    </row>
    <row r="8" spans="2:26">
      <c r="B8" s="1">
        <f ca="1">TODAY()</f>
        <v>45607</v>
      </c>
      <c r="C8" s="2">
        <f ca="1">VLOOKUP(B8,Tabla4[],2,FALSE)</f>
        <v>4346.7</v>
      </c>
      <c r="D8" s="3">
        <f ca="1">VLOOKUP(B8,Tabla4[],3,FALSE)</f>
        <v>87272.61</v>
      </c>
      <c r="E8" s="2">
        <f ca="1">VLOOKUP(B8,Tabla4[],5,FALSE)</f>
        <v>3355.6</v>
      </c>
      <c r="F8" s="2">
        <f ca="1">VLOOKUP(B8,Tabla4[],4,FALSE)</f>
        <v>2.69</v>
      </c>
      <c r="G8" t="s">
        <v>41</v>
      </c>
      <c r="H8" s="1">
        <v>45460</v>
      </c>
      <c r="I8" s="3">
        <f>VLOOKUP(H8,Tabla4[],2,FALSE)</f>
        <v>4129.43</v>
      </c>
      <c r="J8" s="3">
        <v>4.2300000000000004</v>
      </c>
      <c r="K8" s="11">
        <v>3.8710769999999999E-2</v>
      </c>
      <c r="L8" s="7">
        <f>Tabla6[[#This Row],[precio de compra]]*Tabla6[[#This Row],[cantidad]]*Tabla6[[#This Row],[PRECIO DEL DÓLAR, DIA COMPRA]]</f>
        <v>676.17994528545319</v>
      </c>
      <c r="M8" s="13">
        <f ca="1" xml:space="preserve"> K8 * (IF(G8="BTC", D8, IF(G8="ETH", E8, IF(G8="IO.NET", F8, 0)))) * C8</f>
        <v>452.63043964971001</v>
      </c>
      <c r="N8" s="32">
        <f ca="1">IF(G8 = "BTC", (D8 - J8) / J8,
 IF(G8 = "ETH", (E8 - J8) / J8,
 IF(G8 = "IO.NET", (F8 - J8) / J8,
 "Moneda no soportada")))</f>
        <v>-0.36406619385342798</v>
      </c>
      <c r="O8" s="9">
        <v>0.25</v>
      </c>
      <c r="P8" s="9">
        <v>0.5</v>
      </c>
      <c r="Q8" t="str">
        <f ca="1">IF(N8 &lt; O8, "MANTENER", IF(N8 &lt; P8, "VENTA PARCIAL", "VENDER"))</f>
        <v>MANTENER</v>
      </c>
      <c r="T8" s="2"/>
      <c r="U8" s="14">
        <f>Tabla6[[#This Row],[cantidad]]-Tabla6[[#This Row],[CANTIDAD VENDIDA]]</f>
        <v>3.8710769999999999E-2</v>
      </c>
      <c r="V8" s="2">
        <f ca="1">IF(G8="BTC", D8 * U8 * C8, IF(G8="ETH", E8 * U8 * C8, IF(G8="IO.NET", F8 * U8 * C8, 0)))</f>
        <v>452.63043964971001</v>
      </c>
      <c r="W8" s="2">
        <f>IF(G8 = "BTC", ((T8 - L8)), IF(G8 = "ETH", ((T8 - L8)), IF(G8 = "IO.NET", ((T8 - L8)), "Moneda no soportada")))</f>
        <v>-676.17994528545319</v>
      </c>
      <c r="X8" s="9">
        <f ca="1">IF(G8 = "BTC", (((D8 - J8) / J8)),IF(G8 = "ETH", ((E8 - J8) / J8), IF(G8 = "IO.NET", ((F8 - J8) / J8), "Moneda no soportada")))</f>
        <v>-0.36406619385342798</v>
      </c>
      <c r="Y8" s="2" t="str">
        <f>IF(U8=0,"VENDIDA","ACTIVA")</f>
        <v>ACTIVA</v>
      </c>
    </row>
    <row r="9" spans="2:26">
      <c r="B9" s="1">
        <f ca="1">TODAY()</f>
        <v>45607</v>
      </c>
      <c r="C9" s="2">
        <f ca="1">VLOOKUP(B9,Tabla4[],2,FALSE)</f>
        <v>4346.7</v>
      </c>
      <c r="D9" s="3">
        <f ca="1">VLOOKUP(B9,Tabla4[],3,FALSE)</f>
        <v>87272.61</v>
      </c>
      <c r="E9" s="2">
        <f ca="1">VLOOKUP(B9,Tabla4[],5,FALSE)</f>
        <v>3355.6</v>
      </c>
      <c r="F9" s="2">
        <f ca="1">VLOOKUP(B9,Tabla4[],4,FALSE)</f>
        <v>2.69</v>
      </c>
      <c r="G9" t="s">
        <v>14</v>
      </c>
      <c r="H9" s="1">
        <v>45460</v>
      </c>
      <c r="I9" s="3">
        <f>VLOOKUP(H9,Tabla4[],2,FALSE)</f>
        <v>4129.43</v>
      </c>
      <c r="J9" s="3">
        <v>66469.899999999994</v>
      </c>
      <c r="K9" s="11">
        <v>2.6299999999999998E-6</v>
      </c>
      <c r="L9" s="7">
        <f>Tabla6[[#This Row],[precio de compra]]*Tabla6[[#This Row],[cantidad]]*Tabla6[[#This Row],[PRECIO DEL DÓLAR, DIA COMPRA]]</f>
        <v>721.88976178291</v>
      </c>
      <c r="M9" s="13">
        <f ca="1" xml:space="preserve"> K9 * (IF(G9="BTC", D9, IF(G9="ETH", E9, IF(G9="IO.NET", F9, 0)))) * C9</f>
        <v>997.68485572280997</v>
      </c>
      <c r="N9" s="32">
        <f ca="1">IF(G9 = "BTC", (D9 - J9) / J9,
 IF(G9 = "ETH", (E9 - J9) / J9,
 IF(G9 = "IO.NET", (F9 - J9) / J9,
 "Moneda no soportada")))</f>
        <v>0.31296436432129443</v>
      </c>
      <c r="O9" s="9">
        <v>0.25</v>
      </c>
      <c r="P9" s="9">
        <v>0.5</v>
      </c>
      <c r="Q9" t="str">
        <f ca="1">IF(N9 &lt; O9, "MANTENER", IF(N9 &lt; P9, "VENTA PARCIAL", "VENDER"))</f>
        <v>VENTA PARCIAL</v>
      </c>
      <c r="T9" s="2"/>
      <c r="U9" s="14">
        <f>Tabla6[[#This Row],[cantidad]]-Tabla6[[#This Row],[CANTIDAD VENDIDA]]</f>
        <v>2.6299999999999998E-6</v>
      </c>
      <c r="V9" s="2">
        <f ca="1">IF(G9="BTC", D9 * U9 * C9, IF(G9="ETH", E9 * U9 * C9, IF(G9="IO.NET", F9 * U9 * C9, 0)))</f>
        <v>997.68485572280997</v>
      </c>
      <c r="W9" s="2">
        <f>IF(G9 = "BTC", ((T9 - L9)), IF(G9 = "ETH", ((T9 - L9)), IF(G9 = "IO.NET", ((T9 - L9)), "Moneda no soportada")))</f>
        <v>-721.88976178291</v>
      </c>
      <c r="X9" s="9">
        <f ca="1">IF(G9 = "BTC", (((D9 - J9) / J9)),IF(G9 = "ETH", ((E9 - J9) / J9), IF(G9 = "IO.NET", ((F9 - J9) / J9), "Moneda no soportada")))</f>
        <v>0.31296436432129443</v>
      </c>
      <c r="Y9" s="2" t="str">
        <f>IF(U9=0,"VENDIDA","ACTIVA")</f>
        <v>ACTIVA</v>
      </c>
    </row>
    <row r="10" spans="2:26">
      <c r="B10" s="1">
        <f ca="1">TODAY()</f>
        <v>45607</v>
      </c>
      <c r="C10" s="2">
        <f ca="1">VLOOKUP(B10,Tabla4[],2,FALSE)</f>
        <v>4346.7</v>
      </c>
      <c r="D10" s="3">
        <f ca="1">VLOOKUP(B10,Tabla4[],3,FALSE)</f>
        <v>87272.61</v>
      </c>
      <c r="E10" s="2">
        <f ca="1">VLOOKUP(B10,Tabla4[],5,FALSE)</f>
        <v>3355.6</v>
      </c>
      <c r="F10" s="2">
        <f ca="1">VLOOKUP(B10,Tabla4[],4,FALSE)</f>
        <v>2.69</v>
      </c>
      <c r="G10" t="s">
        <v>15</v>
      </c>
      <c r="H10" s="1">
        <v>45467</v>
      </c>
      <c r="I10" s="3">
        <f>VLOOKUP(H10,Tabla4[],2,FALSE)</f>
        <v>4144.4799999999996</v>
      </c>
      <c r="J10" s="3">
        <v>3377.81</v>
      </c>
      <c r="K10" s="11">
        <v>5.0609999999999998E-5</v>
      </c>
      <c r="L10" s="15">
        <f>Tabla6[[#This Row],[precio de compra]]*Tabla6[[#This Row],[cantidad]]*Tabla6[[#This Row],[PRECIO DEL DÓLAR, DIA COMPRA]]</f>
        <v>708.50285169316794</v>
      </c>
      <c r="M10" s="13">
        <f ca="1" xml:space="preserve"> K10 * (IF(G10="BTC", D10, IF(G10="ETH", E10, IF(G10="IO.NET", F10, 0)))) * C10</f>
        <v>738.18665577719992</v>
      </c>
      <c r="N10" s="32">
        <f ca="1">IF(G10 = "BTC", (D10 - J10) / J10,
 IF(G10 = "ETH", (E10 - J10) / J10,
 IF(G10 = "IO.NET", (F10 - J10) / J10,
 "Moneda no soportada")))</f>
        <v>-6.5752662227893327E-3</v>
      </c>
      <c r="O10" s="9">
        <v>0.25</v>
      </c>
      <c r="P10" s="9">
        <v>0.5</v>
      </c>
      <c r="Q10" t="str">
        <f ca="1">IF(N10 &lt; O10, "MANTENER", IF(N10 &lt; P10, "VENTA PARCIAL", "VENDER"))</f>
        <v>MANTENER</v>
      </c>
      <c r="T10" s="2"/>
      <c r="U10" s="14">
        <f>Tabla6[[#This Row],[cantidad]]-Tabla6[[#This Row],[CANTIDAD VENDIDA]]</f>
        <v>5.0609999999999998E-5</v>
      </c>
      <c r="V10" s="2">
        <f ca="1">IF(G10="BTC", D10 * U10 * C10, IF(G10="ETH", E10 * U10 * C10, IF(G10="IO.NET", F10 * U10 * C10, 0)))</f>
        <v>738.18665577719992</v>
      </c>
      <c r="W10" s="2">
        <f>IF(G10 = "BTC", ((T10 - L10)), IF(G10 = "ETH", ((T10 - L10)), IF(G10 = "IO.NET", ((T10 - L10)), "Moneda no soportada")))</f>
        <v>-708.50285169316794</v>
      </c>
      <c r="X10" s="9">
        <f ca="1">IF(G10 = "BTC", (((D10 - J10) / J10)),IF(G10 = "ETH", ((E10 - J10) / J10), IF(G10 = "IO.NET", ((F10 - J10) / J10), "Moneda no soportada")))</f>
        <v>-6.5752662227893327E-3</v>
      </c>
      <c r="Y10" s="2" t="str">
        <f>IF(U10=0,"VENDIDA","ACTIVA")</f>
        <v>ACTIVA</v>
      </c>
    </row>
    <row r="11" spans="2:26">
      <c r="B11" s="1">
        <f ca="1">TODAY()</f>
        <v>45607</v>
      </c>
      <c r="C11" s="2">
        <f ca="1">VLOOKUP(B11,Tabla4[],2,FALSE)</f>
        <v>4346.7</v>
      </c>
      <c r="D11" s="3">
        <f ca="1">VLOOKUP(B11,Tabla4[],3,FALSE)</f>
        <v>87272.61</v>
      </c>
      <c r="E11" s="2">
        <f ca="1">VLOOKUP(B11,Tabla4[],5,FALSE)</f>
        <v>3355.6</v>
      </c>
      <c r="F11" s="2">
        <f ca="1">VLOOKUP(B11,Tabla4[],4,FALSE)</f>
        <v>2.69</v>
      </c>
      <c r="G11" t="s">
        <v>41</v>
      </c>
      <c r="H11" s="1">
        <v>45467</v>
      </c>
      <c r="I11" s="3">
        <f>VLOOKUP(H11,Tabla4[],2,FALSE)</f>
        <v>4144.4799999999996</v>
      </c>
      <c r="J11" s="3">
        <v>3.4</v>
      </c>
      <c r="K11" s="11">
        <v>5.2726009999999997E-2</v>
      </c>
      <c r="L11" s="7">
        <f>Tabla6[[#This Row],[precio de compra]]*Tabla6[[#This Row],[cantidad]]*Tabla6[[#This Row],[PRECIO DEL DÓLAR, DIA COMPRA]]</f>
        <v>742.97443934431988</v>
      </c>
      <c r="M11" s="13">
        <f ca="1" xml:space="preserve"> K11 * (IF(G11="BTC", D11, IF(G11="ETH", E11, IF(G11="IO.NET", F11, 0)))) * C11</f>
        <v>616.50535722423001</v>
      </c>
      <c r="N11" s="32">
        <f ca="1">IF(G11 = "BTC", (D11 - J11) / J11,
 IF(G11 = "ETH", (E11 - J11) / J11,
 IF(G11 = "IO.NET", (F11 - J11) / J11,
 "Moneda no soportada")))</f>
        <v>-0.20882352941176471</v>
      </c>
      <c r="O11" s="9">
        <v>0.1</v>
      </c>
      <c r="P11" s="9">
        <v>0.3</v>
      </c>
      <c r="Q11" t="str">
        <f ca="1">IF(N11 &lt; O11, "MANTENER", IF(N11 &lt; P11, "VENTA PARCIAL", "VENDER"))</f>
        <v>MANTENER</v>
      </c>
      <c r="T11" s="2"/>
      <c r="U11" s="14">
        <f>Tabla6[[#This Row],[cantidad]]-Tabla6[[#This Row],[CANTIDAD VENDIDA]]</f>
        <v>5.2726009999999997E-2</v>
      </c>
      <c r="V11" s="2">
        <f ca="1">IF(G11="BTC", D11 * U11 * C11, IF(G11="ETH", E11 * U11 * C11, IF(G11="IO.NET", F11 * U11 * C11, 0)))</f>
        <v>616.50535722423001</v>
      </c>
      <c r="W11" s="2">
        <f>IF(G11 = "BTC", ((T11 - L11)), IF(G11 = "ETH", ((T11 - L11)), IF(G11 = "IO.NET", ((T11 - L11)), "Moneda no soportada")))</f>
        <v>-742.97443934431988</v>
      </c>
      <c r="X11" s="9">
        <f ca="1">IF(G11 = "BTC", (((D11 - J11) / J11)),IF(G11 = "ETH", ((E11 - J11) / J11), IF(G11 = "IO.NET", ((F11 - J11) / J11), "Moneda no soportada")))</f>
        <v>-0.20882352941176471</v>
      </c>
      <c r="Y11" s="2" t="str">
        <f>IF(U11=0,"VENDIDA","ACTIVA")</f>
        <v>ACTIVA</v>
      </c>
    </row>
    <row r="12" spans="2:26">
      <c r="B12" s="1">
        <f ca="1">TODAY()</f>
        <v>45607</v>
      </c>
      <c r="C12" s="2">
        <f ca="1">VLOOKUP(B12,Tabla4[],2,FALSE)</f>
        <v>4346.7</v>
      </c>
      <c r="D12" s="3">
        <f ca="1">VLOOKUP(B12,Tabla4[],3,FALSE)</f>
        <v>87272.61</v>
      </c>
      <c r="E12" s="2">
        <f ca="1">VLOOKUP(B12,Tabla4[],5,FALSE)</f>
        <v>3355.6</v>
      </c>
      <c r="F12" s="2">
        <f ca="1">VLOOKUP(B12,Tabla4[],4,FALSE)</f>
        <v>2.69</v>
      </c>
      <c r="G12" t="s">
        <v>14</v>
      </c>
      <c r="H12" s="1">
        <v>45467</v>
      </c>
      <c r="I12" s="3">
        <f>VLOOKUP(H12,Tabla4[],2,FALSE)</f>
        <v>4144.4799999999996</v>
      </c>
      <c r="J12" s="3">
        <v>61441.2</v>
      </c>
      <c r="K12" s="11">
        <v>2.7199999999999998E-6</v>
      </c>
      <c r="L12" s="7">
        <f>Tabla6[[#This Row],[precio de compra]]*Tabla6[[#This Row],[cantidad]]*Tabla6[[#This Row],[PRECIO DEL DÓLAR, DIA COMPRA]]</f>
        <v>692.62576284671991</v>
      </c>
      <c r="M12" s="13">
        <f ca="1" xml:space="preserve"> K12 * (IF(G12="BTC", D12, IF(G12="ETH", E12, IF(G12="IO.NET", F12, 0)))) * C12</f>
        <v>1031.82616257264</v>
      </c>
      <c r="N12" s="32">
        <f ca="1">IF(G12 = "BTC", (D12 - J12) / J12,
 IF(G12 = "ETH", (E12 - J12) / J12,
 IF(G12 = "IO.NET", (F12 - J12) / J12,
 "Moneda no soportada")))</f>
        <v>0.42042489404503824</v>
      </c>
      <c r="O12" s="9">
        <v>0.25</v>
      </c>
      <c r="P12" s="9">
        <v>0.5</v>
      </c>
      <c r="Q12" t="str">
        <f ca="1">IF(N12 &lt; O12, "MANTENER", IF(N12 &lt; P12, "VENTA PARCIAL", "VENDER"))</f>
        <v>VENTA PARCIAL</v>
      </c>
      <c r="T12" s="2"/>
      <c r="U12" s="14">
        <f>Tabla6[[#This Row],[cantidad]]-Tabla6[[#This Row],[CANTIDAD VENDIDA]]</f>
        <v>2.7199999999999998E-6</v>
      </c>
      <c r="V12" s="2">
        <f ca="1">IF(G12="BTC", D12 * U12 * C12, IF(G12="ETH", E12 * U12 * C12, IF(G12="IO.NET", F12 * U12 * C12, 0)))</f>
        <v>1031.82616257264</v>
      </c>
      <c r="W12" s="2">
        <f>IF(G12 = "BTC", ((T12 - L12)), IF(G12 = "ETH", ((T12 - L12)), IF(G12 = "IO.NET", ((T12 - L12)), "Moneda no soportada")))</f>
        <v>-692.62576284671991</v>
      </c>
      <c r="X12" s="9">
        <f ca="1">IF(G12 = "BTC", (((D12 - J12) / J12)),IF(G12 = "ETH", ((E12 - J12) / J12), IF(G12 = "IO.NET", ((F12 - J12) / J12), "Moneda no soportada")))</f>
        <v>0.42042489404503824</v>
      </c>
      <c r="Y12" s="2" t="str">
        <f>IF(U12=0,"VENDIDA","ACTIVA")</f>
        <v>ACTIVA</v>
      </c>
    </row>
    <row r="13" spans="2:26">
      <c r="B13" s="1">
        <f ca="1">TODAY()</f>
        <v>45607</v>
      </c>
      <c r="C13" s="2">
        <f ca="1">VLOOKUP(B13,Tabla4[],2,FALSE)</f>
        <v>4346.7</v>
      </c>
      <c r="D13" s="3">
        <f ca="1">VLOOKUP(B13,Tabla4[],3,FALSE)</f>
        <v>87272.61</v>
      </c>
      <c r="E13" s="2">
        <f ca="1">VLOOKUP(B13,Tabla4[],5,FALSE)</f>
        <v>3355.6</v>
      </c>
      <c r="F13" s="2">
        <f ca="1">VLOOKUP(B13,Tabla4[],4,FALSE)</f>
        <v>2.69</v>
      </c>
      <c r="G13" t="s">
        <v>15</v>
      </c>
      <c r="H13" s="1">
        <v>45475</v>
      </c>
      <c r="I13" s="3">
        <f>VLOOKUP(H13,Tabla4[],2,FALSE)</f>
        <v>4129.08</v>
      </c>
      <c r="J13" s="3">
        <v>3359.03</v>
      </c>
      <c r="K13" s="11">
        <v>4.9339999999999999E-5</v>
      </c>
      <c r="L13" s="7">
        <f>Tabla6[[#This Row],[precio de compra]]*Tabla6[[#This Row],[cantidad]]*Tabla6[[#This Row],[PRECIO DEL DÓLAR, DIA COMPRA]]</f>
        <v>684.33117524901604</v>
      </c>
      <c r="M13" s="13">
        <f ca="1" xml:space="preserve"> K13 * (IF(G13="BTC", D13, IF(G13="ETH", E13, IF(G13="IO.NET", F13, 0)))) * C13</f>
        <v>719.66270689679993</v>
      </c>
      <c r="N13" s="32">
        <f ca="1">IF(G13 = "BTC", (D13 - J13) / J13,
 IF(G13 = "ETH", (E13 - J13) / J13,
 IF(G13 = "IO.NET", (F13 - J13) / J13,
 "Moneda no soportada")))</f>
        <v>-1.0211281232975862E-3</v>
      </c>
      <c r="O13" s="9">
        <v>0.25</v>
      </c>
      <c r="P13" s="9">
        <v>0.5</v>
      </c>
      <c r="Q13" t="str">
        <f ca="1">IF(N13 &lt; O13, "MANTENER", IF(N13 &lt; P13, "VENTA PARCIAL", "VENDER"))</f>
        <v>MANTENER</v>
      </c>
      <c r="T13" s="2"/>
      <c r="U13" s="14">
        <f>Tabla6[[#This Row],[cantidad]]-Tabla6[[#This Row],[CANTIDAD VENDIDA]]</f>
        <v>4.9339999999999999E-5</v>
      </c>
      <c r="V13" s="2">
        <f ca="1">IF(G13="BTC", D13 * U13 * C13, IF(G13="ETH", E13 * U13 * C13, IF(G13="IO.NET", F13 * U13 * C13, 0)))</f>
        <v>719.66270689679993</v>
      </c>
      <c r="W13" s="2">
        <f>IF(G13 = "BTC", ((T13 - L13)), IF(G13 = "ETH", ((T13 - L13)), IF(G13 = "IO.NET", ((T13 - L13)), "Moneda no soportada")))</f>
        <v>-684.33117524901604</v>
      </c>
      <c r="X13" s="9">
        <f ca="1">IF(G13 = "BTC", (((D13 - J13) / J13)),IF(G13 = "ETH", ((E13 - J13) / J13), IF(G13 = "IO.NET", ((F13 - J13) / J13), "Moneda no soportada")))</f>
        <v>-1.0211281232975862E-3</v>
      </c>
      <c r="Y13" s="2" t="str">
        <f>IF(U13=0,"VENDIDA","ACTIVA")</f>
        <v>ACTIVA</v>
      </c>
    </row>
    <row r="14" spans="2:26">
      <c r="B14" s="1">
        <f ca="1">TODAY()</f>
        <v>45607</v>
      </c>
      <c r="C14" s="2">
        <f ca="1">VLOOKUP(B14,Tabla4[],2,FALSE)</f>
        <v>4346.7</v>
      </c>
      <c r="D14" s="3">
        <f ca="1">VLOOKUP(B14,Tabla4[],3,FALSE)</f>
        <v>87272.61</v>
      </c>
      <c r="E14" s="2">
        <f ca="1">VLOOKUP(B14,Tabla4[],5,FALSE)</f>
        <v>3355.6</v>
      </c>
      <c r="F14" s="2">
        <f ca="1">VLOOKUP(B14,Tabla4[],4,FALSE)</f>
        <v>2.69</v>
      </c>
      <c r="G14" t="s">
        <v>41</v>
      </c>
      <c r="H14" s="1">
        <v>45475</v>
      </c>
      <c r="I14" s="3">
        <f>VLOOKUP(H14,Tabla4[],2,FALSE)</f>
        <v>4129.08</v>
      </c>
      <c r="J14" s="3">
        <v>2.83</v>
      </c>
      <c r="K14" s="11">
        <v>2.7487640000000001E-2</v>
      </c>
      <c r="L14" s="7">
        <f>Tabla6[[#This Row],[precio de compra]]*Tabla6[[#This Row],[cantidad]]*Tabla6[[#This Row],[PRECIO DEL DÓLAR, DIA COMPRA]]</f>
        <v>321.201220736496</v>
      </c>
      <c r="M14" s="13">
        <f ca="1" xml:space="preserve"> K14 * (IF(G14="BTC", D14, IF(G14="ETH", E14, IF(G14="IO.NET", F14, 0)))) * C14</f>
        <v>321.40261167971994</v>
      </c>
      <c r="N14" s="32">
        <f ca="1">IF(G14 = "BTC", (D14 - J14) / J14,
 IF(G14 = "ETH", (E14 - J14) / J14,
 IF(G14 = "IO.NET", (F14 - J14) / J14,
 "Moneda no soportada")))</f>
        <v>-4.9469964664310993E-2</v>
      </c>
      <c r="O14" s="9">
        <v>0.1</v>
      </c>
      <c r="P14" s="9">
        <v>0.3</v>
      </c>
      <c r="Q14" t="str">
        <f ca="1">IF(N14 &lt; O14, "MANTENER", IF(N14 &lt; P14, "VENTA PARCIAL", "VENDER"))</f>
        <v>MANTENER</v>
      </c>
      <c r="T14" s="2"/>
      <c r="U14" s="14">
        <f>Tabla6[[#This Row],[cantidad]]-Tabla6[[#This Row],[CANTIDAD VENDIDA]]</f>
        <v>2.7487640000000001E-2</v>
      </c>
      <c r="V14" s="2">
        <f ca="1">IF(G14="BTC", D14 * U14 * C14, IF(G14="ETH", E14 * U14 * C14, IF(G14="IO.NET", F14 * U14 * C14, 0)))</f>
        <v>321.40261167971994</v>
      </c>
      <c r="W14" s="2">
        <f>IF(G14 = "BTC", ((T14 - L14)), IF(G14 = "ETH", ((T14 - L14)), IF(G14 = "IO.NET", ((T14 - L14)), "Moneda no soportada")))</f>
        <v>-321.201220736496</v>
      </c>
      <c r="X14" s="9">
        <f ca="1">IF(G14 = "BTC", (((D14 - J14) / J14)),IF(G14 = "ETH", ((E14 - J14) / J14), IF(G14 = "IO.NET", ((F14 - J14) / J14), "Moneda no soportada")))</f>
        <v>-4.9469964664310993E-2</v>
      </c>
      <c r="Y14" s="2" t="str">
        <f>IF(U14=0,"VENDIDA","ACTIVA")</f>
        <v>ACTIVA</v>
      </c>
    </row>
    <row r="15" spans="2:26">
      <c r="B15" s="1">
        <f ca="1">TODAY()</f>
        <v>45607</v>
      </c>
      <c r="C15" s="2">
        <f ca="1">VLOOKUP(B15,Tabla4[],2,FALSE)</f>
        <v>4346.7</v>
      </c>
      <c r="D15" s="3">
        <f ca="1">VLOOKUP(B15,Tabla4[],3,FALSE)</f>
        <v>87272.61</v>
      </c>
      <c r="E15" s="2">
        <f ca="1">VLOOKUP(B15,Tabla4[],5,FALSE)</f>
        <v>3355.6</v>
      </c>
      <c r="F15" s="2">
        <f ca="1">VLOOKUP(B15,Tabla4[],4,FALSE)</f>
        <v>2.69</v>
      </c>
      <c r="G15" t="s">
        <v>14</v>
      </c>
      <c r="H15" s="1">
        <v>45475</v>
      </c>
      <c r="I15" s="3">
        <f>VLOOKUP(H15,Tabla4[],2,FALSE)</f>
        <v>4129.08</v>
      </c>
      <c r="J15" s="3">
        <v>60973.4</v>
      </c>
      <c r="K15" s="11">
        <v>2.7099999999999999E-6</v>
      </c>
      <c r="L15" s="7">
        <f>Tabla6[[#This Row],[precio de compra]]*Tabla6[[#This Row],[cantidad]]*Tabla6[[#This Row],[PRECIO DEL DÓLAR, DIA COMPRA]]</f>
        <v>682.28056593911992</v>
      </c>
      <c r="M15" s="13">
        <f ca="1" xml:space="preserve"> K15 * (IF(G15="BTC", D15, IF(G15="ETH", E15, IF(G15="IO.NET", F15, 0)))) * C15</f>
        <v>1028.0326840337698</v>
      </c>
      <c r="N15" s="32">
        <f ca="1">IF(G15 = "BTC", (D15 - J15) / J15,
 IF(G15 = "ETH", (E15 - J15) / J15,
 IF(G15 = "IO.NET", (F15 - J15) / J15,
 "Moneda no soportada")))</f>
        <v>0.43132267513374684</v>
      </c>
      <c r="O15" s="9">
        <v>0.25</v>
      </c>
      <c r="P15" s="9">
        <v>0.5</v>
      </c>
      <c r="Q15" t="str">
        <f ca="1">IF(N15 &lt; O15, "MANTENER", IF(N15 &lt; P15, "VENTA PARCIAL", "VENDER"))</f>
        <v>VENTA PARCIAL</v>
      </c>
      <c r="T15" s="2"/>
      <c r="U15" s="14">
        <f>Tabla6[[#This Row],[cantidad]]-Tabla6[[#This Row],[CANTIDAD VENDIDA]]</f>
        <v>2.7099999999999999E-6</v>
      </c>
      <c r="V15" s="2">
        <f ca="1">IF(G15="BTC", D15 * U15 * C15, IF(G15="ETH", E15 * U15 * C15, IF(G15="IO.NET", F15 * U15 * C15, 0)))</f>
        <v>1028.0326840337698</v>
      </c>
      <c r="W15" s="2">
        <f>IF(G15 = "BTC", ((T15 - L15)), IF(G15 = "ETH", ((T15 - L15)), IF(G15 = "IO.NET", ((T15 - L15)), "Moneda no soportada")))</f>
        <v>-682.28056593911992</v>
      </c>
      <c r="X15" s="9">
        <f ca="1">IF(G15 = "BTC", (((D15 - J15) / J15)),IF(G15 = "ETH", ((E15 - J15) / J15), IF(G15 = "IO.NET", ((F15 - J15) / J15), "Moneda no soportada")))</f>
        <v>0.43132267513374684</v>
      </c>
      <c r="Y15" s="2" t="str">
        <f>IF(U15=0,"VENDIDA","ACTIVA")</f>
        <v>ACTIVA</v>
      </c>
    </row>
    <row r="16" spans="2:26">
      <c r="B16" s="1">
        <f ca="1">TODAY()</f>
        <v>45607</v>
      </c>
      <c r="C16" s="2">
        <f ca="1">VLOOKUP(B16,Tabla4[],2,FALSE)</f>
        <v>4346.7</v>
      </c>
      <c r="D16" s="3">
        <f ca="1">VLOOKUP(B16,Tabla4[],3,FALSE)</f>
        <v>87272.61</v>
      </c>
      <c r="E16" s="2">
        <f ca="1">VLOOKUP(B16,Tabla4[],5,FALSE)</f>
        <v>3355.6</v>
      </c>
      <c r="F16" s="2">
        <f ca="1">VLOOKUP(B16,Tabla4[],4,FALSE)</f>
        <v>2.69</v>
      </c>
      <c r="G16" t="s">
        <v>14</v>
      </c>
      <c r="H16" s="1">
        <v>45481</v>
      </c>
      <c r="I16" s="3">
        <f>VLOOKUP(H16,Tabla4[],2,FALSE)</f>
        <v>4078.65</v>
      </c>
      <c r="J16" s="3">
        <v>57094.400000000001</v>
      </c>
      <c r="K16" s="11">
        <v>3.0299999999999998E-6</v>
      </c>
      <c r="L16" s="7">
        <f>Tabla6[[#This Row],[precio de compra]]*Tabla6[[#This Row],[cantidad]]*Tabla6[[#This Row],[PRECIO DEL DÓLAR, DIA COMPRA]]</f>
        <v>705.59026591680004</v>
      </c>
      <c r="M16" s="13">
        <f ca="1" xml:space="preserve"> K16 * (IF(G16="BTC", D16, IF(G16="ETH", E16, IF(G16="IO.NET", F16, 0)))) * C16</f>
        <v>1149.4239972776097</v>
      </c>
      <c r="N16" s="32">
        <f ca="1">IF(G16 = "BTC", (D16 - J16) / J16,
 IF(G16 = "ETH", (E16 - J16) / J16,
 IF(G16 = "IO.NET", (F16 - J16) / J16,
 "Moneda no soportada")))</f>
        <v>0.52856689973097182</v>
      </c>
      <c r="O16" s="9">
        <v>0.25</v>
      </c>
      <c r="P16" s="9">
        <v>0.5</v>
      </c>
      <c r="Q16" t="str">
        <f ca="1">IF(N16 &lt; O16, "MANTENER", IF(N16 &lt; P16, "VENTA PARCIAL", "VENDER"))</f>
        <v>VENDER</v>
      </c>
      <c r="T16" s="2"/>
      <c r="U16" s="14">
        <f>Tabla6[[#This Row],[cantidad]]-Tabla6[[#This Row],[CANTIDAD VENDIDA]]</f>
        <v>3.0299999999999998E-6</v>
      </c>
      <c r="V16" s="2">
        <f ca="1">IF(G16="BTC", D16 * U16 * C16, IF(G16="ETH", E16 * U16 * C16, IF(G16="IO.NET", F16 * U16 * C16, 0)))</f>
        <v>1149.4239972776097</v>
      </c>
      <c r="W16" s="2">
        <f>IF(G16 = "BTC", ((T16 - L16)), IF(G16 = "ETH", ((T16 - L16)), IF(G16 = "IO.NET", ((T16 - L16)), "Moneda no soportada")))</f>
        <v>-705.59026591680004</v>
      </c>
      <c r="X16" s="9">
        <f ca="1">IF(G16 = "BTC", (((D16 - J16) / J16)),IF(G16 = "ETH", ((E16 - J16) / J16), IF(G16 = "IO.NET", ((F16 - J16) / J16), "Moneda no soportada")))</f>
        <v>0.52856689973097182</v>
      </c>
      <c r="Y16" s="2" t="str">
        <f>IF(U16=0,"VENDIDA","ACTIVA")</f>
        <v>ACTIVA</v>
      </c>
    </row>
    <row r="17" spans="2:25">
      <c r="B17" s="1">
        <f ca="1">TODAY()</f>
        <v>45607</v>
      </c>
      <c r="C17" s="2">
        <f ca="1">VLOOKUP(B17,Tabla4[],2,FALSE)</f>
        <v>4346.7</v>
      </c>
      <c r="D17" s="3">
        <f ca="1">VLOOKUP(B17,Tabla4[],3,FALSE)</f>
        <v>87272.61</v>
      </c>
      <c r="E17" s="2">
        <f ca="1">VLOOKUP(B17,Tabla4[],5,FALSE)</f>
        <v>3355.6</v>
      </c>
      <c r="F17" s="2">
        <f ca="1">VLOOKUP(B17,Tabla4[],4,FALSE)</f>
        <v>2.69</v>
      </c>
      <c r="G17" t="s">
        <v>15</v>
      </c>
      <c r="H17" s="1">
        <v>45481</v>
      </c>
      <c r="I17" s="3">
        <f>VLOOKUP(H17,Tabla4[],2,FALSE)</f>
        <v>4078.65</v>
      </c>
      <c r="J17" s="3">
        <v>3055</v>
      </c>
      <c r="K17" s="11">
        <v>5.6839999999999998E-5</v>
      </c>
      <c r="L17" s="7">
        <f>Tabla6[[#This Row],[precio de compra]]*Tabla6[[#This Row],[cantidad]]*Tabla6[[#This Row],[PRECIO DEL DÓLAR, DIA COMPRA]]</f>
        <v>708.24207363000005</v>
      </c>
      <c r="M17" s="13">
        <f ca="1" xml:space="preserve"> K17 * (IF(G17="BTC", D17, IF(G17="ETH", E17, IF(G17="IO.NET", F17, 0)))) * C17</f>
        <v>829.0561057967999</v>
      </c>
      <c r="N17" s="32">
        <f ca="1">IF(G17 = "BTC", (D17 - J17) / J17,
 IF(G17 = "ETH", (E17 - J17) / J17,
 IF(G17 = "IO.NET", (F17 - J17) / J17,
 "Moneda no soportada")))</f>
        <v>9.8396072013093264E-2</v>
      </c>
      <c r="O17" s="9">
        <v>0.25</v>
      </c>
      <c r="P17" s="9">
        <v>0.5</v>
      </c>
      <c r="Q17" t="str">
        <f ca="1">IF(N17 &lt; O17, "MANTENER", IF(N17 &lt; P17, "VENTA PARCIAL", "VENDER"))</f>
        <v>MANTENER</v>
      </c>
      <c r="T17" s="2"/>
      <c r="U17" s="14">
        <f>Tabla6[[#This Row],[cantidad]]-Tabla6[[#This Row],[CANTIDAD VENDIDA]]</f>
        <v>5.6839999999999998E-5</v>
      </c>
      <c r="V17" s="2">
        <f ca="1">IF(G17="BTC", D17 * U17 * C17, IF(G17="ETH", E17 * U17 * C17, IF(G17="IO.NET", F17 * U17 * C17, 0)))</f>
        <v>829.0561057967999</v>
      </c>
      <c r="W17" s="2">
        <f>IF(G17 = "BTC", ((T17 - L17)), IF(G17 = "ETH", ((T17 - L17)), IF(G17 = "IO.NET", ((T17 - L17)), "Moneda no soportada")))</f>
        <v>-708.24207363000005</v>
      </c>
      <c r="X17" s="9">
        <f ca="1">IF(G17 = "BTC", (((D17 - J17) / J17)),IF(G17 = "ETH", ((E17 - J17) / J17), IF(G17 = "IO.NET", ((F17 - J17) / J17), "Moneda no soportada")))</f>
        <v>9.8396072013093264E-2</v>
      </c>
      <c r="Y17" s="2" t="str">
        <f>IF(U17=0,"VENDIDA","ACTIVA")</f>
        <v>ACTIVA</v>
      </c>
    </row>
    <row r="18" spans="2:25">
      <c r="B18" s="1">
        <f ca="1">TODAY()</f>
        <v>45607</v>
      </c>
      <c r="C18" s="2">
        <f ca="1">VLOOKUP(B18,Tabla4[],2,FALSE)</f>
        <v>4346.7</v>
      </c>
      <c r="D18" s="3">
        <f ca="1">VLOOKUP(B18,Tabla4[],3,FALSE)</f>
        <v>87272.61</v>
      </c>
      <c r="E18" s="2">
        <f ca="1">VLOOKUP(B18,Tabla4[],5,FALSE)</f>
        <v>3355.6</v>
      </c>
      <c r="F18" s="2">
        <f ca="1">VLOOKUP(B18,Tabla4[],4,FALSE)</f>
        <v>2.69</v>
      </c>
      <c r="G18" t="s">
        <v>41</v>
      </c>
      <c r="H18" s="1">
        <v>45481</v>
      </c>
      <c r="I18" s="3">
        <f>VLOOKUP(H18,Tabla4[],2,FALSE)</f>
        <v>4078.65</v>
      </c>
      <c r="J18" s="3">
        <v>2.29</v>
      </c>
      <c r="K18" s="11">
        <v>3.8638079999999998E-2</v>
      </c>
      <c r="L18" s="7">
        <f>Tabla6[[#This Row],[precio de compra]]*Tabla6[[#This Row],[cantidad]]*Tabla6[[#This Row],[PRECIO DEL DÓLAR, DIA COMPRA]]</f>
        <v>360.88385943167998</v>
      </c>
      <c r="M18" s="13">
        <f ca="1" xml:space="preserve"> K18 * (IF(G18="BTC", D18, IF(G18="ETH", E18, IF(G18="IO.NET", F18, 0)))) * C18</f>
        <v>451.78050288383997</v>
      </c>
      <c r="N18" s="12">
        <f ca="1">IF(G18 = "BTC", (D18 - J18) / J18,
 IF(G18 = "ETH", (E18 - J18) / J18,
 IF(G18 = "IO.NET", (F18 - J18) / J18,
 "Moneda no soportada")))</f>
        <v>0.1746724890829694</v>
      </c>
      <c r="O18" s="9">
        <v>0.1</v>
      </c>
      <c r="P18" s="9">
        <v>0.3</v>
      </c>
      <c r="Q18" t="str">
        <f ca="1">IF(N18 &lt; O18, "MANTENER", IF(N18 &lt; P18, "VENTA PARCIAL", "VENDER"))</f>
        <v>VENTA PARCIAL</v>
      </c>
      <c r="S18">
        <v>3.8638079999999998E-2</v>
      </c>
      <c r="T18" s="2">
        <v>415</v>
      </c>
      <c r="U18" s="14">
        <f>Tabla6[[#This Row],[cantidad]]-Tabla6[[#This Row],[CANTIDAD VENDIDA]]</f>
        <v>0</v>
      </c>
      <c r="V18" s="2">
        <f ca="1">IF(G18="BTC", D18 * U18 * C18, IF(G18="ETH", E18 * U18 * C18, IF(G18="IO.NET", F18 * U18 * C18, 0)))</f>
        <v>0</v>
      </c>
      <c r="W18" s="2">
        <f>IF(G18 = "BTC", ((T18 - L18)), IF(G18 = "ETH", ((T18 - L18)), IF(G18 = "IO.NET", ((T18 - L18)), "Moneda no soportada")))</f>
        <v>54.11614056832002</v>
      </c>
      <c r="X18" s="9">
        <f ca="1">IF(G18 = "BTC", (((D18 - J18) / J18)),IF(G18 = "ETH", ((E18 - J18) / J18), IF(G18 = "IO.NET", ((F18 - J18) / J18), "Moneda no soportada")))</f>
        <v>0.1746724890829694</v>
      </c>
      <c r="Y18" s="2" t="str">
        <f>IF(U18=0,"VENDIDA","ACTIVA")</f>
        <v>VENDIDA</v>
      </c>
    </row>
    <row r="19" spans="2:25">
      <c r="B19" s="1">
        <f ca="1">TODAY()</f>
        <v>45607</v>
      </c>
      <c r="C19" s="2">
        <f ca="1">VLOOKUP(B19,Tabla4[],2,FALSE)</f>
        <v>4346.7</v>
      </c>
      <c r="D19" s="3">
        <f ca="1">VLOOKUP(B19,Tabla4[],3,FALSE)</f>
        <v>87272.61</v>
      </c>
      <c r="E19" s="2">
        <f ca="1">VLOOKUP(B19,Tabla4[],5,FALSE)</f>
        <v>3355.6</v>
      </c>
      <c r="F19" s="2">
        <f ca="1">VLOOKUP(B19,Tabla4[],4,FALSE)</f>
        <v>2.69</v>
      </c>
      <c r="G19" t="s">
        <v>15</v>
      </c>
      <c r="H19" s="1">
        <v>45488</v>
      </c>
      <c r="I19" s="3">
        <f>VLOOKUP(H19,Tabla4[],2,FALSE)</f>
        <v>3993.09</v>
      </c>
      <c r="J19" s="3">
        <v>3458.1</v>
      </c>
      <c r="K19" s="11">
        <v>5.2599999999999998E-5</v>
      </c>
      <c r="L19" s="7">
        <f>Tabla6[[#This Row],[precio de compra]]*Tabla6[[#This Row],[cantidad]]*Tabla6[[#This Row],[PRECIO DEL DÓLAR, DIA COMPRA]]</f>
        <v>726.32733822540001</v>
      </c>
      <c r="M19" s="13">
        <f ca="1" xml:space="preserve"> K19 * (IF(G19="BTC", D19, IF(G19="ETH", E19, IF(G19="IO.NET", F19, 0)))) * C19</f>
        <v>767.2123709519999</v>
      </c>
      <c r="N19" s="32">
        <f ca="1">IF(G19 = "BTC", (D19 - J19) / J19,
 IF(G19 = "ETH", (E19 - J19) / J19,
 IF(G19 = "IO.NET", (F19 - J19) / J19,
 "Moneda no soportada")))</f>
        <v>-2.9640554061478846E-2</v>
      </c>
      <c r="O19" s="9">
        <v>0.25</v>
      </c>
      <c r="P19" s="9">
        <v>0.5</v>
      </c>
      <c r="Q19" t="str">
        <f ca="1">IF(N19 &lt; O19, "MANTENER", IF(N19 &lt; P19, "VENTA PARCIAL", "VENDER"))</f>
        <v>MANTENER</v>
      </c>
      <c r="T19" s="2"/>
      <c r="U19" s="14">
        <f>Tabla6[[#This Row],[cantidad]]-Tabla6[[#This Row],[CANTIDAD VENDIDA]]</f>
        <v>5.2599999999999998E-5</v>
      </c>
      <c r="V19" s="2">
        <f ca="1">IF(G19="BTC", D19 * U19 * C19, IF(G19="ETH", E19 * U19 * C19, IF(G19="IO.NET", F19 * U19 * C19, 0)))</f>
        <v>767.2123709519999</v>
      </c>
      <c r="W19" s="2">
        <f>IF(G19 = "BTC", ((T19 - L19)), IF(G19 = "ETH", ((T19 - L19)), IF(G19 = "IO.NET", ((T19 - L19)), "Moneda no soportada")))</f>
        <v>-726.32733822540001</v>
      </c>
      <c r="X19" s="9">
        <f ca="1">IF(G19 = "BTC", (((D19 - J19) / J19)),IF(G19 = "ETH", ((E19 - J19) / J19), IF(G19 = "IO.NET", ((F19 - J19) / J19), "Moneda no soportada")))</f>
        <v>-2.9640554061478846E-2</v>
      </c>
      <c r="Y19" s="2" t="str">
        <f>IF(U19=0,"VENDIDA","ACTIVA")</f>
        <v>ACTIVA</v>
      </c>
    </row>
    <row r="20" spans="2:25">
      <c r="B20" s="1">
        <f ca="1">TODAY()</f>
        <v>45607</v>
      </c>
      <c r="C20" s="2">
        <f ca="1">VLOOKUP(B20,Tabla4[],2,FALSE)</f>
        <v>4346.7</v>
      </c>
      <c r="D20" s="3">
        <f ca="1">VLOOKUP(B20,Tabla4[],3,FALSE)</f>
        <v>87272.61</v>
      </c>
      <c r="E20" s="2">
        <f ca="1">VLOOKUP(B20,Tabla4[],5,FALSE)</f>
        <v>3355.6</v>
      </c>
      <c r="F20" s="2">
        <f ca="1">VLOOKUP(B20,Tabla4[],4,FALSE)</f>
        <v>2.69</v>
      </c>
      <c r="G20" t="s">
        <v>41</v>
      </c>
      <c r="H20" s="1">
        <v>45488</v>
      </c>
      <c r="I20" s="3">
        <f>VLOOKUP(H20,Tabla4[],2,FALSE)</f>
        <v>3993.09</v>
      </c>
      <c r="J20" s="3">
        <v>2.62</v>
      </c>
      <c r="K20" s="11">
        <v>3.7119899999999997E-2</v>
      </c>
      <c r="L20" s="7">
        <f>Tabla6[[#This Row],[precio de compra]]*Tabla6[[#This Row],[cantidad]]*Tabla6[[#This Row],[PRECIO DEL DÓLAR, DIA COMPRA]]</f>
        <v>388.34452590642002</v>
      </c>
      <c r="M20" s="13">
        <f ca="1" xml:space="preserve"> K20 * (IF(G20="BTC", D20, IF(G20="ETH", E20, IF(G20="IO.NET", F20, 0)))) * C20</f>
        <v>434.02899649769995</v>
      </c>
      <c r="N20" s="12">
        <f ca="1">IF(G20 = "BTC", (D20 - J20) / J20,
 IF(G20 = "ETH", (E20 - J20) / J20,
 IF(G20 = "IO.NET", (F20 - J20) / J20,
 "Moneda no soportada")))</f>
        <v>2.6717557251908334E-2</v>
      </c>
      <c r="O20" s="9">
        <v>0.1</v>
      </c>
      <c r="P20" s="9">
        <v>0.3</v>
      </c>
      <c r="Q20" t="str">
        <f ca="1">IF(N20 &lt; O20, "MANTENER", IF(N20 &lt; P20, "VENTA PARCIAL", "VENDER"))</f>
        <v>MANTENER</v>
      </c>
      <c r="S20">
        <v>3.7119899999999997E-2</v>
      </c>
      <c r="T20" s="2">
        <v>425</v>
      </c>
      <c r="U20" s="14">
        <f>Tabla6[[#This Row],[cantidad]]-Tabla6[[#This Row],[CANTIDAD VENDIDA]]</f>
        <v>0</v>
      </c>
      <c r="V20" s="2">
        <f ca="1">IF(G20="BTC", D20 * U20 * C20, IF(G20="ETH", E20 * U20 * C20, IF(G20="IO.NET", F20 * U20 * C20, 0)))</f>
        <v>0</v>
      </c>
      <c r="W20" s="2">
        <f>IF(G20 = "BTC", ((T20 - L20)), IF(G20 = "ETH", ((T20 - L20)), IF(G20 = "IO.NET", ((T20 - L20)), "Moneda no soportada")))</f>
        <v>36.655474093579983</v>
      </c>
      <c r="X20" s="9">
        <f ca="1">IF(G20 = "BTC", (((D20 - J20) / J20)),IF(G20 = "ETH", ((E20 - J20) / J20), IF(G20 = "IO.NET", ((F20 - J20) / J20), "Moneda no soportada")))</f>
        <v>2.6717557251908334E-2</v>
      </c>
      <c r="Y20" s="2" t="str">
        <f>IF(U20=0,"VENDIDA","ACTIVA")</f>
        <v>VENDIDA</v>
      </c>
    </row>
    <row r="21" spans="2:25">
      <c r="B21" s="1">
        <f ca="1">TODAY()</f>
        <v>45607</v>
      </c>
      <c r="C21" s="2">
        <f ca="1">VLOOKUP(B21,Tabla4[],2,FALSE)</f>
        <v>4346.7</v>
      </c>
      <c r="D21" s="3">
        <f ca="1">VLOOKUP(B21,Tabla4[],3,FALSE)</f>
        <v>87272.61</v>
      </c>
      <c r="E21" s="2">
        <f ca="1">VLOOKUP(B21,Tabla4[],5,FALSE)</f>
        <v>3355.6</v>
      </c>
      <c r="F21" s="2">
        <f ca="1">VLOOKUP(B21,Tabla4[],4,FALSE)</f>
        <v>2.69</v>
      </c>
      <c r="G21" t="s">
        <v>14</v>
      </c>
      <c r="H21" s="1">
        <v>45488</v>
      </c>
      <c r="I21" s="3">
        <f>VLOOKUP(H21,Tabla4[],2,FALSE)</f>
        <v>3993.09</v>
      </c>
      <c r="J21" s="3">
        <v>62959.9</v>
      </c>
      <c r="K21" s="11">
        <v>2.8100000000000002E-6</v>
      </c>
      <c r="L21" s="7">
        <f>Tabla6[[#This Row],[precio de compra]]*Tabla6[[#This Row],[cantidad]]*Tabla6[[#This Row],[PRECIO DEL DÓLAR, DIA COMPRA]]</f>
        <v>706.44677732571006</v>
      </c>
      <c r="M21" s="13">
        <f ca="1" xml:space="preserve"> K21 * (IF(G21="BTC", D21, IF(G21="ETH", E21, IF(G21="IO.NET", F21, 0)))) * C21</f>
        <v>1065.96746942247</v>
      </c>
      <c r="N21" s="32">
        <f ca="1">IF(G21 = "BTC", (D21 - J21) / J21,
 IF(G21 = "ETH", (E21 - J21) / J21,
 IF(G21 = "IO.NET", (F21 - J21) / J21,
 "Moneda no soportada")))</f>
        <v>0.38616182681357497</v>
      </c>
      <c r="O21" s="9">
        <v>0.25</v>
      </c>
      <c r="P21" s="9">
        <v>0.5</v>
      </c>
      <c r="Q21" t="str">
        <f ca="1">IF(N21 &lt; O21, "MANTENER", IF(N21 &lt; P21, "VENTA PARCIAL", "VENDER"))</f>
        <v>VENTA PARCIAL</v>
      </c>
      <c r="T21" s="2"/>
      <c r="U21" s="14">
        <f>Tabla6[[#This Row],[cantidad]]-Tabla6[[#This Row],[CANTIDAD VENDIDA]]</f>
        <v>2.8100000000000002E-6</v>
      </c>
      <c r="V21" s="2">
        <f ca="1">IF(G21="BTC", D21 * U21 * C21, IF(G21="ETH", E21 * U21 * C21, IF(G21="IO.NET", F21 * U21 * C21, 0)))</f>
        <v>1065.96746942247</v>
      </c>
      <c r="W21" s="2">
        <f>IF(G21 = "BTC", ((T21 - L21)), IF(G21 = "ETH", ((T21 - L21)), IF(G21 = "IO.NET", ((T21 - L21)), "Moneda no soportada")))</f>
        <v>-706.44677732571006</v>
      </c>
      <c r="X21" s="9">
        <f ca="1">IF(G21 = "BTC", (((D21 - J21) / J21)),IF(G21 = "ETH", ((E21 - J21) / J21), IF(G21 = "IO.NET", ((F21 - J21) / J21), "Moneda no soportada")))</f>
        <v>0.38616182681357497</v>
      </c>
      <c r="Y21" s="2" t="str">
        <f>IF(U21=0,"VENDIDA","ACTIVA")</f>
        <v>ACTIVA</v>
      </c>
    </row>
    <row r="22" spans="2:25">
      <c r="B22" s="1">
        <f ca="1">TODAY()</f>
        <v>45607</v>
      </c>
      <c r="C22" s="2">
        <f ca="1">VLOOKUP(B22,Tabla4[],2,FALSE)</f>
        <v>4346.7</v>
      </c>
      <c r="D22" s="3">
        <f ca="1">VLOOKUP(B22,Tabla4[],3,FALSE)</f>
        <v>87272.61</v>
      </c>
      <c r="E22" s="2">
        <f ca="1">VLOOKUP(B22,Tabla4[],5,FALSE)</f>
        <v>3355.6</v>
      </c>
      <c r="F22" s="2">
        <f ca="1">VLOOKUP(B22,Tabla4[],4,FALSE)</f>
        <v>2.69</v>
      </c>
      <c r="G22" t="s">
        <v>41</v>
      </c>
      <c r="H22" s="1">
        <v>45489</v>
      </c>
      <c r="I22" s="3">
        <f>VLOOKUP(H22,Tabla4[],2,FALSE)</f>
        <v>3953.88</v>
      </c>
      <c r="J22" s="3">
        <v>2.69</v>
      </c>
      <c r="K22" s="11">
        <v>3.8065349999999998E-2</v>
      </c>
      <c r="L22" s="7">
        <f>Tabla6[[#This Row],[precio de compra]]*Tabla6[[#This Row],[cantidad]]*Tabla6[[#This Row],[PRECIO DEL DÓLAR, DIA COMPRA]]</f>
        <v>404.86067209601998</v>
      </c>
      <c r="M22" s="13">
        <f ca="1" xml:space="preserve"> K22 * (IF(G22="BTC", D22, IF(G22="ETH", E22, IF(G22="IO.NET", F22, 0)))) * C22</f>
        <v>445.08378691304989</v>
      </c>
      <c r="N22" s="32">
        <f ca="1">IF(G22 = "BTC", (D22 - J22) / J22,
 IF(G22 = "ETH", (E22 - J22) / J22,
 IF(G22 = "IO.NET", (F22 - J22) / J22,
 "Moneda no soportada")))</f>
        <v>0</v>
      </c>
      <c r="O22" s="9">
        <v>0.1</v>
      </c>
      <c r="P22" s="9">
        <v>0.3</v>
      </c>
      <c r="Q22" t="str">
        <f ca="1">IF(N22 &lt; O22, "MANTENER", IF(N22 &lt; P22, "VENTA PARCIAL", "VENDER"))</f>
        <v>MANTENER</v>
      </c>
      <c r="S22">
        <v>3.7999999999999999E-2</v>
      </c>
      <c r="T22" s="2">
        <v>415</v>
      </c>
      <c r="U22" s="14">
        <f>Tabla6[[#This Row],[cantidad]]-Tabla6[[#This Row],[CANTIDAD VENDIDA]]</f>
        <v>6.5349999999998742E-5</v>
      </c>
      <c r="V22" s="2">
        <f ca="1">IF(G22="BTC", D22 * U22 * C22, IF(G22="ETH", E22 * U22 * C22, IF(G22="IO.NET", F22 * U22 * C22, 0)))</f>
        <v>0.76411291304998519</v>
      </c>
      <c r="W22" s="2">
        <f>IF(G22 = "BTC", ((T22 - L22)), IF(G22 = "ETH", ((T22 - L22)), IF(G22 = "IO.NET", ((T22 - L22)), "Moneda no soportada")))</f>
        <v>10.139327903980018</v>
      </c>
      <c r="X22" s="9">
        <f ca="1">IF(G22 = "BTC", (((D22 - J22) / J22)),IF(G22 = "ETH", ((E22 - J22) / J22), IF(G22 = "IO.NET", ((F22 - J22) / J22), "Moneda no soportada")))</f>
        <v>0</v>
      </c>
      <c r="Y22" s="2" t="str">
        <f>IF(U22=0,"VENDIDA","ACTIVA")</f>
        <v>ACTIVA</v>
      </c>
    </row>
    <row r="23" spans="2:25">
      <c r="B23" s="1">
        <f ca="1">TODAY()</f>
        <v>45607</v>
      </c>
      <c r="C23" s="2">
        <f ca="1">VLOOKUP(B23,Tabla4[],2,FALSE)</f>
        <v>4346.7</v>
      </c>
      <c r="D23" s="3">
        <f ca="1">VLOOKUP(B23,Tabla4[],3,FALSE)</f>
        <v>87272.61</v>
      </c>
      <c r="E23" s="2">
        <f ca="1">VLOOKUP(B23,Tabla4[],5,FALSE)</f>
        <v>3355.6</v>
      </c>
      <c r="F23" s="2">
        <f ca="1">VLOOKUP(B23,Tabla4[],4,FALSE)</f>
        <v>2.69</v>
      </c>
      <c r="G23" t="s">
        <v>41</v>
      </c>
      <c r="H23" s="1">
        <v>45490</v>
      </c>
      <c r="I23" s="3">
        <f>VLOOKUP(H23,Tabla4[],2,FALSE)</f>
        <v>3972.87</v>
      </c>
      <c r="J23" s="3">
        <v>2.76</v>
      </c>
      <c r="K23" s="11">
        <v>3.8865179999999999E-2</v>
      </c>
      <c r="L23" s="7">
        <f>Tabla6[[#This Row],[precio de compra]]*Tabla6[[#This Row],[cantidad]]*Tabla6[[#This Row],[PRECIO DEL DÓLAR, DIA COMPRA]]</f>
        <v>426.16140915981595</v>
      </c>
      <c r="M23" s="13">
        <f ca="1" xml:space="preserve"> K23 * (IF(G23="BTC", D23, IF(G23="ETH", E23, IF(G23="IO.NET", F23, 0)))) * C23</f>
        <v>454.43589756713993</v>
      </c>
      <c r="N23" s="32">
        <f ca="1">IF(G23 = "BTC", (D23 - J23) / J23,
 IF(G23 = "ETH", (E23 - J23) / J23,
 IF(G23 = "IO.NET", (F23 - J23) / J23,
 "Moneda no soportada")))</f>
        <v>-2.5362318840579653E-2</v>
      </c>
      <c r="O23" s="9">
        <v>0.1</v>
      </c>
      <c r="P23" s="9">
        <v>0.3</v>
      </c>
      <c r="Q23" t="str">
        <f ca="1">IF(N23 &lt; O23, "MANTENER", IF(N23 &lt; P23, "VENTA PARCIAL", "VENDER"))</f>
        <v>MANTENER</v>
      </c>
      <c r="S23">
        <v>3.7757979999999997E-2</v>
      </c>
      <c r="T23" s="2">
        <v>435</v>
      </c>
      <c r="U23" s="14">
        <f>Tabla6[[#This Row],[cantidad]]-Tabla6[[#This Row],[CANTIDAD VENDIDA]]</f>
        <v>1.1072000000000026E-3</v>
      </c>
      <c r="V23" s="2">
        <f ca="1">IF(G23="BTC", D23 * U23 * C23, IF(G23="ETH", E23 * U23 * C23, IF(G23="IO.NET", F23 * U23 * C23, 0)))</f>
        <v>12.946072185600029</v>
      </c>
      <c r="W23" s="2">
        <f>IF(G23 = "BTC", ((T23 - L23)), IF(G23 = "ETH", ((T23 - L23)), IF(G23 = "IO.NET", ((T23 - L23)), "Moneda no soportada")))</f>
        <v>8.8385908401840538</v>
      </c>
      <c r="X23" s="9">
        <f ca="1">IF(G23 = "BTC", (((D23 - J23) / J23)),IF(G23 = "ETH", ((E23 - J23) / J23), IF(G23 = "IO.NET", ((F23 - J23) / J23), "Moneda no soportada")))</f>
        <v>-2.5362318840579653E-2</v>
      </c>
      <c r="Y23" s="2" t="str">
        <f>IF(U23=0,"VENDIDA","ACTIVA")</f>
        <v>ACTIVA</v>
      </c>
    </row>
    <row r="24" spans="2:25">
      <c r="B24" s="1">
        <f ca="1">TODAY()</f>
        <v>45607</v>
      </c>
      <c r="C24" s="2">
        <f ca="1">VLOOKUP(B24,Tabla4[],2,FALSE)</f>
        <v>4346.7</v>
      </c>
      <c r="D24" s="3">
        <f ca="1">VLOOKUP(B24,Tabla4[],3,FALSE)</f>
        <v>87272.61</v>
      </c>
      <c r="E24" s="2">
        <f ca="1">VLOOKUP(B24,Tabla4[],5,FALSE)</f>
        <v>3355.6</v>
      </c>
      <c r="F24" s="2">
        <f ca="1">VLOOKUP(B24,Tabla4[],4,FALSE)</f>
        <v>2.69</v>
      </c>
      <c r="G24" t="s">
        <v>41</v>
      </c>
      <c r="H24" s="1">
        <v>45490</v>
      </c>
      <c r="I24" s="3">
        <f>VLOOKUP(H24,Tabla4[],2,FALSE)</f>
        <v>3972.87</v>
      </c>
      <c r="J24" s="3">
        <v>2.72</v>
      </c>
      <c r="K24" s="11">
        <v>3.8326069999999997E-2</v>
      </c>
      <c r="L24" s="7">
        <f>Tabla6[[#This Row],[precio de compra]]*Tabla6[[#This Row],[cantidad]]*Tabla6[[#This Row],[PRECIO DEL DÓLAR, DIA COMPRA]]</f>
        <v>414.15942292084799</v>
      </c>
      <c r="M24" s="13">
        <f ca="1" xml:space="preserve"> K24 * (IF(G24="BTC", D24, IF(G24="ETH", E24, IF(G24="IO.NET", F24, 0)))) * C24</f>
        <v>448.13228758160994</v>
      </c>
      <c r="N24" s="32">
        <f ca="1">IF(G24 = "BTC", (D24 - J24) / J24,
 IF(G24 = "ETH", (E24 - J24) / J24,
 IF(G24 = "IO.NET", (F24 - J24) / J24,
 "Moneda no soportada")))</f>
        <v>-1.1029411764705973E-2</v>
      </c>
      <c r="O24" s="9">
        <v>0.1</v>
      </c>
      <c r="P24" s="9">
        <v>0.3</v>
      </c>
      <c r="Q24" t="str">
        <f ca="1">IF(N24 &lt; O24, "MANTENER", IF(N24 &lt; P24, "VENTA PARCIAL", "VENDER"))</f>
        <v>MANTENER</v>
      </c>
      <c r="S24">
        <v>3.7999999999999999E-2</v>
      </c>
      <c r="T24" s="2">
        <v>426</v>
      </c>
      <c r="U24" s="14">
        <f>Tabla6[[#This Row],[cantidad]]-Tabla6[[#This Row],[CANTIDAD VENDIDA]]</f>
        <v>3.2606999999999775E-4</v>
      </c>
      <c r="V24" s="2">
        <f ca="1">IF(G24="BTC", D24 * U24 * C24, IF(G24="ETH", E24 * U24 * C24, IF(G24="IO.NET", F24 * U24 * C24, 0)))</f>
        <v>3.8126135816099733</v>
      </c>
      <c r="W24" s="2">
        <f>IF(G24 = "BTC", ((T24 - L24)), IF(G24 = "ETH", ((T24 - L24)), IF(G24 = "IO.NET", ((T24 - L24)), "Moneda no soportada")))</f>
        <v>11.840577079152013</v>
      </c>
      <c r="X24" s="9">
        <f ca="1">IF(G24 = "BTC", (((D24 - J24) / J24)),IF(G24 = "ETH", ((E24 - J24) / J24), IF(G24 = "IO.NET", ((F24 - J24) / J24), "Moneda no soportada")))</f>
        <v>-1.1029411764705973E-2</v>
      </c>
      <c r="Y24" s="2" t="str">
        <f>IF(U24=0,"VENDIDA","ACTIVA")</f>
        <v>ACTIVA</v>
      </c>
    </row>
    <row r="25" spans="2:25">
      <c r="B25" s="1">
        <f ca="1">TODAY()</f>
        <v>45607</v>
      </c>
      <c r="C25" s="2">
        <f ca="1">VLOOKUP(B25,Tabla4[],2,FALSE)</f>
        <v>4346.7</v>
      </c>
      <c r="D25" s="3">
        <f ca="1">VLOOKUP(B25,Tabla4[],3,FALSE)</f>
        <v>87272.61</v>
      </c>
      <c r="E25" s="2">
        <f ca="1">VLOOKUP(B25,Tabla4[],5,FALSE)</f>
        <v>3355.6</v>
      </c>
      <c r="F25" s="2">
        <f ca="1">VLOOKUP(B25,Tabla4[],4,FALSE)</f>
        <v>2.69</v>
      </c>
      <c r="G25" t="s">
        <v>41</v>
      </c>
      <c r="H25" s="1">
        <v>45492</v>
      </c>
      <c r="I25" s="3">
        <f>VLOOKUP(H25,Tabla4[],2,FALSE)</f>
        <v>4047.22</v>
      </c>
      <c r="J25" s="3">
        <v>2.81</v>
      </c>
      <c r="K25" s="11">
        <v>3.821041E-2</v>
      </c>
      <c r="L25" s="7">
        <f>Tabla6[[#This Row],[precio de compra]]*Tabla6[[#This Row],[cantidad]]*Tabla6[[#This Row],[PRECIO DEL DÓLAR, DIA COMPRA]]</f>
        <v>434.55507892416199</v>
      </c>
      <c r="M25" s="13">
        <f ca="1" xml:space="preserve"> K25 * (IF(G25="BTC", D25, IF(G25="ETH", E25, IF(G25="IO.NET", F25, 0)))) * C25</f>
        <v>446.77991880542993</v>
      </c>
      <c r="N25" s="32">
        <f ca="1">IF(G25 = "BTC", (D25 - J25) / J25,
 IF(G25 = "ETH", (E25 - J25) / J25,
 IF(G25 = "IO.NET", (F25 - J25) / J25,
 "Moneda no soportada")))</f>
        <v>-4.2704626334519609E-2</v>
      </c>
      <c r="O25" s="9">
        <v>0.1</v>
      </c>
      <c r="P25" s="9">
        <v>0.3</v>
      </c>
      <c r="Q25" t="str">
        <f ca="1">IF(N25 &lt; O25, "MANTENER", IF(N25 &lt; P25, "VENTA PARCIAL", "VENDER"))</f>
        <v>MANTENER</v>
      </c>
      <c r="S25">
        <v>3.7999999999999999E-2</v>
      </c>
      <c r="T25" s="2">
        <v>475</v>
      </c>
      <c r="U25" s="14">
        <f>Tabla6[[#This Row],[cantidad]]-Tabla6[[#This Row],[CANTIDAD VENDIDA]]</f>
        <v>2.1041000000000115E-4</v>
      </c>
      <c r="V25" s="2">
        <f ca="1">IF(G25="BTC", D25 * U25 * C25, IF(G25="ETH", E25 * U25 * C25, IF(G25="IO.NET", F25 * U25 * C25, 0)))</f>
        <v>2.4602448054300132</v>
      </c>
      <c r="W25" s="2">
        <f>IF(G25 = "BTC", ((T25 - L25)), IF(G25 = "ETH", ((T25 - L25)), IF(G25 = "IO.NET", ((T25 - L25)), "Moneda no soportada")))</f>
        <v>40.44492107583801</v>
      </c>
      <c r="X25" s="9">
        <f ca="1">IF(G25 = "BTC", (((D25 - J25) / J25)),IF(G25 = "ETH", ((E25 - J25) / J25), IF(G25 = "IO.NET", ((F25 - J25) / J25), "Moneda no soportada")))</f>
        <v>-4.2704626334519609E-2</v>
      </c>
      <c r="Y25" s="2" t="str">
        <f>IF(U25=0,"VENDIDA","ACTIVA")</f>
        <v>ACTIVA</v>
      </c>
    </row>
    <row r="26" spans="2:25">
      <c r="B26" s="1">
        <f ca="1">TODAY()</f>
        <v>45607</v>
      </c>
      <c r="C26" s="2">
        <f ca="1">VLOOKUP(B26,Tabla4[],2,FALSE)</f>
        <v>4346.7</v>
      </c>
      <c r="D26" s="3">
        <f ca="1">VLOOKUP(B26,Tabla4[],3,FALSE)</f>
        <v>87272.61</v>
      </c>
      <c r="E26" s="2">
        <f ca="1">VLOOKUP(B26,Tabla4[],5,FALSE)</f>
        <v>3355.6</v>
      </c>
      <c r="F26" s="2">
        <f ca="1">VLOOKUP(B26,Tabla4[],4,FALSE)</f>
        <v>2.69</v>
      </c>
      <c r="G26" t="s">
        <v>41</v>
      </c>
      <c r="H26" s="1">
        <v>45494</v>
      </c>
      <c r="I26" s="3">
        <v>4046.27</v>
      </c>
      <c r="J26" s="3">
        <v>3.04434</v>
      </c>
      <c r="K26" s="11">
        <v>3.856043E-2</v>
      </c>
      <c r="L26" s="7">
        <f>Tabla6[[#This Row],[precio de compra]]*Tabla6[[#This Row],[cantidad]]*Tabla6[[#This Row],[PRECIO DEL DÓLAR, DIA COMPRA]]</f>
        <v>474.99592218630107</v>
      </c>
      <c r="M26" s="13">
        <f ca="1" xml:space="preserve"> K26 * (IF(G26="BTC", D26, IF(G26="ETH", E26, IF(G26="IO.NET", F26, 0)))) * C26</f>
        <v>450.87257070788996</v>
      </c>
      <c r="N26" s="32">
        <f ca="1">IF(G26 = "BTC", (D26 - J26) / J26,
 IF(G26 = "ETH", (E26 - J26) / J26,
 IF(G26 = "IO.NET", (F26 - J26) / J26,
 "Moneda no soportada")))</f>
        <v>-0.11639304414093041</v>
      </c>
      <c r="O26" s="9">
        <v>0.1</v>
      </c>
      <c r="P26" s="9">
        <v>0.3</v>
      </c>
      <c r="Q26" t="str">
        <f ca="1">IF(N26 &lt; O26, "MANTENER", IF(N26 &lt; P26, "VENTA PARCIAL", "VENDER"))</f>
        <v>MANTENER</v>
      </c>
      <c r="T26" s="2"/>
      <c r="U26" s="14">
        <f>Tabla6[[#This Row],[cantidad]]-Tabla6[[#This Row],[CANTIDAD VENDIDA]]</f>
        <v>3.856043E-2</v>
      </c>
      <c r="V26" s="2">
        <f ca="1">IF(G26="BTC", D26 * U26 * C26, IF(G26="ETH", E26 * U26 * C26, IF(G26="IO.NET", F26 * U26 * C26, 0)))</f>
        <v>450.87257070788996</v>
      </c>
      <c r="W26" s="2">
        <f>IF(G26 = "BTC", ((T26 - L26)), IF(G26 = "ETH", ((T26 - L26)), IF(G26 = "IO.NET", ((T26 - L26)), "Moneda no soportada")))</f>
        <v>-474.99592218630107</v>
      </c>
      <c r="X26" s="9">
        <f ca="1">IF(G26 = "BTC", (((D26 - J26) / J26)),IF(G26 = "ETH", ((E26 - J26) / J26), IF(G26 = "IO.NET", ((F26 - J26) / J26), "Moneda no soportada")))</f>
        <v>-0.11639304414093041</v>
      </c>
      <c r="Y26" s="2" t="str">
        <f>IF(U26=0,"VENDIDA","ACTIVA")</f>
        <v>ACTIVA</v>
      </c>
    </row>
    <row r="27" spans="2:25">
      <c r="B27" s="1">
        <f ca="1">TODAY()</f>
        <v>45607</v>
      </c>
      <c r="C27" s="2">
        <f ca="1">VLOOKUP(B27,Tabla4[],2,FALSE)</f>
        <v>4346.7</v>
      </c>
      <c r="D27" s="3">
        <f ca="1">VLOOKUP(B27,Tabla4[],3,FALSE)</f>
        <v>87272.61</v>
      </c>
      <c r="E27" s="2">
        <f ca="1">VLOOKUP(B27,Tabla4[],5,FALSE)</f>
        <v>3355.6</v>
      </c>
      <c r="F27" s="2">
        <f ca="1">VLOOKUP(B27,Tabla4[],4,FALSE)</f>
        <v>2.69</v>
      </c>
      <c r="G27" t="s">
        <v>15</v>
      </c>
      <c r="H27" s="1">
        <v>45495</v>
      </c>
      <c r="I27" s="3">
        <f>VLOOKUP(H27,Tabla4[],2,FALSE)</f>
        <v>4041.33</v>
      </c>
      <c r="J27" s="3">
        <v>3457.1</v>
      </c>
      <c r="K27" s="11">
        <v>5.0149999999999999E-5</v>
      </c>
      <c r="L27" s="7">
        <f>Tabla6[[#This Row],[precio de compra]]*Tabla6[[#This Row],[cantidad]]*Tabla6[[#This Row],[PRECIO DEL DÓLAR, DIA COMPRA]]</f>
        <v>700.6597894414499</v>
      </c>
      <c r="M27" s="13">
        <f ca="1" xml:space="preserve"> K27 * (IF(G27="BTC", D27, IF(G27="ETH", E27, IF(G27="IO.NET", F27, 0)))) * C27</f>
        <v>731.47719397799995</v>
      </c>
      <c r="N27" s="32">
        <f ca="1">IF(G27 = "BTC", (D27 - J27) / J27,
 IF(G27 = "ETH", (E27 - J27) / J27,
 IF(G27 = "IO.NET", (F27 - J27) / J27,
 "Moneda no soportada")))</f>
        <v>-2.9359868097538402E-2</v>
      </c>
      <c r="O27" s="9">
        <v>0.25</v>
      </c>
      <c r="P27" s="9">
        <v>0.5</v>
      </c>
      <c r="Q27" t="str">
        <f ca="1">IF(N27 &lt; O27, "MANTENER", IF(N27 &lt; P27, "VENTA PARCIAL", "VENDER"))</f>
        <v>MANTENER</v>
      </c>
      <c r="T27" s="2"/>
      <c r="U27" s="14">
        <f>Tabla6[[#This Row],[cantidad]]-Tabla6[[#This Row],[CANTIDAD VENDIDA]]</f>
        <v>5.0149999999999999E-5</v>
      </c>
      <c r="V27" s="2">
        <f ca="1">IF(G27="BTC", D27 * U27 * C27, IF(G27="ETH", E27 * U27 * C27, IF(G27="IO.NET", F27 * U27 * C27, 0)))</f>
        <v>731.47719397799995</v>
      </c>
      <c r="W27" s="2">
        <f>IF(G27 = "BTC", ((T27 - L27)), IF(G27 = "ETH", ((T27 - L27)), IF(G27 = "IO.NET", ((T27 - L27)), "Moneda no soportada")))</f>
        <v>-700.6597894414499</v>
      </c>
      <c r="X27" s="9">
        <f ca="1">IF(G27 = "BTC", (((D27 - J27) / J27)),IF(G27 = "ETH", ((E27 - J27) / J27), IF(G27 = "IO.NET", ((F27 - J27) / J27), "Moneda no soportada")))</f>
        <v>-2.9359868097538402E-2</v>
      </c>
      <c r="Y27" s="2" t="str">
        <f>IF(U27=0,"VENDIDA","ACTIVA")</f>
        <v>ACTIVA</v>
      </c>
    </row>
    <row r="28" spans="2:25">
      <c r="B28" s="1">
        <f ca="1">TODAY()</f>
        <v>45607</v>
      </c>
      <c r="C28" s="2">
        <f ca="1">VLOOKUP(B28,Tabla4[],2,FALSE)</f>
        <v>4346.7</v>
      </c>
      <c r="D28" s="3">
        <f ca="1">VLOOKUP(B28,Tabla4[],3,FALSE)</f>
        <v>87272.61</v>
      </c>
      <c r="E28" s="2">
        <f ca="1">VLOOKUP(B28,Tabla4[],5,FALSE)</f>
        <v>3355.6</v>
      </c>
      <c r="F28" s="2">
        <f ca="1">VLOOKUP(B28,Tabla4[],4,FALSE)</f>
        <v>2.69</v>
      </c>
      <c r="G28" t="s">
        <v>41</v>
      </c>
      <c r="H28" s="1">
        <v>45495</v>
      </c>
      <c r="I28" s="3">
        <f>VLOOKUP(H28,Tabla4[],2,FALSE)</f>
        <v>4041.33</v>
      </c>
      <c r="J28" s="3">
        <v>2.92</v>
      </c>
      <c r="K28" s="11">
        <v>2.970859E-2</v>
      </c>
      <c r="L28" s="7">
        <f>Tabla6[[#This Row],[precio de compra]]*Tabla6[[#This Row],[cantidad]]*Tabla6[[#This Row],[PRECIO DEL DÓLAR, DIA COMPRA]]</f>
        <v>350.58167079212399</v>
      </c>
      <c r="M28" s="13">
        <f ca="1" xml:space="preserve"> K28 * (IF(G28="BTC", D28, IF(G28="ETH", E28, IF(G28="IO.NET", F28, 0)))) * C28</f>
        <v>347.37134273156994</v>
      </c>
      <c r="N28" s="32">
        <f ca="1">IF(G28 = "BTC", (D28 - J28) / J28,
 IF(G28 = "ETH", (E28 - J28) / J28,
 IF(G28 = "IO.NET", (F28 - J28) / J28,
 "Moneda no soportada")))</f>
        <v>-7.8767123287671229E-2</v>
      </c>
      <c r="O28" s="9">
        <v>0.1</v>
      </c>
      <c r="P28" s="9">
        <v>0.3</v>
      </c>
      <c r="Q28" t="str">
        <f ca="1">IF(N28 &lt; O28, "MANTENER", IF(N28 &lt; P28, "VENTA PARCIAL", "VENDER"))</f>
        <v>MANTENER</v>
      </c>
      <c r="T28" s="2"/>
      <c r="U28" s="14">
        <f>Tabla6[[#This Row],[cantidad]]-Tabla6[[#This Row],[CANTIDAD VENDIDA]]</f>
        <v>2.970859E-2</v>
      </c>
      <c r="V28" s="2">
        <f ca="1">IF(G28="BTC", D28 * U28 * C28, IF(G28="ETH", E28 * U28 * C28, IF(G28="IO.NET", F28 * U28 * C28, 0)))</f>
        <v>347.37134273156994</v>
      </c>
      <c r="W28" s="2">
        <f>IF(G28 = "BTC", ((T28 - L28)), IF(G28 = "ETH", ((T28 - L28)), IF(G28 = "IO.NET", ((T28 - L28)), "Moneda no soportada")))</f>
        <v>-350.58167079212399</v>
      </c>
      <c r="X28" s="9">
        <f ca="1">IF(G28 = "BTC", (((D28 - J28) / J28)),IF(G28 = "ETH", ((E28 - J28) / J28), IF(G28 = "IO.NET", ((F28 - J28) / J28), "Moneda no soportada")))</f>
        <v>-7.8767123287671229E-2</v>
      </c>
      <c r="Y28" s="2" t="str">
        <f>IF(U28=0,"VENDIDA","ACTIVA")</f>
        <v>ACTIVA</v>
      </c>
    </row>
    <row r="29" spans="2:25">
      <c r="B29" s="1">
        <f ca="1">TODAY()</f>
        <v>45607</v>
      </c>
      <c r="C29" s="2">
        <f ca="1">VLOOKUP(B29,Tabla4[],2,FALSE)</f>
        <v>4346.7</v>
      </c>
      <c r="D29" s="3">
        <f ca="1">VLOOKUP(B29,Tabla4[],3,FALSE)</f>
        <v>87272.61</v>
      </c>
      <c r="E29" s="2">
        <f ca="1">VLOOKUP(B29,Tabla4[],5,FALSE)</f>
        <v>3355.6</v>
      </c>
      <c r="F29" s="2">
        <f ca="1">VLOOKUP(B29,Tabla4[],4,FALSE)</f>
        <v>2.69</v>
      </c>
      <c r="G29" t="s">
        <v>14</v>
      </c>
      <c r="H29" s="1">
        <v>45495</v>
      </c>
      <c r="I29" s="3">
        <f>VLOOKUP(H29,Tabla4[],2,FALSE)</f>
        <v>4041.33</v>
      </c>
      <c r="J29" s="3">
        <v>66795.14</v>
      </c>
      <c r="K29" s="11">
        <v>2.5900000000000002E-6</v>
      </c>
      <c r="L29" s="7">
        <f>Tabla6[[#This Row],[precio de compra]]*Tabla6[[#This Row],[cantidad]]*Tabla6[[#This Row],[PRECIO DEL DÓLAR, DIA COMPRA]]</f>
        <v>699.14771612275808</v>
      </c>
      <c r="M29" s="13">
        <f ca="1" xml:space="preserve"> K29 * (IF(G29="BTC", D29, IF(G29="ETH", E29, IF(G29="IO.NET", F29, 0)))) * C29</f>
        <v>982.51094156733006</v>
      </c>
      <c r="N29" s="32">
        <f ca="1">IF(G29 = "BTC", (D29 - J29) / J29,
 IF(G29 = "ETH", (E29 - J29) / J29,
 IF(G29 = "IO.NET", (F29 - J29) / J29,
 "Moneda no soportada")))</f>
        <v>0.30657125653153811</v>
      </c>
      <c r="O29" s="9">
        <v>0.25</v>
      </c>
      <c r="P29" s="9">
        <v>0.5</v>
      </c>
      <c r="Q29" t="str">
        <f ca="1">IF(N29 &lt; O29, "MANTENER", IF(N29 &lt; P29, "VENTA PARCIAL", "VENDER"))</f>
        <v>VENTA PARCIAL</v>
      </c>
      <c r="T29" s="2"/>
      <c r="U29" s="14">
        <f>Tabla6[[#This Row],[cantidad]]-Tabla6[[#This Row],[CANTIDAD VENDIDA]]</f>
        <v>2.5900000000000002E-6</v>
      </c>
      <c r="V29" s="2">
        <f ca="1">IF(G29="BTC", D29 * U29 * C29, IF(G29="ETH", E29 * U29 * C29, IF(G29="IO.NET", F29 * U29 * C29, 0)))</f>
        <v>982.51094156733006</v>
      </c>
      <c r="W29" s="2">
        <f>IF(G29 = "BTC", ((T29 - L29)), IF(G29 = "ETH", ((T29 - L29)), IF(G29 = "IO.NET", ((T29 - L29)), "Moneda no soportada")))</f>
        <v>-699.14771612275808</v>
      </c>
      <c r="X29" s="9">
        <f ca="1">IF(G29 = "BTC", (((D29 - J29) / J29)),IF(G29 = "ETH", ((E29 - J29) / J29), IF(G29 = "IO.NET", ((F29 - J29) / J29), "Moneda no soportada")))</f>
        <v>0.30657125653153811</v>
      </c>
      <c r="Y29" s="2" t="str">
        <f>IF(U29=0,"VENDIDA","ACTIVA")</f>
        <v>ACTIVA</v>
      </c>
    </row>
    <row r="30" spans="2:25">
      <c r="B30" s="1">
        <f ca="1">TODAY()</f>
        <v>45607</v>
      </c>
      <c r="C30" s="2">
        <f ca="1">VLOOKUP(B30,Tabla4[],2,FALSE)</f>
        <v>4346.7</v>
      </c>
      <c r="D30" s="3">
        <f ca="1">VLOOKUP(B30,Tabla4[],3,FALSE)</f>
        <v>87272.61</v>
      </c>
      <c r="E30" s="2">
        <f ca="1">VLOOKUP(B30,Tabla4[],5,FALSE)</f>
        <v>3355.6</v>
      </c>
      <c r="F30" s="2">
        <f ca="1">VLOOKUP(B30,Tabla4[],4,FALSE)</f>
        <v>2.69</v>
      </c>
      <c r="G30" t="s">
        <v>15</v>
      </c>
      <c r="H30" s="1">
        <v>45502</v>
      </c>
      <c r="I30" s="3">
        <f>VLOOKUP(H30,Tabla4[],2,FALSE)</f>
        <v>4030.02</v>
      </c>
      <c r="J30" s="7">
        <v>3315.5</v>
      </c>
      <c r="K30" s="11">
        <v>5.2389999999999998E-5</v>
      </c>
      <c r="L30" s="7">
        <f>Tabla6[[#This Row],[precio de compra]]*Tabla6[[#This Row],[cantidad]]*Tabla6[[#This Row],[PRECIO DEL DÓLAR, DIA COMPRA]]</f>
        <v>700.01062533089998</v>
      </c>
      <c r="M30" s="13">
        <f ca="1" xml:space="preserve"> K30 * (IF(G30="BTC", D30, IF(G30="ETH", E30, IF(G30="IO.NET", F30, 0)))) * C30</f>
        <v>764.14935578279994</v>
      </c>
      <c r="N30" s="32">
        <f ca="1">IF(G30 = "BTC", (D30 - J30) / J30,
 IF(G30 = "ETH", (E30 - J30) / J30,
 IF(G30 = "IO.NET", (F30 - J30) / J30,
 "Moneda no soportada")))</f>
        <v>1.2094706680741942E-2</v>
      </c>
      <c r="O30" s="9">
        <v>0.25</v>
      </c>
      <c r="P30" s="9">
        <v>0.5</v>
      </c>
      <c r="Q30" t="str">
        <f ca="1">IF(N30 &lt; O30, "MANTENER", IF(N30 &lt; P30, "VENTA PARCIAL", "VENDER"))</f>
        <v>MANTENER</v>
      </c>
      <c r="T30" s="2"/>
      <c r="U30" s="14">
        <f>Tabla6[[#This Row],[cantidad]]-Tabla6[[#This Row],[CANTIDAD VENDIDA]]</f>
        <v>5.2389999999999998E-5</v>
      </c>
      <c r="V30" s="2">
        <f ca="1">IF(G30="BTC", D30 * U30 * C30, IF(G30="ETH", E30 * U30 * C30, IF(G30="IO.NET", F30 * U30 * C30, 0)))</f>
        <v>764.14935578279994</v>
      </c>
      <c r="W30" s="2">
        <f>IF(G30 = "BTC", ((T30 - L30)), IF(G30 = "ETH", ((T30 - L30)), IF(G30 = "IO.NET", ((T30 - L30)), "Moneda no soportada")))</f>
        <v>-700.01062533089998</v>
      </c>
      <c r="X30" s="9">
        <f ca="1">IF(G30 = "BTC", (((D30 - J30) / J30)),IF(G30 = "ETH", ((E30 - J30) / J30), IF(G30 = "IO.NET", ((F30 - J30) / J30), "Moneda no soportada")))</f>
        <v>1.2094706680741942E-2</v>
      </c>
      <c r="Y30" s="2" t="str">
        <f>IF(U30=0,"VENDIDA","ACTIVA")</f>
        <v>ACTIVA</v>
      </c>
    </row>
    <row r="31" spans="2:25">
      <c r="B31" s="1">
        <f ca="1">TODAY()</f>
        <v>45607</v>
      </c>
      <c r="C31" s="2">
        <f ca="1">VLOOKUP(B31,Tabla4[],2,FALSE)</f>
        <v>4346.7</v>
      </c>
      <c r="D31" s="3">
        <f ca="1">VLOOKUP(B31,Tabla4[],3,FALSE)</f>
        <v>87272.61</v>
      </c>
      <c r="E31" s="2">
        <f ca="1">VLOOKUP(B31,Tabla4[],5,FALSE)</f>
        <v>3355.6</v>
      </c>
      <c r="F31" s="2">
        <f ca="1">VLOOKUP(B31,Tabla4[],4,FALSE)</f>
        <v>2.69</v>
      </c>
      <c r="G31" t="s">
        <v>41</v>
      </c>
      <c r="H31" s="1">
        <v>45502</v>
      </c>
      <c r="I31" s="3">
        <f>VLOOKUP(H31,Tabla4[],2,FALSE)</f>
        <v>4030.02</v>
      </c>
      <c r="J31" s="3">
        <v>2.9</v>
      </c>
      <c r="K31" s="11">
        <v>2.9957709999999999E-2</v>
      </c>
      <c r="L31" s="7">
        <f>Tabla6[[#This Row],[precio de compra]]*Tabla6[[#This Row],[cantidad]]*Tabla6[[#This Row],[PRECIO DEL DÓLAR, DIA COMPRA]]</f>
        <v>350.11749431717993</v>
      </c>
      <c r="M31" s="13">
        <f ca="1" xml:space="preserve"> K31 * (IF(G31="BTC", D31, IF(G31="ETH", E31, IF(G31="IO.NET", F31, 0)))) * C31</f>
        <v>350.28420897332995</v>
      </c>
      <c r="N31" s="32">
        <f ca="1">IF(G31 = "BTC", (D31 - J31) / J31,
 IF(G31 = "ETH", (E31 - J31) / J31,
 IF(G31 = "IO.NET", (F31 - J31) / J31,
 "Moneda no soportada")))</f>
        <v>-7.2413793103448268E-2</v>
      </c>
      <c r="O31" s="9">
        <v>0.1</v>
      </c>
      <c r="P31" s="9">
        <v>0.3</v>
      </c>
      <c r="Q31" t="str">
        <f ca="1">IF(N31 &lt; O31, "MANTENER", IF(N31 &lt; P31, "VENTA PARCIAL", "VENDER"))</f>
        <v>MANTENER</v>
      </c>
      <c r="T31" s="2"/>
      <c r="U31" s="14">
        <f>Tabla6[[#This Row],[cantidad]]-Tabla6[[#This Row],[CANTIDAD VENDIDA]]</f>
        <v>2.9957709999999999E-2</v>
      </c>
      <c r="V31" s="2">
        <f ca="1">IF(G31="BTC", D31 * U31 * C31, IF(G31="ETH", E31 * U31 * C31, IF(G31="IO.NET", F31 * U31 * C31, 0)))</f>
        <v>350.28420897332995</v>
      </c>
      <c r="W31" s="2">
        <f>IF(G31 = "BTC", ((T31 - L31)), IF(G31 = "ETH", ((T31 - L31)), IF(G31 = "IO.NET", ((T31 - L31)), "Moneda no soportada")))</f>
        <v>-350.11749431717993</v>
      </c>
      <c r="X31" s="9">
        <f ca="1">IF(G31 = "BTC", (((D31 - J31) / J31)),IF(G31 = "ETH", ((E31 - J31) / J31), IF(G31 = "IO.NET", ((F31 - J31) / J31), "Moneda no soportada")))</f>
        <v>-7.2413793103448268E-2</v>
      </c>
      <c r="Y31" s="2" t="str">
        <f>IF(U31=0,"VENDIDA","ACTIVA")</f>
        <v>ACTIVA</v>
      </c>
    </row>
    <row r="32" spans="2:25">
      <c r="B32" s="1">
        <f ca="1">TODAY()</f>
        <v>45607</v>
      </c>
      <c r="C32" s="2">
        <f ca="1">VLOOKUP(B32,Tabla4[],2,FALSE)</f>
        <v>4346.7</v>
      </c>
      <c r="D32" s="3">
        <f ca="1">VLOOKUP(B32,Tabla4[],3,FALSE)</f>
        <v>87272.61</v>
      </c>
      <c r="E32" s="2">
        <f ca="1">VLOOKUP(B32,Tabla4[],5,FALSE)</f>
        <v>3355.6</v>
      </c>
      <c r="F32" s="2">
        <f ca="1">VLOOKUP(B32,Tabla4[],4,FALSE)</f>
        <v>2.69</v>
      </c>
      <c r="G32" t="s">
        <v>14</v>
      </c>
      <c r="H32" s="1">
        <v>45502</v>
      </c>
      <c r="I32" s="3">
        <f>VLOOKUP(H32,Tabla4[],2,FALSE)</f>
        <v>4030.02</v>
      </c>
      <c r="J32" s="3">
        <v>68680.2</v>
      </c>
      <c r="K32" s="11">
        <v>2.5299999999999999E-6</v>
      </c>
      <c r="L32" s="7">
        <f>Tabla6[[#This Row],[precio de compra]]*Tabla6[[#This Row],[cantidad]]*Tabla6[[#This Row],[PRECIO DEL DÓLAR, DIA COMPRA]]</f>
        <v>700.25992639812</v>
      </c>
      <c r="M32" s="13">
        <f ca="1" xml:space="preserve"> K32 * (IF(G32="BTC", D32, IF(G32="ETH", E32, IF(G32="IO.NET", F32, 0)))) * C32</f>
        <v>959.75007033410986</v>
      </c>
      <c r="N32" s="32">
        <f ca="1">IF(G32 = "BTC", (D32 - J32) / J32,
 IF(G32 = "ETH", (E32 - J32) / J32,
 IF(G32 = "IO.NET", (F32 - J32) / J32,
 "Moneda no soportada")))</f>
        <v>0.2707098989228337</v>
      </c>
      <c r="O32" s="9">
        <v>0.25</v>
      </c>
      <c r="P32" s="9">
        <v>0.5</v>
      </c>
      <c r="Q32" t="str">
        <f ca="1">IF(N32 &lt; O32, "MANTENER", IF(N32 &lt; P32, "VENTA PARCIAL", "VENDER"))</f>
        <v>VENTA PARCIAL</v>
      </c>
      <c r="T32" s="2"/>
      <c r="U32" s="14">
        <f>Tabla6[[#This Row],[cantidad]]-Tabla6[[#This Row],[CANTIDAD VENDIDA]]</f>
        <v>2.5299999999999999E-6</v>
      </c>
      <c r="V32" s="2">
        <f ca="1">IF(G32="BTC", D32 * U32 * C32, IF(G32="ETH", E32 * U32 * C32, IF(G32="IO.NET", F32 * U32 * C32, 0)))</f>
        <v>959.75007033410986</v>
      </c>
      <c r="W32" s="2">
        <f>IF(G32 = "BTC", ((T32 - L32)), IF(G32 = "ETH", ((T32 - L32)), IF(G32 = "IO.NET", ((T32 - L32)), "Moneda no soportada")))</f>
        <v>-700.25992639812</v>
      </c>
      <c r="X32" s="9">
        <f ca="1">IF(G32 = "BTC", (((D32 - J32) / J32)),IF(G32 = "ETH", ((E32 - J32) / J32), IF(G32 = "IO.NET", ((F32 - J32) / J32), "Moneda no soportada")))</f>
        <v>0.2707098989228337</v>
      </c>
      <c r="Y32" s="2" t="str">
        <f>IF(U32=0,"VENDIDA","ACTIVA")</f>
        <v>ACTIVA</v>
      </c>
    </row>
    <row r="33" spans="2:25">
      <c r="B33" s="1">
        <f ca="1">TODAY()</f>
        <v>45607</v>
      </c>
      <c r="C33" s="2">
        <f ca="1">VLOOKUP(B33,Tabla4[],2,FALSE)</f>
        <v>4346.7</v>
      </c>
      <c r="D33" s="3">
        <f ca="1">VLOOKUP(B33,Tabla4[],3,FALSE)</f>
        <v>87272.61</v>
      </c>
      <c r="E33" s="2">
        <f ca="1">VLOOKUP(B33,Tabla4[],5,FALSE)</f>
        <v>3355.6</v>
      </c>
      <c r="F33" s="2">
        <f ca="1">VLOOKUP(B33,Tabla4[],4,FALSE)</f>
        <v>2.69</v>
      </c>
      <c r="G33" t="s">
        <v>14</v>
      </c>
      <c r="H33" s="1">
        <v>45509</v>
      </c>
      <c r="I33" s="3">
        <f>VLOOKUP(H33,Tabla4[],2,FALSE)</f>
        <v>4116.91</v>
      </c>
      <c r="J33" s="3">
        <v>53468.49</v>
      </c>
      <c r="K33" s="11">
        <v>3.18E-6</v>
      </c>
      <c r="L33" s="7">
        <f>Tabla6[[#This Row],[precio de compra]]*Tabla6[[#This Row],[cantidad]]*Tabla6[[#This Row],[PRECIO DEL DÓLAR, DIA COMPRA]]</f>
        <v>699.99737650756197</v>
      </c>
      <c r="M33" s="13">
        <f ca="1" xml:space="preserve"> K33 * (IF(G33="BTC", D33, IF(G33="ETH", E33, IF(G33="IO.NET", F33, 0)))) * C33</f>
        <v>1206.32617536066</v>
      </c>
      <c r="N33" s="32">
        <f ca="1">IF(G33 = "BTC", (D33 - J33) / J33,
 IF(G33 = "ETH", (E33 - J33) / J33,
 IF(G33 = "IO.NET", (F33 - J33) / J33,
 "Moneda no soportada")))</f>
        <v>0.63222507312250642</v>
      </c>
      <c r="O33" s="9">
        <v>0.25</v>
      </c>
      <c r="P33" s="9">
        <v>0.5</v>
      </c>
      <c r="Q33" t="str">
        <f ca="1">IF(N33 &lt; O33, "MANTENER", IF(N33 &lt; P33, "VENTA PARCIAL", "VENDER"))</f>
        <v>VENDER</v>
      </c>
      <c r="T33" s="2"/>
      <c r="U33" s="14">
        <f>Tabla6[[#This Row],[cantidad]]-Tabla6[[#This Row],[CANTIDAD VENDIDA]]</f>
        <v>3.18E-6</v>
      </c>
      <c r="V33" s="2">
        <f ca="1">IF(G33="BTC", D33 * U33 * C33, IF(G33="ETH", E33 * U33 * C33, IF(G33="IO.NET", F33 * U33 * C33, 0)))</f>
        <v>1206.32617536066</v>
      </c>
      <c r="W33" s="2">
        <f>IF(G33 = "BTC", ((T33 - L33)), IF(G33 = "ETH", ((T33 - L33)), IF(G33 = "IO.NET", ((T33 - L33)), "Moneda no soportada")))</f>
        <v>-699.99737650756197</v>
      </c>
      <c r="X33" s="9">
        <f ca="1">IF(G33 = "BTC", (((D33 - J33) / J33)),IF(G33 = "ETH", ((E33 - J33) / J33), IF(G33 = "IO.NET", ((F33 - J33) / J33), "Moneda no soportada")))</f>
        <v>0.63222507312250642</v>
      </c>
      <c r="Y33" s="2" t="str">
        <f>IF(U33=0,"VENDIDA","ACTIVA")</f>
        <v>ACTIVA</v>
      </c>
    </row>
    <row r="34" spans="2:25">
      <c r="B34" s="1">
        <f ca="1">TODAY()</f>
        <v>45607</v>
      </c>
      <c r="C34" s="2">
        <f ca="1">VLOOKUP(B34,Tabla4[],2,FALSE)</f>
        <v>4346.7</v>
      </c>
      <c r="D34" s="3">
        <f ca="1">VLOOKUP(B34,Tabla4[],3,FALSE)</f>
        <v>87272.61</v>
      </c>
      <c r="E34" s="2">
        <f ca="1">VLOOKUP(B34,Tabla4[],5,FALSE)</f>
        <v>3355.6</v>
      </c>
      <c r="F34" s="2">
        <f ca="1">VLOOKUP(B34,Tabla4[],4,FALSE)</f>
        <v>2.69</v>
      </c>
      <c r="G34" t="s">
        <v>15</v>
      </c>
      <c r="H34" s="1">
        <v>45509</v>
      </c>
      <c r="I34" s="3">
        <f>VLOOKUP(H34,Tabla4[],2,FALSE)</f>
        <v>4116.91</v>
      </c>
      <c r="J34" s="3">
        <v>2374.38</v>
      </c>
      <c r="K34" s="11">
        <v>7.161E-5</v>
      </c>
      <c r="L34" s="7">
        <f>Tabla6[[#This Row],[precio de compra]]*Tabla6[[#This Row],[cantidad]]*Tabla6[[#This Row],[PRECIO DEL DÓLAR, DIA COMPRA]]</f>
        <v>699.99553871893795</v>
      </c>
      <c r="M34" s="13">
        <f ca="1" xml:space="preserve"> K34 * (IF(G34="BTC", D34, IF(G34="ETH", E34, IF(G34="IO.NET", F34, 0)))) * C34</f>
        <v>1044.4881726971998</v>
      </c>
      <c r="N34" s="32">
        <f ca="1">IF(G34 = "BTC", (D34 - J34) / J34,
 IF(G34 = "ETH", (E34 - J34) / J34,
 IF(G34 = "IO.NET", (F34 - J34) / J34,
 "Moneda no soportada")))</f>
        <v>0.41325314397863855</v>
      </c>
      <c r="O34" s="9">
        <v>0.25</v>
      </c>
      <c r="P34" s="9">
        <v>0.5</v>
      </c>
      <c r="Q34" t="str">
        <f ca="1">IF(N34 &lt; O34, "MANTENER", IF(N34 &lt; P34, "VENTA PARCIAL", "VENDER"))</f>
        <v>VENTA PARCIAL</v>
      </c>
      <c r="T34" s="2"/>
      <c r="U34" s="14">
        <f>Tabla6[[#This Row],[cantidad]]-Tabla6[[#This Row],[CANTIDAD VENDIDA]]</f>
        <v>7.161E-5</v>
      </c>
      <c r="V34" s="2">
        <f ca="1">IF(G34="BTC", D34 * U34 * C34, IF(G34="ETH", E34 * U34 * C34, IF(G34="IO.NET", F34 * U34 * C34, 0)))</f>
        <v>1044.4881726971998</v>
      </c>
      <c r="W34" s="2">
        <f>IF(G34 = "BTC", ((T34 - L34)), IF(G34 = "ETH", ((T34 - L34)), IF(G34 = "IO.NET", ((T34 - L34)), "Moneda no soportada")))</f>
        <v>-699.99553871893795</v>
      </c>
      <c r="X34" s="9">
        <f ca="1">IF(G34 = "BTC", (((D34 - J34) / J34)),IF(G34 = "ETH", ((E34 - J34) / J34), IF(G34 = "IO.NET", ((F34 - J34) / J34), "Moneda no soportada")))</f>
        <v>0.41325314397863855</v>
      </c>
      <c r="Y34" s="2" t="str">
        <f>IF(U34=0,"VENDIDA","ACTIVA")</f>
        <v>ACTIVA</v>
      </c>
    </row>
    <row r="35" spans="2:25">
      <c r="B35" s="1">
        <f ca="1">TODAY()</f>
        <v>45607</v>
      </c>
      <c r="C35" s="2">
        <f ca="1">VLOOKUP(B35,Tabla4[],2,FALSE)</f>
        <v>4346.7</v>
      </c>
      <c r="D35" s="3">
        <f ca="1">VLOOKUP(B35,Tabla4[],3,FALSE)</f>
        <v>87272.61</v>
      </c>
      <c r="E35" s="2">
        <f ca="1">VLOOKUP(B35,Tabla4[],5,FALSE)</f>
        <v>3355.6</v>
      </c>
      <c r="F35" s="2">
        <f ca="1">VLOOKUP(B35,Tabla4[],4,FALSE)</f>
        <v>2.69</v>
      </c>
      <c r="G35" t="s">
        <v>41</v>
      </c>
      <c r="H35" s="1">
        <v>45509</v>
      </c>
      <c r="I35" s="3">
        <f>VLOOKUP(H35,Tabla4[],2,FALSE)</f>
        <v>4116.91</v>
      </c>
      <c r="J35" s="3">
        <v>1.4723999999999999</v>
      </c>
      <c r="K35" s="11">
        <v>5.7740630000000001E-2</v>
      </c>
      <c r="L35" s="7">
        <f>Tabla6[[#This Row],[precio de compra]]*Tabla6[[#This Row],[cantidad]]*Tabla6[[#This Row],[PRECIO DEL DÓLAR, DIA COMPRA]]</f>
        <v>350.00858741327886</v>
      </c>
      <c r="M35" s="13">
        <f ca="1" xml:space="preserve"> K35 * (IF(G35="BTC", D35, IF(G35="ETH", E35, IF(G35="IO.NET", F35, 0)))) * C35</f>
        <v>675.13941837249001</v>
      </c>
      <c r="N35" s="32">
        <f ca="1">IF(G35 = "BTC", (D35 - J35) / J35,
 IF(G35 = "ETH", (E35 - J35) / J35,
 IF(G35 = "IO.NET", (F35 - J35) / J35,
 "Moneda no soportada")))</f>
        <v>0.82694919858734039</v>
      </c>
      <c r="O35" s="9">
        <v>0.1</v>
      </c>
      <c r="P35" s="9">
        <v>0.3</v>
      </c>
      <c r="Q35" t="str">
        <f ca="1">IF(N35 &lt; O35, "MANTENER", IF(N35 &lt; P35, "VENTA PARCIAL", "VENDER"))</f>
        <v>VENDER</v>
      </c>
      <c r="T35" s="2"/>
      <c r="U35" s="14">
        <f>Tabla6[[#This Row],[cantidad]]-Tabla6[[#This Row],[CANTIDAD VENDIDA]]</f>
        <v>5.7740630000000001E-2</v>
      </c>
      <c r="V35" s="2">
        <f ca="1">IF(G35="BTC", D35 * U35 * C35, IF(G35="ETH", E35 * U35 * C35, IF(G35="IO.NET", F35 * U35 * C35, 0)))</f>
        <v>675.13941837249001</v>
      </c>
      <c r="W35" s="2">
        <f>IF(G35 = "BTC", ((T35 - L35)), IF(G35 = "ETH", ((T35 - L35)), IF(G35 = "IO.NET", ((T35 - L35)), "Moneda no soportada")))</f>
        <v>-350.00858741327886</v>
      </c>
      <c r="X35" s="9">
        <f ca="1">IF(G35 = "BTC", (((D35 - J35) / J35)),IF(G35 = "ETH", ((E35 - J35) / J35), IF(G35 = "IO.NET", ((F35 - J35) / J35), "Moneda no soportada")))</f>
        <v>0.82694919858734039</v>
      </c>
      <c r="Y35" s="2" t="str">
        <f>IF(U35=0,"VENDIDA","ACTIVA")</f>
        <v>ACTIVA</v>
      </c>
    </row>
    <row r="36" spans="2:25">
      <c r="B36" s="1">
        <f ca="1">TODAY()</f>
        <v>45607</v>
      </c>
      <c r="C36" s="2">
        <f ca="1">VLOOKUP(B36,Tabla4[],2,FALSE)</f>
        <v>4346.7</v>
      </c>
      <c r="D36" s="3">
        <f ca="1">VLOOKUP(B36,Tabla4[],3,FALSE)</f>
        <v>87272.61</v>
      </c>
      <c r="E36" s="2">
        <f ca="1">VLOOKUP(B36,Tabla4[],5,FALSE)</f>
        <v>3355.6</v>
      </c>
      <c r="F36" s="2">
        <f ca="1">VLOOKUP(B36,Tabla4[],4,FALSE)</f>
        <v>2.69</v>
      </c>
      <c r="G36" t="s">
        <v>14</v>
      </c>
      <c r="H36" s="1">
        <v>45516</v>
      </c>
      <c r="I36" s="3">
        <f>VLOOKUP(H36,Tabla4[],2,FALSE)</f>
        <v>4073.83</v>
      </c>
      <c r="J36" s="3">
        <v>59047.29</v>
      </c>
      <c r="K36" s="11">
        <v>2.9100000000000001E-6</v>
      </c>
      <c r="L36" s="29">
        <f>Tabla6[[#This Row],[precio de compra]]*Tabla6[[#This Row],[cantidad]]*Tabla6[[#This Row],[PRECIO DEL DÓLAR, DIA COMPRA]]</f>
        <v>699.99648833423703</v>
      </c>
      <c r="M36" s="26">
        <f ca="1" xml:space="preserve"> K36 * (IF(G36="BTC", D36, IF(G36="ETH", E36, IF(G36="IO.NET", F36, 0)))) * C36</f>
        <v>1103.90225481117</v>
      </c>
      <c r="N36" s="41">
        <f ca="1">IF(G36 = "BTC", (D36 - J36) / J36,
 IF(G36 = "ETH", (E36 - J36) / J36,
 IF(G36 = "IO.NET", (F36 - J36) / J36,
 "Moneda no soportada")))</f>
        <v>0.47801211537396548</v>
      </c>
      <c r="O36" s="28">
        <v>0.25</v>
      </c>
      <c r="P36" s="28">
        <v>0.5</v>
      </c>
      <c r="Q36" t="str">
        <f ca="1">IF(N36 &lt; O36, "MANTENER", IF(N36 &lt; P36, "VENTA PARCIAL", "VENDER"))</f>
        <v>VENTA PARCIAL</v>
      </c>
      <c r="T36" s="2"/>
      <c r="U36" s="14">
        <f>Tabla6[[#This Row],[cantidad]]-Tabla6[[#This Row],[CANTIDAD VENDIDA]]</f>
        <v>2.9100000000000001E-6</v>
      </c>
      <c r="V36" s="2">
        <f ca="1">IF(G36="BTC", D36 * U36 * C36, IF(G36="ETH", E36 * U36 * C36, IF(G36="IO.NET", F36 * U36 * C36, 0)))</f>
        <v>1103.90225481117</v>
      </c>
      <c r="W36" s="2">
        <f>IF(G36 = "BTC", ((T36 - L36)), IF(G36 = "ETH", ((T36 - L36)), IF(G36 = "IO.NET", ((T36 - L36)), "Moneda no soportada")))</f>
        <v>-699.99648833423703</v>
      </c>
      <c r="X36" s="9">
        <f ca="1">IF(G36 = "BTC", (((D36 - J36) / J36)),IF(G36 = "ETH", ((E36 - J36) / J36), IF(G36 = "IO.NET", ((F36 - J36) / J36), "Moneda no soportada")))</f>
        <v>0.47801211537396548</v>
      </c>
      <c r="Y36" s="2" t="str">
        <f>IF(U36=0,"VENDIDA","ACTIVA")</f>
        <v>ACTIVA</v>
      </c>
    </row>
    <row r="37" spans="2:25">
      <c r="B37" s="1">
        <f ca="1">TODAY()</f>
        <v>45607</v>
      </c>
      <c r="C37" s="2">
        <f ca="1">VLOOKUP(B37,Tabla4[],2,FALSE)</f>
        <v>4346.7</v>
      </c>
      <c r="D37" s="3">
        <f ca="1">VLOOKUP(B37,Tabla4[],3,FALSE)</f>
        <v>87272.61</v>
      </c>
      <c r="E37" s="2">
        <f ca="1">VLOOKUP(B37,Tabla4[],5,FALSE)</f>
        <v>3355.6</v>
      </c>
      <c r="F37" s="2">
        <f ca="1">VLOOKUP(B37,Tabla4[],4,FALSE)</f>
        <v>2.69</v>
      </c>
      <c r="G37" t="s">
        <v>15</v>
      </c>
      <c r="H37" s="1">
        <v>45516</v>
      </c>
      <c r="I37" s="3">
        <f>VLOOKUP(H37,Tabla4[],2,FALSE)</f>
        <v>4073.83</v>
      </c>
      <c r="J37" s="3">
        <v>2645.2</v>
      </c>
      <c r="K37" s="11">
        <v>6.4960000000000001E-5</v>
      </c>
      <c r="L37" s="29">
        <f>Tabla6[[#This Row],[precio de compra]]*Tabla6[[#This Row],[cantidad]]*Tabla6[[#This Row],[PRECIO DEL DÓLAR, DIA COMPRA]]</f>
        <v>700.01513873535998</v>
      </c>
      <c r="M37" s="26">
        <f ca="1" xml:space="preserve"> K37 * (IF(G37="BTC", D37, IF(G37="ETH", E37, IF(G37="IO.NET", F37, 0)))) * C37</f>
        <v>947.49269233919995</v>
      </c>
      <c r="N37" s="41">
        <f ca="1">IF(G37 = "BTC", (D37 - J37) / J37,
 IF(G37 = "ETH", (E37 - J37) / J37,
 IF(G37 = "IO.NET", (F37 - J37) / J37,
 "Moneda no soportada")))</f>
        <v>0.26856192348404662</v>
      </c>
      <c r="O37" s="28">
        <v>0.25</v>
      </c>
      <c r="P37" s="28">
        <v>0.5</v>
      </c>
      <c r="Q37" t="str">
        <f ca="1">IF(N37 &lt; O37, "MANTENER", IF(N37 &lt; P37, "VENTA PARCIAL", "VENDER"))</f>
        <v>VENTA PARCIAL</v>
      </c>
      <c r="T37" s="2"/>
      <c r="U37" s="14">
        <f>Tabla6[[#This Row],[cantidad]]-Tabla6[[#This Row],[CANTIDAD VENDIDA]]</f>
        <v>6.4960000000000001E-5</v>
      </c>
      <c r="V37" s="2">
        <f ca="1">IF(G37="BTC", D37 * U37 * C37, IF(G37="ETH", E37 * U37 * C37, IF(G37="IO.NET", F37 * U37 * C37, 0)))</f>
        <v>947.49269233919995</v>
      </c>
      <c r="W37" s="2">
        <f>IF(G37 = "BTC", ((T37 - L37)), IF(G37 = "ETH", ((T37 - L37)), IF(G37 = "IO.NET", ((T37 - L37)), "Moneda no soportada")))</f>
        <v>-700.01513873535998</v>
      </c>
      <c r="X37" s="9">
        <f ca="1">IF(G37 = "BTC", (((D37 - J37) / J37)),IF(G37 = "ETH", ((E37 - J37) / J37), IF(G37 = "IO.NET", ((F37 - J37) / J37), "Moneda no soportada")))</f>
        <v>0.26856192348404662</v>
      </c>
      <c r="Y37" s="2" t="str">
        <f>IF(U37=0,"VENDIDA","ACTIVA")</f>
        <v>ACTIVA</v>
      </c>
    </row>
    <row r="38" spans="2:25">
      <c r="B38" s="1">
        <f ca="1">TODAY()</f>
        <v>45607</v>
      </c>
      <c r="C38" s="2">
        <f ca="1">VLOOKUP(B38,Tabla4[],2,FALSE)</f>
        <v>4346.7</v>
      </c>
      <c r="D38" s="3">
        <f ca="1">VLOOKUP(B38,Tabla4[],3,FALSE)</f>
        <v>87272.61</v>
      </c>
      <c r="E38" s="2">
        <f ca="1">VLOOKUP(B38,Tabla4[],5,FALSE)</f>
        <v>3355.6</v>
      </c>
      <c r="F38" s="2">
        <f ca="1">VLOOKUP(B38,Tabla4[],4,FALSE)</f>
        <v>2.69</v>
      </c>
      <c r="G38" t="s">
        <v>41</v>
      </c>
      <c r="H38" s="1">
        <v>45516</v>
      </c>
      <c r="I38" s="3">
        <f>VLOOKUP(H38,Tabla4[],2,FALSE)</f>
        <v>4073.83</v>
      </c>
      <c r="J38" s="3">
        <v>1.5723400000000001</v>
      </c>
      <c r="K38" s="25">
        <v>5.4640859999999999E-2</v>
      </c>
      <c r="L38" s="29">
        <f>Tabla6[[#This Row],[precio de compra]]*Tabla6[[#This Row],[cantidad]]*Tabla6[[#This Row],[PRECIO DEL DÓLAR, DIA COMPRA]]</f>
        <v>349.9990705940495</v>
      </c>
      <c r="M38" s="26">
        <f ca="1" xml:space="preserve"> K38 * (IF(G38="BTC", D38, IF(G38="ETH", E38, IF(G38="IO.NET", F38, 0)))) * C38</f>
        <v>638.89497637577995</v>
      </c>
      <c r="N38" s="41">
        <f ca="1">IF(G38 = "BTC", (D38 - J38) / J38,
 IF(G38 = "ETH", (E38 - J38) / J38,
 IF(G38 = "IO.NET", (F38 - J38) / J38,
 "Moneda no soportada")))</f>
        <v>0.71082590279456082</v>
      </c>
      <c r="O38" s="28">
        <v>0.1</v>
      </c>
      <c r="P38" s="28">
        <v>0.3</v>
      </c>
      <c r="Q38" t="str">
        <f ca="1">IF(N38 &lt; O38, "MANTENER", IF(N38 &lt; P38, "VENTA PARCIAL", "VENDER"))</f>
        <v>VENDER</v>
      </c>
      <c r="T38" s="2"/>
      <c r="U38" s="14">
        <f>Tabla6[[#This Row],[cantidad]]-Tabla6[[#This Row],[CANTIDAD VENDIDA]]</f>
        <v>5.4640859999999999E-2</v>
      </c>
      <c r="V38" s="2">
        <f ca="1">IF(G38="BTC", D38 * U38 * C38, IF(G38="ETH", E38 * U38 * C38, IF(G38="IO.NET", F38 * U38 * C38, 0)))</f>
        <v>638.89497637577995</v>
      </c>
      <c r="W38" s="2">
        <f>IF(G38 = "BTC", ((T38 - L38)), IF(G38 = "ETH", ((T38 - L38)), IF(G38 = "IO.NET", ((T38 - L38)), "Moneda no soportada")))</f>
        <v>-349.9990705940495</v>
      </c>
      <c r="X38" s="9">
        <f ca="1">IF(G38 = "BTC", (((D38 - J38) / J38)),IF(G38 = "ETH", ((E38 - J38) / J38), IF(G38 = "IO.NET", ((F38 - J38) / J38), "Moneda no soportada")))</f>
        <v>0.71082590279456082</v>
      </c>
      <c r="Y38" s="2" t="str">
        <f>IF(U38=0,"VENDIDA","ACTIVA")</f>
        <v>ACTIVA</v>
      </c>
    </row>
    <row r="39" spans="2:25">
      <c r="B39" s="1">
        <f ca="1">TODAY()</f>
        <v>45607</v>
      </c>
      <c r="C39" s="2">
        <f ca="1">VLOOKUP(B39,Tabla4[],2,FALSE)</f>
        <v>4346.7</v>
      </c>
      <c r="D39" s="3">
        <f ca="1">VLOOKUP(B39,Tabla4[],3,FALSE)</f>
        <v>87272.61</v>
      </c>
      <c r="E39" s="2">
        <f ca="1">VLOOKUP(B39,Tabla4[],5,FALSE)</f>
        <v>3355.6</v>
      </c>
      <c r="F39" s="2">
        <f ca="1">VLOOKUP(B39,Tabla4[],4,FALSE)</f>
        <v>2.69</v>
      </c>
      <c r="G39" t="s">
        <v>14</v>
      </c>
      <c r="H39" s="1">
        <v>45523</v>
      </c>
      <c r="I39" s="3">
        <f>VLOOKUP(H39,Tabla4[],2,FALSE)</f>
        <v>4030.16</v>
      </c>
      <c r="J39" s="3">
        <v>57323.8</v>
      </c>
      <c r="K39" s="25">
        <v>3.0299999999999998E-6</v>
      </c>
      <c r="L39" s="29">
        <f>Tabla6[[#This Row],[precio de compra]]*Tabla6[[#This Row],[cantidad]]*Tabla6[[#This Row],[PRECIO DEL DÓLAR, DIA COMPRA]]</f>
        <v>700.00297999823999</v>
      </c>
      <c r="M39" s="26">
        <f ca="1" xml:space="preserve"> K39 * (IF(G39="BTC", D39, IF(G39="ETH", E39, IF(G39="IO.NET", F39, 0)))) * C39</f>
        <v>1149.4239972776097</v>
      </c>
      <c r="N39" s="41">
        <f ca="1">IF(G39 = "BTC", (D39 - J39) / J39,
 IF(G39 = "ETH", (E39 - J39) / J39,
 IF(G39 = "IO.NET", (F39 - J39) / J39,
 "Moneda no soportada")))</f>
        <v>0.52244983758927355</v>
      </c>
      <c r="O39" s="28">
        <v>0.25</v>
      </c>
      <c r="P39" s="28">
        <v>0.5</v>
      </c>
      <c r="Q39" t="str">
        <f ca="1">IF(N39 &lt; O39, "MANTENER", IF(N39 &lt; P39, "VENTA PARCIAL", "VENDER"))</f>
        <v>VENDER</v>
      </c>
      <c r="T39" s="2"/>
      <c r="U39" s="14">
        <f>Tabla6[[#This Row],[cantidad]]-Tabla6[[#This Row],[CANTIDAD VENDIDA]]</f>
        <v>3.0299999999999998E-6</v>
      </c>
      <c r="V39" s="2">
        <f ca="1">IF(G39="BTC", D39 * U39 * C39, IF(G39="ETH", E39 * U39 * C39, IF(G39="IO.NET", F39 * U39 * C39, 0)))</f>
        <v>1149.4239972776097</v>
      </c>
      <c r="W39" s="2">
        <f>IF(G39 = "BTC", ((T39 - L39)), IF(G39 = "ETH", ((T39 - L39)), IF(G39 = "IO.NET", ((T39 - L39)), "Moneda no soportada")))</f>
        <v>-700.00297999823999</v>
      </c>
      <c r="X39" s="9">
        <f ca="1">IF(G39 = "BTC", (((D39 - J39) / J39)),IF(G39 = "ETH", ((E39 - J39) / J39), IF(G39 = "IO.NET", ((F39 - J39) / J39), "Moneda no soportada")))</f>
        <v>0.52244983758927355</v>
      </c>
      <c r="Y39" s="2" t="str">
        <f>IF(U39=0,"VENDIDA","ACTIVA")</f>
        <v>ACTIVA</v>
      </c>
    </row>
    <row r="40" spans="2:25">
      <c r="B40" s="1">
        <f ca="1">TODAY()</f>
        <v>45607</v>
      </c>
      <c r="C40" s="2">
        <f ca="1">VLOOKUP(B40,Tabla4[],2,FALSE)</f>
        <v>4346.7</v>
      </c>
      <c r="D40" s="3">
        <f ca="1">VLOOKUP(B40,Tabla4[],3,FALSE)</f>
        <v>87272.61</v>
      </c>
      <c r="E40" s="2">
        <f ca="1">VLOOKUP(B40,Tabla4[],5,FALSE)</f>
        <v>3355.6</v>
      </c>
      <c r="F40" s="2">
        <f ca="1">VLOOKUP(B40,Tabla4[],4,FALSE)</f>
        <v>2.69</v>
      </c>
      <c r="G40" t="s">
        <v>15</v>
      </c>
      <c r="H40" s="1">
        <v>45523</v>
      </c>
      <c r="I40" s="3">
        <f>VLOOKUP(H40,Tabla4[],2,FALSE)</f>
        <v>4030.16</v>
      </c>
      <c r="J40" s="3">
        <v>2527.15</v>
      </c>
      <c r="K40" s="25">
        <v>6.8730000000000001E-5</v>
      </c>
      <c r="L40" s="29">
        <f>Tabla6[[#This Row],[precio de compra]]*Tabla6[[#This Row],[cantidad]]*Tabla6[[#This Row],[PRECIO DEL DÓLAR, DIA COMPRA]]</f>
        <v>700.00259914812</v>
      </c>
      <c r="M40" s="26">
        <f ca="1" xml:space="preserve"> K40 * (IF(G40="BTC", D40, IF(G40="ETH", E40, IF(G40="IO.NET", F40, 0)))) * C40</f>
        <v>1002.4811075196</v>
      </c>
      <c r="N40" s="41">
        <f ca="1">IF(G40 = "BTC", (D40 - J40) / J40,
 IF(G40 = "ETH", (E40 - J40) / J40,
 IF(G40 = "IO.NET", (F40 - J40) / J40,
 "Moneda no soportada")))</f>
        <v>0.32781987614506453</v>
      </c>
      <c r="O40" s="28">
        <v>0.25</v>
      </c>
      <c r="P40" s="28">
        <v>0.5</v>
      </c>
      <c r="Q40" t="str">
        <f ca="1">IF(N40 &lt; O40, "MANTENER", IF(N40 &lt; P40, "VENTA PARCIAL", "VENDER"))</f>
        <v>VENTA PARCIAL</v>
      </c>
      <c r="T40" s="2"/>
      <c r="U40" s="14">
        <f>Tabla6[[#This Row],[cantidad]]-Tabla6[[#This Row],[CANTIDAD VENDIDA]]</f>
        <v>6.8730000000000001E-5</v>
      </c>
      <c r="V40" s="2">
        <f ca="1">IF(G40="BTC", D40 * U40 * C40, IF(G40="ETH", E40 * U40 * C40, IF(G40="IO.NET", F40 * U40 * C40, 0)))</f>
        <v>1002.4811075196</v>
      </c>
      <c r="W40" s="2">
        <f>IF(G40 = "BTC", ((T40 - L40)), IF(G40 = "ETH", ((T40 - L40)), IF(G40 = "IO.NET", ((T40 - L40)), "Moneda no soportada")))</f>
        <v>-700.00259914812</v>
      </c>
      <c r="X40" s="9">
        <f ca="1">IF(G40 = "BTC", (((D40 - J40) / J40)),IF(G40 = "ETH", ((E40 - J40) / J40), IF(G40 = "IO.NET", ((F40 - J40) / J40), "Moneda no soportada")))</f>
        <v>0.32781987614506453</v>
      </c>
      <c r="Y40" s="2" t="str">
        <f>IF(U40=0,"VENDIDA","ACTIVA")</f>
        <v>ACTIVA</v>
      </c>
    </row>
    <row r="41" spans="2:25">
      <c r="B41" s="1">
        <f ca="1">TODAY()</f>
        <v>45607</v>
      </c>
      <c r="C41" s="2">
        <f ca="1">VLOOKUP(B41,Tabla4[],2,FALSE)</f>
        <v>4346.7</v>
      </c>
      <c r="D41" s="3">
        <f ca="1">VLOOKUP(B41,Tabla4[],3,FALSE)</f>
        <v>87272.61</v>
      </c>
      <c r="E41" s="2">
        <f ca="1">VLOOKUP(B41,Tabla4[],5,FALSE)</f>
        <v>3355.6</v>
      </c>
      <c r="F41" s="2">
        <f ca="1">VLOOKUP(B41,Tabla4[],4,FALSE)</f>
        <v>2.69</v>
      </c>
      <c r="G41" t="s">
        <v>41</v>
      </c>
      <c r="H41" s="1">
        <v>45523</v>
      </c>
      <c r="I41" s="3">
        <f>VLOOKUP(H41,Tabla4[],2,FALSE)</f>
        <v>4030.16</v>
      </c>
      <c r="J41" s="3">
        <v>1.6122000000000001</v>
      </c>
      <c r="K41" s="25">
        <v>5.3867089999999999E-2</v>
      </c>
      <c r="L41" s="29">
        <f>Tabla6[[#This Row],[precio de compra]]*Tabla6[[#This Row],[cantidad]]*Tabla6[[#This Row],[PRECIO DEL DÓLAR, DIA COMPRA]]</f>
        <v>349.99732079053973</v>
      </c>
      <c r="M41" s="26">
        <f ca="1" xml:space="preserve"> K41 * (IF(G41="BTC", D41, IF(G41="ETH", E41, IF(G41="IO.NET", F41, 0)))) * C41</f>
        <v>629.84757547706988</v>
      </c>
      <c r="N41" s="41">
        <f ca="1">IF(G41 = "BTC", (D41 - J41) / J41,
 IF(G41 = "ETH", (E41 - J41) / J41,
 IF(G41 = "IO.NET", (F41 - J41) / J41,
 "Moneda no soportada")))</f>
        <v>0.66852747798039935</v>
      </c>
      <c r="O41" s="28">
        <v>0.1</v>
      </c>
      <c r="P41" s="28">
        <v>0.3</v>
      </c>
      <c r="Q41" t="str">
        <f ca="1">IF(N41 &lt; O41, "MANTENER", IF(N41 &lt; P41, "VENTA PARCIAL", "VENDER"))</f>
        <v>VENDER</v>
      </c>
      <c r="T41" s="2"/>
      <c r="U41" s="14">
        <f>Tabla6[[#This Row],[cantidad]]-Tabla6[[#This Row],[CANTIDAD VENDIDA]]</f>
        <v>5.3867089999999999E-2</v>
      </c>
      <c r="V41" s="2">
        <f ca="1">IF(G41="BTC", D41 * U41 * C41, IF(G41="ETH", E41 * U41 * C41, IF(G41="IO.NET", F41 * U41 * C41, 0)))</f>
        <v>629.84757547706988</v>
      </c>
      <c r="W41" s="2">
        <f>IF(G41 = "BTC", ((T41 - L41)), IF(G41 = "ETH", ((T41 - L41)), IF(G41 = "IO.NET", ((T41 - L41)), "Moneda no soportada")))</f>
        <v>-349.99732079053973</v>
      </c>
      <c r="X41" s="9">
        <f ca="1">IF(G41 = "BTC", (((D41 - J41) / J41)),IF(G41 = "ETH", ((E41 - J41) / J41), IF(G41 = "IO.NET", ((F41 - J41) / J41), "Moneda no soportada")))</f>
        <v>0.66852747798039935</v>
      </c>
      <c r="Y41" s="2" t="str">
        <f>IF(U41=0,"VENDIDA","ACTIVA")</f>
        <v>ACTIVA</v>
      </c>
    </row>
    <row r="42" spans="2:25">
      <c r="B42" s="1">
        <f ca="1">TODAY()</f>
        <v>45607</v>
      </c>
      <c r="C42" s="2">
        <f ca="1">VLOOKUP(B42,Tabla4[],2,FALSE)</f>
        <v>4346.7</v>
      </c>
      <c r="D42" s="3">
        <f ca="1">VLOOKUP(B42,Tabla4[],3,FALSE)</f>
        <v>87272.61</v>
      </c>
      <c r="E42" s="2">
        <f ca="1">VLOOKUP(B42,Tabla4[],5,FALSE)</f>
        <v>3355.6</v>
      </c>
      <c r="F42" s="2">
        <f ca="1">VLOOKUP(B42,Tabla4[],4,FALSE)</f>
        <v>2.69</v>
      </c>
      <c r="G42" t="s">
        <v>14</v>
      </c>
      <c r="H42" s="1">
        <v>45530</v>
      </c>
      <c r="I42" s="3">
        <f>VLOOKUP(H42,Tabla4[],2,FALSE)</f>
        <v>4029.75</v>
      </c>
      <c r="J42" s="3">
        <v>62485</v>
      </c>
      <c r="K42" s="25">
        <v>2.7800000000000001E-6</v>
      </c>
      <c r="L42" s="29">
        <f>Tabla6[[#This Row],[precio de compra]]*Tabla6[[#This Row],[cantidad]]*Tabla6[[#This Row],[PRECIO DEL DÓLAR, DIA COMPRA]]</f>
        <v>700.00102192500003</v>
      </c>
      <c r="M42" s="26">
        <f ca="1" xml:space="preserve"> K42 * (IF(G42="BTC", D42, IF(G42="ETH", E42, IF(G42="IO.NET", F42, 0)))) * C42</f>
        <v>1054.5870338058601</v>
      </c>
      <c r="N42" s="41">
        <f ca="1">IF(G42 = "BTC", (D42 - J42) / J42,
 IF(G42 = "ETH", (E42 - J42) / J42,
 IF(G42 = "IO.NET", (F42 - J42) / J42,
 "Moneda no soportada")))</f>
        <v>0.39669696727214532</v>
      </c>
      <c r="O42" s="28">
        <v>0.25</v>
      </c>
      <c r="P42" s="28">
        <v>0.5</v>
      </c>
      <c r="Q42" t="str">
        <f ca="1">IF(N42 &lt; O42, "MANTENER", IF(N42 &lt; P42, "VENTA PARCIAL", "VENDER"))</f>
        <v>VENTA PARCIAL</v>
      </c>
      <c r="T42" s="2"/>
      <c r="U42" s="14">
        <f>Tabla6[[#This Row],[cantidad]]-Tabla6[[#This Row],[CANTIDAD VENDIDA]]</f>
        <v>2.7800000000000001E-6</v>
      </c>
      <c r="V42" s="2">
        <f ca="1">IF(G42="BTC", D42 * U42 * C42, IF(G42="ETH", E42 * U42 * C42, IF(G42="IO.NET", F42 * U42 * C42, 0)))</f>
        <v>1054.5870338058601</v>
      </c>
      <c r="W42" s="2">
        <f>IF(G42 = "BTC", ((T42 - L42)), IF(G42 = "ETH", ((T42 - L42)), IF(G42 = "IO.NET", ((T42 - L42)), "Moneda no soportada")))</f>
        <v>-700.00102192500003</v>
      </c>
      <c r="X42" s="9">
        <f ca="1">IF(G42 = "BTC", (((D42 - J42) / J42)),IF(G42 = "ETH", ((E42 - J42) / J42), IF(G42 = "IO.NET", ((F42 - J42) / J42), "Moneda no soportada")))</f>
        <v>0.39669696727214532</v>
      </c>
      <c r="Y42" s="2" t="str">
        <f>IF(U42=0,"VENDIDA","ACTIVA")</f>
        <v>ACTIVA</v>
      </c>
    </row>
    <row r="43" spans="2:25">
      <c r="B43" s="1">
        <f ca="1">TODAY()</f>
        <v>45607</v>
      </c>
      <c r="C43" s="2">
        <f ca="1">VLOOKUP(B43,Tabla4[],2,FALSE)</f>
        <v>4346.7</v>
      </c>
      <c r="D43" s="3">
        <f ca="1">VLOOKUP(B43,Tabla4[],3,FALSE)</f>
        <v>87272.61</v>
      </c>
      <c r="E43" s="2">
        <f ca="1">VLOOKUP(B43,Tabla4[],5,FALSE)</f>
        <v>3355.6</v>
      </c>
      <c r="F43" s="2">
        <f ca="1">VLOOKUP(B43,Tabla4[],4,FALSE)</f>
        <v>2.69</v>
      </c>
      <c r="G43" t="s">
        <v>15</v>
      </c>
      <c r="H43" s="1">
        <v>45530</v>
      </c>
      <c r="I43" s="3">
        <f>VLOOKUP(H43,Tabla4[],2,FALSE)</f>
        <v>4029.75</v>
      </c>
      <c r="J43" s="3">
        <v>2670.79</v>
      </c>
      <c r="K43" s="25">
        <v>6.5040000000000001E-5</v>
      </c>
      <c r="L43" s="29">
        <f>Tabla6[[#This Row],[precio de compra]]*Tabla6[[#This Row],[cantidad]]*Tabla6[[#This Row],[PRECIO DEL DÓLAR, DIA COMPRA]]</f>
        <v>700.00054480260007</v>
      </c>
      <c r="M43" s="26">
        <f ca="1" xml:space="preserve"> K43 * (IF(G43="BTC", D43, IF(G43="ETH", E43, IF(G43="IO.NET", F43, 0)))) * C43</f>
        <v>948.65955526079995</v>
      </c>
      <c r="N43" s="41">
        <f ca="1">IF(G43 = "BTC", (D43 - J43) / J43,
 IF(G43 = "ETH", (E43 - J43) / J43,
 IF(G43 = "IO.NET", (F43 - J43) / J43,
 "Moneda no soportada")))</f>
        <v>0.25640728024292436</v>
      </c>
      <c r="O43" s="28">
        <v>0.25</v>
      </c>
      <c r="P43" s="28">
        <v>0.5</v>
      </c>
      <c r="Q43" t="str">
        <f ca="1">IF(N43 &lt; O43, "MANTENER", IF(N43 &lt; P43, "VENTA PARCIAL", "VENDER"))</f>
        <v>VENTA PARCIAL</v>
      </c>
      <c r="T43" s="2"/>
      <c r="U43" s="14">
        <f>Tabla6[[#This Row],[cantidad]]-Tabla6[[#This Row],[CANTIDAD VENDIDA]]</f>
        <v>6.5040000000000001E-5</v>
      </c>
      <c r="V43" s="2">
        <f ca="1">IF(G43="BTC", D43 * U43 * C43, IF(G43="ETH", E43 * U43 * C43, IF(G43="IO.NET", F43 * U43 * C43, 0)))</f>
        <v>948.65955526079995</v>
      </c>
      <c r="W43" s="2">
        <f>IF(G43 = "BTC", ((T43 - L43)), IF(G43 = "ETH", ((T43 - L43)), IF(G43 = "IO.NET", ((T43 - L43)), "Moneda no soportada")))</f>
        <v>-700.00054480260007</v>
      </c>
      <c r="X43" s="9">
        <f ca="1">IF(G43 = "BTC", (((D43 - J43) / J43)),IF(G43 = "ETH", ((E43 - J43) / J43), IF(G43 = "IO.NET", ((F43 - J43) / J43), "Moneda no soportada")))</f>
        <v>0.25640728024292436</v>
      </c>
      <c r="Y43" s="2" t="str">
        <f>IF(U43=0,"VENDIDA","ACTIVA")</f>
        <v>ACTIVA</v>
      </c>
    </row>
    <row r="44" spans="2:25">
      <c r="B44" s="1">
        <f ca="1">TODAY()</f>
        <v>45607</v>
      </c>
      <c r="C44" s="2">
        <f ca="1">VLOOKUP(B44,Tabla4[],2,FALSE)</f>
        <v>4346.7</v>
      </c>
      <c r="D44" s="3">
        <f ca="1">VLOOKUP(B44,Tabla4[],3,FALSE)</f>
        <v>87272.61</v>
      </c>
      <c r="E44" s="2">
        <f ca="1">VLOOKUP(B44,Tabla4[],5,FALSE)</f>
        <v>3355.6</v>
      </c>
      <c r="F44" s="2">
        <f ca="1">VLOOKUP(B44,Tabla4[],4,FALSE)</f>
        <v>2.69</v>
      </c>
      <c r="G44" t="s">
        <v>41</v>
      </c>
      <c r="H44" s="1">
        <v>45530</v>
      </c>
      <c r="I44" s="3">
        <f>VLOOKUP(H44,Tabla4[],2,FALSE)</f>
        <v>4029.75</v>
      </c>
      <c r="J44" s="3">
        <v>2.1766899999999998</v>
      </c>
      <c r="K44" s="25">
        <v>3.9902439999999997E-2</v>
      </c>
      <c r="L44" s="29">
        <f>Tabla6[[#This Row],[precio de compra]]*Tabla6[[#This Row],[cantidad]]*Tabla6[[#This Row],[PRECIO DEL DÓLAR, DIA COMPRA]]</f>
        <v>350.00491194757706</v>
      </c>
      <c r="M44" s="26">
        <f ca="1" xml:space="preserve"> K44 * (IF(G44="BTC", D44, IF(G44="ETH", E44, IF(G44="IO.NET", F44, 0)))) * C44</f>
        <v>466.56418770011993</v>
      </c>
      <c r="N44" s="41">
        <f ca="1">IF(G44 = "BTC", (D44 - J44) / J44,
 IF(G44 = "ETH", (E44 - J44) / J44,
 IF(G44 = "IO.NET", (F44 - J44) / J44,
 "Moneda no soportada")))</f>
        <v>0.23582136179244642</v>
      </c>
      <c r="O44" s="28">
        <v>0.1</v>
      </c>
      <c r="P44" s="28">
        <v>0.3</v>
      </c>
      <c r="Q44" t="str">
        <f ca="1">IF(N44 &lt; O44, "MANTENER", IF(N44 &lt; P44, "VENTA PARCIAL", "VENDER"))</f>
        <v>VENTA PARCIAL</v>
      </c>
      <c r="T44" s="2"/>
      <c r="U44" s="14">
        <f>Tabla6[[#This Row],[cantidad]]-Tabla6[[#This Row],[CANTIDAD VENDIDA]]</f>
        <v>3.9902439999999997E-2</v>
      </c>
      <c r="V44" s="2">
        <f ca="1">IF(G44="BTC", D44 * U44 * C44, IF(G44="ETH", E44 * U44 * C44, IF(G44="IO.NET", F44 * U44 * C44, 0)))</f>
        <v>466.56418770011993</v>
      </c>
      <c r="W44" s="2">
        <f>IF(G44 = "BTC", ((T44 - L44)), IF(G44 = "ETH", ((T44 - L44)), IF(G44 = "IO.NET", ((T44 - L44)), "Moneda no soportada")))</f>
        <v>-350.00491194757706</v>
      </c>
      <c r="X44" s="9">
        <f ca="1">IF(G44 = "BTC", (((D44 - J44) / J44)),IF(G44 = "ETH", ((E44 - J44) / J44), IF(G44 = "IO.NET", ((F44 - J44) / J44), "Moneda no soportada")))</f>
        <v>0.23582136179244642</v>
      </c>
      <c r="Y44" s="2" t="str">
        <f>IF(U44=0,"VENDIDA","ACTIVA")</f>
        <v>ACTIVA</v>
      </c>
    </row>
    <row r="45" spans="2:25">
      <c r="B45" s="1">
        <f ca="1">TODAY()</f>
        <v>45607</v>
      </c>
      <c r="C45" s="2">
        <f ca="1">VLOOKUP(B45,Tabla4[],2,FALSE)</f>
        <v>4346.7</v>
      </c>
      <c r="D45" s="3">
        <f ca="1">VLOOKUP(B45,Tabla4[],3,FALSE)</f>
        <v>87272.61</v>
      </c>
      <c r="E45" s="2">
        <f ca="1">VLOOKUP(B45,Tabla4[],5,FALSE)</f>
        <v>3355.6</v>
      </c>
      <c r="F45" s="2">
        <f ca="1">VLOOKUP(B45,Tabla4[],4,FALSE)</f>
        <v>2.69</v>
      </c>
      <c r="G45" t="s">
        <v>14</v>
      </c>
      <c r="H45" s="1">
        <v>45537</v>
      </c>
      <c r="I45" s="3">
        <f>VLOOKUP(H45,Tabla4[],2,FALSE)</f>
        <v>4160.3100000000004</v>
      </c>
      <c r="J45" s="3">
        <v>56272.800000000003</v>
      </c>
      <c r="K45" s="25">
        <v>2.9900000000000002E-6</v>
      </c>
      <c r="L45" s="29">
        <f>Tabla6[[#This Row],[precio de compra]]*Tabla6[[#This Row],[cantidad]]*Tabla6[[#This Row],[PRECIO DEL DÓLAR, DIA COMPRA]]</f>
        <v>699.99575477832013</v>
      </c>
      <c r="M45" s="26">
        <f ca="1" xml:space="preserve"> K45 * (IF(G45="BTC", D45, IF(G45="ETH", E45, IF(G45="IO.NET", F45, 0)))) * C45</f>
        <v>1134.25008312213</v>
      </c>
      <c r="N45" s="41">
        <f ca="1">IF(G45 = "BTC", (D45 - J45) / J45,
 IF(G45 = "ETH", (E45 - J45) / J45,
 IF(G45 = "IO.NET", (F45 - J45) / J45,
 "Moneda no soportada")))</f>
        <v>0.55088444150637605</v>
      </c>
      <c r="O45" s="28">
        <v>0.25</v>
      </c>
      <c r="P45" s="28">
        <v>0.5</v>
      </c>
      <c r="Q45" s="31" t="str">
        <f ca="1">IF(N45 &lt; O45, "MANTENER", IF(N45 &lt; P45, "VENTA PARCIAL", "VENDER"))</f>
        <v>VENDER</v>
      </c>
      <c r="T45" s="2"/>
      <c r="U45" s="14">
        <f>Tabla6[[#This Row],[cantidad]]-Tabla6[[#This Row],[CANTIDAD VENDIDA]]</f>
        <v>2.9900000000000002E-6</v>
      </c>
      <c r="V45" s="2">
        <f ca="1">IF(G45="BTC", D45 * U45 * C45, IF(G45="ETH", E45 * U45 * C45, IF(G45="IO.NET", F45 * U45 * C45, 0)))</f>
        <v>1134.25008312213</v>
      </c>
      <c r="W45" s="2">
        <f>IF(G45 = "BTC", ((T45 - L45)), IF(G45 = "ETH", ((T45 - L45)), IF(G45 = "IO.NET", ((T45 - L45)), "Moneda no soportada")))</f>
        <v>-699.99575477832013</v>
      </c>
      <c r="X45" s="32">
        <f ca="1">IF(G45 = "BTC", (((D45 - J45) / J45)),IF(G45 = "ETH", ((E45 - J45) / J45), IF(G45 = "IO.NET", ((F45 - J45) / J45), "Moneda no soportada")))</f>
        <v>0.55088444150637605</v>
      </c>
      <c r="Y45" s="2" t="str">
        <f>IF(U45=0,"VENDIDA","ACTIVA")</f>
        <v>ACTIVA</v>
      </c>
    </row>
    <row r="46" spans="2:25">
      <c r="B46" s="1">
        <f ca="1">TODAY()</f>
        <v>45607</v>
      </c>
      <c r="C46" s="2">
        <f ca="1">VLOOKUP(B46,Tabla4[],2,FALSE)</f>
        <v>4346.7</v>
      </c>
      <c r="D46" s="3">
        <f ca="1">VLOOKUP(B46,Tabla4[],3,FALSE)</f>
        <v>87272.61</v>
      </c>
      <c r="E46" s="2">
        <f ca="1">VLOOKUP(B46,Tabla4[],5,FALSE)</f>
        <v>3355.6</v>
      </c>
      <c r="F46" s="2">
        <f ca="1">VLOOKUP(B46,Tabla4[],4,FALSE)</f>
        <v>2.69</v>
      </c>
      <c r="G46" t="s">
        <v>15</v>
      </c>
      <c r="H46" s="1">
        <v>45537</v>
      </c>
      <c r="I46" s="3">
        <f>VLOOKUP(H46,Tabla4[],2,FALSE)</f>
        <v>4160.3100000000004</v>
      </c>
      <c r="J46" s="3">
        <v>2415.7600000000002</v>
      </c>
      <c r="K46" s="25">
        <v>6.9649999999999999E-5</v>
      </c>
      <c r="L46" s="29">
        <f>Tabla6[[#This Row],[precio de compra]]*Tabla6[[#This Row],[cantidad]]*Tabla6[[#This Row],[PRECIO DEL DÓLAR, DIA COMPRA]]</f>
        <v>700.00412532204018</v>
      </c>
      <c r="M46" s="26">
        <f ca="1" xml:space="preserve"> K46 * (IF(G46="BTC", D46, IF(G46="ETH", E46, IF(G46="IO.NET", F46, 0)))) * C46</f>
        <v>1015.900031118</v>
      </c>
      <c r="N46" s="41">
        <f ca="1">IF(G46 = "BTC", (D46 - J46) / J46,
 IF(G46 = "ETH", (E46 - J46) / J46,
 IF(G46 = "IO.NET", (F46 - J46) / J46,
 "Moneda no soportada")))</f>
        <v>0.38904526939762213</v>
      </c>
      <c r="O46" s="28">
        <v>0.25</v>
      </c>
      <c r="P46" s="28">
        <v>0.5</v>
      </c>
      <c r="Q46" s="31" t="str">
        <f ca="1">IF(N46 &lt; O46, "MANTENER", IF(N46 &lt; P46, "VENTA PARCIAL", "VENDER"))</f>
        <v>VENTA PARCIAL</v>
      </c>
      <c r="T46" s="2"/>
      <c r="U46" s="14">
        <f>Tabla6[[#This Row],[cantidad]]-Tabla6[[#This Row],[CANTIDAD VENDIDA]]</f>
        <v>6.9649999999999999E-5</v>
      </c>
      <c r="V46" s="2">
        <f ca="1">IF(G46="BTC", D46 * U46 * C46, IF(G46="ETH", E46 * U46 * C46, IF(G46="IO.NET", F46 * U46 * C46, 0)))</f>
        <v>1015.900031118</v>
      </c>
      <c r="W46" s="2">
        <f>IF(G46 = "BTC", ((T46 - L46)), IF(G46 = "ETH", ((T46 - L46)), IF(G46 = "IO.NET", ((T46 - L46)), "Moneda no soportada")))</f>
        <v>-700.00412532204018</v>
      </c>
      <c r="X46" s="32">
        <f ca="1">IF(G46 = "BTC", (((D46 - J46) / J46)),IF(G46 = "ETH", ((E46 - J46) / J46), IF(G46 = "IO.NET", ((F46 - J46) / J46), "Moneda no soportada")))</f>
        <v>0.38904526939762213</v>
      </c>
      <c r="Y46" s="2" t="str">
        <f>IF(U46=0,"VENDIDA","ACTIVA")</f>
        <v>ACTIVA</v>
      </c>
    </row>
    <row r="47" spans="2:25">
      <c r="B47" s="1">
        <f ca="1">TODAY()</f>
        <v>45607</v>
      </c>
      <c r="C47" s="2">
        <f ca="1">VLOOKUP(B47,Tabla4[],2,FALSE)</f>
        <v>4346.7</v>
      </c>
      <c r="D47" s="3">
        <f ca="1">VLOOKUP(B47,Tabla4[],3,FALSE)</f>
        <v>87272.61</v>
      </c>
      <c r="E47" s="2">
        <f ca="1">VLOOKUP(B47,Tabla4[],5,FALSE)</f>
        <v>3355.6</v>
      </c>
      <c r="F47" s="2">
        <f ca="1">VLOOKUP(B47,Tabla4[],4,FALSE)</f>
        <v>2.69</v>
      </c>
      <c r="G47" t="s">
        <v>41</v>
      </c>
      <c r="H47" s="1">
        <v>45537</v>
      </c>
      <c r="I47" s="3">
        <f>VLOOKUP(H47,Tabla4[],2,FALSE)</f>
        <v>4160.3100000000004</v>
      </c>
      <c r="J47" s="3">
        <v>1.3929</v>
      </c>
      <c r="K47" s="25">
        <v>6.0397489999999998E-2</v>
      </c>
      <c r="L47" s="29">
        <f>Tabla6[[#This Row],[precio de compra]]*Tabla6[[#This Row],[cantidad]]*Tabla6[[#This Row],[PRECIO DEL DÓLAR, DIA COMPRA]]</f>
        <v>349.99716107114455</v>
      </c>
      <c r="M47" s="26">
        <f ca="1" xml:space="preserve"> K47 * (IF(G47="BTC", D47, IF(G47="ETH", E47, IF(G47="IO.NET", F47, 0)))) * C47</f>
        <v>706.20508071626989</v>
      </c>
      <c r="N47" s="41">
        <f ca="1">IF(G47 = "BTC", (D47 - J47) / J47,
 IF(G47 = "ETH", (E47 - J47) / J47,
 IF(G47 = "IO.NET", (F47 - J47) / J47,
 "Moneda no soportada")))</f>
        <v>0.93122262904731123</v>
      </c>
      <c r="O47" s="28">
        <v>0.1</v>
      </c>
      <c r="P47" s="28">
        <v>0.3</v>
      </c>
      <c r="Q47" s="31" t="str">
        <f ca="1">IF(N47 &lt; O47, "MANTENER", IF(N47 &lt; P47, "VENTA PARCIAL", "VENDER"))</f>
        <v>VENDER</v>
      </c>
      <c r="T47" s="2"/>
      <c r="U47" s="14">
        <f>Tabla6[[#This Row],[cantidad]]-Tabla6[[#This Row],[CANTIDAD VENDIDA]]</f>
        <v>6.0397489999999998E-2</v>
      </c>
      <c r="V47" s="2">
        <f ca="1">IF(G47="BTC", D47 * U47 * C47, IF(G47="ETH", E47 * U47 * C47, IF(G47="IO.NET", F47 * U47 * C47, 0)))</f>
        <v>706.20508071626989</v>
      </c>
      <c r="W47" s="2">
        <f>IF(G47 = "BTC", ((T47 - L47)), IF(G47 = "ETH", ((T47 - L47)), IF(G47 = "IO.NET", ((T47 - L47)), "Moneda no soportada")))</f>
        <v>-349.99716107114455</v>
      </c>
      <c r="X47" s="32">
        <f ca="1">IF(G47 = "BTC", (((D47 - J47) / J47)),IF(G47 = "ETH", ((E47 - J47) / J47), IF(G47 = "IO.NET", ((F47 - J47) / J47), "Moneda no soportada")))</f>
        <v>0.93122262904731123</v>
      </c>
      <c r="Y47" s="2" t="str">
        <f>IF(U47=0,"VENDIDA","ACTIVA")</f>
        <v>ACTIVA</v>
      </c>
    </row>
    <row r="48" spans="2:25">
      <c r="B48" s="1">
        <f ca="1">TODAY()</f>
        <v>45607</v>
      </c>
      <c r="C48" s="2">
        <f ca="1">VLOOKUP(B48,Tabla4[],2,FALSE)</f>
        <v>4346.7</v>
      </c>
      <c r="D48" s="3">
        <f ca="1">VLOOKUP(B48,Tabla4[],3,FALSE)</f>
        <v>87272.61</v>
      </c>
      <c r="E48" s="2">
        <f ca="1">VLOOKUP(B48,Tabla4[],5,FALSE)</f>
        <v>3355.6</v>
      </c>
      <c r="F48" s="2">
        <f ca="1">VLOOKUP(B48,Tabla4[],4,FALSE)</f>
        <v>2.69</v>
      </c>
      <c r="G48" t="s">
        <v>14</v>
      </c>
      <c r="H48" s="1">
        <v>45544</v>
      </c>
      <c r="I48" s="3">
        <f>VLOOKUP(H48,Tabla4[],2,FALSE)</f>
        <v>4149.79</v>
      </c>
      <c r="J48" s="3">
        <v>54414</v>
      </c>
      <c r="K48" s="25">
        <v>3.1E-6</v>
      </c>
      <c r="L48" s="29">
        <f>Tabla6[[#This Row],[precio de compra]]*Tabla6[[#This Row],[cantidad]]*Tabla6[[#This Row],[PRECIO DEL DÓLAR, DIA COMPRA]]</f>
        <v>700.00068648600006</v>
      </c>
      <c r="M48" s="26">
        <f ca="1" xml:space="preserve"> K48 * (IF(G48="BTC", D48, IF(G48="ETH", E48, IF(G48="IO.NET", F48, 0)))) * C48</f>
        <v>1175.9783470497</v>
      </c>
      <c r="N48" s="41">
        <f ca="1">IF(G48 = "BTC", (D48 - J48) / J48,
 IF(G48 = "ETH", (E48 - J48) / J48,
 IF(G48 = "IO.NET", (F48 - J48) / J48,
 "Moneda no soportada")))</f>
        <v>0.60386316021612085</v>
      </c>
      <c r="O48" s="28">
        <v>0.25</v>
      </c>
      <c r="P48" s="28">
        <v>0.5</v>
      </c>
      <c r="Q48" s="31" t="str">
        <f ca="1">IF(N48 &lt; O48, "MANTENER", IF(N48 &lt; P48, "VENTA PARCIAL", "VENDER"))</f>
        <v>VENDER</v>
      </c>
      <c r="T48" s="2"/>
      <c r="U48" s="14">
        <f>Tabla6[[#This Row],[cantidad]]-Tabla6[[#This Row],[CANTIDAD VENDIDA]]</f>
        <v>3.1E-6</v>
      </c>
      <c r="V48" s="2">
        <f ca="1">IF(G48="BTC", D48 * U48 * C48, IF(G48="ETH", E48 * U48 * C48, IF(G48="IO.NET", F48 * U48 * C48, 0)))</f>
        <v>1175.9783470497</v>
      </c>
      <c r="W48" s="2">
        <f>IF(G48 = "BTC", ((T48 - L48)), IF(G48 = "ETH", ((T48 - L48)), IF(G48 = "IO.NET", ((T48 - L48)), "Moneda no soportada")))</f>
        <v>-700.00068648600006</v>
      </c>
      <c r="X48" s="32">
        <f ca="1">IF(G48 = "BTC", (((D48 - J48) / J48)),IF(G48 = "ETH", ((E48 - J48) / J48), IF(G48 = "IO.NET", ((F48 - J48) / J48), "Moneda no soportada")))</f>
        <v>0.60386316021612085</v>
      </c>
      <c r="Y48" s="2" t="str">
        <f>IF(U48=0,"VENDIDA","ACTIVA")</f>
        <v>ACTIVA</v>
      </c>
    </row>
    <row r="49" spans="2:25">
      <c r="B49" s="1">
        <f ca="1">TODAY()</f>
        <v>45607</v>
      </c>
      <c r="C49" s="2">
        <f ca="1">VLOOKUP(B49,Tabla4[],2,FALSE)</f>
        <v>4346.7</v>
      </c>
      <c r="D49" s="3">
        <f ca="1">VLOOKUP(B49,Tabla4[],3,FALSE)</f>
        <v>87272.61</v>
      </c>
      <c r="E49" s="2">
        <f ca="1">VLOOKUP(B49,Tabla4[],5,FALSE)</f>
        <v>3355.6</v>
      </c>
      <c r="F49" s="2">
        <f ca="1">VLOOKUP(B49,Tabla4[],4,FALSE)</f>
        <v>2.69</v>
      </c>
      <c r="G49" t="s">
        <v>15</v>
      </c>
      <c r="H49" s="1">
        <v>45544</v>
      </c>
      <c r="I49" s="3">
        <f>VLOOKUP(H49,Tabla4[],2,FALSE)</f>
        <v>4149.79</v>
      </c>
      <c r="J49" s="3">
        <v>2282.59</v>
      </c>
      <c r="K49" s="25">
        <v>7.3899999999999994E-5</v>
      </c>
      <c r="L49" s="29">
        <f>Tabla6[[#This Row],[precio de compra]]*Tabla6[[#This Row],[cantidad]]*Tabla6[[#This Row],[PRECIO DEL DÓLAR, DIA COMPRA]]</f>
        <v>700.00069063578997</v>
      </c>
      <c r="M49" s="26">
        <f ca="1" xml:space="preserve"> K49 * (IF(G49="BTC", D49, IF(G49="ETH", E49, IF(G49="IO.NET", F49, 0)))) * C49</f>
        <v>1077.8896238279999</v>
      </c>
      <c r="N49" s="41">
        <f ca="1">IF(G49 = "BTC", (D49 - J49) / J49,
 IF(G49 = "ETH", (E49 - J49) / J49,
 IF(G49 = "IO.NET", (F49 - J49) / J49,
 "Moneda no soportada")))</f>
        <v>0.47008442164383429</v>
      </c>
      <c r="O49" s="28">
        <v>0.25</v>
      </c>
      <c r="P49" s="28">
        <v>0.5</v>
      </c>
      <c r="Q49" s="31" t="str">
        <f ca="1">IF(N49 &lt; O49, "MANTENER", IF(N49 &lt; P49, "VENTA PARCIAL", "VENDER"))</f>
        <v>VENTA PARCIAL</v>
      </c>
      <c r="T49" s="2"/>
      <c r="U49" s="14">
        <f>Tabla6[[#This Row],[cantidad]]-Tabla6[[#This Row],[CANTIDAD VENDIDA]]</f>
        <v>7.3899999999999994E-5</v>
      </c>
      <c r="V49" s="2">
        <f ca="1">IF(G49="BTC", D49 * U49 * C49, IF(G49="ETH", E49 * U49 * C49, IF(G49="IO.NET", F49 * U49 * C49, 0)))</f>
        <v>1077.8896238279999</v>
      </c>
      <c r="W49" s="2">
        <f>IF(G49 = "BTC", ((T49 - L49)), IF(G49 = "ETH", ((T49 - L49)), IF(G49 = "IO.NET", ((T49 - L49)), "Moneda no soportada")))</f>
        <v>-700.00069063578997</v>
      </c>
      <c r="X49" s="32">
        <f ca="1">IF(G49 = "BTC", (((D49 - J49) / J49)),IF(G49 = "ETH", ((E49 - J49) / J49), IF(G49 = "IO.NET", ((F49 - J49) / J49), "Moneda no soportada")))</f>
        <v>0.47008442164383429</v>
      </c>
      <c r="Y49" s="2" t="str">
        <f>IF(U49=0,"VENDIDA","ACTIVA")</f>
        <v>ACTIVA</v>
      </c>
    </row>
    <row r="50" spans="2:25">
      <c r="B50" s="1">
        <f ca="1">TODAY()</f>
        <v>45607</v>
      </c>
      <c r="C50" s="2">
        <f ca="1">VLOOKUP(B50,Tabla4[],2,FALSE)</f>
        <v>4346.7</v>
      </c>
      <c r="D50" s="3">
        <f ca="1">VLOOKUP(B50,Tabla4[],3,FALSE)</f>
        <v>87272.61</v>
      </c>
      <c r="E50" s="2">
        <f ca="1">VLOOKUP(B50,Tabla4[],5,FALSE)</f>
        <v>3355.6</v>
      </c>
      <c r="F50" s="2">
        <f ca="1">VLOOKUP(B50,Tabla4[],4,FALSE)</f>
        <v>2.69</v>
      </c>
      <c r="G50" t="s">
        <v>41</v>
      </c>
      <c r="H50" s="1">
        <v>45544</v>
      </c>
      <c r="I50" s="3">
        <f>VLOOKUP(H50,Tabla4[],2,FALSE)</f>
        <v>4149.79</v>
      </c>
      <c r="J50" s="3">
        <v>1.5613999999999999</v>
      </c>
      <c r="K50" s="25">
        <v>5.4016019999999998E-2</v>
      </c>
      <c r="L50" s="29">
        <f>Tabla6[[#This Row],[precio de compra]]*Tabla6[[#This Row],[cantidad]]*Tabla6[[#This Row],[PRECIO DEL DÓLAR, DIA COMPRA]]</f>
        <v>349.9958350273381</v>
      </c>
      <c r="M50" s="26">
        <f ca="1" xml:space="preserve"> K50 * (IF(G50="BTC", D50, IF(G50="ETH", E50, IF(G50="IO.NET", F50, 0)))) * C50</f>
        <v>631.58895782046</v>
      </c>
      <c r="N50" s="41">
        <f ca="1">IF(G50 = "BTC", (D50 - J50) / J50,
 IF(G50 = "ETH", (E50 - J50) / J50,
 IF(G50 = "IO.NET", (F50 - J50) / J50,
 "Moneda no soportada")))</f>
        <v>0.72281286025361857</v>
      </c>
      <c r="O50" s="28">
        <v>0.1</v>
      </c>
      <c r="P50" s="28">
        <v>0.3</v>
      </c>
      <c r="Q50" s="31" t="str">
        <f ca="1">IF(N50 &lt; O50, "MANTENER", IF(N50 &lt; P50, "VENTA PARCIAL", "VENDER"))</f>
        <v>VENDER</v>
      </c>
      <c r="T50" s="2"/>
      <c r="U50" s="14">
        <f>Tabla6[[#This Row],[cantidad]]-Tabla6[[#This Row],[CANTIDAD VENDIDA]]</f>
        <v>5.4016019999999998E-2</v>
      </c>
      <c r="V50" s="2">
        <f ca="1">IF(G50="BTC", D50 * U50 * C50, IF(G50="ETH", E50 * U50 * C50, IF(G50="IO.NET", F50 * U50 * C50, 0)))</f>
        <v>631.58895782046</v>
      </c>
      <c r="W50" s="2">
        <f>IF(G50 = "BTC", ((T50 - L50)), IF(G50 = "ETH", ((T50 - L50)), IF(G50 = "IO.NET", ((T50 - L50)), "Moneda no soportada")))</f>
        <v>-349.9958350273381</v>
      </c>
      <c r="X50" s="32">
        <f ca="1">IF(G50 = "BTC", (((D50 - J50) / J50)),IF(G50 = "ETH", ((E50 - J50) / J50), IF(G50 = "IO.NET", ((F50 - J50) / J50), "Moneda no soportada")))</f>
        <v>0.72281286025361857</v>
      </c>
      <c r="Y50" s="2" t="str">
        <f>IF(U50=0,"VENDIDA","ACTIVA")</f>
        <v>ACTIVA</v>
      </c>
    </row>
    <row r="51" spans="2:25">
      <c r="B51" s="1">
        <f ca="1">TODAY()</f>
        <v>45607</v>
      </c>
      <c r="C51" s="2">
        <f ca="1">VLOOKUP(B51,Tabla4[],2,FALSE)</f>
        <v>4346.7</v>
      </c>
      <c r="D51" s="3">
        <f ca="1">VLOOKUP(B51,Tabla4[],3,FALSE)</f>
        <v>87272.61</v>
      </c>
      <c r="E51" s="2">
        <f ca="1">VLOOKUP(B51,Tabla4[],5,FALSE)</f>
        <v>3355.6</v>
      </c>
      <c r="F51" s="2">
        <f ca="1">VLOOKUP(B51,Tabla4[],4,FALSE)</f>
        <v>2.69</v>
      </c>
      <c r="G51" t="s">
        <v>14</v>
      </c>
      <c r="H51" s="1">
        <v>45551</v>
      </c>
      <c r="I51" s="3">
        <f>VLOOKUP(H51,Tabla4[],2,FALSE)</f>
        <v>4172.13</v>
      </c>
      <c r="J51" s="3">
        <v>58055.63</v>
      </c>
      <c r="K51" s="25">
        <v>2.8899999999999999E-6</v>
      </c>
      <c r="L51" s="29">
        <f>Tabla6[[#This Row],[precio de compra]]*Tabla6[[#This Row],[cantidad]]*Tabla6[[#This Row],[PRECIO DEL DÓLAR, DIA COMPRA]]</f>
        <v>700.00318686059086</v>
      </c>
      <c r="M51" s="26">
        <f ca="1" xml:space="preserve"> K51 * (IF(G51="BTC", D51, IF(G51="ETH", E51, IF(G51="IO.NET", F51, 0)))) * C51</f>
        <v>1096.3152977334298</v>
      </c>
      <c r="N51" s="41">
        <f ca="1">IF(G51 = "BTC", (D51 - J51) / J51,
 IF(G51 = "ETH", (E51 - J51) / J51,
 IF(G51 = "IO.NET", (F51 - J51) / J51,
 "Moneda no soportada")))</f>
        <v>0.50325834031944883</v>
      </c>
      <c r="O51" s="28">
        <v>0.25</v>
      </c>
      <c r="P51" s="28">
        <v>0.5</v>
      </c>
      <c r="Q51" s="31" t="str">
        <f ca="1">IF(N51 &lt; O51, "MANTENER", IF(N51 &lt; P51, "VENTA PARCIAL", "VENDER"))</f>
        <v>VENDER</v>
      </c>
      <c r="T51" s="2"/>
      <c r="U51" s="14">
        <f>Tabla6[[#This Row],[cantidad]]-Tabla6[[#This Row],[CANTIDAD VENDIDA]]</f>
        <v>2.8899999999999999E-6</v>
      </c>
      <c r="V51" s="2">
        <f ca="1">IF(G51="BTC", D51 * U51 * C51, IF(G51="ETH", E51 * U51 * C51, IF(G51="IO.NET", F51 * U51 * C51, 0)))</f>
        <v>1096.3152977334298</v>
      </c>
      <c r="W51" s="2">
        <f>IF(G51 = "BTC", ((T51 - L51)), IF(G51 = "ETH", ((T51 - L51)), IF(G51 = "IO.NET", ((T51 - L51)), "Moneda no soportada")))</f>
        <v>-700.00318686059086</v>
      </c>
      <c r="X51" s="32">
        <f ca="1">IF(G51 = "BTC", (((D51 - J51) / J51)),IF(G51 = "ETH", ((E51 - J51) / J51), IF(G51 = "IO.NET", ((F51 - J51) / J51), "Moneda no soportada")))</f>
        <v>0.50325834031944883</v>
      </c>
      <c r="Y51" s="2" t="str">
        <f>IF(U51=0,"VENDIDA","ACTIVA")</f>
        <v>ACTIVA</v>
      </c>
    </row>
    <row r="52" spans="2:25">
      <c r="B52" s="1">
        <f ca="1">TODAY()</f>
        <v>45607</v>
      </c>
      <c r="C52" s="2">
        <f ca="1">VLOOKUP(B52,Tabla4[],2,FALSE)</f>
        <v>4346.7</v>
      </c>
      <c r="D52" s="3">
        <f ca="1">VLOOKUP(B52,Tabla4[],3,FALSE)</f>
        <v>87272.61</v>
      </c>
      <c r="E52" s="2">
        <f ca="1">VLOOKUP(B52,Tabla4[],5,FALSE)</f>
        <v>3355.6</v>
      </c>
      <c r="F52" s="2">
        <f ca="1">VLOOKUP(B52,Tabla4[],4,FALSE)</f>
        <v>2.69</v>
      </c>
      <c r="G52" t="s">
        <v>15</v>
      </c>
      <c r="H52" s="1">
        <v>45551</v>
      </c>
      <c r="I52" s="3">
        <f>VLOOKUP(H52,Tabla4[],2,FALSE)</f>
        <v>4172.13</v>
      </c>
      <c r="J52" s="3">
        <v>2269.46</v>
      </c>
      <c r="K52" s="25">
        <v>7.3930000000000005E-5</v>
      </c>
      <c r="L52" s="29">
        <f>Tabla6[[#This Row],[precio de compra]]*Tabla6[[#This Row],[cantidad]]*Tabla6[[#This Row],[PRECIO DEL DÓLAR, DIA COMPRA]]</f>
        <v>700.00488533471412</v>
      </c>
      <c r="M52" s="26">
        <f ca="1" xml:space="preserve"> K52 * (IF(G52="BTC", D52, IF(G52="ETH", E52, IF(G52="IO.NET", F52, 0)))) * C52</f>
        <v>1078.3271974236</v>
      </c>
      <c r="N52" s="41">
        <f ca="1">IF(G52 = "BTC", (D52 - J52) / J52,
 IF(G52 = "ETH", (E52 - J52) / J52,
 IF(G52 = "IO.NET", (F52 - J52) / J52,
 "Moneda no soportada")))</f>
        <v>0.47858962043834208</v>
      </c>
      <c r="O52" s="28">
        <v>0.25</v>
      </c>
      <c r="P52" s="28">
        <v>0.5</v>
      </c>
      <c r="Q52" s="31" t="str">
        <f ca="1">IF(N52 &lt; O52, "MANTENER", IF(N52 &lt; P52, "VENTA PARCIAL", "VENDER"))</f>
        <v>VENTA PARCIAL</v>
      </c>
      <c r="T52" s="2"/>
      <c r="U52" s="14">
        <f>Tabla6[[#This Row],[cantidad]]-Tabla6[[#This Row],[CANTIDAD VENDIDA]]</f>
        <v>7.3930000000000005E-5</v>
      </c>
      <c r="V52" s="2">
        <f ca="1">IF(G52="BTC", D52 * U52 * C52, IF(G52="ETH", E52 * U52 * C52, IF(G52="IO.NET", F52 * U52 * C52, 0)))</f>
        <v>1078.3271974236</v>
      </c>
      <c r="W52" s="2">
        <f>IF(G52 = "BTC", ((T52 - L52)), IF(G52 = "ETH", ((T52 - L52)), IF(G52 = "IO.NET", ((T52 - L52)), "Moneda no soportada")))</f>
        <v>-700.00488533471412</v>
      </c>
      <c r="X52" s="32">
        <f ca="1">IF(G52 = "BTC", (((D52 - J52) / J52)),IF(G52 = "ETH", ((E52 - J52) / J52), IF(G52 = "IO.NET", ((F52 - J52) / J52), "Moneda no soportada")))</f>
        <v>0.47858962043834208</v>
      </c>
      <c r="Y52" s="2" t="str">
        <f>IF(U52=0,"VENDIDA","ACTIVA")</f>
        <v>ACTIVA</v>
      </c>
    </row>
    <row r="53" spans="2:25">
      <c r="B53" s="1">
        <f ca="1">TODAY()</f>
        <v>45607</v>
      </c>
      <c r="C53" s="2">
        <f ca="1">VLOOKUP(B53,Tabla4[],2,FALSE)</f>
        <v>4346.7</v>
      </c>
      <c r="D53" s="3">
        <f ca="1">VLOOKUP(B53,Tabla4[],3,FALSE)</f>
        <v>87272.61</v>
      </c>
      <c r="E53" s="2">
        <f ca="1">VLOOKUP(B53,Tabla4[],5,FALSE)</f>
        <v>3355.6</v>
      </c>
      <c r="F53" s="2">
        <f ca="1">VLOOKUP(B53,Tabla4[],4,FALSE)</f>
        <v>2.69</v>
      </c>
      <c r="G53" t="s">
        <v>41</v>
      </c>
      <c r="H53" s="1">
        <v>45551</v>
      </c>
      <c r="I53" s="3">
        <f>VLOOKUP(H53,Tabla4[],2,FALSE)</f>
        <v>4172.13</v>
      </c>
      <c r="J53" s="3">
        <v>1.7242</v>
      </c>
      <c r="K53" s="25">
        <v>4.8654459999999997E-2</v>
      </c>
      <c r="L53" s="29">
        <f>Tabla6[[#This Row],[precio de compra]]*Tabla6[[#This Row],[cantidad]]*Tabla6[[#This Row],[PRECIO DEL DÓLAR, DIA COMPRA]]</f>
        <v>350.00006885889513</v>
      </c>
      <c r="M53" s="26">
        <f ca="1" xml:space="preserve"> K53 * (IF(G53="BTC", D53, IF(G53="ETH", E53, IF(G53="IO.NET", F53, 0)))) * C53</f>
        <v>568.89825804857992</v>
      </c>
      <c r="N53" s="41">
        <f ca="1">IF(G53 = "BTC", (D53 - J53) / J53,
 IF(G53 = "ETH", (E53 - J53) / J53,
 IF(G53 = "IO.NET", (F53 - J53) / J53,
 "Moneda no soportada")))</f>
        <v>0.56014383482194641</v>
      </c>
      <c r="O53" s="28">
        <v>0.1</v>
      </c>
      <c r="P53" s="28">
        <v>0.3</v>
      </c>
      <c r="Q53" s="31" t="str">
        <f ca="1">IF(N53 &lt; O53, "MANTENER", IF(N53 &lt; P53, "VENTA PARCIAL", "VENDER"))</f>
        <v>VENDER</v>
      </c>
      <c r="T53" s="2"/>
      <c r="U53" s="14">
        <f>Tabla6[[#This Row],[cantidad]]-Tabla6[[#This Row],[CANTIDAD VENDIDA]]</f>
        <v>4.8654459999999997E-2</v>
      </c>
      <c r="V53" s="2">
        <f ca="1">IF(G53="BTC", D53 * U53 * C53, IF(G53="ETH", E53 * U53 * C53, IF(G53="IO.NET", F53 * U53 * C53, 0)))</f>
        <v>568.89825804857992</v>
      </c>
      <c r="W53" s="2">
        <f>IF(G53 = "BTC", ((T53 - L53)), IF(G53 = "ETH", ((T53 - L53)), IF(G53 = "IO.NET", ((T53 - L53)), "Moneda no soportada")))</f>
        <v>-350.00006885889513</v>
      </c>
      <c r="X53" s="32">
        <f ca="1">IF(G53 = "BTC", (((D53 - J53) / J53)),IF(G53 = "ETH", ((E53 - J53) / J53), IF(G53 = "IO.NET", ((F53 - J53) / J53), "Moneda no soportada")))</f>
        <v>0.56014383482194641</v>
      </c>
      <c r="Y53" s="2" t="str">
        <f>IF(U53=0,"VENDIDA","ACTIVA")</f>
        <v>ACTIVA</v>
      </c>
    </row>
    <row r="54" spans="2:25">
      <c r="B54" s="1">
        <f ca="1">TODAY()</f>
        <v>45607</v>
      </c>
      <c r="C54" s="2">
        <f ca="1">VLOOKUP(B54,Tabla4[],2,FALSE)</f>
        <v>4346.7</v>
      </c>
      <c r="D54" s="3">
        <f ca="1">VLOOKUP(B54,Tabla4[],3,FALSE)</f>
        <v>87272.61</v>
      </c>
      <c r="E54" s="2">
        <f ca="1">VLOOKUP(B54,Tabla4[],5,FALSE)</f>
        <v>3355.6</v>
      </c>
      <c r="F54" s="2">
        <f ca="1">VLOOKUP(B54,Tabla4[],4,FALSE)</f>
        <v>2.69</v>
      </c>
      <c r="G54" t="s">
        <v>14</v>
      </c>
      <c r="H54" s="1">
        <v>45558</v>
      </c>
      <c r="I54" s="3">
        <f>VLOOKUP(H54,Tabla4[],2,FALSE)</f>
        <v>4153.9799999999996</v>
      </c>
      <c r="J54" s="7">
        <v>62644</v>
      </c>
      <c r="K54" s="25">
        <v>2.6900000000000001E-6</v>
      </c>
      <c r="L54" s="29">
        <f>Tabla6[[#This Row],[precio de compra]]*Tabla6[[#This Row],[cantidad]]*Tabla6[[#This Row],[PRECIO DEL DÓLAR, DIA COMPRA]]</f>
        <v>699.99697319279994</v>
      </c>
      <c r="M54" s="26">
        <f ca="1" xml:space="preserve"> K54 * (IF(G54="BTC", D54, IF(G54="ETH", E54, IF(G54="IO.NET", F54, 0)))) * C54</f>
        <v>1020.4457269560301</v>
      </c>
      <c r="N54" s="41">
        <f ca="1">IF(G54 = "BTC", (D54 - J54) / J54,
 IF(G54 = "ETH", (E54 - J54) / J54,
 IF(G54 = "IO.NET", (F54 - J54) / J54,
 "Moneda no soportada")))</f>
        <v>0.39315193793499775</v>
      </c>
      <c r="O54" s="28">
        <v>0.25</v>
      </c>
      <c r="P54" s="28">
        <v>0.5</v>
      </c>
      <c r="Q54" s="31" t="str">
        <f ca="1">IF(N54 &lt; O54, "MANTENER", IF(N54 &lt; P54, "VENTA PARCIAL", "VENDER"))</f>
        <v>VENTA PARCIAL</v>
      </c>
      <c r="T54" s="2"/>
      <c r="U54" s="14">
        <f>Tabla6[[#This Row],[cantidad]]-Tabla6[[#This Row],[CANTIDAD VENDIDA]]</f>
        <v>2.6900000000000001E-6</v>
      </c>
      <c r="V54" s="2">
        <f ca="1">IF(G54="BTC", D54 * U54 * C54, IF(G54="ETH", E54 * U54 * C54, IF(G54="IO.NET", F54 * U54 * C54, 0)))</f>
        <v>1020.4457269560301</v>
      </c>
      <c r="W54" s="2">
        <f>IF(G54 = "BTC", ((T54 - L54)), IF(G54 = "ETH", ((T54 - L54)), IF(G54 = "IO.NET", ((T54 - L54)), "Moneda no soportada")))</f>
        <v>-699.99697319279994</v>
      </c>
      <c r="X54" s="32">
        <f ca="1">IF(G54 = "BTC", (((D54 - J54) / J54)),IF(G54 = "ETH", ((E54 - J54) / J54), IF(G54 = "IO.NET", ((F54 - J54) / J54), "Moneda no soportada")))</f>
        <v>0.39315193793499775</v>
      </c>
      <c r="Y54" s="2" t="str">
        <f>IF(U54=0,"VENDIDA","ACTIVA")</f>
        <v>ACTIVA</v>
      </c>
    </row>
    <row r="55" spans="2:25">
      <c r="B55" s="1">
        <f ca="1">TODAY()</f>
        <v>45607</v>
      </c>
      <c r="C55" s="2">
        <f ca="1">VLOOKUP(B55,Tabla4[],2,FALSE)</f>
        <v>4346.7</v>
      </c>
      <c r="D55" s="3">
        <f ca="1">VLOOKUP(B55,Tabla4[],3,FALSE)</f>
        <v>87272.61</v>
      </c>
      <c r="E55" s="2">
        <f ca="1">VLOOKUP(B55,Tabla4[],5,FALSE)</f>
        <v>3355.6</v>
      </c>
      <c r="F55" s="2">
        <f ca="1">VLOOKUP(B55,Tabla4[],4,FALSE)</f>
        <v>2.69</v>
      </c>
      <c r="G55" t="s">
        <v>15</v>
      </c>
      <c r="H55" s="1">
        <v>45558</v>
      </c>
      <c r="I55" s="3">
        <f>VLOOKUP(H55,Tabla4[],2,FALSE)</f>
        <v>4153.9799999999996</v>
      </c>
      <c r="J55" s="3">
        <v>2598.92</v>
      </c>
      <c r="K55" s="25">
        <v>6.4839999999999996E-5</v>
      </c>
      <c r="L55" s="29">
        <f>Tabla6[[#This Row],[precio de compra]]*Tabla6[[#This Row],[cantidad]]*Tabla6[[#This Row],[PRECIO DEL DÓLAR, DIA COMPRA]]</f>
        <v>700.0036727317439</v>
      </c>
      <c r="M55" s="26">
        <f ca="1" xml:space="preserve"> K55 * (IF(G55="BTC", D55, IF(G55="ETH", E55, IF(G55="IO.NET", F55, 0)))) * C55</f>
        <v>945.74239795679989</v>
      </c>
      <c r="N55" s="41">
        <f ca="1">IF(G55 = "BTC", (D55 - J55) / J55,
 IF(G55 = "ETH", (E55 - J55) / J55,
 IF(G55 = "IO.NET", (F55 - J55) / J55,
 "Moneda no soportada")))</f>
        <v>0.29115170917150196</v>
      </c>
      <c r="O55" s="28">
        <v>0.25</v>
      </c>
      <c r="P55" s="28">
        <v>0.5</v>
      </c>
      <c r="Q55" s="31" t="str">
        <f ca="1">IF(N55 &lt; O55, "MANTENER", IF(N55 &lt; P55, "VENTA PARCIAL", "VENDER"))</f>
        <v>VENTA PARCIAL</v>
      </c>
      <c r="T55" s="2"/>
      <c r="U55" s="14">
        <f>Tabla6[[#This Row],[cantidad]]-Tabla6[[#This Row],[CANTIDAD VENDIDA]]</f>
        <v>6.4839999999999996E-5</v>
      </c>
      <c r="V55" s="2">
        <f ca="1">IF(G55="BTC", D55 * U55 * C55, IF(G55="ETH", E55 * U55 * C55, IF(G55="IO.NET", F55 * U55 * C55, 0)))</f>
        <v>945.74239795679989</v>
      </c>
      <c r="W55" s="2">
        <f>IF(G55 = "BTC", ((T55 - L55)), IF(G55 = "ETH", ((T55 - L55)), IF(G55 = "IO.NET", ((T55 - L55)), "Moneda no soportada")))</f>
        <v>-700.0036727317439</v>
      </c>
      <c r="X55" s="32">
        <f ca="1">IF(G55 = "BTC", (((D55 - J55) / J55)),IF(G55 = "ETH", ((E55 - J55) / J55), IF(G55 = "IO.NET", ((F55 - J55) / J55), "Moneda no soportada")))</f>
        <v>0.29115170917150196</v>
      </c>
      <c r="Y55" s="2" t="str">
        <f>IF(U55=0,"VENDIDA","ACTIVA")</f>
        <v>ACTIVA</v>
      </c>
    </row>
    <row r="56" spans="2:25">
      <c r="B56" s="1">
        <f ca="1">TODAY()</f>
        <v>45607</v>
      </c>
      <c r="C56" s="2">
        <f ca="1">VLOOKUP(B56,Tabla4[],2,FALSE)</f>
        <v>4346.7</v>
      </c>
      <c r="D56" s="3">
        <f ca="1">VLOOKUP(B56,Tabla4[],3,FALSE)</f>
        <v>87272.61</v>
      </c>
      <c r="E56" s="2">
        <f ca="1">VLOOKUP(B56,Tabla4[],5,FALSE)</f>
        <v>3355.6</v>
      </c>
      <c r="F56" s="2">
        <f ca="1">VLOOKUP(B56,Tabla4[],4,FALSE)</f>
        <v>2.69</v>
      </c>
      <c r="G56" t="s">
        <v>41</v>
      </c>
      <c r="H56" s="1">
        <v>45558</v>
      </c>
      <c r="I56" s="3">
        <f>VLOOKUP(H56,Tabla4[],2,FALSE)</f>
        <v>4153.9799999999996</v>
      </c>
      <c r="J56" s="3">
        <v>2.0857999999999999</v>
      </c>
      <c r="K56" s="25">
        <v>4.0395279999999999E-2</v>
      </c>
      <c r="L56" s="29">
        <f>Tabla6[[#This Row],[precio de compra]]*Tabla6[[#This Row],[cantidad]]*Tabla6[[#This Row],[PRECIO DEL DÓLAR, DIA COMPRA]]</f>
        <v>349.99971212019545</v>
      </c>
      <c r="M56" s="26">
        <f ca="1" xml:space="preserve"> K56 * (IF(G56="BTC", D56, IF(G56="ETH", E56, IF(G56="IO.NET", F56, 0)))) * C56</f>
        <v>472.32678001943992</v>
      </c>
      <c r="N56" s="41">
        <f ca="1">IF(G56 = "BTC", (D56 - J56) / J56,
 IF(G56 = "ETH", (E56 - J56) / J56,
 IF(G56 = "IO.NET", (F56 - J56) / J56,
 "Moneda no soportada")))</f>
        <v>0.28967302713587118</v>
      </c>
      <c r="O56" s="28">
        <v>0.1</v>
      </c>
      <c r="P56" s="28">
        <v>0.3</v>
      </c>
      <c r="Q56" s="31" t="str">
        <f ca="1">IF(N56 &lt; O56, "MANTENER", IF(N56 &lt; P56, "VENTA PARCIAL", "VENDER"))</f>
        <v>VENTA PARCIAL</v>
      </c>
      <c r="T56" s="2"/>
      <c r="U56" s="14">
        <f>Tabla6[[#This Row],[cantidad]]-Tabla6[[#This Row],[CANTIDAD VENDIDA]]</f>
        <v>4.0395279999999999E-2</v>
      </c>
      <c r="V56" s="2">
        <f ca="1">IF(G56="BTC", D56 * U56 * C56, IF(G56="ETH", E56 * U56 * C56, IF(G56="IO.NET", F56 * U56 * C56, 0)))</f>
        <v>472.32678001943992</v>
      </c>
      <c r="W56" s="2">
        <f>IF(G56 = "BTC", ((T56 - L56)), IF(G56 = "ETH", ((T56 - L56)), IF(G56 = "IO.NET", ((T56 - L56)), "Moneda no soportada")))</f>
        <v>-349.99971212019545</v>
      </c>
      <c r="X56" s="32">
        <f ca="1">IF(G56 = "BTC", (((D56 - J56) / J56)),IF(G56 = "ETH", ((E56 - J56) / J56), IF(G56 = "IO.NET", ((F56 - J56) / J56), "Moneda no soportada")))</f>
        <v>0.28967302713587118</v>
      </c>
      <c r="Y56" s="2" t="str">
        <f>IF(U56=0,"VENDIDA","ACTIVA")</f>
        <v>ACTIVA</v>
      </c>
    </row>
    <row r="57" spans="2:25">
      <c r="B57" s="1">
        <f ca="1">TODAY()</f>
        <v>45607</v>
      </c>
      <c r="C57" s="2">
        <f ca="1">VLOOKUP(B57,Tabla4[],2,FALSE)</f>
        <v>4346.7</v>
      </c>
      <c r="D57" s="3">
        <f ca="1">VLOOKUP(B57,Tabla4[],3,FALSE)</f>
        <v>87272.61</v>
      </c>
      <c r="E57" s="2">
        <f ca="1">VLOOKUP(B57,Tabla4[],5,FALSE)</f>
        <v>3355.6</v>
      </c>
      <c r="F57" s="2">
        <f ca="1">VLOOKUP(B57,Tabla4[],4,FALSE)</f>
        <v>2.69</v>
      </c>
      <c r="G57" t="s">
        <v>14</v>
      </c>
      <c r="H57" s="1">
        <v>45565</v>
      </c>
      <c r="I57" s="3">
        <v>4000</v>
      </c>
      <c r="J57" s="3">
        <v>64338.16</v>
      </c>
      <c r="K57" s="25">
        <v>2.7199999999999998E-6</v>
      </c>
      <c r="L57" s="29">
        <f>Tabla6[[#This Row],[precio de compra]]*Tabla6[[#This Row],[cantidad]]*Tabla6[[#This Row],[PRECIO DEL DÓLAR, DIA COMPRA]]</f>
        <v>699.99918079999998</v>
      </c>
      <c r="M57" s="26">
        <f ca="1" xml:space="preserve"> K57 * (IF(G57="BTC", D57, IF(G57="ETH", E57, IF(G57="IO.NET", F57, 0)))) * C57</f>
        <v>1031.82616257264</v>
      </c>
      <c r="N57" s="41">
        <f ca="1">IF(G57 = "BTC", (D57 - J57) / J57,
 IF(G57 = "ETH", (E57 - J57) / J57,
 IF(G57 = "IO.NET", (F57 - J57) / J57,
 "Moneda no soportada")))</f>
        <v>0.35646729716858544</v>
      </c>
      <c r="O57" s="28">
        <v>0.25</v>
      </c>
      <c r="P57" s="28">
        <v>0.5</v>
      </c>
      <c r="Q57" s="31" t="str">
        <f ca="1">IF(N57 &lt; O57, "MANTENER", IF(N57 &lt; P57, "VENTA PARCIAL", "VENDER"))</f>
        <v>VENTA PARCIAL</v>
      </c>
      <c r="T57" s="2"/>
      <c r="U57" s="14">
        <f>Tabla6[[#This Row],[cantidad]]-Tabla6[[#This Row],[CANTIDAD VENDIDA]]</f>
        <v>2.7199999999999998E-6</v>
      </c>
      <c r="V57" s="2">
        <f ca="1">IF(G57="BTC", D57 * U57 * C57, IF(G57="ETH", E57 * U57 * C57, IF(G57="IO.NET", F57 * U57 * C57, 0)))</f>
        <v>1031.82616257264</v>
      </c>
      <c r="W57" s="2">
        <f>IF(G57 = "BTC", ((T57 - L57)), IF(G57 = "ETH", ((T57 - L57)), IF(G57 = "IO.NET", ((T57 - L57)), "Moneda no soportada")))</f>
        <v>-699.99918079999998</v>
      </c>
      <c r="X57" s="32">
        <f ca="1">IF(G57 = "BTC", (((D57 - J57) / J57)),IF(G57 = "ETH", ((E57 - J57) / J57), IF(G57 = "IO.NET", ((F57 - J57) / J57), "Moneda no soportada")))</f>
        <v>0.35646729716858544</v>
      </c>
      <c r="Y57" s="2" t="str">
        <f>IF(U57=0,"VENDIDA","ACTIVA")</f>
        <v>ACTIVA</v>
      </c>
    </row>
    <row r="58" spans="2:25">
      <c r="B58" s="1">
        <f ca="1">TODAY()</f>
        <v>45607</v>
      </c>
      <c r="C58" s="2">
        <f ca="1">VLOOKUP(B58,Tabla4[],2,FALSE)</f>
        <v>4346.7</v>
      </c>
      <c r="D58" s="3">
        <f ca="1">VLOOKUP(B58,Tabla4[],3,FALSE)</f>
        <v>87272.61</v>
      </c>
      <c r="E58" s="2">
        <f ca="1">VLOOKUP(B58,Tabla4[],5,FALSE)</f>
        <v>3355.6</v>
      </c>
      <c r="F58" s="2">
        <f ca="1">VLOOKUP(B58,Tabla4[],4,FALSE)</f>
        <v>2.69</v>
      </c>
      <c r="G58" t="s">
        <v>15</v>
      </c>
      <c r="H58" s="1">
        <v>45565</v>
      </c>
      <c r="I58" s="3">
        <v>4000</v>
      </c>
      <c r="J58" s="3">
        <v>2622.5</v>
      </c>
      <c r="K58" s="25">
        <v>6.6730000000000007E-5</v>
      </c>
      <c r="L58" s="29">
        <f>Tabla6[[#This Row],[precio de compra]]*Tabla6[[#This Row],[cantidad]]*Tabla6[[#This Row],[PRECIO DEL DÓLAR, DIA COMPRA]]</f>
        <v>699.99770000000001</v>
      </c>
      <c r="M58" s="26">
        <f ca="1" xml:space="preserve"> K58 * (IF(G58="BTC", D58, IF(G58="ETH", E58, IF(G58="IO.NET", F58, 0)))) * C58</f>
        <v>973.30953447960007</v>
      </c>
      <c r="N58" s="41">
        <f ca="1">IF(G58 = "BTC", (D58 - J58) / J58,
 IF(G58 = "ETH", (E58 - J58) / J58,
 IF(G58 = "IO.NET", (F58 - J58) / J58,
 "Moneda no soportada")))</f>
        <v>0.27954242135367013</v>
      </c>
      <c r="O58" s="28">
        <v>0.25</v>
      </c>
      <c r="P58" s="28">
        <v>0.5</v>
      </c>
      <c r="Q58" s="31" t="str">
        <f ca="1">IF(N58 &lt; O58, "MANTENER", IF(N58 &lt; P58, "VENTA PARCIAL", "VENDER"))</f>
        <v>VENTA PARCIAL</v>
      </c>
      <c r="T58" s="2"/>
      <c r="U58" s="14">
        <f>Tabla6[[#This Row],[cantidad]]-Tabla6[[#This Row],[CANTIDAD VENDIDA]]</f>
        <v>6.6730000000000007E-5</v>
      </c>
      <c r="V58" s="2">
        <f ca="1">IF(G58="BTC", D58 * U58 * C58, IF(G58="ETH", E58 * U58 * C58, IF(G58="IO.NET", F58 * U58 * C58, 0)))</f>
        <v>973.30953447960007</v>
      </c>
      <c r="W58" s="2">
        <f>IF(G58 = "BTC", ((T58 - L58)), IF(G58 = "ETH", ((T58 - L58)), IF(G58 = "IO.NET", ((T58 - L58)), "Moneda no soportada")))</f>
        <v>-699.99770000000001</v>
      </c>
      <c r="X58" s="32">
        <f ca="1">IF(G58 = "BTC", (((D58 - J58) / J58)),IF(G58 = "ETH", ((E58 - J58) / J58), IF(G58 = "IO.NET", ((F58 - J58) / J58), "Moneda no soportada")))</f>
        <v>0.27954242135367013</v>
      </c>
      <c r="Y58" s="2" t="str">
        <f>IF(U58=0,"VENDIDA","ACTIVA")</f>
        <v>ACTIVA</v>
      </c>
    </row>
    <row r="59" spans="2:25">
      <c r="B59" s="1">
        <f ca="1">TODAY()</f>
        <v>45607</v>
      </c>
      <c r="C59" s="2">
        <f ca="1">VLOOKUP(B59,Tabla4[],2,FALSE)</f>
        <v>4346.7</v>
      </c>
      <c r="D59" s="3">
        <f ca="1">VLOOKUP(B59,Tabla4[],3,FALSE)</f>
        <v>87272.61</v>
      </c>
      <c r="E59" s="2">
        <f ca="1">VLOOKUP(B59,Tabla4[],5,FALSE)</f>
        <v>3355.6</v>
      </c>
      <c r="F59" s="2">
        <f ca="1">VLOOKUP(B59,Tabla4[],4,FALSE)</f>
        <v>2.69</v>
      </c>
      <c r="G59" t="s">
        <v>41</v>
      </c>
      <c r="H59" s="1">
        <v>45565</v>
      </c>
      <c r="I59" s="3">
        <v>4000</v>
      </c>
      <c r="J59" s="3">
        <v>2.07972</v>
      </c>
      <c r="K59" s="25">
        <v>4.2072680000000001E-2</v>
      </c>
      <c r="L59" s="29">
        <f>Tabla6[[#This Row],[precio de compra]]*Tabla6[[#This Row],[cantidad]]*Tabla6[[#This Row],[PRECIO DEL DÓLAR, DIA COMPRA]]</f>
        <v>349.9975761984</v>
      </c>
      <c r="M59" s="26">
        <f ca="1" xml:space="preserve"> K59 * (IF(G59="BTC", D59, IF(G59="ETH", E59, IF(G59="IO.NET", F59, 0)))) * C59</f>
        <v>491.93998583963997</v>
      </c>
      <c r="N59" s="41">
        <f ca="1">IF(G59 = "BTC", (D59 - J59) / J59,
 IF(G59 = "ETH", (E59 - J59) / J59,
 IF(G59 = "IO.NET", (F59 - J59) / J59,
 "Moneda no soportada")))</f>
        <v>0.2934433481430192</v>
      </c>
      <c r="O59" s="28">
        <v>0.1</v>
      </c>
      <c r="P59" s="28">
        <v>0.3</v>
      </c>
      <c r="Q59" s="31" t="str">
        <f ca="1">IF(N59 &lt; O59, "MANTENER", IF(N59 &lt; P59, "VENTA PARCIAL", "VENDER"))</f>
        <v>VENTA PARCIAL</v>
      </c>
      <c r="T59" s="2"/>
      <c r="U59" s="14">
        <f>Tabla6[[#This Row],[cantidad]]-Tabla6[[#This Row],[CANTIDAD VENDIDA]]</f>
        <v>4.2072680000000001E-2</v>
      </c>
      <c r="V59" s="2">
        <f ca="1">IF(G59="BTC", D59 * U59 * C59, IF(G59="ETH", E59 * U59 * C59, IF(G59="IO.NET", F59 * U59 * C59, 0)))</f>
        <v>491.93998583963997</v>
      </c>
      <c r="W59" s="2">
        <f>IF(G59 = "BTC", ((T59 - L59)), IF(G59 = "ETH", ((T59 - L59)), IF(G59 = "IO.NET", ((T59 - L59)), "Moneda no soportada")))</f>
        <v>-349.9975761984</v>
      </c>
      <c r="X59" s="32">
        <f ca="1">IF(G59 = "BTC", (((D59 - J59) / J59)),IF(G59 = "ETH", ((E59 - J59) / J59), IF(G59 = "IO.NET", ((F59 - J59) / J59), "Moneda no soportada")))</f>
        <v>0.2934433481430192</v>
      </c>
      <c r="Y59" s="2" t="str">
        <f>IF(U59=0,"VENDIDA","ACTIVA")</f>
        <v>ACTIVA</v>
      </c>
    </row>
    <row r="60" spans="2:25">
      <c r="B60" s="1">
        <f ca="1">TODAY()</f>
        <v>45607</v>
      </c>
      <c r="C60" s="2">
        <f ca="1">VLOOKUP(B60,Tabla4[],2,FALSE)</f>
        <v>4346.7</v>
      </c>
      <c r="D60" s="3">
        <f ca="1">VLOOKUP(B60,Tabla4[],3,FALSE)</f>
        <v>87272.61</v>
      </c>
      <c r="E60" s="2">
        <f ca="1">VLOOKUP(B60,Tabla4[],5,FALSE)</f>
        <v>3355.6</v>
      </c>
      <c r="F60" s="2">
        <f ca="1">VLOOKUP(B60,Tabla4[],4,FALSE)</f>
        <v>2.69</v>
      </c>
      <c r="G60" t="s">
        <v>14</v>
      </c>
      <c r="H60" s="1">
        <v>45572</v>
      </c>
      <c r="I60" s="3">
        <v>4036.67</v>
      </c>
      <c r="J60" s="3">
        <v>63058</v>
      </c>
      <c r="K60" s="25">
        <v>2.7499999999999999E-6</v>
      </c>
      <c r="L60" s="29">
        <f>Tabla6[[#This Row],[precio de compra]]*Tabla6[[#This Row],[cantidad]]*Tabla6[[#This Row],[PRECIO DEL DÓLAR, DIA COMPRA]]</f>
        <v>699.99692636500004</v>
      </c>
      <c r="M60" s="26">
        <f ca="1" xml:space="preserve"> K60 * (IF(G60="BTC", D60, IF(G60="ETH", E60, IF(G60="IO.NET", F60, 0)))) * C60</f>
        <v>1043.2065981892499</v>
      </c>
      <c r="N60" s="41">
        <f ca="1">IF(G60 = "BTC", (D60 - J60) / J60,
 IF(G60 = "ETH", (E60 - J60) / J60,
 IF(G60 = "IO.NET", (F60 - J60) / J60,
 "Moneda no soportada")))</f>
        <v>0.38400536014462877</v>
      </c>
      <c r="O60" s="28">
        <v>0.25</v>
      </c>
      <c r="P60" s="28">
        <v>0.5</v>
      </c>
      <c r="Q60" s="31" t="str">
        <f ca="1">IF(N60 &lt; O60, "MANTENER", IF(N60 &lt; P60, "VENTA PARCIAL", "VENDER"))</f>
        <v>VENTA PARCIAL</v>
      </c>
      <c r="T60" s="2"/>
      <c r="U60" s="14">
        <f>Tabla6[[#This Row],[cantidad]]-Tabla6[[#This Row],[CANTIDAD VENDIDA]]</f>
        <v>2.7499999999999999E-6</v>
      </c>
      <c r="V60" s="2">
        <f ca="1">IF(G60="BTC", D60 * U60 * C60, IF(G60="ETH", E60 * U60 * C60, IF(G60="IO.NET", F60 * U60 * C60, 0)))</f>
        <v>1043.2065981892499</v>
      </c>
      <c r="W60" s="2">
        <f>IF(G60 = "BTC", ((T60 - L60)), IF(G60 = "ETH", ((T60 - L60)), IF(G60 = "IO.NET", ((T60 - L60)), "Moneda no soportada")))</f>
        <v>-699.99692636500004</v>
      </c>
      <c r="X60" s="32">
        <f ca="1">IF(G60 = "BTC", (((D60 - J60) / J60)),IF(G60 = "ETH", ((E60 - J60) / J60), IF(G60 = "IO.NET", ((F60 - J60) / J60), "Moneda no soportada")))</f>
        <v>0.38400536014462877</v>
      </c>
      <c r="Y60" s="2" t="str">
        <f>IF(U60=0,"VENDIDA","ACTIVA")</f>
        <v>ACTIVA</v>
      </c>
    </row>
    <row r="61" spans="2:25">
      <c r="B61" s="1">
        <f ca="1">TODAY()</f>
        <v>45607</v>
      </c>
      <c r="C61" s="2">
        <f ca="1">VLOOKUP(B61,Tabla4[],2,FALSE)</f>
        <v>4346.7</v>
      </c>
      <c r="D61" s="3">
        <f ca="1">VLOOKUP(B61,Tabla4[],3,FALSE)</f>
        <v>87272.61</v>
      </c>
      <c r="E61" s="2">
        <f ca="1">VLOOKUP(B61,Tabla4[],5,FALSE)</f>
        <v>3355.6</v>
      </c>
      <c r="F61" s="2">
        <f ca="1">VLOOKUP(B61,Tabla4[],4,FALSE)</f>
        <v>2.69</v>
      </c>
      <c r="G61" t="s">
        <v>15</v>
      </c>
      <c r="H61" s="1">
        <v>45572</v>
      </c>
      <c r="I61" s="3">
        <v>4036.67</v>
      </c>
      <c r="J61" s="3">
        <v>2441.6999999999998</v>
      </c>
      <c r="K61" s="25">
        <v>7.1019999999999994E-5</v>
      </c>
      <c r="L61" s="29">
        <f>Tabla6[[#This Row],[precio de compra]]*Tabla6[[#This Row],[cantidad]]*Tabla6[[#This Row],[PRECIO DEL DÓLAR, DIA COMPRA]]</f>
        <v>699.99706361177994</v>
      </c>
      <c r="M61" s="26">
        <f ca="1" xml:space="preserve"> K61 * (IF(G61="BTC", D61, IF(G61="ETH", E61, IF(G61="IO.NET", F61, 0)))) * C61</f>
        <v>1035.8825586503999</v>
      </c>
      <c r="N61" s="41">
        <f ca="1">IF(G61 = "BTC", (D61 - J61) / J61,
 IF(G61 = "ETH", (E61 - J61) / J61,
 IF(G61 = "IO.NET", (F61 - J61) / J61,
 "Moneda no soportada")))</f>
        <v>0.37428840561903598</v>
      </c>
      <c r="O61" s="28">
        <v>0.25</v>
      </c>
      <c r="P61" s="28">
        <v>0.5</v>
      </c>
      <c r="Q61" s="31" t="str">
        <f ca="1">IF(N61 &lt; O61, "MANTENER", IF(N61 &lt; P61, "VENTA PARCIAL", "VENDER"))</f>
        <v>VENTA PARCIAL</v>
      </c>
      <c r="T61" s="2"/>
      <c r="U61" s="14">
        <f>Tabla6[[#This Row],[cantidad]]-Tabla6[[#This Row],[CANTIDAD VENDIDA]]</f>
        <v>7.1019999999999994E-5</v>
      </c>
      <c r="V61" s="2">
        <f ca="1">IF(G61="BTC", D61 * U61 * C61, IF(G61="ETH", E61 * U61 * C61, IF(G61="IO.NET", F61 * U61 * C61, 0)))</f>
        <v>1035.8825586503999</v>
      </c>
      <c r="W61" s="2">
        <f>IF(G61 = "BTC", ((T61 - L61)), IF(G61 = "ETH", ((T61 - L61)), IF(G61 = "IO.NET", ((T61 - L61)), "Moneda no soportada")))</f>
        <v>-699.99706361177994</v>
      </c>
      <c r="X61" s="32">
        <f ca="1">IF(G61 = "BTC", (((D61 - J61) / J61)),IF(G61 = "ETH", ((E61 - J61) / J61), IF(G61 = "IO.NET", ((F61 - J61) / J61), "Moneda no soportada")))</f>
        <v>0.37428840561903598</v>
      </c>
      <c r="Y61" s="2" t="str">
        <f>IF(U61=0,"VENDIDA","ACTIVA")</f>
        <v>ACTIVA</v>
      </c>
    </row>
    <row r="62" spans="2:25">
      <c r="B62" s="1">
        <f ca="1">TODAY()</f>
        <v>45607</v>
      </c>
      <c r="C62" s="2">
        <f ca="1">VLOOKUP(B62,Tabla4[],2,FALSE)</f>
        <v>4346.7</v>
      </c>
      <c r="D62" s="3">
        <f ca="1">VLOOKUP(B62,Tabla4[],3,FALSE)</f>
        <v>87272.61</v>
      </c>
      <c r="E62" s="2">
        <f ca="1">VLOOKUP(B62,Tabla4[],5,FALSE)</f>
        <v>3355.6</v>
      </c>
      <c r="F62" s="2">
        <f ca="1">VLOOKUP(B62,Tabla4[],4,FALSE)</f>
        <v>2.69</v>
      </c>
      <c r="G62" t="s">
        <v>41</v>
      </c>
      <c r="H62" s="1">
        <v>45572</v>
      </c>
      <c r="I62" s="3">
        <v>4036.67</v>
      </c>
      <c r="J62" s="3">
        <v>1.841</v>
      </c>
      <c r="K62" s="25">
        <v>4.7097090000000001E-2</v>
      </c>
      <c r="L62" s="29">
        <f>Tabla6[[#This Row],[precio de compra]]*Tabla6[[#This Row],[cantidad]]*Tabla6[[#This Row],[PRECIO DEL DÓLAR, DIA COMPRA]]</f>
        <v>350.00247034444232</v>
      </c>
      <c r="M62" s="26">
        <f ca="1" xml:space="preserve"> K62 * (IF(G62="BTC", D62, IF(G62="ETH", E62, IF(G62="IO.NET", F62, 0)))) * C62</f>
        <v>550.68851776706992</v>
      </c>
      <c r="N62" s="41">
        <f ca="1">IF(G62 = "BTC", (D62 - J62) / J62,
 IF(G62 = "ETH", (E62 - J62) / J62,
 IF(G62 = "IO.NET", (F62 - J62) / J62,
 "Moneda no soportada")))</f>
        <v>0.46116241173275391</v>
      </c>
      <c r="O62" s="28">
        <v>0.1</v>
      </c>
      <c r="P62" s="28">
        <v>0.3</v>
      </c>
      <c r="Q62" s="31" t="str">
        <f ca="1">IF(N62 &lt; O62, "MANTENER", IF(N62 &lt; P62, "VENTA PARCIAL", "VENDER"))</f>
        <v>VENDER</v>
      </c>
      <c r="T62" s="2"/>
      <c r="U62" s="14">
        <f>Tabla6[[#This Row],[cantidad]]-Tabla6[[#This Row],[CANTIDAD VENDIDA]]</f>
        <v>4.7097090000000001E-2</v>
      </c>
      <c r="V62" s="2">
        <f ca="1">IF(G62="BTC", D62 * U62 * C62, IF(G62="ETH", E62 * U62 * C62, IF(G62="IO.NET", F62 * U62 * C62, 0)))</f>
        <v>550.68851776706992</v>
      </c>
      <c r="W62" s="2">
        <f>IF(G62 = "BTC", ((T62 - L62)), IF(G62 = "ETH", ((T62 - L62)), IF(G62 = "IO.NET", ((T62 - L62)), "Moneda no soportada")))</f>
        <v>-350.00247034444232</v>
      </c>
      <c r="X62" s="32">
        <f ca="1">IF(G62 = "BTC", (((D62 - J62) / J62)),IF(G62 = "ETH", ((E62 - J62) / J62), IF(G62 = "IO.NET", ((F62 - J62) / J62), "Moneda no soportada")))</f>
        <v>0.46116241173275391</v>
      </c>
      <c r="Y62" s="2" t="str">
        <f>IF(U62=0,"VENDIDA","ACTIVA")</f>
        <v>ACTIVA</v>
      </c>
    </row>
    <row r="63" spans="2:25">
      <c r="B63" s="1">
        <f ca="1">TODAY()</f>
        <v>45607</v>
      </c>
      <c r="C63" s="2">
        <f ca="1">VLOOKUP(B63,Tabla4[],2,FALSE)</f>
        <v>4346.7</v>
      </c>
      <c r="D63" s="3">
        <f ca="1">VLOOKUP(B63,Tabla4[],3,FALSE)</f>
        <v>87272.61</v>
      </c>
      <c r="E63" s="2">
        <f ca="1">VLOOKUP(B63,Tabla4[],5,FALSE)</f>
        <v>3355.6</v>
      </c>
      <c r="F63" s="2">
        <f ca="1">VLOOKUP(B63,Tabla4[],4,FALSE)</f>
        <v>2.69</v>
      </c>
      <c r="G63" t="s">
        <v>14</v>
      </c>
      <c r="H63" s="1">
        <v>45579</v>
      </c>
      <c r="I63" s="3">
        <f>VLOOKUP(H63,Tabla4[],2,FALSE)</f>
        <v>4210.95</v>
      </c>
      <c r="J63" s="3">
        <v>63691</v>
      </c>
      <c r="K63" s="25">
        <v>2.61E-6</v>
      </c>
      <c r="L63" s="29">
        <f>Tabla6[[#This Row],[precio de compra]]*Tabla6[[#This Row],[cantidad]]*Tabla6[[#This Row],[PRECIO DEL DÓLAR, DIA COMPRA]]</f>
        <v>700.00099893449999</v>
      </c>
      <c r="M63" s="26">
        <f ca="1" xml:space="preserve"> K63 * (IF(G63="BTC", D63, IF(G63="ETH", E63, IF(G63="IO.NET", F63, 0)))) * C63</f>
        <v>990.0978986450699</v>
      </c>
      <c r="N63" s="41">
        <f ca="1">IF(G63 = "BTC", (D63 - J63) / J63,
 IF(G63 = "ETH", (E63 - J63) / J63,
 IF(G63 = "IO.NET", (F63 - J63) / J63,
 "Moneda no soportada")))</f>
        <v>0.37025027083889406</v>
      </c>
      <c r="O63" s="28">
        <v>0.25</v>
      </c>
      <c r="P63" s="28">
        <v>0.5</v>
      </c>
      <c r="Q63" s="31" t="str">
        <f ca="1">IF(N63 &lt; O63, "MANTENER", IF(N63 &lt; P63, "VENTA PARCIAL", "VENDER"))</f>
        <v>VENTA PARCIAL</v>
      </c>
      <c r="T63" s="2"/>
      <c r="U63" s="14">
        <f>Tabla6[[#This Row],[cantidad]]-Tabla6[[#This Row],[CANTIDAD VENDIDA]]</f>
        <v>2.61E-6</v>
      </c>
      <c r="V63" s="2">
        <f ca="1">IF(G63="BTC", D63 * U63 * C63, IF(G63="ETH", E63 * U63 * C63, IF(G63="IO.NET", F63 * U63 * C63, 0)))</f>
        <v>990.0978986450699</v>
      </c>
      <c r="W63" s="2">
        <f>IF(G63 = "BTC", ((T63 - L63)), IF(G63 = "ETH", ((T63 - L63)), IF(G63 = "IO.NET", ((T63 - L63)), "Moneda no soportada")))</f>
        <v>-700.00099893449999</v>
      </c>
      <c r="X63" s="32">
        <f ca="1">IF(G63 = "BTC", (((D63 - J63) / J63)),IF(G63 = "ETH", ((E63 - J63) / J63), IF(G63 = "IO.NET", ((F63 - J63) / J63), "Moneda no soportada")))</f>
        <v>0.37025027083889406</v>
      </c>
      <c r="Y63" s="2" t="str">
        <f>IF(U63=0,"VENDIDA","ACTIVA")</f>
        <v>ACTIVA</v>
      </c>
    </row>
    <row r="64" spans="2:25">
      <c r="B64" s="1">
        <f ca="1">TODAY()</f>
        <v>45607</v>
      </c>
      <c r="C64" s="2">
        <f ca="1">VLOOKUP(B64,Tabla4[],2,FALSE)</f>
        <v>4346.7</v>
      </c>
      <c r="D64" s="3">
        <f ca="1">VLOOKUP(B64,Tabla4[],3,FALSE)</f>
        <v>87272.61</v>
      </c>
      <c r="E64" s="2">
        <f ca="1">VLOOKUP(B64,Tabla4[],5,FALSE)</f>
        <v>3355.6</v>
      </c>
      <c r="F64" s="2">
        <f ca="1">VLOOKUP(B64,Tabla4[],4,FALSE)</f>
        <v>2.69</v>
      </c>
      <c r="G64" t="s">
        <v>15</v>
      </c>
      <c r="H64" s="1">
        <v>45579</v>
      </c>
      <c r="I64" s="3">
        <f>VLOOKUP(H64,Tabla4[],2,FALSE)</f>
        <v>4210.95</v>
      </c>
      <c r="J64" s="3">
        <v>2502.4</v>
      </c>
      <c r="K64" s="25">
        <v>6.6429999999999999E-5</v>
      </c>
      <c r="L64" s="29">
        <f>Tabla6[[#This Row],[precio de compra]]*Tabla6[[#This Row],[cantidad]]*Tabla6[[#This Row],[PRECIO DEL DÓLAR, DIA COMPRA]]</f>
        <v>700.00488143040002</v>
      </c>
      <c r="M64" s="26">
        <f ca="1" xml:space="preserve"> K64 * (IF(G64="BTC", D64, IF(G64="ETH", E64, IF(G64="IO.NET", F64, 0)))) * C64</f>
        <v>968.93379852359988</v>
      </c>
      <c r="N64" s="41">
        <f ca="1">IF(G64 = "BTC", (D64 - J64) / J64,
 IF(G64 = "ETH", (E64 - J64) / J64,
 IF(G64 = "IO.NET", (F64 - J64) / J64,
 "Moneda no soportada")))</f>
        <v>0.34095268542199481</v>
      </c>
      <c r="O64" s="28">
        <v>0.25</v>
      </c>
      <c r="P64" s="28">
        <v>0.5</v>
      </c>
      <c r="Q64" s="31" t="str">
        <f ca="1">IF(N64 &lt; O64, "MANTENER", IF(N64 &lt; P64, "VENTA PARCIAL", "VENDER"))</f>
        <v>VENTA PARCIAL</v>
      </c>
      <c r="T64" s="2"/>
      <c r="U64" s="14">
        <f>Tabla6[[#This Row],[cantidad]]-Tabla6[[#This Row],[CANTIDAD VENDIDA]]</f>
        <v>6.6429999999999999E-5</v>
      </c>
      <c r="V64" s="2">
        <f ca="1">IF(G64="BTC", D64 * U64 * C64, IF(G64="ETH", E64 * U64 * C64, IF(G64="IO.NET", F64 * U64 * C64, 0)))</f>
        <v>968.93379852359988</v>
      </c>
      <c r="W64" s="2">
        <f>IF(G64 = "BTC", ((T64 - L64)), IF(G64 = "ETH", ((T64 - L64)), IF(G64 = "IO.NET", ((T64 - L64)), "Moneda no soportada")))</f>
        <v>-700.00488143040002</v>
      </c>
      <c r="X64" s="32">
        <f ca="1">IF(G64 = "BTC", (((D64 - J64) / J64)),IF(G64 = "ETH", ((E64 - J64) / J64), IF(G64 = "IO.NET", ((F64 - J64) / J64), "Moneda no soportada")))</f>
        <v>0.34095268542199481</v>
      </c>
      <c r="Y64" s="2" t="str">
        <f>IF(U64=0,"VENDIDA","ACTIVA")</f>
        <v>ACTIVA</v>
      </c>
    </row>
    <row r="65" spans="2:25">
      <c r="B65" s="1">
        <f ca="1">TODAY()</f>
        <v>45607</v>
      </c>
      <c r="C65" s="2">
        <f ca="1">VLOOKUP(B65,Tabla4[],2,FALSE)</f>
        <v>4346.7</v>
      </c>
      <c r="D65" s="3">
        <f ca="1">VLOOKUP(B65,Tabla4[],3,FALSE)</f>
        <v>87272.61</v>
      </c>
      <c r="E65" s="2">
        <f ca="1">VLOOKUP(B65,Tabla4[],5,FALSE)</f>
        <v>3355.6</v>
      </c>
      <c r="F65" s="2">
        <f ca="1">VLOOKUP(B65,Tabla4[],4,FALSE)</f>
        <v>2.69</v>
      </c>
      <c r="G65" t="s">
        <v>41</v>
      </c>
      <c r="H65" s="1">
        <v>45579</v>
      </c>
      <c r="I65" s="3">
        <f>VLOOKUP(H65,Tabla4[],2,FALSE)</f>
        <v>4210.95</v>
      </c>
      <c r="J65" s="3">
        <v>1.9345000000000001</v>
      </c>
      <c r="K65" s="25">
        <v>4.2965499999999997E-2</v>
      </c>
      <c r="L65" s="29">
        <f>Tabla6[[#This Row],[precio de compra]]*Tabla6[[#This Row],[cantidad]]*Tabla6[[#This Row],[PRECIO DEL DÓLAR, DIA COMPRA]]</f>
        <v>350.00051946926249</v>
      </c>
      <c r="M65" s="26">
        <f ca="1" xml:space="preserve"> K65 * (IF(G65="BTC", D65, IF(G65="ETH", E65, IF(G65="IO.NET", F65, 0)))) * C65</f>
        <v>502.37939350649992</v>
      </c>
      <c r="N65" s="41">
        <f ca="1">IF(G65 = "BTC", (D65 - J65) / J65,
 IF(G65 = "ETH", (E65 - J65) / J65,
 IF(G65 = "IO.NET", (F65 - J65) / J65,
 "Moneda no soportada")))</f>
        <v>0.39054019126389239</v>
      </c>
      <c r="O65" s="28">
        <v>0.1</v>
      </c>
      <c r="P65" s="28">
        <v>0.3</v>
      </c>
      <c r="Q65" s="31" t="str">
        <f ca="1">IF(N65 &lt; O65, "MANTENER", IF(N65 &lt; P65, "VENTA PARCIAL", "VENDER"))</f>
        <v>VENDER</v>
      </c>
      <c r="T65" s="2"/>
      <c r="U65" s="14">
        <f>Tabla6[[#This Row],[cantidad]]-Tabla6[[#This Row],[CANTIDAD VENDIDA]]</f>
        <v>4.2965499999999997E-2</v>
      </c>
      <c r="V65" s="2">
        <f ca="1">IF(G65="BTC", D65 * U65 * C65, IF(G65="ETH", E65 * U65 * C65, IF(G65="IO.NET", F65 * U65 * C65, 0)))</f>
        <v>502.37939350649992</v>
      </c>
      <c r="W65" s="2">
        <f>IF(G65 = "BTC", ((T65 - L65)), IF(G65 = "ETH", ((T65 - L65)), IF(G65 = "IO.NET", ((T65 - L65)), "Moneda no soportada")))</f>
        <v>-350.00051946926249</v>
      </c>
      <c r="X65" s="32">
        <f ca="1">IF(G65 = "BTC", (((D65 - J65) / J65)),IF(G65 = "ETH", ((E65 - J65) / J65), IF(G65 = "IO.NET", ((F65 - J65) / J65), "Moneda no soportada")))</f>
        <v>0.39054019126389239</v>
      </c>
      <c r="Y65" s="2" t="str">
        <f>IF(U65=0,"VENDIDA","ACTIVA")</f>
        <v>ACTIVA</v>
      </c>
    </row>
    <row r="66" spans="2:25">
      <c r="B66" s="1">
        <f ca="1">TODAY()</f>
        <v>45607</v>
      </c>
      <c r="C66" s="2">
        <f ca="1">VLOOKUP(B66,Tabla4[],2,FALSE)</f>
        <v>4346.7</v>
      </c>
      <c r="D66" s="3">
        <f ca="1">VLOOKUP(B66,Tabla4[],3,FALSE)</f>
        <v>87272.61</v>
      </c>
      <c r="E66" s="2">
        <f ca="1">VLOOKUP(B66,Tabla4[],5,FALSE)</f>
        <v>3355.6</v>
      </c>
      <c r="F66" s="2">
        <f ca="1">VLOOKUP(B66,Tabla4[],4,FALSE)</f>
        <v>2.69</v>
      </c>
      <c r="G66" t="s">
        <v>14</v>
      </c>
      <c r="H66" s="1">
        <v>45586</v>
      </c>
      <c r="I66" s="3">
        <f>VLOOKUP(H66,Tabla4[],2,FALSE)</f>
        <v>4270</v>
      </c>
      <c r="J66" s="3">
        <v>67463</v>
      </c>
      <c r="K66" s="25">
        <v>2.43E-6</v>
      </c>
      <c r="L66" s="29">
        <f>Tabla6[[#This Row],[precio de compra]]*Tabla6[[#This Row],[cantidad]]*Tabla6[[#This Row],[PRECIO DEL DÓLAR, DIA COMPRA]]</f>
        <v>700.00283430000002</v>
      </c>
      <c r="M66" s="26">
        <f ca="1" xml:space="preserve"> K66 * (IF(G66="BTC", D66, IF(G66="ETH", E66, IF(G66="IO.NET", F66, 0)))) * C66</f>
        <v>921.81528494540999</v>
      </c>
      <c r="N66" s="41">
        <f ca="1">IF(G66 = "BTC", (D66 - J66) / J66,
 IF(G66 = "ETH", (E66 - J66) / J66,
 IF(G66 = "IO.NET", (F66 - J66) / J66,
 "Moneda no soportada")))</f>
        <v>0.29363666009516326</v>
      </c>
      <c r="O66" s="28">
        <v>0.25</v>
      </c>
      <c r="P66" s="28">
        <v>0.5</v>
      </c>
      <c r="Q66" s="31" t="str">
        <f ca="1">IF(N66 &lt; O66, "MANTENER", IF(N66 &lt; P66, "VENTA PARCIAL", "VENDER"))</f>
        <v>VENTA PARCIAL</v>
      </c>
      <c r="T66" s="2"/>
      <c r="U66" s="14">
        <f>Tabla6[[#This Row],[cantidad]]-Tabla6[[#This Row],[CANTIDAD VENDIDA]]</f>
        <v>2.43E-6</v>
      </c>
      <c r="V66" s="2">
        <f ca="1">IF(G66="BTC", D66 * U66 * C66, IF(G66="ETH", E66 * U66 * C66, IF(G66="IO.NET", F66 * U66 * C66, 0)))</f>
        <v>921.81528494540999</v>
      </c>
      <c r="W66" s="2">
        <f>IF(G66 = "BTC", ((T66 - L66)), IF(G66 = "ETH", ((T66 - L66)), IF(G66 = "IO.NET", ((T66 - L66)), "Moneda no soportada")))</f>
        <v>-700.00283430000002</v>
      </c>
      <c r="X66" s="32">
        <f ca="1">IF(G66 = "BTC", (((D66 - J66) / J66)),IF(G66 = "ETH", ((E66 - J66) / J66), IF(G66 = "IO.NET", ((F66 - J66) / J66), "Moneda no soportada")))</f>
        <v>0.29363666009516326</v>
      </c>
      <c r="Y66" s="2" t="str">
        <f>IF(U66=0,"VENDIDA","ACTIVA")</f>
        <v>ACTIVA</v>
      </c>
    </row>
    <row r="67" spans="2:25">
      <c r="B67" s="1">
        <f ca="1">TODAY()</f>
        <v>45607</v>
      </c>
      <c r="C67" s="2">
        <f ca="1">VLOOKUP(B67,Tabla4[],2,FALSE)</f>
        <v>4346.7</v>
      </c>
      <c r="D67" s="3">
        <f ca="1">VLOOKUP(B67,Tabla4[],3,FALSE)</f>
        <v>87272.61</v>
      </c>
      <c r="E67" s="2">
        <f ca="1">VLOOKUP(B67,Tabla4[],5,FALSE)</f>
        <v>3355.6</v>
      </c>
      <c r="F67" s="2">
        <f ca="1">VLOOKUP(B67,Tabla4[],4,FALSE)</f>
        <v>2.69</v>
      </c>
      <c r="G67" t="s">
        <v>15</v>
      </c>
      <c r="H67" s="1">
        <v>45586</v>
      </c>
      <c r="I67" s="3">
        <f>VLOOKUP(H67,Tabla4[],2,FALSE)</f>
        <v>4270</v>
      </c>
      <c r="J67" s="3">
        <v>2663</v>
      </c>
      <c r="K67" s="25">
        <v>6.156E-5</v>
      </c>
      <c r="L67" s="29">
        <f>Tabla6[[#This Row],[precio de compra]]*Tabla6[[#This Row],[cantidad]]*Tabla6[[#This Row],[PRECIO DEL DÓLAR, DIA COMPRA]]</f>
        <v>699.99937559999989</v>
      </c>
      <c r="M67" s="26">
        <f ca="1" xml:space="preserve"> K67 * (IF(G67="BTC", D67, IF(G67="ETH", E67, IF(G67="IO.NET", F67, 0)))) * C67</f>
        <v>897.90101817120001</v>
      </c>
      <c r="N67" s="41">
        <f ca="1">IF(G67 = "BTC", (D67 - J67) / J67,
 IF(G67 = "ETH", (E67 - J67) / J67,
 IF(G67 = "IO.NET", (F67 - J67) / J67,
 "Moneda no soportada")))</f>
        <v>0.26008261359369128</v>
      </c>
      <c r="O67" s="28">
        <v>0.25</v>
      </c>
      <c r="P67" s="28">
        <v>0.5</v>
      </c>
      <c r="Q67" s="31" t="str">
        <f ca="1">IF(N67 &lt; O67, "MANTENER", IF(N67 &lt; P67, "VENTA PARCIAL", "VENDER"))</f>
        <v>VENTA PARCIAL</v>
      </c>
      <c r="T67" s="2"/>
      <c r="U67" s="14">
        <f>Tabla6[[#This Row],[cantidad]]-Tabla6[[#This Row],[CANTIDAD VENDIDA]]</f>
        <v>6.156E-5</v>
      </c>
      <c r="V67" s="2">
        <f ca="1">IF(G67="BTC", D67 * U67 * C67, IF(G67="ETH", E67 * U67 * C67, IF(G67="IO.NET", F67 * U67 * C67, 0)))</f>
        <v>897.90101817120001</v>
      </c>
      <c r="W67" s="2">
        <f>IF(G67 = "BTC", ((T67 - L67)), IF(G67 = "ETH", ((T67 - L67)), IF(G67 = "IO.NET", ((T67 - L67)), "Moneda no soportada")))</f>
        <v>-699.99937559999989</v>
      </c>
      <c r="X67" s="32">
        <f ca="1">IF(G67 = "BTC", (((D67 - J67) / J67)),IF(G67 = "ETH", ((E67 - J67) / J67), IF(G67 = "IO.NET", ((F67 - J67) / J67), "Moneda no soportada")))</f>
        <v>0.26008261359369128</v>
      </c>
      <c r="Y67" s="2" t="str">
        <f>IF(U67=0,"VENDIDA","ACTIVA")</f>
        <v>ACTIVA</v>
      </c>
    </row>
    <row r="68" spans="2:25">
      <c r="B68" s="1">
        <f ca="1">TODAY()</f>
        <v>45607</v>
      </c>
      <c r="C68" s="2">
        <f ca="1">VLOOKUP(B68,Tabla4[],2,FALSE)</f>
        <v>4346.7</v>
      </c>
      <c r="D68" s="3">
        <f ca="1">VLOOKUP(B68,Tabla4[],3,FALSE)</f>
        <v>87272.61</v>
      </c>
      <c r="E68" s="2">
        <f ca="1">VLOOKUP(B68,Tabla4[],5,FALSE)</f>
        <v>3355.6</v>
      </c>
      <c r="F68" s="2">
        <f ca="1">VLOOKUP(B68,Tabla4[],4,FALSE)</f>
        <v>2.69</v>
      </c>
      <c r="G68" t="s">
        <v>41</v>
      </c>
      <c r="H68" s="1">
        <v>45586</v>
      </c>
      <c r="I68" s="3">
        <f>VLOOKUP(H68,Tabla4[],2,FALSE)</f>
        <v>4270</v>
      </c>
      <c r="J68" s="3">
        <v>1.87052</v>
      </c>
      <c r="K68" s="25">
        <v>4.3820940000000003E-2</v>
      </c>
      <c r="L68" s="29">
        <f>Tabla6[[#This Row],[precio de compra]]*Tabla6[[#This Row],[cantidad]]*Tabla6[[#This Row],[PRECIO DEL DÓLAR, DIA COMPRA]]</f>
        <v>350.00312382117602</v>
      </c>
      <c r="M68" s="26">
        <f ca="1" xml:space="preserve"> K68 * (IF(G68="BTC", D68, IF(G68="ETH", E68, IF(G68="IO.NET", F68, 0)))) * C68</f>
        <v>512.38173092561999</v>
      </c>
      <c r="N68" s="41">
        <f ca="1">IF(G68 = "BTC", (D68 - J68) / J68,
 IF(G68 = "ETH", (E68 - J68) / J68,
 IF(G68 = "IO.NET", (F68 - J68) / J68,
 "Moneda no soportada")))</f>
        <v>0.43810277356029342</v>
      </c>
      <c r="O68" s="28">
        <v>0.1</v>
      </c>
      <c r="P68" s="28">
        <v>0.3</v>
      </c>
      <c r="Q68" s="31" t="str">
        <f ca="1">IF(N68 &lt; O68, "MANTENER", IF(N68 &lt; P68, "VENTA PARCIAL", "VENDER"))</f>
        <v>VENDER</v>
      </c>
      <c r="T68" s="2"/>
      <c r="U68" s="14">
        <f>Tabla6[[#This Row],[cantidad]]-Tabla6[[#This Row],[CANTIDAD VENDIDA]]</f>
        <v>4.3820940000000003E-2</v>
      </c>
      <c r="V68" s="2">
        <f ca="1">IF(G68="BTC", D68 * U68 * C68, IF(G68="ETH", E68 * U68 * C68, IF(G68="IO.NET", F68 * U68 * C68, 0)))</f>
        <v>512.38173092561999</v>
      </c>
      <c r="W68" s="2">
        <f>IF(G68 = "BTC", ((T68 - L68)), IF(G68 = "ETH", ((T68 - L68)), IF(G68 = "IO.NET", ((T68 - L68)), "Moneda no soportada")))</f>
        <v>-350.00312382117602</v>
      </c>
      <c r="X68" s="32">
        <f ca="1">IF(G68 = "BTC", (((D68 - J68) / J68)),IF(G68 = "ETH", ((E68 - J68) / J68), IF(G68 = "IO.NET", ((F68 - J68) / J68), "Moneda no soportada")))</f>
        <v>0.43810277356029342</v>
      </c>
      <c r="Y68" s="2" t="str">
        <f>IF(U68=0,"VENDIDA","ACTIVA")</f>
        <v>ACTIVA</v>
      </c>
    </row>
    <row r="69" spans="2:25">
      <c r="B69" s="1">
        <f ca="1">TODAY()</f>
        <v>45607</v>
      </c>
      <c r="C69" s="2">
        <f ca="1">VLOOKUP(B69,Tabla4[],2,FALSE)</f>
        <v>4346.7</v>
      </c>
      <c r="D69" s="3">
        <f ca="1">VLOOKUP(B69,Tabla4[],3,FALSE)</f>
        <v>87272.61</v>
      </c>
      <c r="E69" s="2">
        <f ca="1">VLOOKUP(B69,Tabla4[],5,FALSE)</f>
        <v>3355.6</v>
      </c>
      <c r="F69" s="2">
        <f ca="1">VLOOKUP(B69,Tabla4[],4,FALSE)</f>
        <v>2.69</v>
      </c>
      <c r="G69" t="s">
        <v>15</v>
      </c>
      <c r="H69" s="1">
        <v>45593</v>
      </c>
      <c r="I69" s="3">
        <v>4241.6000000000004</v>
      </c>
      <c r="J69" s="3">
        <v>2529.6</v>
      </c>
      <c r="K69" s="25">
        <v>6.5240000000000006E-5</v>
      </c>
      <c r="L69" s="29">
        <f>Tabla6[[#This Row],[precio de compra]]*Tabla6[[#This Row],[cantidad]]*Tabla6[[#This Row],[PRECIO DEL DÓLAR, DIA COMPRA]]</f>
        <v>699.99593072640016</v>
      </c>
      <c r="M69" s="26">
        <f ca="1" xml:space="preserve"> K69 * (IF(G69="BTC", D69, IF(G69="ETH", E69, IF(G69="IO.NET", F69, 0)))) * C69</f>
        <v>951.5767125648</v>
      </c>
      <c r="N69" s="41">
        <f ca="1">IF(G69 = "BTC", (D69 - J69) / J69,
 IF(G69 = "ETH", (E69 - J69) / J69,
 IF(G69 = "IO.NET", (F69 - J69) / J69,
 "Moneda no soportada")))</f>
        <v>0.32653383934218849</v>
      </c>
      <c r="O69" s="28">
        <v>0.25</v>
      </c>
      <c r="P69" s="28">
        <v>0.5</v>
      </c>
      <c r="Q69" s="31" t="str">
        <f ca="1">IF(N69 &lt; O69, "MANTENER", IF(N69 &lt; P69, "VENTA PARCIAL", "VENDER"))</f>
        <v>VENTA PARCIAL</v>
      </c>
      <c r="T69" s="2"/>
      <c r="U69" s="14">
        <f>Tabla6[[#This Row],[cantidad]]-Tabla6[[#This Row],[CANTIDAD VENDIDA]]</f>
        <v>6.5240000000000006E-5</v>
      </c>
      <c r="V69" s="2">
        <f ca="1">IF(G69="BTC", D69 * U69 * C69, IF(G69="ETH", E69 * U69 * C69, IF(G69="IO.NET", F69 * U69 * C69, 0)))</f>
        <v>951.5767125648</v>
      </c>
      <c r="W69" s="2">
        <f>IF(G69 = "BTC", ((T69 - L69)), IF(G69 = "ETH", ((T69 - L69)), IF(G69 = "IO.NET", ((T69 - L69)), "Moneda no soportada")))</f>
        <v>-699.99593072640016</v>
      </c>
      <c r="X69" s="32">
        <f ca="1">IF(G69 = "BTC", (((D69 - J69) / J69)),IF(G69 = "ETH", ((E69 - J69) / J69), IF(G69 = "IO.NET", ((F69 - J69) / J69), "Moneda no soportada")))</f>
        <v>0.32653383934218849</v>
      </c>
      <c r="Y69" s="2" t="str">
        <f>IF(U69=0,"VENDIDA","ACTIVA")</f>
        <v>ACTIVA</v>
      </c>
    </row>
    <row r="70" spans="2:25">
      <c r="B70" s="1">
        <f ca="1">TODAY()</f>
        <v>45607</v>
      </c>
      <c r="C70" s="2">
        <f ca="1">VLOOKUP(B70,Tabla4[],2,FALSE)</f>
        <v>4346.7</v>
      </c>
      <c r="D70" s="3">
        <f ca="1">VLOOKUP(B70,Tabla4[],3,FALSE)</f>
        <v>87272.61</v>
      </c>
      <c r="E70" s="2">
        <f ca="1">VLOOKUP(B70,Tabla4[],5,FALSE)</f>
        <v>3355.6</v>
      </c>
      <c r="F70" s="2">
        <f ca="1">VLOOKUP(B70,Tabla4[],4,FALSE)</f>
        <v>2.69</v>
      </c>
      <c r="G70" t="s">
        <v>14</v>
      </c>
      <c r="H70" s="1">
        <v>45593</v>
      </c>
      <c r="I70" s="3">
        <v>4241.6000000000004</v>
      </c>
      <c r="J70" s="3">
        <v>68763</v>
      </c>
      <c r="K70" s="25">
        <v>2.3999999999999999E-6</v>
      </c>
      <c r="L70" s="29">
        <f>Tabla6[[#This Row],[precio de compra]]*Tabla6[[#This Row],[cantidad]]*Tabla6[[#This Row],[PRECIO DEL DÓLAR, DIA COMPRA]]</f>
        <v>699.99633791999997</v>
      </c>
      <c r="M70" s="26">
        <f ca="1" xml:space="preserve"> K70 * (IF(G70="BTC", D70, IF(G70="ETH", E70, IF(G70="IO.NET", F70, 0)))) * C70</f>
        <v>910.43484932879994</v>
      </c>
      <c r="N70" s="41">
        <f ca="1">IF(G70 = "BTC", (D70 - J70) / J70,
 IF(G70 = "ETH", (E70 - J70) / J70,
 IF(G70 = "IO.NET", (F70 - J70) / J70,
 "Moneda no soportada")))</f>
        <v>0.26917979145761528</v>
      </c>
      <c r="O70" s="28">
        <v>0.25</v>
      </c>
      <c r="P70" s="28">
        <v>0.5</v>
      </c>
      <c r="Q70" s="31" t="str">
        <f ca="1">IF(N70 &lt; O70, "MANTENER", IF(N70 &lt; P70, "VENTA PARCIAL", "VENDER"))</f>
        <v>VENTA PARCIAL</v>
      </c>
      <c r="T70" s="2"/>
      <c r="U70" s="14">
        <f>Tabla6[[#This Row],[cantidad]]-Tabla6[[#This Row],[CANTIDAD VENDIDA]]</f>
        <v>2.3999999999999999E-6</v>
      </c>
      <c r="V70" s="2">
        <f ca="1">IF(G70="BTC", D70 * U70 * C70, IF(G70="ETH", E70 * U70 * C70, IF(G70="IO.NET", F70 * U70 * C70, 0)))</f>
        <v>910.43484932879994</v>
      </c>
      <c r="W70" s="2">
        <f>IF(G70 = "BTC", ((T70 - L70)), IF(G70 = "ETH", ((T70 - L70)), IF(G70 = "IO.NET", ((T70 - L70)), "Moneda no soportada")))</f>
        <v>-699.99633791999997</v>
      </c>
      <c r="X70" s="32">
        <f ca="1">IF(G70 = "BTC", (((D70 - J70) / J70)),IF(G70 = "ETH", ((E70 - J70) / J70), IF(G70 = "IO.NET", ((F70 - J70) / J70), "Moneda no soportada")))</f>
        <v>0.26917979145761528</v>
      </c>
      <c r="Y70" s="2" t="str">
        <f>IF(U70=0,"VENDIDA","ACTIVA")</f>
        <v>ACTIVA</v>
      </c>
    </row>
    <row r="71" spans="2:25">
      <c r="B71" s="1">
        <f ca="1">TODAY()</f>
        <v>45607</v>
      </c>
      <c r="C71" s="2">
        <f ca="1">VLOOKUP(B71,Tabla4[],2,FALSE)</f>
        <v>4346.7</v>
      </c>
      <c r="D71" s="3">
        <f ca="1">VLOOKUP(B71,Tabla4[],3,FALSE)</f>
        <v>87272.61</v>
      </c>
      <c r="E71" s="2">
        <f ca="1">VLOOKUP(B71,Tabla4[],5,FALSE)</f>
        <v>3355.6</v>
      </c>
      <c r="F71" s="2">
        <f ca="1">VLOOKUP(B71,Tabla4[],4,FALSE)</f>
        <v>2.69</v>
      </c>
      <c r="G71" t="s">
        <v>41</v>
      </c>
      <c r="H71" s="1">
        <v>45593</v>
      </c>
      <c r="I71" s="3">
        <v>4241.6000000000004</v>
      </c>
      <c r="J71" s="3">
        <v>1.7296899999999999</v>
      </c>
      <c r="K71" s="25">
        <v>4.7706220000000001E-2</v>
      </c>
      <c r="L71" s="29">
        <f>Tabla6[[#This Row],[precio de compra]]*Tabla6[[#This Row],[cantidad]]*Tabla6[[#This Row],[PRECIO DEL DÓLAR, DIA COMPRA]]</f>
        <v>350.00398704310692</v>
      </c>
      <c r="M71" s="26">
        <f ca="1" xml:space="preserve"> K71 * (IF(G71="BTC", D71, IF(G71="ETH", E71, IF(G71="IO.NET", F71, 0)))) * C71</f>
        <v>557.81084521505989</v>
      </c>
      <c r="N71" s="41">
        <f ca="1">IF(G71 = "BTC", (D71 - J71) / J71,
 IF(G71 = "ETH", (E71 - J71) / J71,
 IF(G71 = "IO.NET", (F71 - J71) / J71,
 "Moneda no soportada")))</f>
        <v>0.55519197081557969</v>
      </c>
      <c r="O71" s="28">
        <v>0.1</v>
      </c>
      <c r="P71" s="28">
        <v>0.3</v>
      </c>
      <c r="Q71" s="31" t="str">
        <f ca="1">IF(N71 &lt; O71, "MANTENER", IF(N71 &lt; P71, "VENTA PARCIAL", "VENDER"))</f>
        <v>VENDER</v>
      </c>
      <c r="T71" s="2"/>
      <c r="U71" s="14">
        <f>Tabla6[[#This Row],[cantidad]]-Tabla6[[#This Row],[CANTIDAD VENDIDA]]</f>
        <v>4.7706220000000001E-2</v>
      </c>
      <c r="V71" s="2">
        <f ca="1">IF(G71="BTC", D71 * U71 * C71, IF(G71="ETH", E71 * U71 * C71, IF(G71="IO.NET", F71 * U71 * C71, 0)))</f>
        <v>557.81084521505989</v>
      </c>
      <c r="W71" s="2">
        <f>IF(G71 = "BTC", ((T71 - L71)), IF(G71 = "ETH", ((T71 - L71)), IF(G71 = "IO.NET", ((T71 - L71)), "Moneda no soportada")))</f>
        <v>-350.00398704310692</v>
      </c>
      <c r="X71" s="32">
        <f ca="1">IF(G71 = "BTC", (((D71 - J71) / J71)),IF(G71 = "ETH", ((E71 - J71) / J71), IF(G71 = "IO.NET", ((F71 - J71) / J71), "Moneda no soportada")))</f>
        <v>0.55519197081557969</v>
      </c>
      <c r="Y71" s="2" t="str">
        <f>IF(U71=0,"VENDIDA","ACTIVA")</f>
        <v>ACTIVA</v>
      </c>
    </row>
    <row r="72" spans="2:25">
      <c r="B72" s="1">
        <f ca="1">TODAY()</f>
        <v>45607</v>
      </c>
      <c r="C72" s="2">
        <f ca="1">VLOOKUP(B72,Tabla4[],2,FALSE)</f>
        <v>4346.7</v>
      </c>
      <c r="D72" s="3">
        <f ca="1">VLOOKUP(B72,Tabla4[],3,FALSE)</f>
        <v>87272.61</v>
      </c>
      <c r="E72" s="2">
        <f ca="1">VLOOKUP(B72,Tabla4[],5,FALSE)</f>
        <v>3355.6</v>
      </c>
      <c r="F72" s="2">
        <f ca="1">VLOOKUP(B72,Tabla4[],4,FALSE)</f>
        <v>2.69</v>
      </c>
      <c r="G72" t="s">
        <v>15</v>
      </c>
      <c r="H72" s="1">
        <v>45600</v>
      </c>
      <c r="I72" s="3">
        <v>4370.66</v>
      </c>
      <c r="J72" s="3">
        <v>2439.6</v>
      </c>
      <c r="K72" s="25">
        <v>6.5649999999999997E-5</v>
      </c>
      <c r="L72" s="29">
        <f>Tabla6[[#This Row],[precio de compra]]*Tabla6[[#This Row],[cantidad]]*Tabla6[[#This Row],[PRECIO DEL DÓLAR, DIA COMPRA]]</f>
        <v>700.00376922839996</v>
      </c>
      <c r="M72" s="26">
        <f ca="1" xml:space="preserve"> K72 * (IF(G72="BTC", D72, IF(G72="ETH", E72, IF(G72="IO.NET", F72, 0)))) * C72</f>
        <v>957.55688503799979</v>
      </c>
      <c r="N72" s="41">
        <f ca="1">IF(G72 = "BTC", (D72 - J72) / J72,
 IF(G72 = "ETH", (E72 - J72) / J72,
 IF(G72 = "IO.NET", (F72 - J72) / J72,
 "Moneda no soportada")))</f>
        <v>0.3754713887522545</v>
      </c>
      <c r="O72" s="28">
        <v>0.25</v>
      </c>
      <c r="P72" s="28">
        <v>0.5</v>
      </c>
      <c r="Q72" s="31" t="str">
        <f ca="1">IF(N72 &lt; O72, "MANTENER", IF(N72 &lt; P72, "VENTA PARCIAL", "VENDER"))</f>
        <v>VENTA PARCIAL</v>
      </c>
      <c r="T72" s="2"/>
      <c r="U72" s="14">
        <f>Tabla6[[#This Row],[cantidad]]-Tabla6[[#This Row],[CANTIDAD VENDIDA]]</f>
        <v>6.5649999999999997E-5</v>
      </c>
      <c r="V72" s="2">
        <f ca="1">IF(G72="BTC", D72 * U72 * C72, IF(G72="ETH", E72 * U72 * C72, IF(G72="IO.NET", F72 * U72 * C72, 0)))</f>
        <v>957.55688503799979</v>
      </c>
      <c r="W72" s="2">
        <f>IF(G72 = "BTC", ((T72 - L72)), IF(G72 = "ETH", ((T72 - L72)), IF(G72 = "IO.NET", ((T72 - L72)), "Moneda no soportada")))</f>
        <v>-700.00376922839996</v>
      </c>
      <c r="X72" s="32">
        <f ca="1">IF(G72 = "BTC", (((D72 - J72) / J72)),IF(G72 = "ETH", ((E72 - J72) / J72), IF(G72 = "IO.NET", ((F72 - J72) / J72), "Moneda no soportada")))</f>
        <v>0.3754713887522545</v>
      </c>
      <c r="Y72" s="2" t="str">
        <f>IF(U72=0,"VENDIDA","ACTIVA")</f>
        <v>ACTIVA</v>
      </c>
    </row>
    <row r="73" spans="2:25">
      <c r="B73" s="1">
        <f ca="1">TODAY()</f>
        <v>45607</v>
      </c>
      <c r="C73" s="2">
        <f ca="1">VLOOKUP(B73,Tabla4[],2,FALSE)</f>
        <v>4346.7</v>
      </c>
      <c r="D73" s="3">
        <f ca="1">VLOOKUP(B73,Tabla4[],3,FALSE)</f>
        <v>87272.61</v>
      </c>
      <c r="E73" s="2">
        <f ca="1">VLOOKUP(B73,Tabla4[],5,FALSE)</f>
        <v>3355.6</v>
      </c>
      <c r="F73" s="2">
        <f ca="1">VLOOKUP(B73,Tabla4[],4,FALSE)</f>
        <v>2.69</v>
      </c>
      <c r="G73" t="s">
        <v>14</v>
      </c>
      <c r="H73" s="1">
        <v>45600</v>
      </c>
      <c r="I73" s="3">
        <v>4370.66</v>
      </c>
      <c r="J73" s="3">
        <v>68738</v>
      </c>
      <c r="K73" s="25">
        <v>2.3300000000000001E-6</v>
      </c>
      <c r="L73" s="29">
        <f>Tabla6[[#This Row],[precio de compra]]*Tabla6[[#This Row],[cantidad]]*Tabla6[[#This Row],[PRECIO DEL DÓLAR, DIA COMPRA]]</f>
        <v>700.00289509640004</v>
      </c>
      <c r="M73" s="26">
        <f ca="1" xml:space="preserve"> K73 * (IF(G73="BTC", D73, IF(G73="ETH", E73, IF(G73="IO.NET", F73, 0)))) * C73</f>
        <v>883.88049955670999</v>
      </c>
      <c r="N73" s="41">
        <f ca="1">IF(G73 = "BTC", (D73 - J73) / J73,
 IF(G73 = "ETH", (E73 - J73) / J73,
 IF(G73 = "IO.NET", (F73 - J73) / J73,
 "Moneda no soportada")))</f>
        <v>0.26964139195204984</v>
      </c>
      <c r="O73" s="28">
        <v>0.25</v>
      </c>
      <c r="P73" s="28">
        <v>0.5</v>
      </c>
      <c r="Q73" s="31" t="str">
        <f ca="1">IF(N73 &lt; O73, "MANTENER", IF(N73 &lt; P73, "VENTA PARCIAL", "VENDER"))</f>
        <v>VENTA PARCIAL</v>
      </c>
      <c r="T73" s="2"/>
      <c r="U73" s="14">
        <f>Tabla6[[#This Row],[cantidad]]-Tabla6[[#This Row],[CANTIDAD VENDIDA]]</f>
        <v>2.3300000000000001E-6</v>
      </c>
      <c r="V73" s="2">
        <f ca="1">IF(G73="BTC", D73 * U73 * C73, IF(G73="ETH", E73 * U73 * C73, IF(G73="IO.NET", F73 * U73 * C73, 0)))</f>
        <v>883.88049955670999</v>
      </c>
      <c r="W73" s="2">
        <f>IF(G73 = "BTC", ((T73 - L73)), IF(G73 = "ETH", ((T73 - L73)), IF(G73 = "IO.NET", ((T73 - L73)), "Moneda no soportada")))</f>
        <v>-700.00289509640004</v>
      </c>
      <c r="X73" s="32">
        <f ca="1">IF(G73 = "BTC", (((D73 - J73) / J73)),IF(G73 = "ETH", ((E73 - J73) / J73), IF(G73 = "IO.NET", ((F73 - J73) / J73), "Moneda no soportada")))</f>
        <v>0.26964139195204984</v>
      </c>
      <c r="Y73" s="2" t="str">
        <f>IF(U73=0,"VENDIDA","ACTIVA")</f>
        <v>ACTIVA</v>
      </c>
    </row>
    <row r="74" spans="2:25">
      <c r="B74" s="1">
        <f ca="1">TODAY()</f>
        <v>45607</v>
      </c>
      <c r="C74" s="2">
        <f ca="1">VLOOKUP(B74,Tabla4[],2,FALSE)</f>
        <v>4346.7</v>
      </c>
      <c r="D74" s="3">
        <f ca="1">VLOOKUP(B74,Tabla4[],3,FALSE)</f>
        <v>87272.61</v>
      </c>
      <c r="E74" s="2">
        <f ca="1">VLOOKUP(B74,Tabla4[],5,FALSE)</f>
        <v>3355.6</v>
      </c>
      <c r="F74" s="2">
        <f ca="1">VLOOKUP(B74,Tabla4[],4,FALSE)</f>
        <v>2.69</v>
      </c>
      <c r="G74" t="s">
        <v>41</v>
      </c>
      <c r="H74" s="1">
        <v>45600</v>
      </c>
      <c r="I74" s="3">
        <v>4370.66</v>
      </c>
      <c r="J74" s="3">
        <v>1.4944500000000001</v>
      </c>
      <c r="K74" s="25">
        <v>5.3584970000000003E-2</v>
      </c>
      <c r="L74" s="29">
        <f>Tabla6[[#This Row],[precio de compra]]*Tabla6[[#This Row],[cantidad]]*Tabla6[[#This Row],[PRECIO DEL DÓLAR, DIA COMPRA]]</f>
        <v>350.00270811865994</v>
      </c>
      <c r="M74" s="26">
        <f ca="1" xml:space="preserve"> K74 * (IF(G74="BTC", D74, IF(G74="ETH", E74, IF(G74="IO.NET", F74, 0)))) * C74</f>
        <v>626.54885267630993</v>
      </c>
      <c r="N74" s="41">
        <f ca="1">IF(G74 = "BTC", (D74 - J74) / J74,
 IF(G74 = "ETH", (E74 - J74) / J74,
 IF(G74 = "IO.NET", (F74 - J74) / J74,
 "Moneda no soportada")))</f>
        <v>0.7999933085750609</v>
      </c>
      <c r="O74" s="28">
        <v>0.1</v>
      </c>
      <c r="P74" s="28">
        <v>0.3</v>
      </c>
      <c r="Q74" s="31" t="str">
        <f ca="1">IF(N74 &lt; O74, "MANTENER", IF(N74 &lt; P74, "VENTA PARCIAL", "VENDER"))</f>
        <v>VENDER</v>
      </c>
      <c r="T74" s="2"/>
      <c r="U74" s="14">
        <f>Tabla6[[#This Row],[cantidad]]-Tabla6[[#This Row],[CANTIDAD VENDIDA]]</f>
        <v>5.3584970000000003E-2</v>
      </c>
      <c r="V74" s="2">
        <f ca="1">IF(G74="BTC", D74 * U74 * C74, IF(G74="ETH", E74 * U74 * C74, IF(G74="IO.NET", F74 * U74 * C74, 0)))</f>
        <v>626.54885267630993</v>
      </c>
      <c r="W74" s="2">
        <f>IF(G74 = "BTC", ((T74 - L74)), IF(G74 = "ETH", ((T74 - L74)), IF(G74 = "IO.NET", ((T74 - L74)), "Moneda no soportada")))</f>
        <v>-350.00270811865994</v>
      </c>
      <c r="X74" s="32">
        <f ca="1">IF(G74 = "BTC", (((D74 - J74) / J74)),IF(G74 = "ETH", ((E74 - J74) / J74), IF(G74 = "IO.NET", ((F74 - J74) / J74), "Moneda no soportada")))</f>
        <v>0.7999933085750609</v>
      </c>
      <c r="Y74" s="2" t="str">
        <f>IF(U74=0,"VENDIDA","ACTIVA")</f>
        <v>ACTIVA</v>
      </c>
    </row>
    <row r="75" spans="2:25">
      <c r="B75" s="1">
        <f ca="1">TODAY()</f>
        <v>45607</v>
      </c>
      <c r="C75" s="2">
        <f ca="1">VLOOKUP(B75,Tabla4[],2,FALSE)</f>
        <v>4346.7</v>
      </c>
      <c r="D75" s="3">
        <f ca="1">VLOOKUP(B75,Tabla4[],3,FALSE)</f>
        <v>87272.61</v>
      </c>
      <c r="E75" s="2">
        <f ca="1">VLOOKUP(B75,Tabla4[],5,FALSE)</f>
        <v>3355.6</v>
      </c>
      <c r="F75" s="2">
        <f ca="1">VLOOKUP(B75,Tabla4[],4,FALSE)</f>
        <v>2.69</v>
      </c>
      <c r="G75" t="s">
        <v>14</v>
      </c>
      <c r="H75" s="1">
        <v>45607</v>
      </c>
      <c r="I75" s="42">
        <v>4314.76</v>
      </c>
      <c r="J75" s="3">
        <v>82352</v>
      </c>
      <c r="K75" s="25">
        <v>1.9700000000000002E-6</v>
      </c>
      <c r="L75" s="43">
        <f>Tabla6[[#This Row],[precio de compra]]*Tabla6[[#This Row],[cantidad]]*Tabla6[[#This Row],[PRECIO DEL DÓLAR, DIA COMPRA]]</f>
        <v>699.99835757440007</v>
      </c>
      <c r="M75" s="26">
        <f ca="1" xml:space="preserve"> K75 * (IF(G75="BTC", D75, IF(G75="ETH", E75, IF(G75="IO.NET", F75, 0)))) * C75</f>
        <v>747.31527215739004</v>
      </c>
      <c r="N75" s="41">
        <f ca="1">IF(G75 = "BTC", (D75 - J75) / J75,
 IF(G75 = "ETH", (E75 - J75) / J75,
 IF(G75 = "IO.NET", (F75 - J75) / J75,
 "Moneda no soportada")))</f>
        <v>5.975094715368176E-2</v>
      </c>
      <c r="O75" s="28">
        <v>0.25</v>
      </c>
      <c r="P75" s="28">
        <v>0.5</v>
      </c>
      <c r="Q75" s="31" t="str">
        <f ca="1">IF(N75 &lt; O75, "MANTENER", IF(N75 &lt; P75, "VENTA PARCIAL", "VENDER"))</f>
        <v>MANTENER</v>
      </c>
      <c r="T75" s="2"/>
      <c r="U75" s="14">
        <f>Tabla6[[#This Row],[cantidad]]-Tabla6[[#This Row],[CANTIDAD VENDIDA]]</f>
        <v>1.9700000000000002E-6</v>
      </c>
      <c r="V75" s="2">
        <f ca="1">IF(G75="BTC", D75 * U75 * C75, IF(G75="ETH", E75 * U75 * C75, IF(G75="IO.NET", F75 * U75 * C75, 0)))</f>
        <v>747.31527215739004</v>
      </c>
      <c r="W75" s="2">
        <f>IF(G75 = "BTC", ((T75 - L75)), IF(G75 = "ETH", ((T75 - L75)), IF(G75 = "IO.NET", ((T75 - L75)), "Moneda no soportada")))</f>
        <v>-699.99835757440007</v>
      </c>
      <c r="X75" s="32">
        <f ca="1">IF(G75 = "BTC", (((D75 - J75) / J75)),IF(G75 = "ETH", ((E75 - J75) / J75), IF(G75 = "IO.NET", ((F75 - J75) / J75), "Moneda no soportada")))</f>
        <v>5.975094715368176E-2</v>
      </c>
      <c r="Y75" s="2" t="str">
        <f>IF(U75=0,"VENDIDA","ACTIVA")</f>
        <v>ACTIVA</v>
      </c>
    </row>
    <row r="76" spans="2:25">
      <c r="B76" s="1">
        <f ca="1">TODAY()</f>
        <v>45607</v>
      </c>
      <c r="C76" s="2">
        <f ca="1">VLOOKUP(B76,Tabla4[],2,FALSE)</f>
        <v>4346.7</v>
      </c>
      <c r="D76" s="3">
        <f ca="1">VLOOKUP(B76,Tabla4[],3,FALSE)</f>
        <v>87272.61</v>
      </c>
      <c r="E76" s="2">
        <f ca="1">VLOOKUP(B76,Tabla4[],5,FALSE)</f>
        <v>3355.6</v>
      </c>
      <c r="F76" s="2">
        <f ca="1">VLOOKUP(B76,Tabla4[],4,FALSE)</f>
        <v>2.69</v>
      </c>
      <c r="G76" t="s">
        <v>15</v>
      </c>
      <c r="H76" s="1">
        <v>45607</v>
      </c>
      <c r="I76" s="3">
        <v>4314.76</v>
      </c>
      <c r="J76" s="3">
        <v>3146.5</v>
      </c>
      <c r="K76" s="25">
        <v>5.1560000000000001E-5</v>
      </c>
      <c r="L76" s="44">
        <f>Tabla6[[#This Row],[precio de compra]]*Tabla6[[#This Row],[cantidad]]*Tabla6[[#This Row],[PRECIO DEL DÓLAR, DIA COMPRA]]</f>
        <v>699.99878905040009</v>
      </c>
      <c r="M76" s="26">
        <f ca="1" xml:space="preserve"> K76 * (IF(G76="BTC", D76, IF(G76="ETH", E76, IF(G76="IO.NET", F76, 0)))) * C76</f>
        <v>752.04315297120002</v>
      </c>
      <c r="N76" s="41">
        <f ca="1">IF(G76 = "BTC", (D76 - J76) / J76,
 IF(G76 = "ETH", (E76 - J76) / J76,
 IF(G76 = "IO.NET", (F76 - J76) / J76,
 "Moneda no soportada")))</f>
        <v>6.645479103766086E-2</v>
      </c>
      <c r="O76" s="28">
        <v>0.25</v>
      </c>
      <c r="P76" s="28">
        <v>0.5</v>
      </c>
      <c r="Q76" s="31" t="str">
        <f ca="1">IF(N76 &lt; O76, "MANTENER", IF(N76 &lt; P76, "VENTA PARCIAL", "VENDER"))</f>
        <v>MANTENER</v>
      </c>
      <c r="T76" s="2"/>
      <c r="U76" s="14">
        <f>Tabla6[[#This Row],[cantidad]]-Tabla6[[#This Row],[CANTIDAD VENDIDA]]</f>
        <v>5.1560000000000001E-5</v>
      </c>
      <c r="V76" s="2">
        <f ca="1">IF(G76="BTC", D76 * U76 * C76, IF(G76="ETH", E76 * U76 * C76, IF(G76="IO.NET", F76 * U76 * C76, 0)))</f>
        <v>752.04315297120002</v>
      </c>
      <c r="W76" s="2">
        <f>IF(G76 = "BTC", ((T76 - L76)), IF(G76 = "ETH", ((T76 - L76)), IF(G76 = "IO.NET", ((T76 - L76)), "Moneda no soportada")))</f>
        <v>-699.99878905040009</v>
      </c>
      <c r="X76" s="32">
        <f ca="1">IF(G76 = "BTC", (((D76 - J76) / J76)),IF(G76 = "ETH", ((E76 - J76) / J76), IF(G76 = "IO.NET", ((F76 - J76) / J76), "Moneda no soportada")))</f>
        <v>6.645479103766086E-2</v>
      </c>
      <c r="Y76" s="2" t="str">
        <f>IF(U76=0,"VENDIDA","ACTIVA")</f>
        <v>ACTIVA</v>
      </c>
    </row>
    <row r="77" spans="2:25">
      <c r="B77" s="1">
        <f ca="1">TODAY()</f>
        <v>45607</v>
      </c>
      <c r="C77" s="2">
        <f ca="1">VLOOKUP(B77,Tabla4[],2,FALSE)</f>
        <v>4346.7</v>
      </c>
      <c r="D77" s="3">
        <f ca="1">VLOOKUP(B77,Tabla4[],3,FALSE)</f>
        <v>87272.61</v>
      </c>
      <c r="E77" s="2">
        <f ca="1">VLOOKUP(B77,Tabla4[],5,FALSE)</f>
        <v>3355.6</v>
      </c>
      <c r="F77" s="2">
        <f ca="1">VLOOKUP(B77,Tabla4[],4,FALSE)</f>
        <v>2.69</v>
      </c>
      <c r="G77" t="s">
        <v>41</v>
      </c>
      <c r="H77" s="1">
        <v>45607</v>
      </c>
      <c r="I77" s="3">
        <v>4314.76</v>
      </c>
      <c r="J77" s="3">
        <v>2.3915999999999999</v>
      </c>
      <c r="K77" s="25">
        <v>3.3917910000000003E-2</v>
      </c>
      <c r="L77" s="44">
        <f>Tabla6[[#This Row],[precio de compra]]*Tabla6[[#This Row],[cantidad]]*Tabla6[[#This Row],[PRECIO DEL DÓLAR, DIA COMPRA]]</f>
        <v>350.00501905648662</v>
      </c>
      <c r="M77" s="26">
        <f ca="1" xml:space="preserve"> K77 * (IF(G77="BTC", D77, IF(G77="ETH", E77, IF(G77="IO.NET", F77, 0)))) * C77</f>
        <v>396.58933457793</v>
      </c>
      <c r="N77" s="41">
        <f ca="1">IF(G77 = "BTC", (D77 - J77) / J77,
 IF(G77 = "ETH", (E77 - J77) / J77,
 IF(G77 = "IO.NET", (F77 - J77) / J77,
 "Moneda no soportada")))</f>
        <v>0.1247700284328483</v>
      </c>
      <c r="O77" s="28">
        <v>0.1</v>
      </c>
      <c r="P77" s="28">
        <v>0.3</v>
      </c>
      <c r="Q77" s="31" t="str">
        <f ca="1">IF(N77 &lt; O77, "MANTENER", IF(N77 &lt; P77, "VENTA PARCIAL", "VENDER"))</f>
        <v>VENTA PARCIAL</v>
      </c>
      <c r="T77" s="2"/>
      <c r="U77" s="14">
        <f>Tabla6[[#This Row],[cantidad]]-Tabla6[[#This Row],[CANTIDAD VENDIDA]]</f>
        <v>3.3917910000000003E-2</v>
      </c>
      <c r="V77" s="2">
        <f ca="1">IF(G77="BTC", D77 * U77 * C77, IF(G77="ETH", E77 * U77 * C77, IF(G77="IO.NET", F77 * U77 * C77, 0)))</f>
        <v>396.58933457793</v>
      </c>
      <c r="W77" s="2">
        <f>IF(G77 = "BTC", ((T77 - L77)), IF(G77 = "ETH", ((T77 - L77)), IF(G77 = "IO.NET", ((T77 - L77)), "Moneda no soportada")))</f>
        <v>-350.00501905648662</v>
      </c>
      <c r="X77" s="32">
        <f ca="1">IF(G77 = "BTC", (((D77 - J77) / J77)),IF(G77 = "ETH", ((E77 - J77) / J77), IF(G77 = "IO.NET", ((F77 - J77) / J77), "Moneda no soportada")))</f>
        <v>0.1247700284328483</v>
      </c>
      <c r="Y77" s="2" t="str">
        <f>IF(U77=0,"VENDIDA","ACTIVA")</f>
        <v>ACTIVA</v>
      </c>
    </row>
  </sheetData>
  <conditionalFormatting sqref="B3:Z77">
    <cfRule type="expression" dxfId="34" priority="1">
      <formula>$Y:$Y="VENDIDA"</formula>
    </cfRule>
  </conditionalFormatting>
  <conditionalFormatting sqref="Q1:Q1048576">
    <cfRule type="containsText" dxfId="30" priority="9" operator="containsText" text="VENTA PARCIAL">
      <formula>NOT(ISERROR(SEARCH("VENTA PARCIAL",Q1)))</formula>
    </cfRule>
    <cfRule type="containsText" dxfId="29" priority="10" operator="containsText" text="MANTENER">
      <formula>NOT(ISERROR(SEARCH("MANTENER",Q1)))</formula>
    </cfRule>
  </conditionalFormatting>
  <conditionalFormatting sqref="Q3:Q77">
    <cfRule type="containsText" dxfId="33" priority="8" operator="containsText" text="VENDER">
      <formula>NOT(ISERROR(SEARCH("VENDER",Q3)))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workbookViewId="0">
      <selection activeCell="D20" sqref="D20"/>
    </sheetView>
  </sheetViews>
  <sheetFormatPr baseColWidth="10" defaultRowHeight="14.25"/>
  <cols>
    <col min="4" max="4" width="30.625" customWidth="1"/>
    <col min="5" max="5" width="22.125" customWidth="1"/>
    <col min="6" max="6" width="17.25" customWidth="1"/>
    <col min="7" max="7" width="24" customWidth="1"/>
    <col min="8" max="8" width="22.875" customWidth="1"/>
    <col min="9" max="9" width="24" customWidth="1"/>
    <col min="10" max="11" width="23" customWidth="1"/>
    <col min="12" max="12" width="16.375" customWidth="1"/>
    <col min="13" max="13" width="12" customWidth="1"/>
  </cols>
  <sheetData>
    <row r="2" spans="2:13">
      <c r="B2" t="s">
        <v>79</v>
      </c>
      <c r="C2" t="s">
        <v>39</v>
      </c>
      <c r="D2" t="s">
        <v>45</v>
      </c>
      <c r="E2" t="s">
        <v>43</v>
      </c>
      <c r="F2" t="s">
        <v>44</v>
      </c>
      <c r="G2" t="s">
        <v>48</v>
      </c>
      <c r="H2" t="s">
        <v>49</v>
      </c>
      <c r="I2" t="s">
        <v>46</v>
      </c>
      <c r="J2" t="s">
        <v>51</v>
      </c>
      <c r="K2" t="s">
        <v>119</v>
      </c>
      <c r="L2" t="s">
        <v>47</v>
      </c>
      <c r="M2" t="s">
        <v>50</v>
      </c>
    </row>
    <row r="3" spans="2:13">
      <c r="B3" s="1">
        <f t="shared" ref="B3:B4" ca="1" si="0">TODAY()</f>
        <v>45607</v>
      </c>
      <c r="C3" s="1">
        <v>45495</v>
      </c>
      <c r="D3" s="7">
        <v>3983.46</v>
      </c>
      <c r="E3" s="14">
        <v>0.17572713000000001</v>
      </c>
      <c r="F3" s="7">
        <f t="shared" ref="F3:F8" si="1">D3*E3</f>
        <v>700.0019932698001</v>
      </c>
      <c r="G3" s="14">
        <f>E3</f>
        <v>0.17572713000000001</v>
      </c>
      <c r="H3" s="7">
        <f ca="1">VLOOKUP(B3,Tabla4[],6,FALSE)</f>
        <v>4267</v>
      </c>
      <c r="I3" s="7">
        <f t="shared" ref="I3:I8" ca="1" si="2">G3*H3</f>
        <v>749.82766371000002</v>
      </c>
      <c r="J3" s="7">
        <f>F3</f>
        <v>700.0019932698001</v>
      </c>
      <c r="K3" s="7">
        <f ca="1">Tabla5[[#This Row],[VALOR ACTUAL EN COP]]-Tabla5[[#This Row],[COSTO TOTAL EN COP]]</f>
        <v>49.825670440199929</v>
      </c>
      <c r="L3" s="10">
        <f t="shared" ref="L3:L8" ca="1" si="3">((I3-J3)/J3)</f>
        <v>7.1179326515139987E-2</v>
      </c>
      <c r="M3" s="7">
        <f>D3*1.1</f>
        <v>4381.8060000000005</v>
      </c>
    </row>
    <row r="4" spans="2:13">
      <c r="B4" s="1">
        <f t="shared" ca="1" si="0"/>
        <v>45607</v>
      </c>
      <c r="C4" s="1">
        <v>45496</v>
      </c>
      <c r="D4" s="7">
        <v>3969.77</v>
      </c>
      <c r="E4">
        <v>2.5190379999999998E-2</v>
      </c>
      <c r="F4" s="7">
        <f t="shared" si="1"/>
        <v>100.0000148126</v>
      </c>
      <c r="G4" s="14">
        <f t="shared" ref="G4:G9" si="4">G3+E4</f>
        <v>0.20091751000000002</v>
      </c>
      <c r="H4" s="7">
        <f ca="1">VLOOKUP(B4,Tabla4[],6,FALSE)</f>
        <v>4267</v>
      </c>
      <c r="I4" s="7">
        <f t="shared" ca="1" si="2"/>
        <v>857.31501517000004</v>
      </c>
      <c r="J4" s="7">
        <f t="shared" ref="J4:J9" si="5">F4+J3</f>
        <v>800.00200808240015</v>
      </c>
      <c r="K4" s="7">
        <f ca="1">Tabla5[[#This Row],[VALOR ACTUAL EN COP]]-Tabla5[[#This Row],[COSTO TOTAL EN COP]]</f>
        <v>57.313007087599885</v>
      </c>
      <c r="L4" s="10">
        <f t="shared" ca="1" si="3"/>
        <v>7.1641079033012436E-2</v>
      </c>
      <c r="M4" s="7">
        <f t="shared" ref="M4:M6" si="6">D4*1.1</f>
        <v>4366.7470000000003</v>
      </c>
    </row>
    <row r="5" spans="2:13">
      <c r="B5" s="1">
        <f t="shared" ref="B5:B10" ca="1" si="7">TODAY()</f>
        <v>45607</v>
      </c>
      <c r="C5" s="1">
        <v>45502</v>
      </c>
      <c r="D5" s="7">
        <v>4013.7</v>
      </c>
      <c r="E5">
        <v>0.17440263</v>
      </c>
      <c r="F5" s="7">
        <f t="shared" si="1"/>
        <v>699.99983603099997</v>
      </c>
      <c r="G5" s="14">
        <f t="shared" si="4"/>
        <v>0.37532014000000002</v>
      </c>
      <c r="H5" s="7">
        <f ca="1">VLOOKUP(B5,Tabla4[],6,FALSE)</f>
        <v>4267</v>
      </c>
      <c r="I5" s="22">
        <f t="shared" ca="1" si="2"/>
        <v>1601.4910373800001</v>
      </c>
      <c r="J5" s="8">
        <f t="shared" si="5"/>
        <v>1500.0018441134002</v>
      </c>
      <c r="K5" s="8">
        <f ca="1">Tabla5[[#This Row],[VALOR ACTUAL EN COP]]-Tabla5[[#This Row],[COSTO TOTAL EN COP]]</f>
        <v>101.48919326659984</v>
      </c>
      <c r="L5" s="10">
        <f t="shared" ca="1" si="3"/>
        <v>6.7659378996688252E-2</v>
      </c>
      <c r="M5" s="7">
        <f t="shared" si="6"/>
        <v>4415.07</v>
      </c>
    </row>
    <row r="6" spans="2:13">
      <c r="B6" s="1">
        <f t="shared" ca="1" si="7"/>
        <v>45607</v>
      </c>
      <c r="C6" s="1">
        <v>45509</v>
      </c>
      <c r="D6" s="7">
        <v>4203.8900000000003</v>
      </c>
      <c r="E6" s="14">
        <v>0.16651260000000001</v>
      </c>
      <c r="F6" s="22">
        <f t="shared" si="1"/>
        <v>700.00065401400013</v>
      </c>
      <c r="G6" s="14">
        <f t="shared" si="4"/>
        <v>0.54183274000000003</v>
      </c>
      <c r="H6" s="7">
        <f ca="1">VLOOKUP(B6,Tabla4[],6,FALSE)</f>
        <v>4267</v>
      </c>
      <c r="I6" s="22">
        <f t="shared" ca="1" si="2"/>
        <v>2312.0003015800003</v>
      </c>
      <c r="J6" s="8">
        <f t="shared" si="5"/>
        <v>2200.0024981274005</v>
      </c>
      <c r="K6" s="8">
        <f ca="1">Tabla5[[#This Row],[VALOR ACTUAL EN COP]]-Tabla5[[#This Row],[COSTO TOTAL EN COP]]</f>
        <v>111.99780345259978</v>
      </c>
      <c r="L6" s="10">
        <f t="shared" ca="1" si="3"/>
        <v>5.0908034671747031E-2</v>
      </c>
      <c r="M6" s="7">
        <f t="shared" si="6"/>
        <v>4624.2790000000005</v>
      </c>
    </row>
    <row r="7" spans="2:13">
      <c r="B7" s="1">
        <f t="shared" ca="1" si="7"/>
        <v>45607</v>
      </c>
      <c r="C7" s="1">
        <v>45516</v>
      </c>
      <c r="D7" s="7">
        <v>4043.31</v>
      </c>
      <c r="E7">
        <v>0.17312537</v>
      </c>
      <c r="F7" s="7">
        <f t="shared" si="1"/>
        <v>699.9995397747</v>
      </c>
      <c r="G7" s="14">
        <f t="shared" si="4"/>
        <v>0.71495810999999998</v>
      </c>
      <c r="H7" s="7">
        <f ca="1">VLOOKUP(B7,Tabla4[],6,FALSE)</f>
        <v>4267</v>
      </c>
      <c r="I7" s="22">
        <f t="shared" ca="1" si="2"/>
        <v>3050.7262553699998</v>
      </c>
      <c r="J7" s="8">
        <f t="shared" si="5"/>
        <v>2900.0020379021007</v>
      </c>
      <c r="K7" s="8">
        <f ca="1">Tabla5[[#This Row],[VALOR ACTUAL EN COP]]-Tabla5[[#This Row],[COSTO TOTAL EN COP]]</f>
        <v>150.72421746789905</v>
      </c>
      <c r="L7" s="30">
        <f t="shared" ca="1" si="3"/>
        <v>5.1973831569075347E-2</v>
      </c>
      <c r="M7" s="8">
        <f t="shared" ref="M7:M12" si="8">D7*1.1</f>
        <v>4447.6410000000005</v>
      </c>
    </row>
    <row r="8" spans="2:13">
      <c r="B8" s="1">
        <f t="shared" ca="1" si="7"/>
        <v>45607</v>
      </c>
      <c r="C8" s="1">
        <v>45523</v>
      </c>
      <c r="D8" s="7">
        <v>3958.06</v>
      </c>
      <c r="E8">
        <v>0.17685443000000001</v>
      </c>
      <c r="F8" s="7">
        <f t="shared" si="1"/>
        <v>700.00044520580002</v>
      </c>
      <c r="G8" s="14">
        <f t="shared" si="4"/>
        <v>0.89181253999999999</v>
      </c>
      <c r="H8" s="7">
        <f ca="1">VLOOKUP(B8,Tabla4[],6,FALSE)</f>
        <v>4267</v>
      </c>
      <c r="I8" s="22">
        <f t="shared" ca="1" si="2"/>
        <v>3805.3641081800001</v>
      </c>
      <c r="J8" s="8">
        <f t="shared" si="5"/>
        <v>3600.0024831079008</v>
      </c>
      <c r="K8" s="8">
        <f ca="1">Tabla5[[#This Row],[VALOR ACTUAL EN COP]]-Tabla5[[#This Row],[COSTO TOTAL EN COP]]</f>
        <v>205.36162507209929</v>
      </c>
      <c r="L8" s="30">
        <f t="shared" ca="1" si="3"/>
        <v>5.7044856506545942E-2</v>
      </c>
      <c r="M8" s="8">
        <f t="shared" si="8"/>
        <v>4353.866</v>
      </c>
    </row>
    <row r="9" spans="2:13">
      <c r="B9" s="1">
        <f t="shared" ca="1" si="7"/>
        <v>45607</v>
      </c>
      <c r="C9" s="1">
        <v>45530</v>
      </c>
      <c r="D9" s="7">
        <v>3966.68</v>
      </c>
      <c r="E9">
        <v>0.17646977</v>
      </c>
      <c r="F9" s="7">
        <f t="shared" ref="F9:F14" si="9">D9*E9</f>
        <v>699.99910726359997</v>
      </c>
      <c r="G9" s="14">
        <f t="shared" si="4"/>
        <v>1.0682823100000001</v>
      </c>
      <c r="H9" s="7">
        <f ca="1">VLOOKUP(B9,Tabla4[],6,FALSE)</f>
        <v>4267</v>
      </c>
      <c r="I9" s="22">
        <f t="shared" ref="I9:I14" ca="1" si="10">G9*H9</f>
        <v>4558.36061677</v>
      </c>
      <c r="J9" s="8">
        <f t="shared" si="5"/>
        <v>4300.0015903715012</v>
      </c>
      <c r="K9" s="8">
        <f ca="1">Tabla5[[#This Row],[VALOR ACTUAL EN COP]]-Tabla5[[#This Row],[COSTO TOTAL EN COP]]</f>
        <v>258.35902639849883</v>
      </c>
      <c r="L9" s="30">
        <f t="shared" ref="L9:L14" ca="1" si="11">((I9-J9)/J9)</f>
        <v>6.0083472289176001E-2</v>
      </c>
      <c r="M9" s="8">
        <f t="shared" si="8"/>
        <v>4363.348</v>
      </c>
    </row>
    <row r="10" spans="2:13">
      <c r="B10" s="1">
        <f t="shared" ca="1" si="7"/>
        <v>45607</v>
      </c>
      <c r="C10" s="1">
        <v>45537</v>
      </c>
      <c r="D10" s="7">
        <v>3995.06</v>
      </c>
      <c r="E10">
        <v>0.17521656999999999</v>
      </c>
      <c r="F10" s="7">
        <f t="shared" si="9"/>
        <v>700.00071014419996</v>
      </c>
      <c r="G10" s="14">
        <f t="shared" ref="G10:G15" si="12">G9+E10</f>
        <v>1.24349888</v>
      </c>
      <c r="H10" s="7">
        <f ca="1">VLOOKUP(B10,Tabla4[],6,FALSE)</f>
        <v>4267</v>
      </c>
      <c r="I10" s="22">
        <f t="shared" ca="1" si="10"/>
        <v>5306.0097209599999</v>
      </c>
      <c r="J10" s="8">
        <f t="shared" ref="J10:J15" si="13">F10+J9</f>
        <v>5000.0023005157009</v>
      </c>
      <c r="K10" s="8">
        <f ca="1">Tabla5[[#This Row],[VALOR ACTUAL EN COP]]-Tabla5[[#This Row],[COSTO TOTAL EN COP]]</f>
        <v>306.00742044429899</v>
      </c>
      <c r="L10" s="30">
        <f t="shared" ca="1" si="11"/>
        <v>6.1201455929877739E-2</v>
      </c>
      <c r="M10" s="8">
        <f t="shared" si="8"/>
        <v>4394.5660000000007</v>
      </c>
    </row>
    <row r="11" spans="2:13">
      <c r="B11" s="1">
        <f t="shared" ref="B11:B16" ca="1" si="14">TODAY()</f>
        <v>45607</v>
      </c>
      <c r="C11" s="1">
        <v>45544</v>
      </c>
      <c r="D11" s="7">
        <v>4082.04</v>
      </c>
      <c r="E11" s="14">
        <v>0.17148269999999999</v>
      </c>
      <c r="F11" s="7">
        <f t="shared" si="9"/>
        <v>699.99924070799989</v>
      </c>
      <c r="G11" s="14">
        <f t="shared" si="12"/>
        <v>1.4149815800000001</v>
      </c>
      <c r="H11" s="7">
        <f ca="1">VLOOKUP(B11,Tabla4[],6,FALSE)</f>
        <v>4267</v>
      </c>
      <c r="I11" s="22">
        <f t="shared" ca="1" si="10"/>
        <v>6037.7264018599999</v>
      </c>
      <c r="J11" s="8">
        <f t="shared" si="13"/>
        <v>5700.0015412237008</v>
      </c>
      <c r="K11" s="8">
        <f ca="1">Tabla5[[#This Row],[VALOR ACTUAL EN COP]]-Tabla5[[#This Row],[COSTO TOTAL EN COP]]</f>
        <v>337.72486063629913</v>
      </c>
      <c r="L11" s="30">
        <f t="shared" ca="1" si="11"/>
        <v>5.9249959529624079E-2</v>
      </c>
      <c r="M11" s="8">
        <f t="shared" si="8"/>
        <v>4490.2440000000006</v>
      </c>
    </row>
    <row r="12" spans="2:13">
      <c r="B12" s="1">
        <f t="shared" ca="1" si="14"/>
        <v>45607</v>
      </c>
      <c r="C12" s="1">
        <v>45551</v>
      </c>
      <c r="D12" s="7">
        <v>4134.71</v>
      </c>
      <c r="E12" s="14">
        <v>0.16929839999999999</v>
      </c>
      <c r="F12" s="22">
        <f t="shared" si="9"/>
        <v>699.99978746399995</v>
      </c>
      <c r="G12" s="14">
        <f t="shared" si="12"/>
        <v>1.58427998</v>
      </c>
      <c r="H12" s="8">
        <f ca="1">VLOOKUP(B12,Tabla4[],6,FALSE)</f>
        <v>4267</v>
      </c>
      <c r="I12" s="22">
        <f t="shared" ca="1" si="10"/>
        <v>6760.1226746600005</v>
      </c>
      <c r="J12" s="8">
        <f t="shared" si="13"/>
        <v>6400.0013286877011</v>
      </c>
      <c r="K12" s="8">
        <f ca="1">Tabla5[[#This Row],[VALOR ACTUAL EN COP]]-Tabla5[[#This Row],[COSTO TOTAL EN COP]]</f>
        <v>360.12134597229942</v>
      </c>
      <c r="L12" s="30">
        <f t="shared" ca="1" si="11"/>
        <v>5.6268948626318663E-2</v>
      </c>
      <c r="M12" s="8">
        <f t="shared" si="8"/>
        <v>4548.1810000000005</v>
      </c>
    </row>
    <row r="13" spans="2:13">
      <c r="B13" s="1">
        <f t="shared" ca="1" si="14"/>
        <v>45607</v>
      </c>
      <c r="C13" s="1">
        <v>45558</v>
      </c>
      <c r="D13" s="7">
        <v>4086.07</v>
      </c>
      <c r="E13" s="14">
        <v>0.17131356</v>
      </c>
      <c r="F13" s="7">
        <f t="shared" si="9"/>
        <v>699.99919810920005</v>
      </c>
      <c r="G13" s="14">
        <f t="shared" si="12"/>
        <v>1.75559354</v>
      </c>
      <c r="H13" s="7">
        <f ca="1">VLOOKUP(B13,Tabla4[],6,FALSE)</f>
        <v>4267</v>
      </c>
      <c r="I13" s="22">
        <f t="shared" ca="1" si="10"/>
        <v>7491.1176351800004</v>
      </c>
      <c r="J13" s="8">
        <f t="shared" si="13"/>
        <v>7100.0005267969009</v>
      </c>
      <c r="K13" s="8">
        <f ca="1">Tabla5[[#This Row],[VALOR ACTUAL EN COP]]-Tabla5[[#This Row],[COSTO TOTAL EN COP]]</f>
        <v>391.11710838309955</v>
      </c>
      <c r="L13" s="30">
        <f t="shared" ca="1" si="11"/>
        <v>5.50869125864063E-2</v>
      </c>
      <c r="M13" s="8">
        <f t="shared" ref="M13:M18" si="15">D13*1.1</f>
        <v>4494.6770000000006</v>
      </c>
    </row>
    <row r="14" spans="2:13">
      <c r="B14" s="1">
        <f t="shared" ca="1" si="14"/>
        <v>45607</v>
      </c>
      <c r="C14" s="1">
        <v>45565</v>
      </c>
      <c r="D14" s="7">
        <v>4044.33</v>
      </c>
      <c r="E14">
        <v>0.17308166</v>
      </c>
      <c r="F14" s="22">
        <f t="shared" si="9"/>
        <v>699.99934998779997</v>
      </c>
      <c r="G14" s="14">
        <f t="shared" si="12"/>
        <v>1.9286752</v>
      </c>
      <c r="H14" s="7">
        <f ca="1">VLOOKUP(B14,Tabla4[],6,FALSE)</f>
        <v>4267</v>
      </c>
      <c r="I14" s="22">
        <f t="shared" ca="1" si="10"/>
        <v>8229.6570783999996</v>
      </c>
      <c r="J14" s="8">
        <f t="shared" si="13"/>
        <v>7799.999876784701</v>
      </c>
      <c r="K14" s="8">
        <f ca="1">Tabla5[[#This Row],[VALOR ACTUAL EN COP]]-Tabla5[[#This Row],[COSTO TOTAL EN COP]]</f>
        <v>429.65720161529862</v>
      </c>
      <c r="L14" s="30">
        <f t="shared" ca="1" si="11"/>
        <v>5.5084257487502807E-2</v>
      </c>
      <c r="M14" s="8">
        <f t="shared" si="15"/>
        <v>4448.7629999999999</v>
      </c>
    </row>
    <row r="15" spans="2:13">
      <c r="B15" s="1">
        <f t="shared" ca="1" si="14"/>
        <v>45607</v>
      </c>
      <c r="C15" s="1">
        <v>45572</v>
      </c>
      <c r="D15" s="7">
        <v>4036.67</v>
      </c>
      <c r="E15">
        <v>0.17341017</v>
      </c>
      <c r="F15" s="7">
        <f>D15*E15</f>
        <v>699.99963093389999</v>
      </c>
      <c r="G15" s="14">
        <f t="shared" si="12"/>
        <v>2.1020853700000002</v>
      </c>
      <c r="H15" s="7">
        <f ca="1">VLOOKUP(B15,Tabla4[],6,FALSE)</f>
        <v>4267</v>
      </c>
      <c r="I15" s="22">
        <f ca="1">G15*H15</f>
        <v>8969.5982737900013</v>
      </c>
      <c r="J15" s="8">
        <f t="shared" si="13"/>
        <v>8499.9995077186013</v>
      </c>
      <c r="K15" s="8">
        <f ca="1">Tabla5[[#This Row],[VALOR ACTUAL EN COP]]-Tabla5[[#This Row],[COSTO TOTAL EN COP]]</f>
        <v>469.59876607139995</v>
      </c>
      <c r="L15" s="30">
        <f ca="1">((I15-J15)/J15)</f>
        <v>5.5246916855109345E-2</v>
      </c>
      <c r="M15" s="8">
        <f t="shared" si="15"/>
        <v>4440.3370000000004</v>
      </c>
    </row>
    <row r="16" spans="2:13">
      <c r="B16" s="1">
        <f t="shared" ca="1" si="14"/>
        <v>45607</v>
      </c>
      <c r="C16" s="1">
        <v>45580</v>
      </c>
      <c r="D16" s="7">
        <v>4101.22</v>
      </c>
      <c r="E16">
        <v>0.17068098000000001</v>
      </c>
      <c r="F16" s="7">
        <f>D16*E16</f>
        <v>700.0002487956001</v>
      </c>
      <c r="G16" s="14">
        <f>G15+E16</f>
        <v>2.2727663500000004</v>
      </c>
      <c r="H16" s="7">
        <f ca="1">VLOOKUP(B16,Tabla4[],6,FALSE)</f>
        <v>4267</v>
      </c>
      <c r="I16" s="22">
        <f ca="1">G16*H16</f>
        <v>9697.8940154500015</v>
      </c>
      <c r="J16" s="8">
        <f>F16+J15</f>
        <v>9199.9997565142021</v>
      </c>
      <c r="K16" s="8">
        <f ca="1">Tabla5[[#This Row],[VALOR ACTUAL EN COP]]-Tabla5[[#This Row],[COSTO TOTAL EN COP]]</f>
        <v>497.89425893579937</v>
      </c>
      <c r="L16" s="30">
        <f ca="1">((I16-J16)/J16)</f>
        <v>5.411894262097753E-2</v>
      </c>
      <c r="M16" s="8">
        <f t="shared" si="15"/>
        <v>4511.3420000000006</v>
      </c>
    </row>
    <row r="17" spans="2:13">
      <c r="B17" s="1">
        <f ca="1">TODAY()</f>
        <v>45607</v>
      </c>
      <c r="C17" s="1">
        <v>45586</v>
      </c>
      <c r="D17" s="7">
        <v>4209.08</v>
      </c>
      <c r="E17">
        <v>0.16630713</v>
      </c>
      <c r="F17" s="22">
        <f>D17*E17</f>
        <v>700.00001474039993</v>
      </c>
      <c r="G17" s="14">
        <f>G16+E17</f>
        <v>2.4390734800000002</v>
      </c>
      <c r="H17" s="7">
        <f ca="1">VLOOKUP(B17,Tabla4[],6,FALSE)</f>
        <v>4267</v>
      </c>
      <c r="I17" s="22">
        <f ca="1">G17*H17</f>
        <v>10407.526539160001</v>
      </c>
      <c r="J17" s="8">
        <f>F17+J16</f>
        <v>9899.9997712546028</v>
      </c>
      <c r="K17" s="8">
        <f ca="1">Tabla5[[#This Row],[VALOR ACTUAL EN COP]]-Tabla5[[#This Row],[COSTO TOTAL EN COP]]</f>
        <v>507.52676790539772</v>
      </c>
      <c r="L17" s="30">
        <f ca="1">((I17-J17)/J17)</f>
        <v>5.1265331275970334E-2</v>
      </c>
      <c r="M17" s="8">
        <f t="shared" si="15"/>
        <v>4629.9880000000003</v>
      </c>
    </row>
    <row r="18" spans="2:13">
      <c r="B18" s="1">
        <f ca="1">TODAY()</f>
        <v>45607</v>
      </c>
      <c r="C18" s="1">
        <v>45593</v>
      </c>
      <c r="D18" s="7">
        <v>4241.6000000000004</v>
      </c>
      <c r="E18">
        <v>0.16503193999999999</v>
      </c>
      <c r="F18" s="22">
        <f>D18*E18</f>
        <v>699.99947670400002</v>
      </c>
      <c r="G18" s="14">
        <f>G17+E18</f>
        <v>2.6041054200000002</v>
      </c>
      <c r="H18" s="7">
        <f ca="1">VLOOKUP(B18,Tabla4[],6,FALSE)</f>
        <v>4267</v>
      </c>
      <c r="I18" s="22">
        <f ca="1">G18*H18</f>
        <v>11111.717827140001</v>
      </c>
      <c r="J18" s="8">
        <f>F18+J17</f>
        <v>10599.999247958604</v>
      </c>
      <c r="K18" s="8">
        <f ca="1">Tabla5[[#This Row],[VALOR ACTUAL EN COP]]-Tabla5[[#This Row],[COSTO TOTAL EN COP]]</f>
        <v>511.71857918139722</v>
      </c>
      <c r="L18" s="30">
        <f ca="1">((I18-J18)/J18)</f>
        <v>4.8275341083627563E-2</v>
      </c>
      <c r="M18" s="8">
        <f t="shared" si="15"/>
        <v>4665.7600000000011</v>
      </c>
    </row>
    <row r="19" spans="2:13">
      <c r="B19" s="1">
        <f ca="1">TODAY()</f>
        <v>45607</v>
      </c>
      <c r="C19" s="1">
        <v>45600</v>
      </c>
      <c r="D19" s="7">
        <v>4370.66</v>
      </c>
      <c r="E19">
        <v>0.16015905999999999</v>
      </c>
      <c r="F19" s="22">
        <f>D19*E19</f>
        <v>700.00079717959989</v>
      </c>
      <c r="G19" s="14">
        <f>G18+E19</f>
        <v>2.76426448</v>
      </c>
      <c r="H19" s="7">
        <f ca="1">VLOOKUP(B19,Tabla4[],6,FALSE)</f>
        <v>4267</v>
      </c>
      <c r="I19" s="22">
        <f ca="1">G19*H19</f>
        <v>11795.11653616</v>
      </c>
      <c r="J19" s="8">
        <f>F19+J18</f>
        <v>11300.000045138204</v>
      </c>
      <c r="K19" s="8">
        <f ca="1">Tabla5[[#This Row],[VALOR ACTUAL EN COP]]-Tabla5[[#This Row],[COSTO TOTAL EN COP]]</f>
        <v>495.11649102179581</v>
      </c>
      <c r="L19" s="30">
        <f ca="1">((I19-J19)/J19)</f>
        <v>4.3815618499472346E-2</v>
      </c>
      <c r="M19" s="8">
        <f>D19*1.1</f>
        <v>4807.7260000000006</v>
      </c>
    </row>
    <row r="20" spans="2:13">
      <c r="B20" s="1">
        <f ca="1">TODAY()</f>
        <v>45607</v>
      </c>
      <c r="C20" s="1">
        <v>45607</v>
      </c>
      <c r="D20" s="42">
        <v>4314.76</v>
      </c>
      <c r="E20">
        <v>0.16223373999999999</v>
      </c>
      <c r="F20" s="22">
        <f>D20*E20</f>
        <v>699.99965200240001</v>
      </c>
      <c r="G20" s="14">
        <f>G19+E20</f>
        <v>2.92649822</v>
      </c>
      <c r="H20" s="42">
        <f ca="1">VLOOKUP(B20,Tabla4[],6,FALSE)</f>
        <v>4267</v>
      </c>
      <c r="I20" s="22">
        <f ca="1">G20*H20</f>
        <v>12487.36790474</v>
      </c>
      <c r="J20" s="8">
        <f>F20+J19</f>
        <v>11999.999697140604</v>
      </c>
      <c r="K20" s="8">
        <f ca="1">Tabla5[[#This Row],[VALOR ACTUAL EN COP]]-Tabla5[[#This Row],[COSTO TOTAL EN COP]]</f>
        <v>487.36820759939656</v>
      </c>
      <c r="L20" s="30">
        <f ca="1">((I20-J20)/J20)</f>
        <v>4.0614018324977803E-2</v>
      </c>
      <c r="M20" s="8">
        <f>D20*1.1</f>
        <v>4746.2360000000008</v>
      </c>
    </row>
  </sheetData>
  <pageMargins left="0.7" right="0.7" top="0.75" bottom="0.75" header="0.3" footer="0.3"/>
  <ignoredErrors>
    <ignoredError sqref="J3 G3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2"/>
  <sheetViews>
    <sheetView topLeftCell="D1" workbookViewId="0">
      <selection activeCell="H19" sqref="H19"/>
    </sheetView>
  </sheetViews>
  <sheetFormatPr baseColWidth="10" defaultRowHeight="14.25"/>
  <cols>
    <col min="2" max="2" width="12.625" bestFit="1" customWidth="1"/>
    <col min="3" max="3" width="18.125" customWidth="1"/>
    <col min="4" max="4" width="19.875" customWidth="1"/>
    <col min="5" max="5" width="24" customWidth="1"/>
    <col min="6" max="6" width="21.625" customWidth="1"/>
    <col min="7" max="7" width="23.75" customWidth="1"/>
    <col min="8" max="8" width="25" customWidth="1"/>
    <col min="9" max="9" width="22.375" customWidth="1"/>
    <col min="10" max="10" width="27.75" customWidth="1"/>
    <col min="11" max="11" width="21.125" customWidth="1"/>
    <col min="12" max="12" width="27.25" customWidth="1"/>
    <col min="13" max="13" width="24.75" customWidth="1"/>
    <col min="14" max="14" width="34.75" customWidth="1"/>
    <col min="15" max="15" width="16.375" customWidth="1"/>
  </cols>
  <sheetData>
    <row r="2" spans="2:15">
      <c r="B2" t="s">
        <v>52</v>
      </c>
      <c r="C2" t="s">
        <v>53</v>
      </c>
      <c r="D2" t="s">
        <v>54</v>
      </c>
      <c r="E2" t="s">
        <v>65</v>
      </c>
      <c r="F2" t="s">
        <v>55</v>
      </c>
      <c r="G2" t="s">
        <v>56</v>
      </c>
      <c r="H2" t="s">
        <v>57</v>
      </c>
      <c r="I2" t="s">
        <v>66</v>
      </c>
      <c r="J2" t="s">
        <v>58</v>
      </c>
      <c r="K2" t="s">
        <v>59</v>
      </c>
      <c r="L2" t="s">
        <v>60</v>
      </c>
      <c r="M2" t="s">
        <v>61</v>
      </c>
      <c r="N2" t="s">
        <v>62</v>
      </c>
      <c r="O2" t="s">
        <v>47</v>
      </c>
    </row>
    <row r="3" spans="2:15">
      <c r="B3" s="17" t="s">
        <v>64</v>
      </c>
      <c r="C3" t="s">
        <v>14</v>
      </c>
      <c r="D3" s="14">
        <v>2.1060000000000002E-5</v>
      </c>
      <c r="E3" s="7">
        <v>4046.27</v>
      </c>
      <c r="F3" s="7">
        <v>67341.19</v>
      </c>
      <c r="G3" s="7">
        <f>D3*F3*E3</f>
        <v>5738.4422122989781</v>
      </c>
      <c r="H3" s="16">
        <v>2.618E-5</v>
      </c>
      <c r="I3" s="7">
        <v>4045.51</v>
      </c>
      <c r="J3" s="7">
        <v>64080</v>
      </c>
      <c r="K3" s="7">
        <f>H3*J3*I3</f>
        <v>6786.8058313440006</v>
      </c>
      <c r="L3">
        <f>H3-D3</f>
        <v>5.1199999999999984E-6</v>
      </c>
      <c r="M3" s="7">
        <f t="shared" ref="M3:M14" si="0">F3-J3</f>
        <v>3261.1900000000023</v>
      </c>
      <c r="N3" s="7">
        <f>L3*J3*I3</f>
        <v>1327.2897576959997</v>
      </c>
      <c r="O3" s="9">
        <f>(K3-G3)/G3</f>
        <v>0.18269132636695476</v>
      </c>
    </row>
    <row r="4" spans="2:15">
      <c r="B4" s="17" t="s">
        <v>64</v>
      </c>
      <c r="C4" t="s">
        <v>15</v>
      </c>
      <c r="D4">
        <v>2.0707000000000001E-4</v>
      </c>
      <c r="E4" s="7">
        <v>4046.27</v>
      </c>
      <c r="F4" s="7">
        <v>3513.1</v>
      </c>
      <c r="G4" s="7">
        <f t="shared" ref="G4:G5" si="1">D4*F4*E4</f>
        <v>2943.48993193859</v>
      </c>
      <c r="H4">
        <v>3.0967000000000001E-4</v>
      </c>
      <c r="I4" s="7">
        <v>4045.51</v>
      </c>
      <c r="J4" s="7">
        <v>3150.45</v>
      </c>
      <c r="K4" s="7">
        <f t="shared" ref="K4:K6" si="2">H4*J4*I4</f>
        <v>3946.7989552417648</v>
      </c>
      <c r="L4">
        <f t="shared" ref="L4:L6" si="3">H4-D4</f>
        <v>1.026E-4</v>
      </c>
      <c r="M4" s="7">
        <f t="shared" si="0"/>
        <v>362.65000000000009</v>
      </c>
      <c r="N4" s="7">
        <f t="shared" ref="N4:N6" si="4">L4*J4*I4</f>
        <v>1307.6551580967</v>
      </c>
      <c r="O4" s="9">
        <f t="shared" ref="O4:O6" si="5">(K4-G4)/G4</f>
        <v>0.34085695772786045</v>
      </c>
    </row>
    <row r="5" spans="2:15">
      <c r="B5" s="17" t="s">
        <v>64</v>
      </c>
      <c r="C5" t="s">
        <v>41</v>
      </c>
      <c r="D5">
        <v>0.22405046000000001</v>
      </c>
      <c r="E5" s="7">
        <v>4046.27</v>
      </c>
      <c r="F5" s="7">
        <v>3.01</v>
      </c>
      <c r="G5" s="7">
        <f t="shared" si="1"/>
        <v>2728.7716509004417</v>
      </c>
      <c r="H5">
        <v>0.28387364999999998</v>
      </c>
      <c r="I5" s="7">
        <v>4045.51</v>
      </c>
      <c r="J5" s="7">
        <v>2.21</v>
      </c>
      <c r="K5" s="7">
        <f t="shared" si="2"/>
        <v>2537.9942544834148</v>
      </c>
      <c r="L5">
        <f t="shared" si="3"/>
        <v>5.9823189999999971E-2</v>
      </c>
      <c r="M5" s="7">
        <f t="shared" si="0"/>
        <v>0.79999999999999982</v>
      </c>
      <c r="N5" s="7">
        <f t="shared" si="4"/>
        <v>534.85384256294878</v>
      </c>
      <c r="O5" s="9">
        <f t="shared" si="5"/>
        <v>-6.9913287304224997E-2</v>
      </c>
    </row>
    <row r="6" spans="2:15">
      <c r="B6" s="17" t="s">
        <v>64</v>
      </c>
      <c r="C6" t="s">
        <v>63</v>
      </c>
      <c r="D6">
        <v>0.17572713000000001</v>
      </c>
      <c r="E6" s="7">
        <v>3983.45</v>
      </c>
      <c r="F6" s="7">
        <v>1</v>
      </c>
      <c r="G6" s="7">
        <f t="shared" ref="G6:G14" si="6">D6*F6*E6</f>
        <v>700.00023599849999</v>
      </c>
      <c r="H6">
        <v>0.37613443000000002</v>
      </c>
      <c r="I6" s="7">
        <v>4004</v>
      </c>
      <c r="J6" s="7">
        <v>1</v>
      </c>
      <c r="K6" s="7">
        <f t="shared" si="2"/>
        <v>1506.0422577200002</v>
      </c>
      <c r="L6" s="14">
        <f t="shared" si="3"/>
        <v>0.20040730000000001</v>
      </c>
      <c r="M6" s="7">
        <f t="shared" si="0"/>
        <v>0</v>
      </c>
      <c r="N6" s="7">
        <f t="shared" si="4"/>
        <v>802.43082920000006</v>
      </c>
      <c r="O6" s="9">
        <f t="shared" si="5"/>
        <v>1.151488214245727</v>
      </c>
    </row>
    <row r="7" spans="2:15">
      <c r="B7" s="17" t="s">
        <v>85</v>
      </c>
      <c r="C7" t="s">
        <v>14</v>
      </c>
      <c r="D7" s="16">
        <v>2.618E-5</v>
      </c>
      <c r="E7" s="7">
        <v>4041.51</v>
      </c>
      <c r="F7" s="7">
        <v>64080</v>
      </c>
      <c r="G7" s="7">
        <f t="shared" si="6"/>
        <v>6780.0953737440004</v>
      </c>
      <c r="H7">
        <v>4.1100000000000003E-5</v>
      </c>
      <c r="I7" s="7">
        <v>4160.3100000000004</v>
      </c>
      <c r="J7" s="3">
        <v>57304</v>
      </c>
      <c r="K7" s="7">
        <f t="shared" ref="K7:K14" si="7">H7*J7*I7</f>
        <v>9798.3388142640015</v>
      </c>
      <c r="L7" s="14">
        <f t="shared" ref="L7:L13" si="8">H7-D7</f>
        <v>1.4920000000000003E-5</v>
      </c>
      <c r="M7" s="8">
        <f t="shared" si="0"/>
        <v>6776</v>
      </c>
      <c r="N7" s="7">
        <f t="shared" ref="N7:N14" si="9">L7*J7*I7</f>
        <v>3556.9638712608007</v>
      </c>
      <c r="O7" s="9">
        <f t="shared" ref="O7:O14" si="10">(K7-G7)/G7</f>
        <v>0.44516238697882993</v>
      </c>
    </row>
    <row r="8" spans="2:15">
      <c r="B8" s="17" t="s">
        <v>85</v>
      </c>
      <c r="C8" t="s">
        <v>15</v>
      </c>
      <c r="D8">
        <v>3.0967000000000001E-4</v>
      </c>
      <c r="E8" s="7">
        <v>4041.51</v>
      </c>
      <c r="F8" s="7">
        <v>3150.45</v>
      </c>
      <c r="G8" s="7">
        <f t="shared" si="6"/>
        <v>3942.896555835765</v>
      </c>
      <c r="H8">
        <v>6.5094000000000003E-4</v>
      </c>
      <c r="I8" s="7">
        <v>4160.3100000000004</v>
      </c>
      <c r="J8" s="3">
        <v>2425.9</v>
      </c>
      <c r="K8" s="7">
        <f t="shared" si="7"/>
        <v>6569.6093651172605</v>
      </c>
      <c r="L8" s="14">
        <f t="shared" si="8"/>
        <v>3.4127000000000002E-4</v>
      </c>
      <c r="M8" s="8">
        <f t="shared" si="0"/>
        <v>724.54999999999973</v>
      </c>
      <c r="N8" s="7">
        <f t="shared" si="9"/>
        <v>3444.2661198168307</v>
      </c>
      <c r="O8" s="9">
        <f t="shared" si="10"/>
        <v>0.666188618464711</v>
      </c>
    </row>
    <row r="9" spans="2:15">
      <c r="B9" s="17" t="s">
        <v>85</v>
      </c>
      <c r="C9" t="s">
        <v>41</v>
      </c>
      <c r="D9">
        <v>0.28387364999999998</v>
      </c>
      <c r="E9" s="7">
        <v>4041.51</v>
      </c>
      <c r="F9" s="7">
        <v>2.21</v>
      </c>
      <c r="G9" s="7">
        <f t="shared" si="6"/>
        <v>2535.4848114174151</v>
      </c>
      <c r="H9">
        <v>0.55124218999999997</v>
      </c>
      <c r="I9" s="7">
        <v>4160.3100000000004</v>
      </c>
      <c r="J9" s="7">
        <v>1.39</v>
      </c>
      <c r="K9" s="7">
        <f t="shared" si="7"/>
        <v>3187.7403697156706</v>
      </c>
      <c r="L9" s="14">
        <f t="shared" si="8"/>
        <v>0.26736853999999999</v>
      </c>
      <c r="M9" s="8">
        <f t="shared" si="0"/>
        <v>0.82000000000000006</v>
      </c>
      <c r="N9" s="7">
        <f t="shared" si="9"/>
        <v>1546.1470547998858</v>
      </c>
      <c r="O9" s="9">
        <f t="shared" si="10"/>
        <v>0.25725082452125764</v>
      </c>
    </row>
    <row r="10" spans="2:15">
      <c r="B10" s="17" t="s">
        <v>85</v>
      </c>
      <c r="C10" t="s">
        <v>63</v>
      </c>
      <c r="D10">
        <v>0.37613443000000002</v>
      </c>
      <c r="E10" s="7">
        <v>4004</v>
      </c>
      <c r="F10" s="7">
        <v>1</v>
      </c>
      <c r="G10" s="7">
        <f t="shared" si="6"/>
        <v>1506.0422577200002</v>
      </c>
      <c r="H10">
        <v>1.24686349</v>
      </c>
      <c r="I10" s="7">
        <v>4005</v>
      </c>
      <c r="J10" s="7">
        <v>1</v>
      </c>
      <c r="K10" s="7">
        <f t="shared" si="7"/>
        <v>4993.68827745</v>
      </c>
      <c r="L10" s="14">
        <f t="shared" si="8"/>
        <v>0.87072905999999994</v>
      </c>
      <c r="M10" s="8">
        <f t="shared" si="0"/>
        <v>0</v>
      </c>
      <c r="N10" s="7">
        <f t="shared" si="9"/>
        <v>3487.2698852999997</v>
      </c>
      <c r="O10" s="9">
        <f t="shared" si="10"/>
        <v>2.3157690309500034</v>
      </c>
    </row>
    <row r="11" spans="2:15">
      <c r="B11" s="17" t="s">
        <v>108</v>
      </c>
      <c r="C11" t="s">
        <v>14</v>
      </c>
      <c r="D11" s="14">
        <v>4.1100000000000003E-5</v>
      </c>
      <c r="E11" s="7">
        <v>4160.3100000000004</v>
      </c>
      <c r="F11" s="3">
        <v>57304</v>
      </c>
      <c r="G11" s="7">
        <f t="shared" si="6"/>
        <v>9798.3388142640015</v>
      </c>
      <c r="H11">
        <v>5.253E-5</v>
      </c>
      <c r="I11" s="7">
        <v>4199.12</v>
      </c>
      <c r="J11" s="3">
        <v>63785.8</v>
      </c>
      <c r="K11" s="7">
        <f>H11*J11*I11</f>
        <v>14069.857322894881</v>
      </c>
      <c r="L11" s="14">
        <f t="shared" si="8"/>
        <v>1.1429999999999997E-5</v>
      </c>
      <c r="M11" s="8">
        <f t="shared" si="0"/>
        <v>-6481.8000000000029</v>
      </c>
      <c r="N11" s="7">
        <f t="shared" si="9"/>
        <v>3061.459531709279</v>
      </c>
      <c r="O11" s="8">
        <f t="shared" si="10"/>
        <v>0.43594313174929061</v>
      </c>
    </row>
    <row r="12" spans="2:15">
      <c r="B12" s="17" t="s">
        <v>108</v>
      </c>
      <c r="C12" t="s">
        <v>15</v>
      </c>
      <c r="D12">
        <v>6.5094000000000003E-4</v>
      </c>
      <c r="E12" s="7">
        <v>4160.3100000000004</v>
      </c>
      <c r="F12" s="3">
        <v>2425.9</v>
      </c>
      <c r="G12" s="7">
        <f t="shared" si="6"/>
        <v>6569.6093651172605</v>
      </c>
      <c r="H12">
        <v>1.02962E-3</v>
      </c>
      <c r="I12" s="7">
        <v>4199.12</v>
      </c>
      <c r="J12" s="3">
        <v>2630.6</v>
      </c>
      <c r="K12" s="7">
        <f t="shared" si="7"/>
        <v>11373.39366623264</v>
      </c>
      <c r="L12" s="14">
        <f t="shared" si="8"/>
        <v>3.7867999999999995E-4</v>
      </c>
      <c r="M12" s="8">
        <f t="shared" si="0"/>
        <v>-204.69999999999982</v>
      </c>
      <c r="N12" s="7">
        <f t="shared" si="9"/>
        <v>4182.9769366649589</v>
      </c>
      <c r="O12" s="8">
        <f t="shared" si="10"/>
        <v>0.73121308043398969</v>
      </c>
    </row>
    <row r="13" spans="2:15">
      <c r="B13" s="17" t="s">
        <v>108</v>
      </c>
      <c r="C13" t="s">
        <v>41</v>
      </c>
      <c r="D13">
        <v>0.55124218999999997</v>
      </c>
      <c r="E13" s="7">
        <v>4160.3100000000004</v>
      </c>
      <c r="F13" s="7">
        <v>1.39</v>
      </c>
      <c r="G13" s="7">
        <f t="shared" si="6"/>
        <v>3187.7403697156706</v>
      </c>
      <c r="H13">
        <v>0.73703222999999995</v>
      </c>
      <c r="I13" s="7">
        <v>4199.12</v>
      </c>
      <c r="J13" s="3">
        <v>2.06</v>
      </c>
      <c r="K13" s="7">
        <f t="shared" si="7"/>
        <v>6375.4667619334559</v>
      </c>
      <c r="L13" s="14">
        <f t="shared" si="8"/>
        <v>0.18579003999999999</v>
      </c>
      <c r="M13" s="8">
        <f t="shared" si="0"/>
        <v>-0.67000000000000015</v>
      </c>
      <c r="N13" s="7">
        <f t="shared" si="9"/>
        <v>1607.1186258954879</v>
      </c>
      <c r="O13" s="8">
        <f t="shared" si="10"/>
        <v>0.99999561523327996</v>
      </c>
    </row>
    <row r="14" spans="2:15">
      <c r="B14" s="17" t="s">
        <v>108</v>
      </c>
      <c r="C14" t="s">
        <v>63</v>
      </c>
      <c r="D14">
        <v>1.24686349</v>
      </c>
      <c r="E14" s="7">
        <v>4005</v>
      </c>
      <c r="F14" s="7">
        <v>1</v>
      </c>
      <c r="G14" s="7">
        <f t="shared" si="6"/>
        <v>4993.68827745</v>
      </c>
      <c r="H14">
        <v>1.93366572</v>
      </c>
      <c r="I14" s="7">
        <v>4199.12</v>
      </c>
      <c r="J14" s="7">
        <v>1</v>
      </c>
      <c r="K14" s="7">
        <f t="shared" si="7"/>
        <v>8119.6943981663999</v>
      </c>
      <c r="L14" s="14">
        <f t="shared" ref="L14:L22" si="11">H14-D14</f>
        <v>0.68680223000000007</v>
      </c>
      <c r="M14" s="8">
        <f t="shared" si="0"/>
        <v>0</v>
      </c>
      <c r="N14" s="7">
        <f t="shared" si="9"/>
        <v>2883.9649800376001</v>
      </c>
      <c r="O14" s="8">
        <f t="shared" si="10"/>
        <v>0.625991441002136</v>
      </c>
    </row>
    <row r="15" spans="2:15">
      <c r="B15" s="17" t="s">
        <v>120</v>
      </c>
      <c r="C15" t="s">
        <v>14</v>
      </c>
      <c r="D15">
        <v>5.253E-5</v>
      </c>
      <c r="E15" s="7">
        <v>4199.12</v>
      </c>
      <c r="F15" s="3">
        <v>63785.8</v>
      </c>
      <c r="G15" s="7">
        <f t="shared" ref="G15:G22" si="12">D15*F15*E15</f>
        <v>14069.857322894881</v>
      </c>
      <c r="H15">
        <v>6.2749999999999994E-5</v>
      </c>
      <c r="I15" s="7">
        <v>4374.1000000000004</v>
      </c>
      <c r="J15" s="7">
        <v>72074</v>
      </c>
      <c r="K15" s="7">
        <f t="shared" ref="K15:K22" si="13">H15*J15*I15</f>
        <v>19782.494933349997</v>
      </c>
      <c r="L15" s="14">
        <f t="shared" si="11"/>
        <v>1.0219999999999994E-5</v>
      </c>
      <c r="M15" s="8">
        <f t="shared" ref="M15:M22" si="14">F15-J15</f>
        <v>-8288.1999999999971</v>
      </c>
      <c r="N15" s="7">
        <f t="shared" ref="N15:N22" si="15">L15*J15*I15</f>
        <v>3221.9457883479981</v>
      </c>
      <c r="O15" s="8">
        <f t="shared" ref="O15:O22" si="16">(K15-G15)/G15</f>
        <v>0.40601958352195555</v>
      </c>
    </row>
    <row r="16" spans="2:15">
      <c r="B16" s="17" t="s">
        <v>120</v>
      </c>
      <c r="C16" t="s">
        <v>15</v>
      </c>
      <c r="D16">
        <v>1.02962E-3</v>
      </c>
      <c r="E16" s="7">
        <v>4199.12</v>
      </c>
      <c r="F16" s="3">
        <v>2630.6</v>
      </c>
      <c r="G16" s="7">
        <f t="shared" si="12"/>
        <v>11373.39366623264</v>
      </c>
      <c r="H16">
        <v>1.28396E-3</v>
      </c>
      <c r="I16" s="7">
        <v>4374.1000000000004</v>
      </c>
      <c r="J16" s="7">
        <v>2630</v>
      </c>
      <c r="K16" s="7">
        <f t="shared" si="13"/>
        <v>14770.525616680001</v>
      </c>
      <c r="L16" s="14">
        <f t="shared" si="11"/>
        <v>2.5434000000000003E-4</v>
      </c>
      <c r="M16" s="8">
        <f t="shared" si="14"/>
        <v>0.59999999999990905</v>
      </c>
      <c r="N16" s="7">
        <f t="shared" si="15"/>
        <v>2925.8976022200009</v>
      </c>
      <c r="O16" s="8">
        <f t="shared" si="16"/>
        <v>0.29869114269150576</v>
      </c>
    </row>
    <row r="17" spans="2:15">
      <c r="B17" s="17" t="s">
        <v>111</v>
      </c>
      <c r="C17" t="s">
        <v>41</v>
      </c>
      <c r="D17">
        <v>0.73703222999999995</v>
      </c>
      <c r="E17" s="7">
        <v>4199.12</v>
      </c>
      <c r="F17" s="3">
        <v>2.06</v>
      </c>
      <c r="G17" s="7">
        <f t="shared" si="12"/>
        <v>6375.4667619334559</v>
      </c>
      <c r="H17">
        <v>0.91954166000000004</v>
      </c>
      <c r="I17" s="7">
        <v>4374.1000000000004</v>
      </c>
      <c r="J17" s="7">
        <v>1.68</v>
      </c>
      <c r="K17" s="7">
        <f t="shared" si="13"/>
        <v>6757.2408540100814</v>
      </c>
      <c r="L17" s="14">
        <f t="shared" si="11"/>
        <v>0.18250943000000008</v>
      </c>
      <c r="M17" s="8">
        <f t="shared" si="14"/>
        <v>0.38000000000000012</v>
      </c>
      <c r="N17" s="7">
        <f t="shared" si="15"/>
        <v>1341.1683562418407</v>
      </c>
      <c r="O17" s="8">
        <f t="shared" si="16"/>
        <v>5.9881747695104723E-2</v>
      </c>
    </row>
    <row r="18" spans="2:15">
      <c r="B18" s="17" t="s">
        <v>111</v>
      </c>
      <c r="C18" t="s">
        <v>63</v>
      </c>
      <c r="D18">
        <v>1.93366572</v>
      </c>
      <c r="E18" s="7">
        <v>4199.12</v>
      </c>
      <c r="F18" s="7">
        <v>1</v>
      </c>
      <c r="G18" s="7">
        <f t="shared" si="12"/>
        <v>8119.6943981663999</v>
      </c>
      <c r="H18">
        <v>2.63210867</v>
      </c>
      <c r="I18" s="7">
        <v>4374.1000000000004</v>
      </c>
      <c r="J18" s="7">
        <v>1</v>
      </c>
      <c r="K18" s="7">
        <f t="shared" si="13"/>
        <v>11513.106533447</v>
      </c>
      <c r="L18" s="14">
        <f t="shared" si="11"/>
        <v>0.69844295000000001</v>
      </c>
      <c r="M18" s="8">
        <f t="shared" si="14"/>
        <v>0</v>
      </c>
      <c r="N18" s="7">
        <f t="shared" si="15"/>
        <v>3055.0593075950001</v>
      </c>
      <c r="O18" s="8">
        <f t="shared" si="16"/>
        <v>0.41792362727923671</v>
      </c>
    </row>
    <row r="19" spans="2:15">
      <c r="B19" s="17" t="s">
        <v>112</v>
      </c>
      <c r="C19" t="s">
        <v>14</v>
      </c>
      <c r="D19">
        <v>6.2749999999999994E-5</v>
      </c>
      <c r="E19" s="7">
        <v>4418.63</v>
      </c>
      <c r="F19" s="7">
        <v>69923.17</v>
      </c>
      <c r="G19" s="7">
        <f t="shared" si="12"/>
        <v>19387.529695233025</v>
      </c>
      <c r="K19">
        <f t="shared" si="13"/>
        <v>0</v>
      </c>
      <c r="L19" s="14">
        <f t="shared" si="11"/>
        <v>-6.2749999999999994E-5</v>
      </c>
      <c r="M19" s="8">
        <f t="shared" si="14"/>
        <v>69923.17</v>
      </c>
      <c r="N19">
        <f t="shared" si="15"/>
        <v>0</v>
      </c>
      <c r="O19" s="8">
        <f t="shared" si="16"/>
        <v>-1</v>
      </c>
    </row>
    <row r="20" spans="2:15">
      <c r="B20" s="17" t="s">
        <v>112</v>
      </c>
      <c r="C20" t="s">
        <v>15</v>
      </c>
      <c r="D20">
        <v>1.28396E-3</v>
      </c>
      <c r="E20" s="7">
        <v>4418.63</v>
      </c>
      <c r="F20" s="7">
        <v>2517.8000000000002</v>
      </c>
      <c r="G20" s="7">
        <f t="shared" si="12"/>
        <v>14284.345963311442</v>
      </c>
      <c r="K20">
        <f t="shared" si="13"/>
        <v>0</v>
      </c>
      <c r="L20" s="14">
        <f t="shared" si="11"/>
        <v>-1.28396E-3</v>
      </c>
      <c r="M20" s="8">
        <f t="shared" si="14"/>
        <v>2517.8000000000002</v>
      </c>
      <c r="N20">
        <f t="shared" si="15"/>
        <v>0</v>
      </c>
      <c r="O20" s="8">
        <f t="shared" si="16"/>
        <v>-1</v>
      </c>
    </row>
    <row r="21" spans="2:15">
      <c r="B21" s="17" t="s">
        <v>112</v>
      </c>
      <c r="C21" t="s">
        <v>41</v>
      </c>
      <c r="D21">
        <v>0.91954166000000004</v>
      </c>
      <c r="E21" s="7">
        <v>4418.63</v>
      </c>
      <c r="F21" s="7">
        <v>1.61</v>
      </c>
      <c r="G21" s="7">
        <f t="shared" si="12"/>
        <v>6541.6141278525392</v>
      </c>
      <c r="K21">
        <f t="shared" si="13"/>
        <v>0</v>
      </c>
      <c r="L21" s="14">
        <f t="shared" si="11"/>
        <v>-0.91954166000000004</v>
      </c>
      <c r="M21" s="8">
        <f t="shared" si="14"/>
        <v>1.61</v>
      </c>
      <c r="N21">
        <f t="shared" si="15"/>
        <v>0</v>
      </c>
      <c r="O21" s="8">
        <f t="shared" si="16"/>
        <v>-1</v>
      </c>
    </row>
    <row r="22" spans="2:15">
      <c r="B22" s="17" t="s">
        <v>112</v>
      </c>
      <c r="C22" t="s">
        <v>63</v>
      </c>
      <c r="D22">
        <v>2.63210867</v>
      </c>
      <c r="E22" s="7">
        <v>4418.63</v>
      </c>
      <c r="F22" s="7">
        <v>1</v>
      </c>
      <c r="G22" s="7">
        <f t="shared" si="12"/>
        <v>11630.314332522101</v>
      </c>
      <c r="K22">
        <f t="shared" si="13"/>
        <v>0</v>
      </c>
      <c r="L22" s="14">
        <f t="shared" si="11"/>
        <v>-2.63210867</v>
      </c>
      <c r="M22" s="8">
        <f t="shared" si="14"/>
        <v>1</v>
      </c>
      <c r="N22">
        <f t="shared" si="15"/>
        <v>0</v>
      </c>
      <c r="O22" s="8">
        <f t="shared" si="16"/>
        <v>-1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2"/>
  <sheetViews>
    <sheetView topLeftCell="D76" workbookViewId="0">
      <selection activeCell="G92" activeCellId="2" sqref="M92 J92 G92"/>
    </sheetView>
  </sheetViews>
  <sheetFormatPr baseColWidth="10" defaultRowHeight="14.25"/>
  <cols>
    <col min="5" max="5" width="12" bestFit="1" customWidth="1"/>
    <col min="6" max="6" width="12" customWidth="1"/>
    <col min="7" max="7" width="22.375" bestFit="1" customWidth="1"/>
    <col min="8" max="8" width="22.375" customWidth="1"/>
    <col min="9" max="9" width="12.25" bestFit="1" customWidth="1"/>
    <col min="10" max="10" width="18" bestFit="1" customWidth="1"/>
    <col min="11" max="11" width="21.5" bestFit="1" customWidth="1"/>
    <col min="12" max="12" width="12.25" bestFit="1" customWidth="1"/>
    <col min="13" max="13" width="18" bestFit="1" customWidth="1"/>
  </cols>
  <sheetData>
    <row r="2" spans="2:13">
      <c r="B2" t="s">
        <v>0</v>
      </c>
      <c r="C2" t="s">
        <v>105</v>
      </c>
      <c r="D2" t="s">
        <v>13</v>
      </c>
      <c r="E2" t="s">
        <v>106</v>
      </c>
      <c r="F2" t="s">
        <v>42</v>
      </c>
      <c r="G2" t="s">
        <v>107</v>
      </c>
      <c r="H2" t="s">
        <v>116</v>
      </c>
      <c r="I2" t="s">
        <v>117</v>
      </c>
      <c r="J2" t="s">
        <v>118</v>
      </c>
      <c r="K2" t="s">
        <v>121</v>
      </c>
      <c r="L2" t="s">
        <v>123</v>
      </c>
      <c r="M2" t="s">
        <v>122</v>
      </c>
    </row>
    <row r="3" spans="2:13">
      <c r="B3" s="1">
        <v>45478</v>
      </c>
      <c r="C3" s="8">
        <f>VLOOKUP(B3,Tabla4[],2,FALSE)</f>
        <v>4090.5</v>
      </c>
      <c r="D3" s="6">
        <v>507.08</v>
      </c>
      <c r="E3" s="39">
        <f>0.01518 * D3</f>
        <v>7.6974743999999999</v>
      </c>
      <c r="F3" s="39">
        <f>Tabla2[[#This Row],[VALOR INVERSION 1]]-7.7</f>
        <v>-2.5256000000002388E-3</v>
      </c>
      <c r="G3" s="39">
        <f>Tabla2[[#This Row],[VALOR INVERSION 1]]*Tabla2[[#This Row],[PRECIO DEL DÓLAR]]</f>
        <v>31486.519033199998</v>
      </c>
      <c r="H3" s="8">
        <f>Tabla2[[#This Row],[VOO]]*0.01527</f>
        <v>7.7431115999999998</v>
      </c>
      <c r="I3" s="8">
        <f>Tabla2[[#This Row],[VALOR INVERSION 2]]-7.9</f>
        <v>-0.15688840000000059</v>
      </c>
      <c r="J3" s="8">
        <f>Tabla2[[#This Row],[VALOR INVERSION 2]]*Tabla2[[#This Row],[PRECIO DEL DÓLAR]]</f>
        <v>31673.197999799999</v>
      </c>
      <c r="K3" s="8">
        <f>Tabla2[[#This Row],[VOO]]*0.01284</f>
        <v>6.5109072000000001</v>
      </c>
      <c r="L3" s="8">
        <f>Tabla2[[#This Row],[VALOR INVERSION 3]]-6.9</f>
        <v>-0.38909280000000024</v>
      </c>
      <c r="M3" s="8">
        <f>Tabla2[[#This Row],[VALOR INVERSION 3]]*Tabla2[[#This Row],[PRECIO DEL DÓLAR]]</f>
        <v>26632.865901600002</v>
      </c>
    </row>
    <row r="4" spans="2:13">
      <c r="B4" s="1">
        <v>45481</v>
      </c>
      <c r="C4" s="8">
        <f>VLOOKUP(B4,Tabla4[],2,FALSE)</f>
        <v>4078.65</v>
      </c>
      <c r="D4" s="6">
        <v>510.33</v>
      </c>
      <c r="E4" s="8">
        <f t="shared" ref="E4:E15" si="0">0.01518 * D4</f>
        <v>7.7468094000000001</v>
      </c>
      <c r="F4" s="8">
        <f>Tabla2[[#This Row],[VALOR INVERSION 1]]-7.7</f>
        <v>4.680939999999989E-2</v>
      </c>
      <c r="G4" s="8">
        <f>Tabla2[[#This Row],[VALOR INVERSION 1]]*Tabla2[[#This Row],[PRECIO DEL DÓLAR]]</f>
        <v>31596.52415931</v>
      </c>
      <c r="H4" s="8">
        <f>Tabla2[[#This Row],[VOO]]*0.01527</f>
        <v>7.7927391000000004</v>
      </c>
      <c r="I4" s="8">
        <f>Tabla2[[#This Row],[VALOR INVERSION 2]]-7.9</f>
        <v>-0.10726089999999999</v>
      </c>
      <c r="J4" s="8">
        <f>Tabla2[[#This Row],[VALOR INVERSION 2]]*Tabla2[[#This Row],[PRECIO DEL DÓLAR]]</f>
        <v>31783.855330215003</v>
      </c>
      <c r="K4" s="8">
        <f>Tabla2[[#This Row],[VOO]]*0.01284</f>
        <v>6.5526372000000004</v>
      </c>
      <c r="L4" s="8">
        <f>Tabla2[[#This Row],[VALOR INVERSION 3]]-6.9</f>
        <v>-0.34736279999999997</v>
      </c>
      <c r="M4" s="8">
        <f>Tabla2[[#This Row],[VALOR INVERSION 3]]*Tabla2[[#This Row],[PRECIO DEL DÓLAR]]</f>
        <v>26725.913715780003</v>
      </c>
    </row>
    <row r="5" spans="2:13">
      <c r="B5" s="1">
        <v>45482</v>
      </c>
      <c r="C5" s="8">
        <f>VLOOKUP(B5,Tabla4[],2,FALSE)</f>
        <v>4049.27</v>
      </c>
      <c r="D5" s="6">
        <v>510.89</v>
      </c>
      <c r="E5" s="8">
        <f t="shared" si="0"/>
        <v>7.7553102000000003</v>
      </c>
      <c r="F5" s="8">
        <f>Tabla2[[#This Row],[VALOR INVERSION 1]]-7.7</f>
        <v>5.5310200000000087E-2</v>
      </c>
      <c r="G5" s="8">
        <f>Tabla2[[#This Row],[VALOR INVERSION 1]]*Tabla2[[#This Row],[PRECIO DEL DÓLAR]]</f>
        <v>31403.344933554003</v>
      </c>
      <c r="H5" s="8">
        <f>Tabla2[[#This Row],[VOO]]*0.01527</f>
        <v>7.8012902999999998</v>
      </c>
      <c r="I5" s="8">
        <f>Tabla2[[#This Row],[VALOR INVERSION 2]]-7.9</f>
        <v>-9.8709700000000566E-2</v>
      </c>
      <c r="J5" s="8">
        <f>Tabla2[[#This Row],[VALOR INVERSION 2]]*Tabla2[[#This Row],[PRECIO DEL DÓLAR]]</f>
        <v>31589.530773080998</v>
      </c>
      <c r="K5" s="8">
        <f>Tabla2[[#This Row],[VOO]]*0.01284</f>
        <v>6.5598276000000002</v>
      </c>
      <c r="L5" s="8">
        <f>Tabla2[[#This Row],[VALOR INVERSION 3]]-6.9</f>
        <v>-0.34017240000000015</v>
      </c>
      <c r="M5" s="8">
        <f>Tabla2[[#This Row],[VALOR INVERSION 3]]*Tabla2[[#This Row],[PRECIO DEL DÓLAR]]</f>
        <v>26562.513105852002</v>
      </c>
    </row>
    <row r="6" spans="2:13">
      <c r="B6" s="1">
        <v>45483</v>
      </c>
      <c r="C6" s="8">
        <f>VLOOKUP(B6,Tabla4[],2,FALSE)</f>
        <v>4009.91</v>
      </c>
      <c r="D6" s="6">
        <v>514.4</v>
      </c>
      <c r="E6" s="8">
        <f t="shared" si="0"/>
        <v>7.808592</v>
      </c>
      <c r="F6" s="8">
        <f>Tabla2[[#This Row],[VALOR INVERSION 1]]-7.7</f>
        <v>0.1085919999999998</v>
      </c>
      <c r="G6" s="8">
        <f>Tabla2[[#This Row],[VALOR INVERSION 1]]*Tabla2[[#This Row],[PRECIO DEL DÓLAR]]</f>
        <v>31311.751146719998</v>
      </c>
      <c r="H6" s="8">
        <f>Tabla2[[#This Row],[VOO]]*0.01527</f>
        <v>7.8548879999999999</v>
      </c>
      <c r="I6" s="8">
        <f>Tabla2[[#This Row],[VALOR INVERSION 2]]-7.9</f>
        <v>-4.5112000000000485E-2</v>
      </c>
      <c r="J6" s="8">
        <f>Tabla2[[#This Row],[VALOR INVERSION 2]]*Tabla2[[#This Row],[PRECIO DEL DÓLAR]]</f>
        <v>31497.393940079997</v>
      </c>
      <c r="K6" s="8">
        <f>Tabla2[[#This Row],[VOO]]*0.01284</f>
        <v>6.6048960000000001</v>
      </c>
      <c r="L6" s="8">
        <f>Tabla2[[#This Row],[VALOR INVERSION 3]]-6.9</f>
        <v>-0.29510400000000025</v>
      </c>
      <c r="M6" s="8">
        <f>Tabla2[[#This Row],[VALOR INVERSION 3]]*Tabla2[[#This Row],[PRECIO DEL DÓLAR]]</f>
        <v>26485.038519359998</v>
      </c>
    </row>
    <row r="7" spans="2:13">
      <c r="B7" s="1">
        <v>45484</v>
      </c>
      <c r="C7" s="8">
        <f>VLOOKUP(B7,Tabla4[],2,FALSE)</f>
        <v>3955.21</v>
      </c>
      <c r="D7" s="6">
        <v>511.39</v>
      </c>
      <c r="E7" s="8">
        <f t="shared" si="0"/>
        <v>7.7629001999999998</v>
      </c>
      <c r="F7" s="8">
        <f>Tabla2[[#This Row],[VALOR INVERSION 1]]-7.7</f>
        <v>6.2900199999999629E-2</v>
      </c>
      <c r="G7" s="8">
        <f>Tabla2[[#This Row],[VALOR INVERSION 1]]*Tabla2[[#This Row],[PRECIO DEL DÓLAR]]</f>
        <v>30703.900500042</v>
      </c>
      <c r="H7" s="8">
        <f>Tabla2[[#This Row],[VOO]]*0.01527</f>
        <v>7.8089253000000003</v>
      </c>
      <c r="I7" s="8">
        <f>Tabla2[[#This Row],[VALOR INVERSION 2]]-7.9</f>
        <v>-9.1074700000000064E-2</v>
      </c>
      <c r="J7" s="8">
        <f>Tabla2[[#This Row],[VALOR INVERSION 2]]*Tabla2[[#This Row],[PRECIO DEL DÓLAR]]</f>
        <v>30885.939435813001</v>
      </c>
      <c r="K7" s="8">
        <f>Tabla2[[#This Row],[VOO]]*0.01284</f>
        <v>6.5662476000000005</v>
      </c>
      <c r="L7" s="8">
        <f>Tabla2[[#This Row],[VALOR INVERSION 3]]-6.9</f>
        <v>-0.33375239999999984</v>
      </c>
      <c r="M7" s="8">
        <f>Tabla2[[#This Row],[VALOR INVERSION 3]]*Tabla2[[#This Row],[PRECIO DEL DÓLAR]]</f>
        <v>25970.888169996004</v>
      </c>
    </row>
    <row r="8" spans="2:13">
      <c r="B8" s="1">
        <v>45485</v>
      </c>
      <c r="C8" s="8">
        <f>VLOOKUP(B8,Tabla4[],2,FALSE)</f>
        <v>3975.25</v>
      </c>
      <c r="D8" s="6">
        <v>514.54999999999995</v>
      </c>
      <c r="E8" s="8">
        <f t="shared" si="0"/>
        <v>7.8108689999999994</v>
      </c>
      <c r="F8" s="8">
        <f>Tabla2[[#This Row],[VALOR INVERSION 1]]-7.7</f>
        <v>0.11086899999999922</v>
      </c>
      <c r="G8" s="8">
        <f>Tabla2[[#This Row],[VALOR INVERSION 1]]*Tabla2[[#This Row],[PRECIO DEL DÓLAR]]</f>
        <v>31050.156992249998</v>
      </c>
      <c r="H8" s="8">
        <f>Tabla2[[#This Row],[VOO]]*0.01527</f>
        <v>7.8571784999999998</v>
      </c>
      <c r="I8" s="8">
        <f>Tabla2[[#This Row],[VALOR INVERSION 2]]-7.9</f>
        <v>-4.2821500000000512E-2</v>
      </c>
      <c r="J8" s="8">
        <f>Tabla2[[#This Row],[VALOR INVERSION 2]]*Tabla2[[#This Row],[PRECIO DEL DÓLAR]]</f>
        <v>31234.248832124998</v>
      </c>
      <c r="K8" s="8">
        <f>Tabla2[[#This Row],[VOO]]*0.01284</f>
        <v>6.6068220000000002</v>
      </c>
      <c r="L8" s="8">
        <f>Tabla2[[#This Row],[VALOR INVERSION 3]]-6.9</f>
        <v>-0.29317800000000016</v>
      </c>
      <c r="M8" s="8">
        <f>Tabla2[[#This Row],[VALOR INVERSION 3]]*Tabla2[[#This Row],[PRECIO DEL DÓLAR]]</f>
        <v>26263.769155500002</v>
      </c>
    </row>
    <row r="9" spans="2:13">
      <c r="B9" s="1">
        <v>45488</v>
      </c>
      <c r="C9" s="8">
        <f>VLOOKUP(B9,Tabla4[],2,FALSE)</f>
        <v>3993.09</v>
      </c>
      <c r="D9" s="6">
        <v>516.11</v>
      </c>
      <c r="E9" s="8">
        <f t="shared" si="0"/>
        <v>7.8345498000000005</v>
      </c>
      <c r="F9" s="8">
        <f>Tabla2[[#This Row],[VALOR INVERSION 1]]-7.7</f>
        <v>0.13454980000000027</v>
      </c>
      <c r="G9" s="8">
        <f>Tabla2[[#This Row],[VALOR INVERSION 1]]*Tabla2[[#This Row],[PRECIO DEL DÓLAR]]</f>
        <v>31284.062460882004</v>
      </c>
      <c r="H9" s="8">
        <f>Tabla2[[#This Row],[VOO]]*0.01527</f>
        <v>7.8809997000000003</v>
      </c>
      <c r="I9" s="8">
        <f>Tabla2[[#This Row],[VALOR INVERSION 2]]-7.9</f>
        <v>-1.9000300000000081E-2</v>
      </c>
      <c r="J9" s="8">
        <f>Tabla2[[#This Row],[VALOR INVERSION 2]]*Tabla2[[#This Row],[PRECIO DEL DÓLAR]]</f>
        <v>31469.541092073003</v>
      </c>
      <c r="K9" s="8">
        <f>Tabla2[[#This Row],[VOO]]*0.01284</f>
        <v>6.6268524000000006</v>
      </c>
      <c r="L9" s="8">
        <f>Tabla2[[#This Row],[VALOR INVERSION 3]]-6.9</f>
        <v>-0.27314759999999971</v>
      </c>
      <c r="M9" s="8">
        <f>Tabla2[[#This Row],[VALOR INVERSION 3]]*Tabla2[[#This Row],[PRECIO DEL DÓLAR]]</f>
        <v>26461.618049916004</v>
      </c>
    </row>
    <row r="10" spans="2:13">
      <c r="B10" s="1">
        <v>45489</v>
      </c>
      <c r="C10" s="8">
        <f>VLOOKUP(B10,Tabla4[],2,FALSE)</f>
        <v>3953.88</v>
      </c>
      <c r="D10" s="6">
        <v>519.04</v>
      </c>
      <c r="E10" s="8">
        <f t="shared" si="0"/>
        <v>7.8790271999999995</v>
      </c>
      <c r="F10" s="8">
        <f>Tabla2[[#This Row],[VALOR INVERSION 1]]-7.7</f>
        <v>0.17902719999999928</v>
      </c>
      <c r="G10" s="8">
        <f>Tabla2[[#This Row],[VALOR INVERSION 1]]*Tabla2[[#This Row],[PRECIO DEL DÓLAR]]</f>
        <v>31152.728065535997</v>
      </c>
      <c r="H10" s="8">
        <f>Tabla2[[#This Row],[VOO]]*0.01527</f>
        <v>7.9257407999999998</v>
      </c>
      <c r="I10" s="8">
        <f>Tabla2[[#This Row],[VALOR INVERSION 2]]-7.9</f>
        <v>2.5740799999999453E-2</v>
      </c>
      <c r="J10" s="8">
        <f>Tabla2[[#This Row],[VALOR INVERSION 2]]*Tabla2[[#This Row],[PRECIO DEL DÓLAR]]</f>
        <v>31337.428034304001</v>
      </c>
      <c r="K10" s="8">
        <f>Tabla2[[#This Row],[VOO]]*0.01284</f>
        <v>6.6644736</v>
      </c>
      <c r="L10" s="8">
        <f>Tabla2[[#This Row],[VALOR INVERSION 3]]-6.9</f>
        <v>-0.23552640000000036</v>
      </c>
      <c r="M10" s="8">
        <f>Tabla2[[#This Row],[VALOR INVERSION 3]]*Tabla2[[#This Row],[PRECIO DEL DÓLAR]]</f>
        <v>26350.528877568002</v>
      </c>
    </row>
    <row r="11" spans="2:13">
      <c r="B11" s="1">
        <v>45490</v>
      </c>
      <c r="C11" s="8">
        <f>VLOOKUP(B11,Tabla4[],2,FALSE)</f>
        <v>3972.87</v>
      </c>
      <c r="D11" s="6">
        <v>511.79</v>
      </c>
      <c r="E11" s="8">
        <f t="shared" si="0"/>
        <v>7.7689722000000003</v>
      </c>
      <c r="F11" s="8">
        <f>Tabla2[[#This Row],[VALOR INVERSION 1]]-7.7</f>
        <v>6.897220000000015E-2</v>
      </c>
      <c r="G11" s="8">
        <f>Tabla2[[#This Row],[VALOR INVERSION 1]]*Tabla2[[#This Row],[PRECIO DEL DÓLAR]]</f>
        <v>30865.116584214</v>
      </c>
      <c r="H11" s="8">
        <f>Tabla2[[#This Row],[VOO]]*0.01527</f>
        <v>7.8150333000000005</v>
      </c>
      <c r="I11" s="8">
        <f>Tabla2[[#This Row],[VALOR INVERSION 2]]-7.9</f>
        <v>-8.496669999999984E-2</v>
      </c>
      <c r="J11" s="8">
        <f>Tabla2[[#This Row],[VALOR INVERSION 2]]*Tabla2[[#This Row],[PRECIO DEL DÓLAR]]</f>
        <v>31048.111346571</v>
      </c>
      <c r="K11" s="8">
        <f>Tabla2[[#This Row],[VOO]]*0.01284</f>
        <v>6.5713836000000008</v>
      </c>
      <c r="L11" s="8">
        <f>Tabla2[[#This Row],[VALOR INVERSION 3]]-6.9</f>
        <v>-0.32861639999999959</v>
      </c>
      <c r="M11" s="8">
        <f>Tabla2[[#This Row],[VALOR INVERSION 3]]*Tabla2[[#This Row],[PRECIO DEL DÓLAR]]</f>
        <v>26107.252762932003</v>
      </c>
    </row>
    <row r="12" spans="2:13">
      <c r="B12" s="1">
        <v>45491</v>
      </c>
      <c r="C12" s="8">
        <f>VLOOKUP(B12,Tabla4[],2,FALSE)</f>
        <v>3999.25</v>
      </c>
      <c r="D12" s="6">
        <v>507.94</v>
      </c>
      <c r="E12" s="8">
        <f t="shared" si="0"/>
        <v>7.7105292000000007</v>
      </c>
      <c r="F12" s="8">
        <f>Tabla2[[#This Row],[VALOR INVERSION 1]]-7.7</f>
        <v>1.0529200000000571E-2</v>
      </c>
      <c r="G12" s="8">
        <f>Tabla2[[#This Row],[VALOR INVERSION 1]]*Tabla2[[#This Row],[PRECIO DEL DÓLAR]]</f>
        <v>30836.333903100003</v>
      </c>
      <c r="H12" s="8">
        <f>Tabla2[[#This Row],[VOO]]*0.01527</f>
        <v>7.7562438</v>
      </c>
      <c r="I12" s="8">
        <f>Tabla2[[#This Row],[VALOR INVERSION 2]]-7.9</f>
        <v>-0.14375620000000033</v>
      </c>
      <c r="J12" s="8">
        <f>Tabla2[[#This Row],[VALOR INVERSION 2]]*Tabla2[[#This Row],[PRECIO DEL DÓLAR]]</f>
        <v>31019.158017149999</v>
      </c>
      <c r="K12" s="8">
        <f>Tabla2[[#This Row],[VOO]]*0.01284</f>
        <v>6.5219496000000001</v>
      </c>
      <c r="L12" s="8">
        <f>Tabla2[[#This Row],[VALOR INVERSION 3]]-6.9</f>
        <v>-0.37805040000000023</v>
      </c>
      <c r="M12" s="8">
        <f>Tabla2[[#This Row],[VALOR INVERSION 3]]*Tabla2[[#This Row],[PRECIO DEL DÓLAR]]</f>
        <v>26082.906937800002</v>
      </c>
    </row>
    <row r="13" spans="2:13">
      <c r="B13" s="1">
        <v>45492</v>
      </c>
      <c r="C13" s="8">
        <f>VLOOKUP(B13,Tabla4[],2,FALSE)</f>
        <v>4047.22</v>
      </c>
      <c r="D13" s="6">
        <v>504.55</v>
      </c>
      <c r="E13" s="8">
        <f t="shared" si="0"/>
        <v>7.6590690000000006</v>
      </c>
      <c r="F13" s="8">
        <f>Tabla2[[#This Row],[VALOR INVERSION 1]]-7.7</f>
        <v>-4.0930999999999607E-2</v>
      </c>
      <c r="G13" s="8">
        <f>Tabla2[[#This Row],[VALOR INVERSION 1]]*Tabla2[[#This Row],[PRECIO DEL DÓLAR]]</f>
        <v>30997.937238180002</v>
      </c>
      <c r="H13" s="8">
        <f>Tabla2[[#This Row],[VOO]]*0.01527</f>
        <v>7.7044785000000005</v>
      </c>
      <c r="I13" s="8">
        <f>Tabla2[[#This Row],[VALOR INVERSION 2]]-7.9</f>
        <v>-0.1955214999999999</v>
      </c>
      <c r="J13" s="8">
        <f>Tabla2[[#This Row],[VALOR INVERSION 2]]*Tabla2[[#This Row],[PRECIO DEL DÓLAR]]</f>
        <v>31181.719474770001</v>
      </c>
      <c r="K13" s="8">
        <f>Tabla2[[#This Row],[VOO]]*0.01284</f>
        <v>6.4784220000000001</v>
      </c>
      <c r="L13" s="8">
        <f>Tabla2[[#This Row],[VALOR INVERSION 3]]-6.9</f>
        <v>-0.42157800000000023</v>
      </c>
      <c r="M13" s="8">
        <f>Tabla2[[#This Row],[VALOR INVERSION 3]]*Tabla2[[#This Row],[PRECIO DEL DÓLAR]]</f>
        <v>26219.59908684</v>
      </c>
    </row>
    <row r="14" spans="2:13">
      <c r="B14" s="1">
        <v>45495</v>
      </c>
      <c r="C14" s="8">
        <f>VLOOKUP(B14,Tabla4[],2,FALSE)</f>
        <v>4041.33</v>
      </c>
      <c r="D14" s="6">
        <v>509.79</v>
      </c>
      <c r="E14" s="8">
        <f t="shared" si="0"/>
        <v>7.7386122000000004</v>
      </c>
      <c r="F14" s="8">
        <f>Tabla2[[#This Row],[VALOR INVERSION 1]]-7.7</f>
        <v>3.8612200000000207E-2</v>
      </c>
      <c r="G14" s="8">
        <f>Tabla2[[#This Row],[VALOR INVERSION 1]]*Tabla2[[#This Row],[PRECIO DEL DÓLAR]]</f>
        <v>31274.285642226001</v>
      </c>
      <c r="H14" s="8">
        <f>Tabla2[[#This Row],[VOO]]*0.01527</f>
        <v>7.7844933000000003</v>
      </c>
      <c r="I14" s="8">
        <f>Tabla2[[#This Row],[VALOR INVERSION 2]]-7.9</f>
        <v>-0.11550670000000007</v>
      </c>
      <c r="J14" s="8">
        <f>Tabla2[[#This Row],[VALOR INVERSION 2]]*Tabla2[[#This Row],[PRECIO DEL DÓLAR]]</f>
        <v>31459.706308089</v>
      </c>
      <c r="K14" s="8">
        <f>Tabla2[[#This Row],[VOO]]*0.01284</f>
        <v>6.5457036000000004</v>
      </c>
      <c r="L14" s="8">
        <f>Tabla2[[#This Row],[VALOR INVERSION 3]]-6.9</f>
        <v>-0.35429639999999996</v>
      </c>
      <c r="M14" s="8">
        <f>Tabla2[[#This Row],[VALOR INVERSION 3]]*Tabla2[[#This Row],[PRECIO DEL DÓLAR]]</f>
        <v>26453.348329788001</v>
      </c>
    </row>
    <row r="15" spans="2:13">
      <c r="B15" s="1">
        <v>45496</v>
      </c>
      <c r="C15" s="8">
        <f>VLOOKUP(B15,Tabla4[],2,FALSE)</f>
        <v>3995.01</v>
      </c>
      <c r="D15" s="6">
        <v>508.94</v>
      </c>
      <c r="E15" s="8">
        <f t="shared" si="0"/>
        <v>7.7257092000000007</v>
      </c>
      <c r="F15" s="8">
        <f>Tabla2[[#This Row],[VALOR INVERSION 1]]-7.7</f>
        <v>2.5709200000000543E-2</v>
      </c>
      <c r="G15" s="8">
        <f>Tabla2[[#This Row],[VALOR INVERSION 1]]*Tabla2[[#This Row],[PRECIO DEL DÓLAR]]</f>
        <v>30864.285511092006</v>
      </c>
      <c r="H15" s="8">
        <f>Tabla2[[#This Row],[VOO]]*0.01527</f>
        <v>7.7715138000000001</v>
      </c>
      <c r="I15" s="8">
        <f>Tabla2[[#This Row],[VALOR INVERSION 2]]-7.9</f>
        <v>-0.12848620000000022</v>
      </c>
      <c r="J15" s="8">
        <f>Tabla2[[#This Row],[VALOR INVERSION 2]]*Tabla2[[#This Row],[PRECIO DEL DÓLAR]]</f>
        <v>31047.275346138002</v>
      </c>
      <c r="K15" s="8">
        <f>Tabla2[[#This Row],[VOO]]*0.01284</f>
        <v>6.5347896000000008</v>
      </c>
      <c r="L15" s="8">
        <f>Tabla2[[#This Row],[VALOR INVERSION 3]]-6.9</f>
        <v>-0.3652103999999996</v>
      </c>
      <c r="M15" s="8">
        <f>Tabla2[[#This Row],[VALOR INVERSION 3]]*Tabla2[[#This Row],[PRECIO DEL DÓLAR]]</f>
        <v>26106.549799896005</v>
      </c>
    </row>
    <row r="16" spans="2:13">
      <c r="B16" s="1">
        <v>45497</v>
      </c>
      <c r="C16" s="8">
        <f>VLOOKUP(B16,Tabla4[],2,FALSE)</f>
        <v>4014.08</v>
      </c>
      <c r="D16" s="6">
        <v>497.29</v>
      </c>
      <c r="E16" s="8">
        <f t="shared" ref="E16:E21" si="1">0.01518 * D16</f>
        <v>7.5488622000000003</v>
      </c>
      <c r="F16" s="8">
        <f>Tabla2[[#This Row],[VALOR INVERSION 1]]-7.7</f>
        <v>-0.15113779999999988</v>
      </c>
      <c r="G16" s="8">
        <f>Tabla2[[#This Row],[VALOR INVERSION 1]]*Tabla2[[#This Row],[PRECIO DEL DÓLAR]]</f>
        <v>30301.736779776002</v>
      </c>
      <c r="H16" s="8">
        <f>Tabla2[[#This Row],[VOO]]*0.01527</f>
        <v>7.593618300000001</v>
      </c>
      <c r="I16" s="8">
        <f>Tabla2[[#This Row],[VALOR INVERSION 2]]-7.9</f>
        <v>-0.30638169999999931</v>
      </c>
      <c r="J16" s="8">
        <f>Tabla2[[#This Row],[VALOR INVERSION 2]]*Tabla2[[#This Row],[PRECIO DEL DÓLAR]]</f>
        <v>30481.391345664004</v>
      </c>
      <c r="K16" s="8">
        <f>Tabla2[[#This Row],[VOO]]*0.01284</f>
        <v>6.3852036000000005</v>
      </c>
      <c r="L16" s="8">
        <f>Tabla2[[#This Row],[VALOR INVERSION 3]]-6.9</f>
        <v>-0.51479639999999982</v>
      </c>
      <c r="M16" s="8">
        <f>Tabla2[[#This Row],[VALOR INVERSION 3]]*Tabla2[[#This Row],[PRECIO DEL DÓLAR]]</f>
        <v>25630.718066688001</v>
      </c>
    </row>
    <row r="17" spans="2:13">
      <c r="B17" s="1">
        <v>45498</v>
      </c>
      <c r="C17" s="8">
        <f>VLOOKUP(B17,Tabla4[],2,FALSE)</f>
        <v>4044.19</v>
      </c>
      <c r="D17" s="6">
        <v>494.78</v>
      </c>
      <c r="E17" s="8">
        <f t="shared" si="1"/>
        <v>7.5107603999999997</v>
      </c>
      <c r="F17" s="8">
        <f>Tabla2[[#This Row],[VALOR INVERSION 1]]-7.7</f>
        <v>-0.18923960000000051</v>
      </c>
      <c r="G17" s="8">
        <f>Tabla2[[#This Row],[VALOR INVERSION 1]]*Tabla2[[#This Row],[PRECIO DEL DÓLAR]]</f>
        <v>30374.942102075998</v>
      </c>
      <c r="H17" s="8">
        <f>Tabla2[[#This Row],[VOO]]*0.01527</f>
        <v>7.5552906000000002</v>
      </c>
      <c r="I17" s="8">
        <f>Tabla2[[#This Row],[VALOR INVERSION 2]]-7.9</f>
        <v>-0.34470940000000017</v>
      </c>
      <c r="J17" s="8">
        <f>Tabla2[[#This Row],[VALOR INVERSION 2]]*Tabla2[[#This Row],[PRECIO DEL DÓLAR]]</f>
        <v>30555.030691614</v>
      </c>
      <c r="K17" s="8">
        <f>Tabla2[[#This Row],[VOO]]*0.01284</f>
        <v>6.3529752000000004</v>
      </c>
      <c r="L17" s="8">
        <f>Tabla2[[#This Row],[VALOR INVERSION 3]]-6.9</f>
        <v>-0.54702479999999998</v>
      </c>
      <c r="M17" s="8">
        <f>Tabla2[[#This Row],[VALOR INVERSION 3]]*Tabla2[[#This Row],[PRECIO DEL DÓLAR]]</f>
        <v>25692.638774088002</v>
      </c>
    </row>
    <row r="18" spans="2:13">
      <c r="B18" s="1">
        <v>45499</v>
      </c>
      <c r="C18" s="8">
        <f>VLOOKUP(B18,Tabla4[],2,FALSE)</f>
        <v>4042.31</v>
      </c>
      <c r="D18" s="6">
        <v>500.33</v>
      </c>
      <c r="E18" s="8">
        <f t="shared" si="1"/>
        <v>7.5950094000000004</v>
      </c>
      <c r="F18" s="8">
        <f>Tabla2[[#This Row],[VALOR INVERSION 1]]-7.7</f>
        <v>-0.10499059999999982</v>
      </c>
      <c r="G18" s="8">
        <f>Tabla2[[#This Row],[VALOR INVERSION 1]]*Tabla2[[#This Row],[PRECIO DEL DÓLAR]]</f>
        <v>30701.382447714001</v>
      </c>
      <c r="H18" s="8">
        <f>Tabla2[[#This Row],[VOO]]*0.01527</f>
        <v>7.6400391000000001</v>
      </c>
      <c r="I18" s="8">
        <f>Tabla2[[#This Row],[VALOR INVERSION 2]]-7.9</f>
        <v>-0.25996090000000027</v>
      </c>
      <c r="J18" s="8">
        <f>Tabla2[[#This Row],[VALOR INVERSION 2]]*Tabla2[[#This Row],[PRECIO DEL DÓLAR]]</f>
        <v>30883.406454321001</v>
      </c>
      <c r="K18" s="8">
        <f>Tabla2[[#This Row],[VOO]]*0.01284</f>
        <v>6.4242372000000003</v>
      </c>
      <c r="L18" s="8">
        <f>Tabla2[[#This Row],[VALOR INVERSION 3]]-6.9</f>
        <v>-0.47576280000000004</v>
      </c>
      <c r="M18" s="8">
        <f>Tabla2[[#This Row],[VALOR INVERSION 3]]*Tabla2[[#This Row],[PRECIO DEL DÓLAR]]</f>
        <v>25968.758275931999</v>
      </c>
    </row>
    <row r="19" spans="2:13">
      <c r="B19" s="1">
        <v>45502</v>
      </c>
      <c r="C19" s="8">
        <f>VLOOKUP(B19,Tabla4[],2,FALSE)</f>
        <v>4030.02</v>
      </c>
      <c r="D19" s="6">
        <v>500.7</v>
      </c>
      <c r="E19" s="8">
        <f t="shared" si="1"/>
        <v>7.6006260000000001</v>
      </c>
      <c r="F19" s="8">
        <f>Tabla2[[#This Row],[VALOR INVERSION 1]]-7.7</f>
        <v>-9.9374000000000073E-2</v>
      </c>
      <c r="G19" s="8">
        <f>Tabla2[[#This Row],[VALOR INVERSION 1]]*Tabla2[[#This Row],[PRECIO DEL DÓLAR]]</f>
        <v>30630.67479252</v>
      </c>
      <c r="H19" s="8">
        <f>Tabla2[[#This Row],[VOO]]*0.01527</f>
        <v>7.645689</v>
      </c>
      <c r="I19" s="8">
        <f>Tabla2[[#This Row],[VALOR INVERSION 2]]-7.9</f>
        <v>-0.2543110000000004</v>
      </c>
      <c r="J19" s="8">
        <f>Tabla2[[#This Row],[VALOR INVERSION 2]]*Tabla2[[#This Row],[PRECIO DEL DÓLAR]]</f>
        <v>30812.27958378</v>
      </c>
      <c r="K19" s="8">
        <f>Tabla2[[#This Row],[VOO]]*0.01284</f>
        <v>6.4289880000000004</v>
      </c>
      <c r="L19" s="8">
        <f>Tabla2[[#This Row],[VALOR INVERSION 3]]-6.9</f>
        <v>-0.47101199999999999</v>
      </c>
      <c r="M19" s="8">
        <f>Tabla2[[#This Row],[VALOR INVERSION 3]]*Tabla2[[#This Row],[PRECIO DEL DÓLAR]]</f>
        <v>25908.950219760001</v>
      </c>
    </row>
    <row r="20" spans="2:13">
      <c r="B20" s="1">
        <v>45503</v>
      </c>
      <c r="C20" s="8">
        <f>VLOOKUP(B20,Tabla4[],2,FALSE)</f>
        <v>4077.08</v>
      </c>
      <c r="D20" s="6">
        <v>498.08</v>
      </c>
      <c r="E20" s="8">
        <f t="shared" si="1"/>
        <v>7.5608544000000002</v>
      </c>
      <c r="F20" s="8">
        <f>Tabla2[[#This Row],[VALOR INVERSION 1]]-7.7</f>
        <v>-0.13914559999999998</v>
      </c>
      <c r="G20" s="8">
        <f>Tabla2[[#This Row],[VALOR INVERSION 1]]*Tabla2[[#This Row],[PRECIO DEL DÓLAR]]</f>
        <v>30826.208257152</v>
      </c>
      <c r="H20" s="8">
        <f>Tabla2[[#This Row],[VOO]]*0.01527</f>
        <v>7.6056816000000005</v>
      </c>
      <c r="I20" s="8">
        <f>Tabla2[[#This Row],[VALOR INVERSION 2]]-7.9</f>
        <v>-0.29431839999999987</v>
      </c>
      <c r="J20" s="8">
        <f>Tabla2[[#This Row],[VALOR INVERSION 2]]*Tabla2[[#This Row],[PRECIO DEL DÓLAR]]</f>
        <v>31008.972337728002</v>
      </c>
      <c r="K20" s="8">
        <f>Tabla2[[#This Row],[VOO]]*0.01284</f>
        <v>6.3953471999999998</v>
      </c>
      <c r="L20" s="8">
        <f>Tabla2[[#This Row],[VALOR INVERSION 3]]-6.9</f>
        <v>-0.50465280000000057</v>
      </c>
      <c r="M20" s="8">
        <f>Tabla2[[#This Row],[VALOR INVERSION 3]]*Tabla2[[#This Row],[PRECIO DEL DÓLAR]]</f>
        <v>26074.342162175999</v>
      </c>
    </row>
    <row r="21" spans="2:13">
      <c r="B21" s="1">
        <v>45504</v>
      </c>
      <c r="C21" s="8">
        <f>VLOOKUP(B21,Tabla4[],2,FALSE)</f>
        <v>4077.07</v>
      </c>
      <c r="D21" s="6">
        <v>505.93</v>
      </c>
      <c r="E21" s="8">
        <f t="shared" si="1"/>
        <v>7.6800174000000005</v>
      </c>
      <c r="F21" s="8">
        <f>Tabla2[[#This Row],[VALOR INVERSION 1]]-7.7</f>
        <v>-1.9982599999999628E-2</v>
      </c>
      <c r="G21" s="8">
        <f>Tabla2[[#This Row],[VALOR INVERSION 1]]*Tabla2[[#This Row],[PRECIO DEL DÓLAR]]</f>
        <v>31311.968541018003</v>
      </c>
      <c r="H21" s="8">
        <f>Tabla2[[#This Row],[VOO]]*0.01527</f>
        <v>7.7255511000000006</v>
      </c>
      <c r="I21" s="8">
        <f>Tabla2[[#This Row],[VALOR INVERSION 2]]-7.9</f>
        <v>-0.1744488999999998</v>
      </c>
      <c r="J21" s="8">
        <f>Tabla2[[#This Row],[VALOR INVERSION 2]]*Tabla2[[#This Row],[PRECIO DEL DÓLAR]]</f>
        <v>31497.612623277004</v>
      </c>
      <c r="K21" s="8">
        <f>Tabla2[[#This Row],[VOO]]*0.01284</f>
        <v>6.4961412000000003</v>
      </c>
      <c r="L21" s="8">
        <f>Tabla2[[#This Row],[VALOR INVERSION 3]]-6.9</f>
        <v>-0.40385880000000007</v>
      </c>
      <c r="M21" s="8">
        <f>Tabla2[[#This Row],[VALOR INVERSION 3]]*Tabla2[[#This Row],[PRECIO DEL DÓLAR]]</f>
        <v>26485.222402284002</v>
      </c>
    </row>
    <row r="22" spans="2:13">
      <c r="B22" s="1">
        <v>45505</v>
      </c>
      <c r="C22" s="8">
        <f>VLOOKUP(B22,Tabla4[],2,FALSE)</f>
        <v>4045.51</v>
      </c>
      <c r="D22" s="6">
        <v>499.03</v>
      </c>
      <c r="E22" s="8">
        <f t="shared" ref="E22:E27" si="2">0.01518 * D22</f>
        <v>7.5752753999999998</v>
      </c>
      <c r="F22" s="8">
        <f>Tabla2[[#This Row],[VALOR INVERSION 1]]-7.7</f>
        <v>-0.12472460000000041</v>
      </c>
      <c r="G22" s="8">
        <f>Tabla2[[#This Row],[VALOR INVERSION 1]]*Tabla2[[#This Row],[PRECIO DEL DÓLAR]]</f>
        <v>30645.852383453999</v>
      </c>
      <c r="H22" s="8">
        <f>Tabla2[[#This Row],[VOO]]*0.01527</f>
        <v>7.6201881</v>
      </c>
      <c r="I22" s="8">
        <f>Tabla2[[#This Row],[VALOR INVERSION 2]]-7.9</f>
        <v>-0.27981190000000034</v>
      </c>
      <c r="J22" s="8">
        <f>Tabla2[[#This Row],[VALOR INVERSION 2]]*Tabla2[[#This Row],[PRECIO DEL DÓLAR]]</f>
        <v>30827.547160431001</v>
      </c>
      <c r="K22" s="8">
        <f>Tabla2[[#This Row],[VOO]]*0.01284</f>
        <v>6.4075452000000004</v>
      </c>
      <c r="L22" s="8">
        <f>Tabla2[[#This Row],[VALOR INVERSION 3]]-6.9</f>
        <v>-0.49245479999999997</v>
      </c>
      <c r="M22" s="8">
        <f>Tabla2[[#This Row],[VALOR INVERSION 3]]*Tabla2[[#This Row],[PRECIO DEL DÓLAR]]</f>
        <v>25921.788182052002</v>
      </c>
    </row>
    <row r="23" spans="2:13">
      <c r="B23" s="1">
        <v>45506</v>
      </c>
      <c r="C23" s="8">
        <f>VLOOKUP(B23,Tabla4[],2,FALSE)</f>
        <v>4064.07</v>
      </c>
      <c r="D23" s="6">
        <v>489.91</v>
      </c>
      <c r="E23" s="8">
        <f t="shared" si="2"/>
        <v>7.4368338000000005</v>
      </c>
      <c r="F23" s="8">
        <f>Tabla2[[#This Row],[VALOR INVERSION 1]]-7.7</f>
        <v>-0.26316619999999968</v>
      </c>
      <c r="G23" s="8">
        <f>Tabla2[[#This Row],[VALOR INVERSION 1]]*Tabla2[[#This Row],[PRECIO DEL DÓLAR]]</f>
        <v>30223.813141566003</v>
      </c>
      <c r="H23" s="8">
        <f>Tabla2[[#This Row],[VOO]]*0.01527</f>
        <v>7.4809257000000002</v>
      </c>
      <c r="I23" s="8">
        <f>Tabla2[[#This Row],[VALOR INVERSION 2]]-7.9</f>
        <v>-0.41907430000000012</v>
      </c>
      <c r="J23" s="8">
        <f>Tabla2[[#This Row],[VALOR INVERSION 2]]*Tabla2[[#This Row],[PRECIO DEL DÓLAR]]</f>
        <v>30403.005709599001</v>
      </c>
      <c r="K23" s="8">
        <f>Tabla2[[#This Row],[VOO]]*0.01284</f>
        <v>6.290444400000001</v>
      </c>
      <c r="L23" s="8">
        <f>Tabla2[[#This Row],[VALOR INVERSION 3]]-6.9</f>
        <v>-0.60955559999999931</v>
      </c>
      <c r="M23" s="8">
        <f>Tabla2[[#This Row],[VALOR INVERSION 3]]*Tabla2[[#This Row],[PRECIO DEL DÓLAR]]</f>
        <v>25564.806372708004</v>
      </c>
    </row>
    <row r="24" spans="2:13">
      <c r="B24" s="1">
        <v>45448</v>
      </c>
      <c r="C24" s="8">
        <f>VLOOKUP(B24,Tabla4[],2,FALSE)</f>
        <v>3925.64</v>
      </c>
      <c r="D24" s="6">
        <v>475.2</v>
      </c>
      <c r="E24" s="8">
        <f t="shared" si="2"/>
        <v>7.2135360000000004</v>
      </c>
      <c r="F24" s="8">
        <f>Tabla2[[#This Row],[VALOR INVERSION 1]]-7.7</f>
        <v>-0.48646399999999979</v>
      </c>
      <c r="G24" s="8">
        <f>Tabla2[[#This Row],[VALOR INVERSION 1]]*Tabla2[[#This Row],[PRECIO DEL DÓLAR]]</f>
        <v>28317.745463039999</v>
      </c>
      <c r="H24" s="8">
        <f>Tabla2[[#This Row],[VOO]]*0.01527</f>
        <v>7.2563040000000001</v>
      </c>
      <c r="I24" s="8">
        <f>Tabla2[[#This Row],[VALOR INVERSION 2]]-7.9</f>
        <v>-0.64369600000000027</v>
      </c>
      <c r="J24" s="8">
        <f>Tabla2[[#This Row],[VALOR INVERSION 2]]*Tabla2[[#This Row],[PRECIO DEL DÓLAR]]</f>
        <v>28485.637234559999</v>
      </c>
      <c r="K24" s="8">
        <f>Tabla2[[#This Row],[VOO]]*0.01284</f>
        <v>6.1015680000000003</v>
      </c>
      <c r="L24" s="8">
        <f>Tabla2[[#This Row],[VALOR INVERSION 3]]-6.9</f>
        <v>-0.79843200000000003</v>
      </c>
      <c r="M24" s="8">
        <f>Tabla2[[#This Row],[VALOR INVERSION 3]]*Tabla2[[#This Row],[PRECIO DEL DÓLAR]]</f>
        <v>23952.559403520001</v>
      </c>
    </row>
    <row r="25" spans="2:13">
      <c r="B25" s="1">
        <v>45510</v>
      </c>
      <c r="C25" s="8">
        <f>VLOOKUP(B25,Tabla4[],2,FALSE)</f>
        <v>4155.3100000000004</v>
      </c>
      <c r="D25" s="6">
        <v>479.94</v>
      </c>
      <c r="E25" s="8">
        <f t="shared" si="2"/>
        <v>7.2854892000000007</v>
      </c>
      <c r="F25" s="8">
        <f>Tabla2[[#This Row],[VALOR INVERSION 1]]-7.7</f>
        <v>-0.41451079999999951</v>
      </c>
      <c r="G25" s="8">
        <f>Tabla2[[#This Row],[VALOR INVERSION 1]]*Tabla2[[#This Row],[PRECIO DEL DÓLAR]]</f>
        <v>30273.466127652006</v>
      </c>
      <c r="H25" s="8">
        <f>Tabla2[[#This Row],[VOO]]*0.01527</f>
        <v>7.3286838000000003</v>
      </c>
      <c r="I25" s="8">
        <f>Tabla2[[#This Row],[VALOR INVERSION 2]]-7.9</f>
        <v>-0.57131620000000005</v>
      </c>
      <c r="J25" s="8">
        <f>Tabla2[[#This Row],[VALOR INVERSION 2]]*Tabla2[[#This Row],[PRECIO DEL DÓLAR]]</f>
        <v>30452.953080978004</v>
      </c>
      <c r="K25" s="8">
        <f>Tabla2[[#This Row],[VOO]]*0.01284</f>
        <v>6.1624296000000003</v>
      </c>
      <c r="L25" s="8">
        <f>Tabla2[[#This Row],[VALOR INVERSION 3]]-6.9</f>
        <v>-0.73757040000000007</v>
      </c>
      <c r="M25" s="8">
        <f>Tabla2[[#This Row],[VALOR INVERSION 3]]*Tabla2[[#This Row],[PRECIO DEL DÓLAR]]</f>
        <v>25606.805341176005</v>
      </c>
    </row>
    <row r="26" spans="2:13">
      <c r="B26" s="1">
        <v>45511</v>
      </c>
      <c r="C26" s="8">
        <f>VLOOKUP(B26,Tabla4[],2,FALSE)</f>
        <v>4140.09</v>
      </c>
      <c r="D26" s="24">
        <v>476.61</v>
      </c>
      <c r="E26" s="8">
        <f t="shared" si="2"/>
        <v>7.2349398000000003</v>
      </c>
      <c r="F26" s="8">
        <f>Tabla2[[#This Row],[VALOR INVERSION 1]]-7.7</f>
        <v>-0.46506019999999992</v>
      </c>
      <c r="G26" s="8">
        <f>Tabla2[[#This Row],[VALOR INVERSION 1]]*Tabla2[[#This Row],[PRECIO DEL DÓLAR]]</f>
        <v>29953.301916582001</v>
      </c>
      <c r="H26" s="8">
        <f>Tabla2[[#This Row],[VOO]]*0.01527</f>
        <v>7.2778347000000005</v>
      </c>
      <c r="I26" s="8">
        <f>Tabla2[[#This Row],[VALOR INVERSION 2]]-7.9</f>
        <v>-0.62216529999999981</v>
      </c>
      <c r="J26" s="8">
        <f>Tabla2[[#This Row],[VALOR INVERSION 2]]*Tabla2[[#This Row],[PRECIO DEL DÓLAR]]</f>
        <v>30130.890663123002</v>
      </c>
      <c r="K26" s="8">
        <f>Tabla2[[#This Row],[VOO]]*0.01284</f>
        <v>6.1196724000000007</v>
      </c>
      <c r="L26" s="8">
        <f>Tabla2[[#This Row],[VALOR INVERSION 3]]-6.9</f>
        <v>-0.78032759999999968</v>
      </c>
      <c r="M26" s="8">
        <f>Tabla2[[#This Row],[VALOR INVERSION 3]]*Tabla2[[#This Row],[PRECIO DEL DÓLAR]]</f>
        <v>25335.994506516003</v>
      </c>
    </row>
    <row r="27" spans="2:13">
      <c r="B27" s="1">
        <v>45512</v>
      </c>
      <c r="C27" s="8">
        <f>VLOOKUP(B27,Tabla4[],2,FALSE)</f>
        <v>4148.24</v>
      </c>
      <c r="D27" s="24">
        <v>487.73</v>
      </c>
      <c r="E27" s="8">
        <f t="shared" si="2"/>
        <v>7.4037414000000004</v>
      </c>
      <c r="F27" s="8">
        <f>Tabla2[[#This Row],[VALOR INVERSION 1]]-7.7</f>
        <v>-0.29625859999999982</v>
      </c>
      <c r="G27" s="8">
        <f>Tabla2[[#This Row],[VALOR INVERSION 1]]*Tabla2[[#This Row],[PRECIO DEL DÓLAR]]</f>
        <v>30712.496225136001</v>
      </c>
      <c r="H27" s="8">
        <f>Tabla2[[#This Row],[VOO]]*0.01527</f>
        <v>7.4476371000000006</v>
      </c>
      <c r="I27" s="8">
        <f>Tabla2[[#This Row],[VALOR INVERSION 2]]-7.9</f>
        <v>-0.45236289999999979</v>
      </c>
      <c r="J27" s="8">
        <f>Tabla2[[#This Row],[VALOR INVERSION 2]]*Tabla2[[#This Row],[PRECIO DEL DÓLAR]]</f>
        <v>30894.586123704001</v>
      </c>
      <c r="K27" s="8">
        <f>Tabla2[[#This Row],[VOO]]*0.01284</f>
        <v>6.2624532000000004</v>
      </c>
      <c r="L27" s="8">
        <f>Tabla2[[#This Row],[VALOR INVERSION 3]]-6.9</f>
        <v>-0.63754679999999997</v>
      </c>
      <c r="M27" s="8">
        <f>Tabla2[[#This Row],[VALOR INVERSION 3]]*Tabla2[[#This Row],[PRECIO DEL DÓLAR]]</f>
        <v>25978.158862368</v>
      </c>
    </row>
    <row r="28" spans="2:13">
      <c r="B28" s="1">
        <v>45513</v>
      </c>
      <c r="C28" s="8">
        <f>VLOOKUP(B28,Tabla4[],2,FALSE)</f>
        <v>4063.32</v>
      </c>
      <c r="D28" s="24">
        <v>489.82</v>
      </c>
      <c r="E28" s="8">
        <f t="shared" ref="E28:E33" si="3">0.01518 * D28</f>
        <v>7.4354676</v>
      </c>
      <c r="F28" s="8">
        <f>Tabla2[[#This Row],[VALOR INVERSION 1]]-7.7</f>
        <v>-0.26453240000000022</v>
      </c>
      <c r="G28" s="8">
        <f>Tabla2[[#This Row],[VALOR INVERSION 1]]*Tabla2[[#This Row],[PRECIO DEL DÓLAR]]</f>
        <v>30212.684208432001</v>
      </c>
      <c r="H28" s="8">
        <f>Tabla2[[#This Row],[VOO]]*0.01527</f>
        <v>7.4795514000000001</v>
      </c>
      <c r="I28" s="8">
        <f>Tabla2[[#This Row],[VALOR INVERSION 2]]-7.9</f>
        <v>-0.42044860000000028</v>
      </c>
      <c r="J28" s="8">
        <f>Tabla2[[#This Row],[VALOR INVERSION 2]]*Tabla2[[#This Row],[PRECIO DEL DÓLAR]]</f>
        <v>30391.810794648001</v>
      </c>
      <c r="K28" s="8">
        <f>Tabla2[[#This Row],[VOO]]*0.01284</f>
        <v>6.2892888000000005</v>
      </c>
      <c r="L28" s="8">
        <f>Tabla2[[#This Row],[VALOR INVERSION 3]]-6.9</f>
        <v>-0.6107111999999999</v>
      </c>
      <c r="M28" s="8">
        <f>Tabla2[[#This Row],[VALOR INVERSION 3]]*Tabla2[[#This Row],[PRECIO DEL DÓLAR]]</f>
        <v>25555.392966816002</v>
      </c>
    </row>
    <row r="29" spans="2:13">
      <c r="B29" s="1">
        <v>45514</v>
      </c>
      <c r="C29" s="8">
        <f>VLOOKUP(B29,Tabla4[],2,FALSE)</f>
        <v>4057.55</v>
      </c>
      <c r="D29" s="24">
        <v>489.82</v>
      </c>
      <c r="E29" s="8">
        <f t="shared" si="3"/>
        <v>7.4354676</v>
      </c>
      <c r="F29" s="8">
        <f>Tabla2[[#This Row],[VALOR INVERSION 1]]-7.7</f>
        <v>-0.26453240000000022</v>
      </c>
      <c r="G29" s="8">
        <f>Tabla2[[#This Row],[VALOR INVERSION 1]]*Tabla2[[#This Row],[PRECIO DEL DÓLAR]]</f>
        <v>30169.781560380001</v>
      </c>
      <c r="H29" s="8">
        <f>Tabla2[[#This Row],[VOO]]*0.01527</f>
        <v>7.4795514000000001</v>
      </c>
      <c r="I29" s="8">
        <f>Tabla2[[#This Row],[VALOR INVERSION 2]]-7.9</f>
        <v>-0.42044860000000028</v>
      </c>
      <c r="J29" s="8">
        <f>Tabla2[[#This Row],[VALOR INVERSION 2]]*Tabla2[[#This Row],[PRECIO DEL DÓLAR]]</f>
        <v>30348.65378307</v>
      </c>
      <c r="K29" s="8">
        <f>Tabla2[[#This Row],[VOO]]*0.01284</f>
        <v>6.2892888000000005</v>
      </c>
      <c r="L29" s="8">
        <f>Tabla2[[#This Row],[VALOR INVERSION 3]]-6.9</f>
        <v>-0.6107111999999999</v>
      </c>
      <c r="M29" s="8">
        <f>Tabla2[[#This Row],[VALOR INVERSION 3]]*Tabla2[[#This Row],[PRECIO DEL DÓLAR]]</f>
        <v>25519.103770440004</v>
      </c>
    </row>
    <row r="30" spans="2:13">
      <c r="B30" s="1">
        <v>45516</v>
      </c>
      <c r="C30" s="8">
        <f>VLOOKUP(B30,Tabla4[],2,FALSE)</f>
        <v>4073.83</v>
      </c>
      <c r="D30" s="24">
        <v>490.07</v>
      </c>
      <c r="E30" s="8">
        <f t="shared" si="3"/>
        <v>7.4392626000000002</v>
      </c>
      <c r="F30" s="8">
        <f>Tabla2[[#This Row],[VALOR INVERSION 1]]-7.7</f>
        <v>-0.26073740000000001</v>
      </c>
      <c r="G30" s="8">
        <f>Tabla2[[#This Row],[VALOR INVERSION 1]]*Tabla2[[#This Row],[PRECIO DEL DÓLAR]]</f>
        <v>30306.291157758002</v>
      </c>
      <c r="H30" s="8">
        <f>Tabla2[[#This Row],[VOO]]*0.01527</f>
        <v>7.4833689000000003</v>
      </c>
      <c r="I30" s="8">
        <f>Tabla2[[#This Row],[VALOR INVERSION 2]]-7.9</f>
        <v>-0.41663110000000003</v>
      </c>
      <c r="J30" s="8">
        <f>Tabla2[[#This Row],[VALOR INVERSION 2]]*Tabla2[[#This Row],[PRECIO DEL DÓLAR]]</f>
        <v>30485.972725887001</v>
      </c>
      <c r="K30" s="8">
        <f>Tabla2[[#This Row],[VOO]]*0.01284</f>
        <v>6.2924988000000006</v>
      </c>
      <c r="L30" s="8">
        <f>Tabla2[[#This Row],[VALOR INVERSION 3]]-6.9</f>
        <v>-0.60750119999999974</v>
      </c>
      <c r="M30" s="8">
        <f>Tabla2[[#This Row],[VALOR INVERSION 3]]*Tabla2[[#This Row],[PRECIO DEL DÓLAR]]</f>
        <v>25634.570386404001</v>
      </c>
    </row>
    <row r="31" spans="2:13">
      <c r="B31" s="1">
        <v>45517</v>
      </c>
      <c r="C31" s="8">
        <f>VLOOKUP(B31,Tabla4[],2,FALSE)</f>
        <v>4046.96</v>
      </c>
      <c r="D31" s="24">
        <v>498.21</v>
      </c>
      <c r="E31" s="8">
        <f t="shared" si="3"/>
        <v>7.5628278</v>
      </c>
      <c r="F31" s="8">
        <f>Tabla2[[#This Row],[VALOR INVERSION 1]]-7.7</f>
        <v>-0.13717220000000019</v>
      </c>
      <c r="G31" s="8">
        <f>Tabla2[[#This Row],[VALOR INVERSION 1]]*Tabla2[[#This Row],[PRECIO DEL DÓLAR]]</f>
        <v>30606.461593487998</v>
      </c>
      <c r="H31" s="8">
        <f>Tabla2[[#This Row],[VOO]]*0.01527</f>
        <v>7.6076667000000002</v>
      </c>
      <c r="I31" s="8">
        <f>Tabla2[[#This Row],[VALOR INVERSION 2]]-7.9</f>
        <v>-0.29233330000000013</v>
      </c>
      <c r="J31" s="8">
        <f>Tabla2[[#This Row],[VALOR INVERSION 2]]*Tabla2[[#This Row],[PRECIO DEL DÓLAR]]</f>
        <v>30787.922828232</v>
      </c>
      <c r="K31" s="8">
        <f>Tabla2[[#This Row],[VOO]]*0.01284</f>
        <v>6.3970164</v>
      </c>
      <c r="L31" s="8">
        <f>Tabla2[[#This Row],[VALOR INVERSION 3]]-6.9</f>
        <v>-0.50298360000000031</v>
      </c>
      <c r="M31" s="8">
        <f>Tabla2[[#This Row],[VALOR INVERSION 3]]*Tabla2[[#This Row],[PRECIO DEL DÓLAR]]</f>
        <v>25888.469490144002</v>
      </c>
    </row>
    <row r="32" spans="2:13">
      <c r="B32" s="1">
        <v>45518</v>
      </c>
      <c r="C32" s="8">
        <f>VLOOKUP(B32,Tabla4[],2,FALSE)</f>
        <v>4038.46</v>
      </c>
      <c r="D32" s="24">
        <v>499.8</v>
      </c>
      <c r="E32" s="8">
        <f t="shared" si="3"/>
        <v>7.5869640000000009</v>
      </c>
      <c r="F32" s="8">
        <f>Tabla2[[#This Row],[VALOR INVERSION 1]]-7.7</f>
        <v>-0.11303599999999925</v>
      </c>
      <c r="G32" s="8">
        <f>Tabla2[[#This Row],[VALOR INVERSION 1]]*Tabla2[[#This Row],[PRECIO DEL DÓLAR]]</f>
        <v>30639.650635440004</v>
      </c>
      <c r="H32" s="8">
        <f>Tabla2[[#This Row],[VOO]]*0.01527</f>
        <v>7.6319460000000001</v>
      </c>
      <c r="I32" s="8">
        <f>Tabla2[[#This Row],[VALOR INVERSION 2]]-7.9</f>
        <v>-0.26805400000000024</v>
      </c>
      <c r="J32" s="8">
        <f>Tabla2[[#This Row],[VALOR INVERSION 2]]*Tabla2[[#This Row],[PRECIO DEL DÓLAR]]</f>
        <v>30821.308643160002</v>
      </c>
      <c r="K32" s="8">
        <f>Tabla2[[#This Row],[VOO]]*0.01284</f>
        <v>6.4174320000000007</v>
      </c>
      <c r="L32" s="8">
        <f>Tabla2[[#This Row],[VALOR INVERSION 3]]-6.9</f>
        <v>-0.48256799999999966</v>
      </c>
      <c r="M32" s="8">
        <f>Tabla2[[#This Row],[VALOR INVERSION 3]]*Tabla2[[#This Row],[PRECIO DEL DÓLAR]]</f>
        <v>25916.542434720002</v>
      </c>
    </row>
    <row r="33" spans="2:13">
      <c r="B33" s="1">
        <v>45519</v>
      </c>
      <c r="C33" s="8">
        <f>VLOOKUP(B33,Tabla4[],2,FALSE)</f>
        <v>4037.16</v>
      </c>
      <c r="D33" s="24">
        <v>508.38</v>
      </c>
      <c r="E33" s="8">
        <f t="shared" si="3"/>
        <v>7.7172084000000005</v>
      </c>
      <c r="F33" s="8">
        <f>Tabla2[[#This Row],[VALOR INVERSION 1]]-7.7</f>
        <v>1.7208400000000346E-2</v>
      </c>
      <c r="G33" s="8">
        <f>Tabla2[[#This Row],[VALOR INVERSION 1]]*Tabla2[[#This Row],[PRECIO DEL DÓLAR]]</f>
        <v>31155.605064144002</v>
      </c>
      <c r="H33" s="8">
        <f>Tabla2[[#This Row],[VOO]]*0.01527</f>
        <v>7.7629625999999998</v>
      </c>
      <c r="I33" s="8">
        <f>Tabla2[[#This Row],[VALOR INVERSION 2]]-7.9</f>
        <v>-0.13703740000000053</v>
      </c>
      <c r="J33" s="8">
        <f>Tabla2[[#This Row],[VALOR INVERSION 2]]*Tabla2[[#This Row],[PRECIO DEL DÓLAR]]</f>
        <v>31340.322090215999</v>
      </c>
      <c r="K33" s="8">
        <f>Tabla2[[#This Row],[VOO]]*0.01284</f>
        <v>6.5275992</v>
      </c>
      <c r="L33" s="8">
        <f>Tabla2[[#This Row],[VALOR INVERSION 3]]-6.9</f>
        <v>-0.37240080000000031</v>
      </c>
      <c r="M33" s="8">
        <f>Tabla2[[#This Row],[VALOR INVERSION 3]]*Tabla2[[#This Row],[PRECIO DEL DÓLAR]]</f>
        <v>26352.962386272</v>
      </c>
    </row>
    <row r="34" spans="2:13">
      <c r="B34" s="1">
        <v>45520</v>
      </c>
      <c r="C34" s="8">
        <f>VLOOKUP(B34,Tabla4[],2,FALSE)</f>
        <v>4014.8</v>
      </c>
      <c r="D34" s="6">
        <v>509.45</v>
      </c>
      <c r="E34" s="8">
        <f t="shared" ref="E34:E39" si="4">0.01518 * D34</f>
        <v>7.7334510000000005</v>
      </c>
      <c r="F34" s="8">
        <f>Tabla2[[#This Row],[VALOR INVERSION 1]]-7.7</f>
        <v>3.3451000000000342E-2</v>
      </c>
      <c r="G34" s="8">
        <f>Tabla2[[#This Row],[VALOR INVERSION 1]]*Tabla2[[#This Row],[PRECIO DEL DÓLAR]]</f>
        <v>31048.259074800004</v>
      </c>
      <c r="H34" s="8">
        <f>Tabla2[[#This Row],[VOO]]*0.01527</f>
        <v>7.7793014999999999</v>
      </c>
      <c r="I34" s="8">
        <f>Tabla2[[#This Row],[VALOR INVERSION 2]]-7.9</f>
        <v>-0.12069850000000049</v>
      </c>
      <c r="J34" s="8">
        <f>Tabla2[[#This Row],[VALOR INVERSION 2]]*Tabla2[[#This Row],[PRECIO DEL DÓLAR]]</f>
        <v>31232.3396622</v>
      </c>
      <c r="K34" s="8">
        <f>Tabla2[[#This Row],[VOO]]*0.01284</f>
        <v>6.5413380000000005</v>
      </c>
      <c r="L34" s="8">
        <f>Tabla2[[#This Row],[VALOR INVERSION 3]]-6.9</f>
        <v>-0.35866199999999981</v>
      </c>
      <c r="M34" s="8">
        <f>Tabla2[[#This Row],[VALOR INVERSION 3]]*Tabla2[[#This Row],[PRECIO DEL DÓLAR]]</f>
        <v>26262.163802400002</v>
      </c>
    </row>
    <row r="35" spans="2:13">
      <c r="B35" s="1">
        <v>45523</v>
      </c>
      <c r="C35" s="8">
        <f>VLOOKUP(B35,Tabla4[],2,FALSE)</f>
        <v>4030.16</v>
      </c>
      <c r="D35" s="24">
        <v>514.35</v>
      </c>
      <c r="E35" s="8">
        <f t="shared" si="4"/>
        <v>7.8078330000000005</v>
      </c>
      <c r="F35" s="8">
        <f>Tabla2[[#This Row],[VALOR INVERSION 1]]-7.7</f>
        <v>0.10783300000000029</v>
      </c>
      <c r="G35" s="8">
        <f>Tabla2[[#This Row],[VALOR INVERSION 1]]*Tabla2[[#This Row],[PRECIO DEL DÓLAR]]</f>
        <v>31466.816243280002</v>
      </c>
      <c r="H35" s="8">
        <f>Tabla2[[#This Row],[VOO]]*0.01527</f>
        <v>7.8541245000000011</v>
      </c>
      <c r="I35" s="8">
        <f>Tabla2[[#This Row],[VALOR INVERSION 2]]-7.9</f>
        <v>-4.5875499999999292E-2</v>
      </c>
      <c r="J35" s="8">
        <f>Tabla2[[#This Row],[VALOR INVERSION 2]]*Tabla2[[#This Row],[PRECIO DEL DÓLAR]]</f>
        <v>31653.378394920004</v>
      </c>
      <c r="K35" s="8">
        <f>Tabla2[[#This Row],[VOO]]*0.01284</f>
        <v>6.604254000000001</v>
      </c>
      <c r="L35" s="8">
        <f>Tabla2[[#This Row],[VALOR INVERSION 3]]-6.9</f>
        <v>-0.2957459999999994</v>
      </c>
      <c r="M35" s="8">
        <f>Tabla2[[#This Row],[VALOR INVERSION 3]]*Tabla2[[#This Row],[PRECIO DEL DÓLAR]]</f>
        <v>26616.200300640005</v>
      </c>
    </row>
    <row r="36" spans="2:13">
      <c r="B36" s="1">
        <v>45524</v>
      </c>
      <c r="C36" s="8">
        <f>VLOOKUP(B36,Tabla4[],2,FALSE)</f>
        <v>4023.02</v>
      </c>
      <c r="D36" s="24">
        <v>513.5</v>
      </c>
      <c r="E36" s="8">
        <f t="shared" si="4"/>
        <v>7.7949300000000008</v>
      </c>
      <c r="F36" s="8">
        <f>Tabla2[[#This Row],[VALOR INVERSION 1]]-7.7</f>
        <v>9.4930000000000625E-2</v>
      </c>
      <c r="G36" s="8">
        <f>Tabla2[[#This Row],[VALOR INVERSION 1]]*Tabla2[[#This Row],[PRECIO DEL DÓLAR]]</f>
        <v>31359.159288600003</v>
      </c>
      <c r="H36" s="8">
        <f>Tabla2[[#This Row],[VOO]]*0.01527</f>
        <v>7.841145</v>
      </c>
      <c r="I36" s="8">
        <f>Tabla2[[#This Row],[VALOR INVERSION 2]]-7.9</f>
        <v>-5.8855000000000324E-2</v>
      </c>
      <c r="J36" s="8">
        <f>Tabla2[[#This Row],[VALOR INVERSION 2]]*Tabla2[[#This Row],[PRECIO DEL DÓLAR]]</f>
        <v>31545.083157900001</v>
      </c>
      <c r="K36" s="8">
        <f>Tabla2[[#This Row],[VOO]]*0.01284</f>
        <v>6.5933400000000004</v>
      </c>
      <c r="L36" s="8">
        <f>Tabla2[[#This Row],[VALOR INVERSION 3]]-6.9</f>
        <v>-0.30665999999999993</v>
      </c>
      <c r="M36" s="8">
        <f>Tabla2[[#This Row],[VALOR INVERSION 3]]*Tabla2[[#This Row],[PRECIO DEL DÓLAR]]</f>
        <v>26525.138686800001</v>
      </c>
    </row>
    <row r="37" spans="2:13">
      <c r="B37" s="1">
        <v>45525</v>
      </c>
      <c r="C37" s="8">
        <f>VLOOKUP(B37,Tabla4[],2,FALSE)</f>
        <v>4010.2</v>
      </c>
      <c r="D37" s="24">
        <v>515.29999999999995</v>
      </c>
      <c r="E37" s="8">
        <f t="shared" si="4"/>
        <v>7.822254</v>
      </c>
      <c r="F37" s="8">
        <f>Tabla2[[#This Row],[VALOR INVERSION 1]]-7.7</f>
        <v>0.12225399999999986</v>
      </c>
      <c r="G37" s="8">
        <f>Tabla2[[#This Row],[VALOR INVERSION 1]]*Tabla2[[#This Row],[PRECIO DEL DÓLAR]]</f>
        <v>31368.802990799999</v>
      </c>
      <c r="H37" s="8">
        <f>Tabla2[[#This Row],[VOO]]*0.01527</f>
        <v>7.8686309999999997</v>
      </c>
      <c r="I37" s="8">
        <f>Tabla2[[#This Row],[VALOR INVERSION 2]]-7.9</f>
        <v>-3.1369000000000646E-2</v>
      </c>
      <c r="J37" s="8">
        <f>Tabla2[[#This Row],[VALOR INVERSION 2]]*Tabla2[[#This Row],[PRECIO DEL DÓLAR]]</f>
        <v>31554.784036199999</v>
      </c>
      <c r="K37" s="8">
        <f>Tabla2[[#This Row],[VOO]]*0.01284</f>
        <v>6.6164519999999998</v>
      </c>
      <c r="L37" s="8">
        <f>Tabla2[[#This Row],[VALOR INVERSION 3]]-6.9</f>
        <v>-0.28354800000000058</v>
      </c>
      <c r="M37" s="8">
        <f>Tabla2[[#This Row],[VALOR INVERSION 3]]*Tabla2[[#This Row],[PRECIO DEL DÓLAR]]</f>
        <v>26533.295810399999</v>
      </c>
    </row>
    <row r="38" spans="2:13">
      <c r="B38" s="1">
        <v>45526</v>
      </c>
      <c r="C38" s="8">
        <f>VLOOKUP(B38,Tabla4[],2,FALSE)</f>
        <v>4036.25</v>
      </c>
      <c r="D38" s="6">
        <v>511.13</v>
      </c>
      <c r="E38" s="8">
        <f t="shared" si="4"/>
        <v>7.7589534000000002</v>
      </c>
      <c r="F38" s="8">
        <f>Tabla2[[#This Row],[VALOR INVERSION 1]]-7.7</f>
        <v>5.8953400000000045E-2</v>
      </c>
      <c r="G38" s="8">
        <f>Tabla2[[#This Row],[VALOR INVERSION 1]]*Tabla2[[#This Row],[PRECIO DEL DÓLAR]]</f>
        <v>31317.075660750001</v>
      </c>
      <c r="H38" s="8">
        <f>Tabla2[[#This Row],[VOO]]*0.01527</f>
        <v>7.8049550999999999</v>
      </c>
      <c r="I38" s="8">
        <f>Tabla2[[#This Row],[VALOR INVERSION 2]]-7.9</f>
        <v>-9.5044900000000432E-2</v>
      </c>
      <c r="J38" s="8">
        <f>Tabla2[[#This Row],[VALOR INVERSION 2]]*Tabla2[[#This Row],[PRECIO DEL DÓLAR]]</f>
        <v>31502.750022374999</v>
      </c>
      <c r="K38" s="8">
        <f>Tabla2[[#This Row],[VOO]]*0.01284</f>
        <v>6.5629092</v>
      </c>
      <c r="L38" s="8">
        <f>Tabla2[[#This Row],[VALOR INVERSION 3]]-6.9</f>
        <v>-0.33709080000000036</v>
      </c>
      <c r="M38" s="8">
        <f>Tabla2[[#This Row],[VALOR INVERSION 3]]*Tabla2[[#This Row],[PRECIO DEL DÓLAR]]</f>
        <v>26489.542258500001</v>
      </c>
    </row>
    <row r="39" spans="2:13">
      <c r="B39" s="1">
        <v>45527</v>
      </c>
      <c r="C39" s="8">
        <f>VLOOKUP(B39,Tabla4[],2,FALSE)</f>
        <v>4069.62</v>
      </c>
      <c r="D39" s="24">
        <v>516.66</v>
      </c>
      <c r="E39" s="8">
        <f t="shared" si="4"/>
        <v>7.8428987999999995</v>
      </c>
      <c r="F39" s="8">
        <f>Tabla2[[#This Row],[VALOR INVERSION 1]]-7.7</f>
        <v>0.14289879999999933</v>
      </c>
      <c r="G39" s="8">
        <f>Tabla2[[#This Row],[VALOR INVERSION 1]]*Tabla2[[#This Row],[PRECIO DEL DÓLAR]]</f>
        <v>31917.617814455996</v>
      </c>
      <c r="H39" s="8">
        <f>Tabla2[[#This Row],[VOO]]*0.01527</f>
        <v>7.8893981999999996</v>
      </c>
      <c r="I39" s="8">
        <f>Tabla2[[#This Row],[VALOR INVERSION 2]]-7.9</f>
        <v>-1.0601800000000772E-2</v>
      </c>
      <c r="J39" s="8">
        <f>Tabla2[[#This Row],[VALOR INVERSION 2]]*Tabla2[[#This Row],[PRECIO DEL DÓLAR]]</f>
        <v>32106.852702683998</v>
      </c>
      <c r="K39" s="8">
        <f>Tabla2[[#This Row],[VOO]]*0.01284</f>
        <v>6.6339144000000001</v>
      </c>
      <c r="L39" s="8">
        <f>Tabla2[[#This Row],[VALOR INVERSION 3]]-6.9</f>
        <v>-0.26608560000000026</v>
      </c>
      <c r="M39" s="8">
        <f>Tabla2[[#This Row],[VALOR INVERSION 3]]*Tabla2[[#This Row],[PRECIO DEL DÓLAR]]</f>
        <v>26997.510720528</v>
      </c>
    </row>
    <row r="40" spans="2:13">
      <c r="B40" s="1">
        <v>45530</v>
      </c>
      <c r="C40" s="8">
        <f>VLOOKUP(B40,Tabla4[],2,FALSE)</f>
        <v>4029.75</v>
      </c>
      <c r="D40" s="24">
        <v>515.39</v>
      </c>
      <c r="E40" s="8">
        <f t="shared" ref="E40:E48" si="5">0.01518 * D40</f>
        <v>7.8236202000000006</v>
      </c>
      <c r="F40" s="8">
        <f>Tabla2[[#This Row],[VALOR INVERSION 1]]-7.7</f>
        <v>0.1236202000000004</v>
      </c>
      <c r="G40" s="8">
        <f>Tabla2[[#This Row],[VALOR INVERSION 1]]*Tabla2[[#This Row],[PRECIO DEL DÓLAR]]</f>
        <v>31527.233500950002</v>
      </c>
      <c r="H40" s="8">
        <f>Tabla2[[#This Row],[VOO]]*0.01527</f>
        <v>7.8700052999999999</v>
      </c>
      <c r="I40" s="8">
        <f>Tabla2[[#This Row],[VALOR INVERSION 2]]-7.9</f>
        <v>-2.9994700000000485E-2</v>
      </c>
      <c r="J40" s="8">
        <f>Tabla2[[#This Row],[VALOR INVERSION 2]]*Tabla2[[#This Row],[PRECIO DEL DÓLAR]]</f>
        <v>31714.153857674999</v>
      </c>
      <c r="K40" s="8">
        <f>Tabla2[[#This Row],[VOO]]*0.01284</f>
        <v>6.6176076000000004</v>
      </c>
      <c r="L40" s="8">
        <f>Tabla2[[#This Row],[VALOR INVERSION 3]]-6.9</f>
        <v>-0.28239239999999999</v>
      </c>
      <c r="M40" s="8">
        <f>Tabla2[[#This Row],[VALOR INVERSION 3]]*Tabla2[[#This Row],[PRECIO DEL DÓLAR]]</f>
        <v>26667.304226100001</v>
      </c>
    </row>
    <row r="41" spans="2:13">
      <c r="B41" s="1">
        <v>45531</v>
      </c>
      <c r="C41" s="8">
        <f>VLOOKUP(B41,Tabla4[],2,FALSE)</f>
        <v>4023.92</v>
      </c>
      <c r="D41" s="24">
        <v>516.08000000000004</v>
      </c>
      <c r="E41" s="8">
        <f t="shared" si="5"/>
        <v>7.8340944000000015</v>
      </c>
      <c r="F41" s="8">
        <f>Tabla2[[#This Row],[VALOR INVERSION 1]]-7.7</f>
        <v>0.13409440000000128</v>
      </c>
      <c r="G41" s="8">
        <f>Tabla2[[#This Row],[VALOR INVERSION 1]]*Tabla2[[#This Row],[PRECIO DEL DÓLAR]]</f>
        <v>31523.769138048006</v>
      </c>
      <c r="H41" s="8">
        <f>Tabla2[[#This Row],[VOO]]*0.01527</f>
        <v>7.8805416000000008</v>
      </c>
      <c r="I41" s="8">
        <f>Tabla2[[#This Row],[VALOR INVERSION 2]]-7.9</f>
        <v>-1.9458399999999543E-2</v>
      </c>
      <c r="J41" s="8">
        <f>Tabla2[[#This Row],[VALOR INVERSION 2]]*Tabla2[[#This Row],[PRECIO DEL DÓLAR]]</f>
        <v>31710.668955072004</v>
      </c>
      <c r="K41" s="8">
        <f>Tabla2[[#This Row],[VOO]]*0.01284</f>
        <v>6.6264672000000013</v>
      </c>
      <c r="L41" s="8">
        <f>Tabla2[[#This Row],[VALOR INVERSION 3]]-6.9</f>
        <v>-0.27353279999999902</v>
      </c>
      <c r="M41" s="8">
        <f>Tabla2[[#This Row],[VALOR INVERSION 3]]*Tabla2[[#This Row],[PRECIO DEL DÓLAR]]</f>
        <v>26664.373895424007</v>
      </c>
    </row>
    <row r="42" spans="2:13">
      <c r="B42" s="1">
        <v>45532</v>
      </c>
      <c r="C42" s="8">
        <f>VLOOKUP(B42,Tabla4[],2,FALSE)</f>
        <v>4045.64</v>
      </c>
      <c r="D42" s="24">
        <v>513.13</v>
      </c>
      <c r="E42" s="8">
        <f t="shared" si="5"/>
        <v>7.7893134000000002</v>
      </c>
      <c r="F42" s="8">
        <f>Tabla2[[#This Row],[VALOR INVERSION 1]]-7.7</f>
        <v>8.9313399999999987E-2</v>
      </c>
      <c r="G42" s="8">
        <f>Tabla2[[#This Row],[VALOR INVERSION 1]]*Tabla2[[#This Row],[PRECIO DEL DÓLAR]]</f>
        <v>31512.757863576</v>
      </c>
      <c r="H42" s="8">
        <f>Tabla2[[#This Row],[VOO]]*0.01527</f>
        <v>7.8354951000000002</v>
      </c>
      <c r="I42" s="8">
        <f>Tabla2[[#This Row],[VALOR INVERSION 2]]-7.9</f>
        <v>-6.4504900000000198E-2</v>
      </c>
      <c r="J42" s="8">
        <f>Tabla2[[#This Row],[VALOR INVERSION 2]]*Tabla2[[#This Row],[PRECIO DEL DÓLAR]]</f>
        <v>31699.592396363998</v>
      </c>
      <c r="K42" s="8">
        <f>Tabla2[[#This Row],[VOO]]*0.01284</f>
        <v>6.5885892000000004</v>
      </c>
      <c r="L42" s="8">
        <f>Tabla2[[#This Row],[VALOR INVERSION 3]]-6.9</f>
        <v>-0.31141079999999999</v>
      </c>
      <c r="M42" s="8">
        <f>Tabla2[[#This Row],[VALOR INVERSION 3]]*Tabla2[[#This Row],[PRECIO DEL DÓLAR]]</f>
        <v>26655.060011088</v>
      </c>
    </row>
    <row r="43" spans="2:13">
      <c r="B43" s="1">
        <v>45533</v>
      </c>
      <c r="C43" s="8">
        <f>VLOOKUP(B43,Tabla4[],2,FALSE)</f>
        <v>4065.34</v>
      </c>
      <c r="D43" s="24">
        <v>513.21</v>
      </c>
      <c r="E43" s="8">
        <f t="shared" si="5"/>
        <v>7.7905278000000013</v>
      </c>
      <c r="F43" s="8">
        <f>Tabla2[[#This Row],[VALOR INVERSION 1]]-7.7</f>
        <v>9.0527800000001157E-2</v>
      </c>
      <c r="G43" s="8">
        <f>Tabla2[[#This Row],[VALOR INVERSION 1]]*Tabla2[[#This Row],[PRECIO DEL DÓLAR]]</f>
        <v>31671.144286452007</v>
      </c>
      <c r="H43" s="8">
        <f>Tabla2[[#This Row],[VOO]]*0.01527</f>
        <v>7.8367167000000011</v>
      </c>
      <c r="I43" s="8">
        <f>Tabla2[[#This Row],[VALOR INVERSION 2]]-7.9</f>
        <v>-6.3283299999999265E-2</v>
      </c>
      <c r="J43" s="8">
        <f>Tabla2[[#This Row],[VALOR INVERSION 2]]*Tabla2[[#This Row],[PRECIO DEL DÓLAR]]</f>
        <v>31858.917869178007</v>
      </c>
      <c r="K43" s="8">
        <f>Tabla2[[#This Row],[VOO]]*0.01284</f>
        <v>6.5896164000000006</v>
      </c>
      <c r="L43" s="8">
        <f>Tabla2[[#This Row],[VALOR INVERSION 3]]-6.9</f>
        <v>-0.31038359999999976</v>
      </c>
      <c r="M43" s="8">
        <f>Tabla2[[#This Row],[VALOR INVERSION 3]]*Tabla2[[#This Row],[PRECIO DEL DÓLAR]]</f>
        <v>26789.031135576002</v>
      </c>
    </row>
    <row r="44" spans="2:13">
      <c r="B44" s="1">
        <v>45534</v>
      </c>
      <c r="C44" s="8">
        <f>VLOOKUP(B44,Tabla4[],2,FALSE)</f>
        <v>4132.1099999999997</v>
      </c>
      <c r="D44" s="24">
        <v>518.04</v>
      </c>
      <c r="E44" s="8">
        <f t="shared" si="5"/>
        <v>7.8638471999999995</v>
      </c>
      <c r="F44" s="8">
        <f>Tabla2[[#This Row],[VALOR INVERSION 1]]-7.7</f>
        <v>0.1638471999999993</v>
      </c>
      <c r="G44" s="8">
        <f>Tabla2[[#This Row],[VALOR INVERSION 1]]*Tabla2[[#This Row],[PRECIO DEL DÓLAR]]</f>
        <v>32494.281653591996</v>
      </c>
      <c r="H44" s="8">
        <f>Tabla2[[#This Row],[VOO]]*0.01527</f>
        <v>7.9104707999999997</v>
      </c>
      <c r="I44" s="8">
        <f>Tabla2[[#This Row],[VALOR INVERSION 2]]-7.9</f>
        <v>1.0470799999999336E-2</v>
      </c>
      <c r="J44" s="8">
        <f>Tabla2[[#This Row],[VALOR INVERSION 2]]*Tabla2[[#This Row],[PRECIO DEL DÓLAR]]</f>
        <v>32686.935497387996</v>
      </c>
      <c r="K44" s="8">
        <f>Tabla2[[#This Row],[VOO]]*0.01284</f>
        <v>6.6516336000000003</v>
      </c>
      <c r="L44" s="8">
        <f>Tabla2[[#This Row],[VALOR INVERSION 3]]-6.9</f>
        <v>-0.2483664000000001</v>
      </c>
      <c r="M44" s="8">
        <f>Tabla2[[#This Row],[VALOR INVERSION 3]]*Tabla2[[#This Row],[PRECIO DEL DÓLAR]]</f>
        <v>27485.281714895998</v>
      </c>
    </row>
    <row r="45" spans="2:13">
      <c r="B45" s="1">
        <v>45538</v>
      </c>
      <c r="C45" s="8">
        <f>VLOOKUP(B45,Tabla4[],2,FALSE)</f>
        <v>4160.3100000000004</v>
      </c>
      <c r="D45" s="24">
        <v>507.56</v>
      </c>
      <c r="E45" s="8">
        <f t="shared" si="5"/>
        <v>7.7047608000000007</v>
      </c>
      <c r="F45" s="8">
        <f>Tabla2[[#This Row],[VALOR INVERSION 1]]-7.7</f>
        <v>4.7608000000005646E-3</v>
      </c>
      <c r="G45" s="8">
        <f>Tabla2[[#This Row],[VALOR INVERSION 1]]*Tabla2[[#This Row],[PRECIO DEL DÓLAR]]</f>
        <v>32054.193403848007</v>
      </c>
      <c r="H45" s="8">
        <f>Tabla2[[#This Row],[VOO]]*0.01527</f>
        <v>7.7504412</v>
      </c>
      <c r="I45" s="8">
        <f>Tabla2[[#This Row],[VALOR INVERSION 2]]-7.9</f>
        <v>-0.14955880000000032</v>
      </c>
      <c r="J45" s="8">
        <f>Tabla2[[#This Row],[VALOR INVERSION 2]]*Tabla2[[#This Row],[PRECIO DEL DÓLAR]]</f>
        <v>32244.238028772004</v>
      </c>
      <c r="K45" s="8">
        <f>Tabla2[[#This Row],[VOO]]*0.01284</f>
        <v>6.5170704000000006</v>
      </c>
      <c r="L45" s="8">
        <f>Tabla2[[#This Row],[VALOR INVERSION 3]]-6.9</f>
        <v>-0.38292959999999976</v>
      </c>
      <c r="M45" s="8">
        <f>Tabla2[[#This Row],[VALOR INVERSION 3]]*Tabla2[[#This Row],[PRECIO DEL DÓLAR]]</f>
        <v>27113.033155824007</v>
      </c>
    </row>
    <row r="46" spans="2:13">
      <c r="B46" s="1">
        <v>45539</v>
      </c>
      <c r="C46" s="8">
        <f>VLOOKUP(B46,Tabla4[],2,FALSE)</f>
        <v>4185.8</v>
      </c>
      <c r="D46" s="24">
        <v>506.3</v>
      </c>
      <c r="E46" s="8">
        <f t="shared" si="5"/>
        <v>7.6856340000000003</v>
      </c>
      <c r="F46" s="8">
        <f>Tabla2[[#This Row],[VALOR INVERSION 1]]-7.7</f>
        <v>-1.4365999999999879E-2</v>
      </c>
      <c r="G46" s="8">
        <f>Tabla2[[#This Row],[VALOR INVERSION 1]]*Tabla2[[#This Row],[PRECIO DEL DÓLAR]]</f>
        <v>32170.526797200004</v>
      </c>
      <c r="H46" s="8">
        <f>Tabla2[[#This Row],[VOO]]*0.01527</f>
        <v>7.7312010000000004</v>
      </c>
      <c r="I46" s="8">
        <f>Tabla2[[#This Row],[VALOR INVERSION 2]]-7.9</f>
        <v>-0.16879899999999992</v>
      </c>
      <c r="J46" s="8">
        <f>Tabla2[[#This Row],[VALOR INVERSION 2]]*Tabla2[[#This Row],[PRECIO DEL DÓLAR]]</f>
        <v>32361.261145800003</v>
      </c>
      <c r="K46" s="8">
        <f>Tabla2[[#This Row],[VOO]]*0.01284</f>
        <v>6.5008920000000003</v>
      </c>
      <c r="L46" s="8">
        <f>Tabla2[[#This Row],[VALOR INVERSION 3]]-6.9</f>
        <v>-0.39910800000000002</v>
      </c>
      <c r="M46" s="8">
        <f>Tabla2[[#This Row],[VALOR INVERSION 3]]*Tabla2[[#This Row],[PRECIO DEL DÓLAR]]</f>
        <v>27211.433733600003</v>
      </c>
    </row>
    <row r="47" spans="2:13">
      <c r="B47" s="1">
        <v>45540</v>
      </c>
      <c r="C47" s="8">
        <f>VLOOKUP(B47,Tabla4[],2,FALSE)</f>
        <v>4185.82</v>
      </c>
      <c r="D47" s="24">
        <v>505.05</v>
      </c>
      <c r="E47" s="8">
        <f t="shared" si="5"/>
        <v>7.666659000000001</v>
      </c>
      <c r="F47" s="8">
        <f>Tabla2[[#This Row],[VALOR INVERSION 1]]-7.7</f>
        <v>-3.3340999999999177E-2</v>
      </c>
      <c r="G47" s="8">
        <f>Tabla2[[#This Row],[VALOR INVERSION 1]]*Tabla2[[#This Row],[PRECIO DEL DÓLAR]]</f>
        <v>32091.25457538</v>
      </c>
      <c r="H47" s="8">
        <f>Tabla2[[#This Row],[VOO]]*0.01527</f>
        <v>7.7121135000000001</v>
      </c>
      <c r="I47" s="8">
        <f>Tabla2[[#This Row],[VALOR INVERSION 2]]-7.9</f>
        <v>-0.18788650000000029</v>
      </c>
      <c r="J47" s="8">
        <f>Tabla2[[#This Row],[VALOR INVERSION 2]]*Tabla2[[#This Row],[PRECIO DEL DÓLAR]]</f>
        <v>32281.518930569997</v>
      </c>
      <c r="K47" s="8">
        <f>Tabla2[[#This Row],[VOO]]*0.01284</f>
        <v>6.4848420000000004</v>
      </c>
      <c r="L47" s="8">
        <f>Tabla2[[#This Row],[VALOR INVERSION 3]]-6.9</f>
        <v>-0.41515799999999992</v>
      </c>
      <c r="M47" s="8">
        <f>Tabla2[[#This Row],[VALOR INVERSION 3]]*Tabla2[[#This Row],[PRECIO DEL DÓLAR]]</f>
        <v>27144.381340439999</v>
      </c>
    </row>
    <row r="48" spans="2:13">
      <c r="B48" s="1">
        <v>45541</v>
      </c>
      <c r="C48" s="8">
        <f>VLOOKUP(B48,Tabla4[],2,FALSE)</f>
        <v>4172.5</v>
      </c>
      <c r="D48" s="24">
        <v>496.64</v>
      </c>
      <c r="E48" s="8">
        <f t="shared" si="5"/>
        <v>7.5389952000000005</v>
      </c>
      <c r="F48" s="8">
        <f>Tabla2[[#This Row],[VALOR INVERSION 1]]-7.7</f>
        <v>-0.16100479999999973</v>
      </c>
      <c r="G48" s="8">
        <f>Tabla2[[#This Row],[VALOR INVERSION 1]]*Tabla2[[#This Row],[PRECIO DEL DÓLAR]]</f>
        <v>31456.457472000002</v>
      </c>
      <c r="H48" s="8">
        <f>Tabla2[[#This Row],[VOO]]*0.01527</f>
        <v>7.5836927999999997</v>
      </c>
      <c r="I48" s="8">
        <f>Tabla2[[#This Row],[VALOR INVERSION 2]]-7.9</f>
        <v>-0.31630720000000068</v>
      </c>
      <c r="J48" s="8">
        <f>Tabla2[[#This Row],[VALOR INVERSION 2]]*Tabla2[[#This Row],[PRECIO DEL DÓLAR]]</f>
        <v>31642.958208</v>
      </c>
      <c r="K48" s="8">
        <f>Tabla2[[#This Row],[VOO]]*0.01284</f>
        <v>6.3768576000000001</v>
      </c>
      <c r="L48" s="8">
        <f>Tabla2[[#This Row],[VALOR INVERSION 3]]-6.9</f>
        <v>-0.52314240000000023</v>
      </c>
      <c r="M48" s="8">
        <f>Tabla2[[#This Row],[VALOR INVERSION 3]]*Tabla2[[#This Row],[PRECIO DEL DÓLAR]]</f>
        <v>26607.438335999999</v>
      </c>
    </row>
    <row r="49" spans="2:13">
      <c r="B49" s="1">
        <v>45544</v>
      </c>
      <c r="C49" s="8">
        <f>VLOOKUP(B49,Tabla4[],2,FALSE)</f>
        <v>4149.79</v>
      </c>
      <c r="D49" s="24">
        <v>502.23</v>
      </c>
      <c r="E49" s="8">
        <f t="shared" ref="E49:E54" si="6">0.01518 * D49</f>
        <v>7.6238514000000004</v>
      </c>
      <c r="F49" s="8">
        <f>Tabla2[[#This Row],[VALOR INVERSION 1]]-7.7</f>
        <v>-7.6148599999999789E-2</v>
      </c>
      <c r="G49" s="8">
        <f>Tabla2[[#This Row],[VALOR INVERSION 1]]*Tabla2[[#This Row],[PRECIO DEL DÓLAR]]</f>
        <v>31637.382301206002</v>
      </c>
      <c r="H49" s="8">
        <f>Tabla2[[#This Row],[VOO]]*0.01527</f>
        <v>7.6690521000000009</v>
      </c>
      <c r="I49" s="8">
        <f>Tabla2[[#This Row],[VALOR INVERSION 2]]-7.9</f>
        <v>-0.23094789999999943</v>
      </c>
      <c r="J49" s="8">
        <f>Tabla2[[#This Row],[VALOR INVERSION 2]]*Tabla2[[#This Row],[PRECIO DEL DÓLAR]]</f>
        <v>31824.955714059004</v>
      </c>
      <c r="K49" s="8">
        <f>Tabla2[[#This Row],[VOO]]*0.01284</f>
        <v>6.4486332000000006</v>
      </c>
      <c r="L49" s="8">
        <f>Tabla2[[#This Row],[VALOR INVERSION 3]]-6.9</f>
        <v>-0.45136679999999973</v>
      </c>
      <c r="M49" s="8">
        <f>Tabla2[[#This Row],[VALOR INVERSION 3]]*Tabla2[[#This Row],[PRECIO DEL DÓLAR]]</f>
        <v>26760.473567028002</v>
      </c>
    </row>
    <row r="50" spans="2:13">
      <c r="B50" s="1">
        <v>45545</v>
      </c>
      <c r="C50" s="8">
        <f>VLOOKUP(B50,Tabla4[],2,FALSE)</f>
        <v>4243.8</v>
      </c>
      <c r="D50" s="24">
        <v>504.3</v>
      </c>
      <c r="E50" s="8">
        <f t="shared" si="6"/>
        <v>7.6552740000000004</v>
      </c>
      <c r="F50" s="8">
        <f>Tabla2[[#This Row],[VALOR INVERSION 1]]-7.7</f>
        <v>-4.4725999999999821E-2</v>
      </c>
      <c r="G50" s="8">
        <f>Tabla2[[#This Row],[VALOR INVERSION 1]]*Tabla2[[#This Row],[PRECIO DEL DÓLAR]]</f>
        <v>32487.451801200004</v>
      </c>
      <c r="H50" s="8">
        <f>Tabla2[[#This Row],[VOO]]*0.01527</f>
        <v>7.7006610000000002</v>
      </c>
      <c r="I50" s="8">
        <f>Tabla2[[#This Row],[VALOR INVERSION 2]]-7.9</f>
        <v>-0.19933900000000015</v>
      </c>
      <c r="J50" s="8">
        <f>Tabla2[[#This Row],[VALOR INVERSION 2]]*Tabla2[[#This Row],[PRECIO DEL DÓLAR]]</f>
        <v>32680.065151800001</v>
      </c>
      <c r="K50" s="8">
        <f>Tabla2[[#This Row],[VOO]]*0.01284</f>
        <v>6.4752120000000009</v>
      </c>
      <c r="L50" s="8">
        <f>Tabla2[[#This Row],[VALOR INVERSION 3]]-6.9</f>
        <v>-0.4247879999999995</v>
      </c>
      <c r="M50" s="8">
        <f>Tabla2[[#This Row],[VALOR INVERSION 3]]*Tabla2[[#This Row],[PRECIO DEL DÓLAR]]</f>
        <v>27479.504685600004</v>
      </c>
    </row>
    <row r="51" spans="2:13">
      <c r="B51" s="1">
        <v>45546</v>
      </c>
      <c r="C51" s="8">
        <f>VLOOKUP(B51,Tabla4[],2,FALSE)</f>
        <v>4279.09</v>
      </c>
      <c r="D51" s="24">
        <v>509.46</v>
      </c>
      <c r="E51" s="8">
        <f t="shared" si="6"/>
        <v>7.7336027999999999</v>
      </c>
      <c r="F51" s="8">
        <f>Tabla2[[#This Row],[VALOR INVERSION 1]]-7.7</f>
        <v>3.3602799999999711E-2</v>
      </c>
      <c r="G51" s="8">
        <f>Tabla2[[#This Row],[VALOR INVERSION 1]]*Tabla2[[#This Row],[PRECIO DEL DÓLAR]]</f>
        <v>33092.782405452002</v>
      </c>
      <c r="H51" s="8">
        <f>Tabla2[[#This Row],[VOO]]*0.01527</f>
        <v>7.7794542</v>
      </c>
      <c r="I51" s="8">
        <f>Tabla2[[#This Row],[VALOR INVERSION 2]]-7.9</f>
        <v>-0.12054580000000037</v>
      </c>
      <c r="J51" s="8">
        <f>Tabla2[[#This Row],[VALOR INVERSION 2]]*Tabla2[[#This Row],[PRECIO DEL DÓLAR]]</f>
        <v>33288.984672678002</v>
      </c>
      <c r="K51" s="8">
        <f>Tabla2[[#This Row],[VOO]]*0.01284</f>
        <v>6.5414664</v>
      </c>
      <c r="L51" s="8">
        <f>Tabla2[[#This Row],[VALOR INVERSION 3]]-6.9</f>
        <v>-0.35853360000000034</v>
      </c>
      <c r="M51" s="8">
        <f>Tabla2[[#This Row],[VALOR INVERSION 3]]*Tabla2[[#This Row],[PRECIO DEL DÓLAR]]</f>
        <v>27991.523457576001</v>
      </c>
    </row>
    <row r="52" spans="2:13">
      <c r="B52" s="1">
        <v>45547</v>
      </c>
      <c r="C52" s="8">
        <f>VLOOKUP(B52,Tabla4[],2,FALSE)</f>
        <v>4270.62</v>
      </c>
      <c r="D52" s="24">
        <v>513.84</v>
      </c>
      <c r="E52" s="8">
        <f t="shared" si="6"/>
        <v>7.8000912000000007</v>
      </c>
      <c r="F52" s="8">
        <f>Tabla2[[#This Row],[VALOR INVERSION 1]]-7.7</f>
        <v>0.10009120000000049</v>
      </c>
      <c r="G52" s="8">
        <f>Tabla2[[#This Row],[VALOR INVERSION 1]]*Tabla2[[#This Row],[PRECIO DEL DÓLAR]]</f>
        <v>33311.225480544002</v>
      </c>
      <c r="H52" s="8">
        <f>Tabla2[[#This Row],[VOO]]*0.01527</f>
        <v>7.8463368000000004</v>
      </c>
      <c r="I52" s="8">
        <f>Tabla2[[#This Row],[VALOR INVERSION 2]]-7.9</f>
        <v>-5.3663199999999911E-2</v>
      </c>
      <c r="J52" s="8">
        <f>Tabla2[[#This Row],[VALOR INVERSION 2]]*Tabla2[[#This Row],[PRECIO DEL DÓLAR]]</f>
        <v>33508.722864816002</v>
      </c>
      <c r="K52" s="8">
        <f>Tabla2[[#This Row],[VOO]]*0.01284</f>
        <v>6.5977056000000012</v>
      </c>
      <c r="L52" s="8">
        <f>Tabla2[[#This Row],[VALOR INVERSION 3]]-6.9</f>
        <v>-0.30229439999999919</v>
      </c>
      <c r="M52" s="8">
        <f>Tabla2[[#This Row],[VALOR INVERSION 3]]*Tabla2[[#This Row],[PRECIO DEL DÓLAR]]</f>
        <v>28176.293489472006</v>
      </c>
    </row>
    <row r="53" spans="2:13">
      <c r="B53" s="1">
        <v>45548</v>
      </c>
      <c r="C53" s="8">
        <f>VLOOKUP(B53,Tabla4[],2,FALSE)</f>
        <v>4197.38</v>
      </c>
      <c r="D53" s="24">
        <v>517.34</v>
      </c>
      <c r="E53" s="8">
        <f t="shared" si="6"/>
        <v>7.853221200000001</v>
      </c>
      <c r="F53" s="8">
        <f>Tabla2[[#This Row],[VALOR INVERSION 1]]-7.7</f>
        <v>0.15322120000000083</v>
      </c>
      <c r="G53" s="8">
        <f>Tabla2[[#This Row],[VALOR INVERSION 1]]*Tabla2[[#This Row],[PRECIO DEL DÓLAR]]</f>
        <v>32962.953600456007</v>
      </c>
      <c r="H53" s="39">
        <f>Tabla2[[#This Row],[VOO]]*0.01527</f>
        <v>7.8997818000000004</v>
      </c>
      <c r="I53" s="8">
        <f>Tabla2[[#This Row],[VALOR INVERSION 2]]-7.9</f>
        <v>-2.1819999999994621E-4</v>
      </c>
      <c r="J53" s="39">
        <f>Tabla2[[#This Row],[VALOR INVERSION 2]]*Tabla2[[#This Row],[PRECIO DEL DÓLAR]]</f>
        <v>33158.386131684005</v>
      </c>
      <c r="K53" s="39">
        <f>Tabla2[[#This Row],[VOO]]*0.01284</f>
        <v>6.6426456000000007</v>
      </c>
      <c r="L53" s="39">
        <f>Tabla2[[#This Row],[VALOR INVERSION 3]]-6.9</f>
        <v>-0.25735439999999965</v>
      </c>
      <c r="M53" s="39">
        <f>Tabla2[[#This Row],[VALOR INVERSION 3]]*Tabla2[[#This Row],[PRECIO DEL DÓLAR]]</f>
        <v>27881.707788528005</v>
      </c>
    </row>
    <row r="54" spans="2:13">
      <c r="B54" s="1">
        <v>45551</v>
      </c>
      <c r="C54" s="8">
        <f>VLOOKUP(B54,Tabla4[],2,FALSE)</f>
        <v>4172.13</v>
      </c>
      <c r="D54" s="24">
        <v>517.35</v>
      </c>
      <c r="E54" s="8">
        <f t="shared" si="6"/>
        <v>7.8533730000000004</v>
      </c>
      <c r="F54" s="8">
        <f>Tabla2[[#This Row],[VALOR INVERSION 1]]-7.7</f>
        <v>0.1533730000000002</v>
      </c>
      <c r="G54" s="8">
        <f>Tabla2[[#This Row],[VALOR INVERSION 1]]*Tabla2[[#This Row],[PRECIO DEL DÓLAR]]</f>
        <v>32765.293094490004</v>
      </c>
      <c r="H54" s="8">
        <f>Tabla2[[#This Row],[VOO]]*0.01527</f>
        <v>7.8999345000000005</v>
      </c>
      <c r="I54" s="8">
        <f>Tabla2[[#This Row],[VALOR INVERSION 2]]-7.9</f>
        <v>-6.5499999999829583E-5</v>
      </c>
      <c r="J54" s="8">
        <f>Tabla2[[#This Row],[VALOR INVERSION 2]]*Tabla2[[#This Row],[PRECIO DEL DÓLAR]]</f>
        <v>32959.553725485006</v>
      </c>
      <c r="K54" s="8">
        <f>Tabla2[[#This Row],[VOO]]*0.01284</f>
        <v>6.6427740000000011</v>
      </c>
      <c r="L54" s="8">
        <f>Tabla2[[#This Row],[VALOR INVERSION 3]]-6.9</f>
        <v>-0.25722599999999929</v>
      </c>
      <c r="M54" s="8">
        <f>Tabla2[[#This Row],[VALOR INVERSION 3]]*Tabla2[[#This Row],[PRECIO DEL DÓLAR]]</f>
        <v>27714.516688620006</v>
      </c>
    </row>
    <row r="55" spans="2:13">
      <c r="B55" s="1">
        <v>45552</v>
      </c>
      <c r="C55" s="8">
        <f>VLOOKUP(B55,Tabla4[],2,FALSE)</f>
        <v>4220.58</v>
      </c>
      <c r="D55" s="24">
        <v>517.59</v>
      </c>
      <c r="E55" s="8">
        <f t="shared" ref="E55:E60" si="7">0.01518 * D55</f>
        <v>7.8570162000000012</v>
      </c>
      <c r="F55" s="8">
        <f>Tabla2[[#This Row],[VALOR INVERSION 1]]-7.7</f>
        <v>0.15701620000000105</v>
      </c>
      <c r="G55" s="8">
        <f>Tabla2[[#This Row],[VALOR INVERSION 1]]*Tabla2[[#This Row],[PRECIO DEL DÓLAR]]</f>
        <v>33161.165433396003</v>
      </c>
      <c r="H55" s="8">
        <f>Tabla2[[#This Row],[VOO]]*0.01527</f>
        <v>7.9035993000000007</v>
      </c>
      <c r="I55" s="8">
        <f>Tabla2[[#This Row],[VALOR INVERSION 2]]-7.9</f>
        <v>3.599300000000305E-3</v>
      </c>
      <c r="J55" s="8">
        <f>Tabla2[[#This Row],[VALOR INVERSION 2]]*Tabla2[[#This Row],[PRECIO DEL DÓLAR]]</f>
        <v>33357.773133594004</v>
      </c>
      <c r="K55" s="8">
        <f>Tabla2[[#This Row],[VOO]]*0.01284</f>
        <v>6.6458556000000009</v>
      </c>
      <c r="L55" s="8">
        <f>Tabla2[[#This Row],[VALOR INVERSION 3]]-6.9</f>
        <v>-0.25414439999999949</v>
      </c>
      <c r="M55" s="8">
        <f>Tabla2[[#This Row],[VALOR INVERSION 3]]*Tabla2[[#This Row],[PRECIO DEL DÓLAR]]</f>
        <v>28049.365228248003</v>
      </c>
    </row>
    <row r="56" spans="2:13">
      <c r="B56" s="1">
        <v>45553</v>
      </c>
      <c r="C56" s="8">
        <f>VLOOKUP(B56,Tabla4[],2,FALSE)</f>
        <v>4225.01</v>
      </c>
      <c r="D56" s="24">
        <v>515.91</v>
      </c>
      <c r="E56" s="8">
        <f t="shared" si="7"/>
        <v>7.8315137999999997</v>
      </c>
      <c r="F56" s="8">
        <f>Tabla2[[#This Row],[VALOR INVERSION 1]]-7.7</f>
        <v>0.13151379999999957</v>
      </c>
      <c r="G56" s="8">
        <f>Tabla2[[#This Row],[VALOR INVERSION 1]]*Tabla2[[#This Row],[PRECIO DEL DÓLAR]]</f>
        <v>33088.224120138002</v>
      </c>
      <c r="H56" s="8">
        <f>Tabla2[[#This Row],[VOO]]*0.01527</f>
        <v>7.8779456999999997</v>
      </c>
      <c r="I56" s="8">
        <f>Tabla2[[#This Row],[VALOR INVERSION 2]]-7.9</f>
        <v>-2.2054300000000637E-2</v>
      </c>
      <c r="J56" s="8">
        <f>Tabla2[[#This Row],[VALOR INVERSION 2]]*Tabla2[[#This Row],[PRECIO DEL DÓLAR]]</f>
        <v>33284.399361957003</v>
      </c>
      <c r="K56" s="8">
        <f>Tabla2[[#This Row],[VOO]]*0.01284</f>
        <v>6.6242843999999996</v>
      </c>
      <c r="L56" s="8">
        <f>Tabla2[[#This Row],[VALOR INVERSION 3]]-6.9</f>
        <v>-0.27571560000000073</v>
      </c>
      <c r="M56" s="8">
        <f>Tabla2[[#This Row],[VALOR INVERSION 3]]*Tabla2[[#This Row],[PRECIO DEL DÓLAR]]</f>
        <v>27987.667832843999</v>
      </c>
    </row>
    <row r="57" spans="2:13">
      <c r="B57" s="1">
        <v>45554</v>
      </c>
      <c r="C57" s="8">
        <f>VLOOKUP(B57,Tabla4[],2,FALSE)</f>
        <v>4176.8500000000004</v>
      </c>
      <c r="D57" s="24">
        <v>524.91</v>
      </c>
      <c r="E57" s="8">
        <f t="shared" si="7"/>
        <v>7.9681337999999995</v>
      </c>
      <c r="F57" s="8">
        <f>Tabla2[[#This Row],[VALOR INVERSION 1]]-7.7</f>
        <v>0.26813379999999931</v>
      </c>
      <c r="G57" s="8">
        <f>Tabla2[[#This Row],[VALOR INVERSION 1]]*Tabla2[[#This Row],[PRECIO DEL DÓLAR]]</f>
        <v>33281.699662530002</v>
      </c>
      <c r="H57" s="8">
        <f>Tabla2[[#This Row],[VOO]]*0.01527</f>
        <v>8.0153756999999999</v>
      </c>
      <c r="I57" s="8">
        <f>Tabla2[[#This Row],[VALOR INVERSION 2]]-7.9</f>
        <v>0.11537569999999953</v>
      </c>
      <c r="J57" s="8">
        <f>Tabla2[[#This Row],[VALOR INVERSION 2]]*Tabla2[[#This Row],[PRECIO DEL DÓLAR]]</f>
        <v>33479.021992545</v>
      </c>
      <c r="K57" s="8">
        <f>Tabla2[[#This Row],[VOO]]*0.01284</f>
        <v>6.7398444</v>
      </c>
      <c r="L57" s="8">
        <f>Tabla2[[#This Row],[VALOR INVERSION 3]]-6.9</f>
        <v>-0.1601556000000004</v>
      </c>
      <c r="M57" s="8">
        <f>Tabla2[[#This Row],[VALOR INVERSION 3]]*Tabla2[[#This Row],[PRECIO DEL DÓLAR]]</f>
        <v>28151.319082140002</v>
      </c>
    </row>
    <row r="58" spans="2:13">
      <c r="B58" s="1">
        <v>45558</v>
      </c>
      <c r="C58" s="8">
        <f>VLOOKUP(B58,Tabla4[],2,FALSE)</f>
        <v>4153.9799999999996</v>
      </c>
      <c r="D58" s="24">
        <v>525.16999999999996</v>
      </c>
      <c r="E58" s="8">
        <f t="shared" si="7"/>
        <v>7.9720806</v>
      </c>
      <c r="F58" s="8">
        <f>Tabla2[[#This Row],[VALOR INVERSION 1]]-7.7</f>
        <v>0.27208059999999978</v>
      </c>
      <c r="G58" s="8">
        <f>Tabla2[[#This Row],[VALOR INVERSION 1]]*Tabla2[[#This Row],[PRECIO DEL DÓLAR]]</f>
        <v>33115.863370788</v>
      </c>
      <c r="H58" s="8">
        <f>Tabla2[[#This Row],[VOO]]*0.01527</f>
        <v>8.0193458999999994</v>
      </c>
      <c r="I58" s="8">
        <f>Tabla2[[#This Row],[VALOR INVERSION 2]]-7.9</f>
        <v>0.11934589999999901</v>
      </c>
      <c r="J58" s="8">
        <f>Tabla2[[#This Row],[VALOR INVERSION 2]]*Tabla2[[#This Row],[PRECIO DEL DÓLAR]]</f>
        <v>33312.20248168199</v>
      </c>
      <c r="K58" s="8">
        <f>Tabla2[[#This Row],[VOO]]*0.01284</f>
        <v>6.7431827999999996</v>
      </c>
      <c r="L58" s="8">
        <f>Tabla2[[#This Row],[VALOR INVERSION 3]]-6.9</f>
        <v>-0.15681720000000077</v>
      </c>
      <c r="M58" s="8">
        <f>Tabla2[[#This Row],[VALOR INVERSION 3]]*Tabla2[[#This Row],[PRECIO DEL DÓLAR]]</f>
        <v>28011.046487543994</v>
      </c>
    </row>
    <row r="59" spans="2:13">
      <c r="B59" s="1">
        <v>45559</v>
      </c>
      <c r="C59" s="8">
        <f>VLOOKUP(B59,Tabla4[],2,FALSE)</f>
        <v>4161.75</v>
      </c>
      <c r="D59" s="24">
        <v>526.67999999999995</v>
      </c>
      <c r="E59" s="8">
        <f t="shared" si="7"/>
        <v>7.9950023999999997</v>
      </c>
      <c r="F59" s="8">
        <f>Tabla2[[#This Row],[VALOR INVERSION 1]]-7.7</f>
        <v>0.29500239999999955</v>
      </c>
      <c r="G59" s="8">
        <f>Tabla2[[#This Row],[VALOR INVERSION 1]]*Tabla2[[#This Row],[PRECIO DEL DÓLAR]]</f>
        <v>33273.201238199996</v>
      </c>
      <c r="H59" s="8">
        <f>Tabla2[[#This Row],[VOO]]*0.01527</f>
        <v>8.0424036000000001</v>
      </c>
      <c r="I59" s="8">
        <f>Tabla2[[#This Row],[VALOR INVERSION 2]]-7.9</f>
        <v>0.14240359999999974</v>
      </c>
      <c r="J59" s="8">
        <f>Tabla2[[#This Row],[VALOR INVERSION 2]]*Tabla2[[#This Row],[PRECIO DEL DÓLAR]]</f>
        <v>33470.473182300004</v>
      </c>
      <c r="K59" s="8">
        <f>Tabla2[[#This Row],[VOO]]*0.01284</f>
        <v>6.7625712</v>
      </c>
      <c r="L59" s="8">
        <f>Tabla2[[#This Row],[VALOR INVERSION 3]]-6.9</f>
        <v>-0.13742880000000035</v>
      </c>
      <c r="M59" s="8">
        <f>Tabla2[[#This Row],[VALOR INVERSION 3]]*Tabla2[[#This Row],[PRECIO DEL DÓLAR]]</f>
        <v>28144.130691599999</v>
      </c>
    </row>
    <row r="60" spans="2:13">
      <c r="B60" s="1">
        <v>45560</v>
      </c>
      <c r="C60" s="8">
        <f>VLOOKUP(B60,Tabla4[],2,FALSE)</f>
        <v>4148.75</v>
      </c>
      <c r="D60" s="24">
        <v>525.61</v>
      </c>
      <c r="E60" s="8">
        <f t="shared" si="7"/>
        <v>7.9787598000000006</v>
      </c>
      <c r="F60" s="8">
        <f>Tabla2[[#This Row],[VALOR INVERSION 1]]-7.7</f>
        <v>0.27875980000000045</v>
      </c>
      <c r="G60" s="8">
        <f>Tabla2[[#This Row],[VALOR INVERSION 1]]*Tabla2[[#This Row],[PRECIO DEL DÓLAR]]</f>
        <v>33101.879720249999</v>
      </c>
      <c r="H60" s="8">
        <f>Tabla2[[#This Row],[VOO]]*0.01527</f>
        <v>8.0260647000000009</v>
      </c>
      <c r="I60" s="8">
        <f>Tabla2[[#This Row],[VALOR INVERSION 2]]-7.9</f>
        <v>0.12606470000000058</v>
      </c>
      <c r="J60" s="8">
        <f>Tabla2[[#This Row],[VALOR INVERSION 2]]*Tabla2[[#This Row],[PRECIO DEL DÓLAR]]</f>
        <v>33298.135924125003</v>
      </c>
      <c r="K60" s="8">
        <f>Tabla2[[#This Row],[VOO]]*0.01284</f>
        <v>6.7488324000000004</v>
      </c>
      <c r="L60" s="8">
        <f>Tabla2[[#This Row],[VALOR INVERSION 3]]-6.9</f>
        <v>-0.15116759999999996</v>
      </c>
      <c r="M60" s="8">
        <f>Tabla2[[#This Row],[VALOR INVERSION 3]]*Tabla2[[#This Row],[PRECIO DEL DÓLAR]]</f>
        <v>27999.218419500001</v>
      </c>
    </row>
    <row r="61" spans="2:13">
      <c r="B61" s="1">
        <v>45561</v>
      </c>
      <c r="C61" s="8">
        <f>VLOOKUP(B61,Tabla4[],2,FALSE)</f>
        <v>4200.75</v>
      </c>
      <c r="D61" s="24">
        <v>527.70000000000005</v>
      </c>
      <c r="E61" s="8">
        <f t="shared" ref="E61:E66" si="8">0.01518 * D61</f>
        <v>8.0104860000000002</v>
      </c>
      <c r="F61" s="8">
        <f>Tabla2[[#This Row],[VALOR INVERSION 1]]-7.7</f>
        <v>0.31048600000000004</v>
      </c>
      <c r="G61" s="8">
        <f>Tabla2[[#This Row],[VALOR INVERSION 1]]*Tabla2[[#This Row],[PRECIO DEL DÓLAR]]</f>
        <v>33650.049064500003</v>
      </c>
      <c r="H61" s="8">
        <f>Tabla2[[#This Row],[VOO]]*0.01527</f>
        <v>8.0579790000000013</v>
      </c>
      <c r="I61" s="8">
        <f>Tabla2[[#This Row],[VALOR INVERSION 2]]-7.9</f>
        <v>0.15797900000000098</v>
      </c>
      <c r="J61" s="8">
        <f>Tabla2[[#This Row],[VALOR INVERSION 2]]*Tabla2[[#This Row],[PRECIO DEL DÓLAR]]</f>
        <v>33849.555284250004</v>
      </c>
      <c r="K61" s="8">
        <f>Tabla2[[#This Row],[VOO]]*0.01284</f>
        <v>6.7756680000000014</v>
      </c>
      <c r="L61" s="8">
        <f>Tabla2[[#This Row],[VALOR INVERSION 3]]-6.9</f>
        <v>-0.124331999999999</v>
      </c>
      <c r="M61" s="8">
        <f>Tabla2[[#This Row],[VALOR INVERSION 3]]*Tabla2[[#This Row],[PRECIO DEL DÓLAR]]</f>
        <v>28462.887351000005</v>
      </c>
    </row>
    <row r="62" spans="2:13">
      <c r="B62" s="1">
        <v>45562</v>
      </c>
      <c r="C62" s="8">
        <f>VLOOKUP(B62,Tabla4[],2,FALSE)</f>
        <v>4157.54</v>
      </c>
      <c r="D62" s="24">
        <v>525.38</v>
      </c>
      <c r="E62" s="8">
        <f t="shared" si="8"/>
        <v>7.9752684</v>
      </c>
      <c r="F62" s="8">
        <f>Tabla2[[#This Row],[VALOR INVERSION 1]]-7.7</f>
        <v>0.27526839999999986</v>
      </c>
      <c r="G62" s="8">
        <f>Tabla2[[#This Row],[VALOR INVERSION 1]]*Tabla2[[#This Row],[PRECIO DEL DÓLAR]]</f>
        <v>33157.497383736001</v>
      </c>
      <c r="H62" s="8">
        <f>Tabla2[[#This Row],[VOO]]*0.01527</f>
        <v>8.0225526000000009</v>
      </c>
      <c r="I62" s="8">
        <f>Tabla2[[#This Row],[VALOR INVERSION 2]]-7.9</f>
        <v>0.12255260000000057</v>
      </c>
      <c r="J62" s="8">
        <f>Tabla2[[#This Row],[VALOR INVERSION 2]]*Tabla2[[#This Row],[PRECIO DEL DÓLAR]]</f>
        <v>33354.083336604002</v>
      </c>
      <c r="K62" s="8">
        <f>Tabla2[[#This Row],[VOO]]*0.01284</f>
        <v>6.7458792000000001</v>
      </c>
      <c r="L62" s="8">
        <f>Tabla2[[#This Row],[VALOR INVERSION 3]]-6.9</f>
        <v>-0.15412080000000028</v>
      </c>
      <c r="M62" s="8">
        <f>Tabla2[[#This Row],[VALOR INVERSION 3]]*Tabla2[[#This Row],[PRECIO DEL DÓLAR]]</f>
        <v>28046.262609167999</v>
      </c>
    </row>
    <row r="63" spans="2:13">
      <c r="B63" s="1">
        <v>45565</v>
      </c>
      <c r="C63" s="8">
        <f>VLOOKUP(B63,Tabla4[],2,FALSE)</f>
        <v>4157.66</v>
      </c>
      <c r="D63" s="24">
        <v>527.66999999999996</v>
      </c>
      <c r="E63" s="8">
        <f t="shared" si="8"/>
        <v>8.0100306000000003</v>
      </c>
      <c r="F63" s="8">
        <f>Tabla2[[#This Row],[VALOR INVERSION 1]]-7.7</f>
        <v>0.31003060000000016</v>
      </c>
      <c r="G63" s="8">
        <f>Tabla2[[#This Row],[VALOR INVERSION 1]]*Tabla2[[#This Row],[PRECIO DEL DÓLAR]]</f>
        <v>33302.983824395997</v>
      </c>
      <c r="H63" s="8">
        <f>Tabla2[[#This Row],[VOO]]*0.01527</f>
        <v>8.0575209000000001</v>
      </c>
      <c r="I63" s="8">
        <f>Tabla2[[#This Row],[VALOR INVERSION 2]]-7.9</f>
        <v>0.15752089999999974</v>
      </c>
      <c r="J63" s="8">
        <f>Tabla2[[#This Row],[VALOR INVERSION 2]]*Tabla2[[#This Row],[PRECIO DEL DÓLAR]]</f>
        <v>33500.432345093999</v>
      </c>
      <c r="K63" s="8">
        <f>Tabla2[[#This Row],[VOO]]*0.01284</f>
        <v>6.7752828000000003</v>
      </c>
      <c r="L63" s="8">
        <f>Tabla2[[#This Row],[VALOR INVERSION 3]]-6.9</f>
        <v>-0.12471720000000008</v>
      </c>
      <c r="M63" s="8">
        <f>Tabla2[[#This Row],[VALOR INVERSION 3]]*Tabla2[[#This Row],[PRECIO DEL DÓLAR]]</f>
        <v>28169.322286248</v>
      </c>
    </row>
    <row r="64" spans="2:13">
      <c r="B64" s="1">
        <v>45566</v>
      </c>
      <c r="C64" s="8">
        <f>VLOOKUP(B64,Tabla4[],2,FALSE)</f>
        <v>4199.12</v>
      </c>
      <c r="D64" s="24">
        <v>522.74</v>
      </c>
      <c r="E64" s="8">
        <f t="shared" si="8"/>
        <v>7.9351932000000005</v>
      </c>
      <c r="F64" s="8">
        <f>Tabla2[[#This Row],[VALOR INVERSION 1]]-7.7</f>
        <v>0.23519320000000032</v>
      </c>
      <c r="G64" s="8">
        <f>Tabla2[[#This Row],[VALOR INVERSION 1]]*Tabla2[[#This Row],[PRECIO DEL DÓLAR]]</f>
        <v>33320.828469984001</v>
      </c>
      <c r="H64" s="8">
        <f>Tabla2[[#This Row],[VOO]]*0.01527</f>
        <v>7.9822398000000003</v>
      </c>
      <c r="I64" s="8">
        <f>Tabla2[[#This Row],[VALOR INVERSION 2]]-7.9</f>
        <v>8.2239799999999974E-2</v>
      </c>
      <c r="J64" s="8">
        <f>Tabla2[[#This Row],[VALOR INVERSION 2]]*Tabla2[[#This Row],[PRECIO DEL DÓLAR]]</f>
        <v>33518.382788976</v>
      </c>
      <c r="K64" s="8">
        <f>Tabla2[[#This Row],[VOO]]*0.01284</f>
        <v>6.7119816000000005</v>
      </c>
      <c r="L64" s="8">
        <f>Tabla2[[#This Row],[VALOR INVERSION 3]]-6.9</f>
        <v>-0.18801839999999981</v>
      </c>
      <c r="M64" s="8">
        <f>Tabla2[[#This Row],[VALOR INVERSION 3]]*Tabla2[[#This Row],[PRECIO DEL DÓLAR]]</f>
        <v>28184.416176192</v>
      </c>
    </row>
    <row r="65" spans="2:13">
      <c r="B65" s="1">
        <v>45567</v>
      </c>
      <c r="C65" s="8">
        <f>VLOOKUP(B65,Tabla4[],2,FALSE)</f>
        <v>4221.2700000000004</v>
      </c>
      <c r="D65" s="24">
        <v>521.97</v>
      </c>
      <c r="E65" s="8">
        <f t="shared" si="8"/>
        <v>7.9235046000000011</v>
      </c>
      <c r="F65" s="8">
        <f>Tabla2[[#This Row],[VALOR INVERSION 1]]-7.7</f>
        <v>0.22350460000000094</v>
      </c>
      <c r="G65" s="8">
        <f>Tabla2[[#This Row],[VALOR INVERSION 1]]*Tabla2[[#This Row],[PRECIO DEL DÓLAR]]</f>
        <v>33447.252262842005</v>
      </c>
      <c r="H65" s="8">
        <f>Tabla2[[#This Row],[VOO]]*0.01527</f>
        <v>7.9704819000000011</v>
      </c>
      <c r="I65" s="8">
        <f>Tabla2[[#This Row],[VALOR INVERSION 2]]-7.9</f>
        <v>7.0481900000000763E-2</v>
      </c>
      <c r="J65" s="8">
        <f>Tabla2[[#This Row],[VALOR INVERSION 2]]*Tabla2[[#This Row],[PRECIO DEL DÓLAR]]</f>
        <v>33645.556130013007</v>
      </c>
      <c r="K65" s="8">
        <f>Tabla2[[#This Row],[VOO]]*0.01284</f>
        <v>6.7020948000000011</v>
      </c>
      <c r="L65" s="8">
        <f>Tabla2[[#This Row],[VALOR INVERSION 3]]-6.9</f>
        <v>-0.19790519999999923</v>
      </c>
      <c r="M65" s="8">
        <f>Tabla2[[#This Row],[VALOR INVERSION 3]]*Tabla2[[#This Row],[PRECIO DEL DÓLAR]]</f>
        <v>28291.351716396006</v>
      </c>
    </row>
    <row r="66" spans="2:13">
      <c r="B66" s="1">
        <v>45568</v>
      </c>
      <c r="C66" s="8">
        <f>VLOOKUP(B66,Tabla4[],2,FALSE)</f>
        <v>4194.26</v>
      </c>
      <c r="D66" s="24">
        <v>521.84</v>
      </c>
      <c r="E66" s="8">
        <f t="shared" si="8"/>
        <v>7.9215312000000013</v>
      </c>
      <c r="F66" s="8">
        <f>Tabla2[[#This Row],[VALOR INVERSION 1]]-7.7</f>
        <v>0.22153120000000115</v>
      </c>
      <c r="G66" s="8">
        <f>Tabla2[[#This Row],[VALOR INVERSION 1]]*Tabla2[[#This Row],[PRECIO DEL DÓLAR]]</f>
        <v>33224.961450912007</v>
      </c>
      <c r="H66" s="8">
        <f>Tabla2[[#This Row],[VOO]]*0.01527</f>
        <v>7.9684968000000005</v>
      </c>
      <c r="I66" s="8">
        <f>Tabla2[[#This Row],[VALOR INVERSION 2]]-7.9</f>
        <v>6.8496800000000135E-2</v>
      </c>
      <c r="J66" s="8">
        <f>Tabla2[[#This Row],[VALOR INVERSION 2]]*Tabla2[[#This Row],[PRECIO DEL DÓLAR]]</f>
        <v>33421.947388368004</v>
      </c>
      <c r="K66" s="8">
        <f>Tabla2[[#This Row],[VOO]]*0.01284</f>
        <v>6.7004256000000009</v>
      </c>
      <c r="L66" s="8">
        <f>Tabla2[[#This Row],[VALOR INVERSION 3]]-6.9</f>
        <v>-0.19957439999999949</v>
      </c>
      <c r="M66" s="8">
        <f>Tabla2[[#This Row],[VALOR INVERSION 3]]*Tabla2[[#This Row],[PRECIO DEL DÓLAR]]</f>
        <v>28103.327077056005</v>
      </c>
    </row>
    <row r="67" spans="2:13">
      <c r="B67" s="1">
        <v>45569</v>
      </c>
      <c r="C67" s="8">
        <f>VLOOKUP(B67,Tabla4[],2,FALSE)</f>
        <v>4189.17</v>
      </c>
      <c r="D67" s="24">
        <v>526.65</v>
      </c>
      <c r="E67" s="8">
        <f t="shared" ref="E67:E72" si="9">0.01518 * D67</f>
        <v>7.9945469999999998</v>
      </c>
      <c r="F67" s="8">
        <f>Tabla2[[#This Row],[VALOR INVERSION 1]]-7.7</f>
        <v>0.29454699999999967</v>
      </c>
      <c r="G67" s="8">
        <f>Tabla2[[#This Row],[VALOR INVERSION 1]]*Tabla2[[#This Row],[PRECIO DEL DÓLAR]]</f>
        <v>33490.51645599</v>
      </c>
      <c r="H67" s="8">
        <f>Tabla2[[#This Row],[VOO]]*0.01527</f>
        <v>8.0419455000000006</v>
      </c>
      <c r="I67" s="8">
        <f>Tabla2[[#This Row],[VALOR INVERSION 2]]-7.9</f>
        <v>0.14194550000000028</v>
      </c>
      <c r="J67" s="8">
        <f>Tabla2[[#This Row],[VALOR INVERSION 2]]*Tabla2[[#This Row],[PRECIO DEL DÓLAR]]</f>
        <v>33689.076830235004</v>
      </c>
      <c r="K67" s="8">
        <f>Tabla2[[#This Row],[VOO]]*0.01284</f>
        <v>6.7621859999999998</v>
      </c>
      <c r="L67" s="8">
        <f>Tabla2[[#This Row],[VALOR INVERSION 3]]-6.9</f>
        <v>-0.13781400000000055</v>
      </c>
      <c r="M67" s="8">
        <f>Tabla2[[#This Row],[VALOR INVERSION 3]]*Tabla2[[#This Row],[PRECIO DEL DÓLAR]]</f>
        <v>28327.946725620001</v>
      </c>
    </row>
    <row r="68" spans="2:13">
      <c r="B68" s="1">
        <v>45572</v>
      </c>
      <c r="C68" s="8">
        <f>VLOOKUP(B68,Tabla4[],2,FALSE)</f>
        <v>4167.41</v>
      </c>
      <c r="D68" s="24">
        <v>521.91</v>
      </c>
      <c r="E68" s="8">
        <f t="shared" si="9"/>
        <v>7.9225937999999996</v>
      </c>
      <c r="F68" s="8">
        <f>Tabla2[[#This Row],[VALOR INVERSION 1]]-7.7</f>
        <v>0.2225937999999994</v>
      </c>
      <c r="G68" s="8">
        <f>Tabla2[[#This Row],[VALOR INVERSION 1]]*Tabla2[[#This Row],[PRECIO DEL DÓLAR]]</f>
        <v>33016.696628057995</v>
      </c>
      <c r="H68" s="8">
        <f>Tabla2[[#This Row],[VOO]]*0.01527</f>
        <v>7.9695656999999995</v>
      </c>
      <c r="I68" s="8">
        <f>Tabla2[[#This Row],[VALOR INVERSION 2]]-7.9</f>
        <v>6.9565699999999175E-2</v>
      </c>
      <c r="J68" s="8">
        <f>Tabla2[[#This Row],[VALOR INVERSION 2]]*Tabla2[[#This Row],[PRECIO DEL DÓLAR]]</f>
        <v>33212.447793836996</v>
      </c>
      <c r="K68" s="8">
        <f>Tabla2[[#This Row],[VOO]]*0.01284</f>
        <v>6.7013243999999998</v>
      </c>
      <c r="L68" s="8">
        <f>Tabla2[[#This Row],[VALOR INVERSION 3]]-6.9</f>
        <v>-0.19867560000000051</v>
      </c>
      <c r="M68" s="8">
        <f>Tabla2[[#This Row],[VALOR INVERSION 3]]*Tabla2[[#This Row],[PRECIO DEL DÓLAR]]</f>
        <v>27927.166317804</v>
      </c>
    </row>
    <row r="69" spans="2:13">
      <c r="B69" s="1">
        <v>45573</v>
      </c>
      <c r="C69" s="8">
        <f>VLOOKUP(B69,Tabla4[],2,FALSE)</f>
        <v>4213.55</v>
      </c>
      <c r="D69" s="24">
        <v>526.85</v>
      </c>
      <c r="E69" s="8">
        <f t="shared" si="9"/>
        <v>7.9975830000000006</v>
      </c>
      <c r="F69" s="8">
        <f>Tabla2[[#This Row],[VALOR INVERSION 1]]-7.7</f>
        <v>0.29758300000000037</v>
      </c>
      <c r="G69" s="8">
        <f>Tabla2[[#This Row],[VALOR INVERSION 1]]*Tabla2[[#This Row],[PRECIO DEL DÓLAR]]</f>
        <v>33698.215849650005</v>
      </c>
      <c r="H69" s="8">
        <f>Tabla2[[#This Row],[VOO]]*0.01527</f>
        <v>8.0449995000000012</v>
      </c>
      <c r="I69" s="8">
        <f>Tabla2[[#This Row],[VALOR INVERSION 2]]-7.9</f>
        <v>0.14499950000000084</v>
      </c>
      <c r="J69" s="8">
        <f>Tabla2[[#This Row],[VALOR INVERSION 2]]*Tabla2[[#This Row],[PRECIO DEL DÓLAR]]</f>
        <v>33898.007643225006</v>
      </c>
      <c r="K69" s="8">
        <f>Tabla2[[#This Row],[VOO]]*0.01284</f>
        <v>6.7647540000000008</v>
      </c>
      <c r="L69" s="8">
        <f>Tabla2[[#This Row],[VALOR INVERSION 3]]-6.9</f>
        <v>-0.13524599999999953</v>
      </c>
      <c r="M69" s="8">
        <f>Tabla2[[#This Row],[VALOR INVERSION 3]]*Tabla2[[#This Row],[PRECIO DEL DÓLAR]]</f>
        <v>28503.629216700007</v>
      </c>
    </row>
    <row r="70" spans="2:13">
      <c r="B70" s="1">
        <v>45574</v>
      </c>
      <c r="C70" s="8">
        <f>VLOOKUP(B70,Tabla4[],2,FALSE)</f>
        <v>4231.08</v>
      </c>
      <c r="D70" s="24">
        <v>530.45000000000005</v>
      </c>
      <c r="E70" s="8">
        <f t="shared" si="9"/>
        <v>8.0522310000000008</v>
      </c>
      <c r="F70" s="8">
        <f>Tabla2[[#This Row],[VALOR INVERSION 1]]-7.7</f>
        <v>0.35223100000000063</v>
      </c>
      <c r="G70" s="8">
        <f>Tabla2[[#This Row],[VALOR INVERSION 1]]*Tabla2[[#This Row],[PRECIO DEL DÓLAR]]</f>
        <v>34069.633539480004</v>
      </c>
      <c r="H70" s="8">
        <f>Tabla2[[#This Row],[VOO]]*0.01527</f>
        <v>8.0999715000000005</v>
      </c>
      <c r="I70" s="8">
        <f>Tabla2[[#This Row],[VALOR INVERSION 2]]-7.9</f>
        <v>0.19997150000000019</v>
      </c>
      <c r="J70" s="8">
        <f>Tabla2[[#This Row],[VALOR INVERSION 2]]*Tabla2[[#This Row],[PRECIO DEL DÓLAR]]</f>
        <v>34271.627414219998</v>
      </c>
      <c r="K70" s="8">
        <f>Tabla2[[#This Row],[VOO]]*0.01284</f>
        <v>6.8109780000000013</v>
      </c>
      <c r="L70" s="8">
        <f>Tabla2[[#This Row],[VALOR INVERSION 3]]-6.9</f>
        <v>-8.9021999999999046E-2</v>
      </c>
      <c r="M70" s="8">
        <f>Tabla2[[#This Row],[VALOR INVERSION 3]]*Tabla2[[#This Row],[PRECIO DEL DÓLAR]]</f>
        <v>28817.792796240006</v>
      </c>
    </row>
    <row r="71" spans="2:13">
      <c r="B71" s="1">
        <v>45575</v>
      </c>
      <c r="C71" s="8">
        <f>VLOOKUP(B71,Tabla4[],2,FALSE)</f>
        <v>4233.05</v>
      </c>
      <c r="D71" s="24">
        <v>529.55999999999995</v>
      </c>
      <c r="E71" s="8">
        <f t="shared" si="9"/>
        <v>8.0387208000000001</v>
      </c>
      <c r="F71" s="8">
        <f>Tabla2[[#This Row],[VALOR INVERSION 1]]-7.7</f>
        <v>0.33872079999999993</v>
      </c>
      <c r="G71" s="8">
        <f>Tabla2[[#This Row],[VALOR INVERSION 1]]*Tabla2[[#This Row],[PRECIO DEL DÓLAR]]</f>
        <v>34028.307082439998</v>
      </c>
      <c r="H71" s="8">
        <f>Tabla2[[#This Row],[VOO]]*0.01527</f>
        <v>8.0863811999999999</v>
      </c>
      <c r="I71" s="8">
        <f>Tabla2[[#This Row],[VALOR INVERSION 2]]-7.9</f>
        <v>0.18638119999999958</v>
      </c>
      <c r="J71" s="8">
        <f>Tabla2[[#This Row],[VALOR INVERSION 2]]*Tabla2[[#This Row],[PRECIO DEL DÓLAR]]</f>
        <v>34230.05593866</v>
      </c>
      <c r="K71" s="8">
        <f>Tabla2[[#This Row],[VOO]]*0.01284</f>
        <v>6.7995503999999993</v>
      </c>
      <c r="L71" s="8">
        <f>Tabla2[[#This Row],[VALOR INVERSION 3]]-6.9</f>
        <v>-0.10044960000000103</v>
      </c>
      <c r="M71" s="8">
        <f>Tabla2[[#This Row],[VALOR INVERSION 3]]*Tabla2[[#This Row],[PRECIO DEL DÓLAR]]</f>
        <v>28782.83682072</v>
      </c>
    </row>
    <row r="72" spans="2:13">
      <c r="B72" s="1">
        <v>45579</v>
      </c>
      <c r="C72" s="8">
        <f>VLOOKUP(B72,Tabla4[],2,FALSE)</f>
        <v>4210.95</v>
      </c>
      <c r="D72" s="24">
        <v>537.07000000000005</v>
      </c>
      <c r="E72" s="8">
        <f t="shared" si="9"/>
        <v>8.1527226000000006</v>
      </c>
      <c r="F72" s="8">
        <f>Tabla2[[#This Row],[VALOR INVERSION 1]]-7.7</f>
        <v>0.45272260000000042</v>
      </c>
      <c r="G72" s="8">
        <f>Tabla2[[#This Row],[VALOR INVERSION 1]]*Tabla2[[#This Row],[PRECIO DEL DÓLAR]]</f>
        <v>34330.707232469998</v>
      </c>
      <c r="H72" s="8">
        <f>Tabla2[[#This Row],[VOO]]*0.01527</f>
        <v>8.2010589000000014</v>
      </c>
      <c r="I72" s="8">
        <f>Tabla2[[#This Row],[VALOR INVERSION 2]]-7.9</f>
        <v>0.30105890000000102</v>
      </c>
      <c r="J72" s="8">
        <f>Tabla2[[#This Row],[VALOR INVERSION 2]]*Tabla2[[#This Row],[PRECIO DEL DÓLAR]]</f>
        <v>34534.248974955008</v>
      </c>
      <c r="K72" s="8">
        <f>Tabla2[[#This Row],[VOO]]*0.01284</f>
        <v>6.8959788000000009</v>
      </c>
      <c r="L72" s="8">
        <f>Tabla2[[#This Row],[VALOR INVERSION 3]]-6.9</f>
        <v>-4.0211999999995029E-3</v>
      </c>
      <c r="M72" s="8">
        <f>Tabla2[[#This Row],[VALOR INVERSION 3]]*Tabla2[[#This Row],[PRECIO DEL DÓLAR]]</f>
        <v>29038.621927860004</v>
      </c>
    </row>
    <row r="73" spans="2:13">
      <c r="B73" s="1">
        <v>45580</v>
      </c>
      <c r="C73" s="8">
        <f>VLOOKUP(B73,Tabla4[],2,FALSE)</f>
        <v>4207.21</v>
      </c>
      <c r="D73" s="24">
        <v>532.98</v>
      </c>
      <c r="E73" s="8">
        <f t="shared" ref="E73:E78" si="10">0.01518 * D73</f>
        <v>8.0906364000000011</v>
      </c>
      <c r="F73" s="8">
        <f>Tabla2[[#This Row],[VALOR INVERSION 1]]-7.7</f>
        <v>0.39063640000000088</v>
      </c>
      <c r="G73" s="8">
        <f>Tabla2[[#This Row],[VALOR INVERSION 1]]*Tabla2[[#This Row],[PRECIO DEL DÓLAR]]</f>
        <v>34039.006368444003</v>
      </c>
      <c r="H73" s="8">
        <f>Tabla2[[#This Row],[VOO]]*0.01527</f>
        <v>8.1386046000000007</v>
      </c>
      <c r="I73" s="8">
        <f>Tabla2[[#This Row],[VALOR INVERSION 2]]-7.9</f>
        <v>0.23860460000000039</v>
      </c>
      <c r="J73" s="8">
        <f>Tabla2[[#This Row],[VALOR INVERSION 2]]*Tabla2[[#This Row],[PRECIO DEL DÓLAR]]</f>
        <v>34240.818659166005</v>
      </c>
      <c r="K73" s="8">
        <f>Tabla2[[#This Row],[VOO]]*0.01284</f>
        <v>6.8434632000000004</v>
      </c>
      <c r="L73" s="8">
        <f>Tabla2[[#This Row],[VALOR INVERSION 3]]-6.9</f>
        <v>-5.6536799999999943E-2</v>
      </c>
      <c r="M73" s="8">
        <f>Tabla2[[#This Row],[VALOR INVERSION 3]]*Tabla2[[#This Row],[PRECIO DEL DÓLAR]]</f>
        <v>28791.886809672003</v>
      </c>
    </row>
    <row r="74" spans="2:13">
      <c r="B74" s="1">
        <v>45581</v>
      </c>
      <c r="C74" s="8">
        <f>VLOOKUP(B74,Tabla4[],2,FALSE)</f>
        <v>4257.21</v>
      </c>
      <c r="D74" s="24">
        <v>535.22</v>
      </c>
      <c r="E74" s="8">
        <f t="shared" si="10"/>
        <v>8.1246396000000001</v>
      </c>
      <c r="F74" s="8">
        <f>Tabla2[[#This Row],[VALOR INVERSION 1]]-7.7</f>
        <v>0.42463959999999989</v>
      </c>
      <c r="G74" s="8">
        <f>Tabla2[[#This Row],[VALOR INVERSION 1]]*Tabla2[[#This Row],[PRECIO DEL DÓLAR]]</f>
        <v>34588.296951516</v>
      </c>
      <c r="H74" s="8">
        <f>Tabla2[[#This Row],[VOO]]*0.01527</f>
        <v>8.1728094000000002</v>
      </c>
      <c r="I74" s="8">
        <f>Tabla2[[#This Row],[VALOR INVERSION 2]]-7.9</f>
        <v>0.27280939999999987</v>
      </c>
      <c r="J74" s="8">
        <f>Tabla2[[#This Row],[VALOR INVERSION 2]]*Tabla2[[#This Row],[PRECIO DEL DÓLAR]]</f>
        <v>34793.365905774001</v>
      </c>
      <c r="K74" s="8">
        <f>Tabla2[[#This Row],[VOO]]*0.01284</f>
        <v>6.8722248000000006</v>
      </c>
      <c r="L74" s="8">
        <f>Tabla2[[#This Row],[VALOR INVERSION 3]]-6.9</f>
        <v>-2.7775199999999778E-2</v>
      </c>
      <c r="M74" s="8">
        <f>Tabla2[[#This Row],[VALOR INVERSION 3]]*Tabla2[[#This Row],[PRECIO DEL DÓLAR]]</f>
        <v>29256.504140808003</v>
      </c>
    </row>
    <row r="75" spans="2:13">
      <c r="B75" s="1">
        <v>45582</v>
      </c>
      <c r="C75" s="8">
        <f>VLOOKUP(B75,Tabla4[],2,FALSE)</f>
        <v>4278.74</v>
      </c>
      <c r="D75" s="24">
        <v>537.36</v>
      </c>
      <c r="E75" s="8">
        <f t="shared" si="10"/>
        <v>8.1571248000000001</v>
      </c>
      <c r="F75" s="8">
        <f>Tabla2[[#This Row],[VALOR INVERSION 1]]-7.7</f>
        <v>0.45712479999999989</v>
      </c>
      <c r="G75" s="8">
        <f>Tabla2[[#This Row],[VALOR INVERSION 1]]*Tabla2[[#This Row],[PRECIO DEL DÓLAR]]</f>
        <v>34902.216166751998</v>
      </c>
      <c r="H75" s="8">
        <f>Tabla2[[#This Row],[VOO]]*0.01527</f>
        <v>8.2054872000000003</v>
      </c>
      <c r="I75" s="8">
        <f>Tabla2[[#This Row],[VALOR INVERSION 2]]-7.9</f>
        <v>0.30548719999999996</v>
      </c>
      <c r="J75" s="8">
        <f>Tabla2[[#This Row],[VALOR INVERSION 2]]*Tabla2[[#This Row],[PRECIO DEL DÓLAR]]</f>
        <v>35109.146302128</v>
      </c>
      <c r="K75" s="40">
        <f>Tabla2[[#This Row],[VOO]]*0.01284</f>
        <v>6.8997024000000007</v>
      </c>
      <c r="L75" s="40">
        <f>Tabla2[[#This Row],[VALOR INVERSION 3]]-6.9</f>
        <v>-2.975999999996759E-4</v>
      </c>
      <c r="M75" s="40">
        <f>Tabla2[[#This Row],[VALOR INVERSION 3]]*Tabla2[[#This Row],[PRECIO DEL DÓLAR]]</f>
        <v>29522.032646976</v>
      </c>
    </row>
    <row r="76" spans="2:13">
      <c r="B76" s="1">
        <v>45583</v>
      </c>
      <c r="C76" s="8">
        <f>VLOOKUP(B76,Tabla4[],2,FALSE)</f>
        <v>4247.29</v>
      </c>
      <c r="D76" s="24">
        <v>535.29999999999995</v>
      </c>
      <c r="E76" s="8">
        <f t="shared" si="10"/>
        <v>8.1258540000000004</v>
      </c>
      <c r="F76" s="8">
        <f>Tabla2[[#This Row],[VALOR INVERSION 1]]-7.7</f>
        <v>0.42585400000000018</v>
      </c>
      <c r="G76" s="8">
        <f>Tabla2[[#This Row],[VALOR INVERSION 1]]*Tabla2[[#This Row],[PRECIO DEL DÓLAR]]</f>
        <v>34512.858435660004</v>
      </c>
      <c r="H76" s="8">
        <f>Tabla2[[#This Row],[VOO]]*0.01527</f>
        <v>8.1740309999999994</v>
      </c>
      <c r="I76" s="8">
        <f>Tabla2[[#This Row],[VALOR INVERSION 2]]-7.9</f>
        <v>0.27403099999999903</v>
      </c>
      <c r="J76" s="8">
        <f>Tabla2[[#This Row],[VALOR INVERSION 2]]*Tabla2[[#This Row],[PRECIO DEL DÓLAR]]</f>
        <v>34717.480125989998</v>
      </c>
      <c r="K76" s="8">
        <f>Tabla2[[#This Row],[VOO]]*0.01284</f>
        <v>6.8732519999999999</v>
      </c>
      <c r="L76" s="8">
        <f>Tabla2[[#This Row],[VALOR INVERSION 3]]-6.9</f>
        <v>-2.6748000000000438E-2</v>
      </c>
      <c r="M76" s="8">
        <f>Tabla2[[#This Row],[VALOR INVERSION 3]]*Tabla2[[#This Row],[PRECIO DEL DÓLAR]]</f>
        <v>29192.69448708</v>
      </c>
    </row>
    <row r="77" spans="2:13">
      <c r="B77" s="1">
        <v>45583</v>
      </c>
      <c r="C77" s="8">
        <f>VLOOKUP(B77,Tabla4[],2,FALSE)</f>
        <v>4247.29</v>
      </c>
      <c r="D77" s="24">
        <v>537.36</v>
      </c>
      <c r="E77" s="8">
        <f t="shared" si="10"/>
        <v>8.1571248000000001</v>
      </c>
      <c r="F77" s="8">
        <f>Tabla2[[#This Row],[VALOR INVERSION 1]]-7.7</f>
        <v>0.45712479999999989</v>
      </c>
      <c r="G77" s="8">
        <f>Tabla2[[#This Row],[VALOR INVERSION 1]]*Tabla2[[#This Row],[PRECIO DEL DÓLAR]]</f>
        <v>34645.674591791998</v>
      </c>
      <c r="H77" s="8">
        <f>Tabla2[[#This Row],[VOO]]*0.01527</f>
        <v>8.2054872000000003</v>
      </c>
      <c r="I77" s="8">
        <f>Tabla2[[#This Row],[VALOR INVERSION 2]]-7.9</f>
        <v>0.30548719999999996</v>
      </c>
      <c r="J77" s="8">
        <f>Tabla2[[#This Row],[VALOR INVERSION 2]]*Tabla2[[#This Row],[PRECIO DEL DÓLAR]]</f>
        <v>34851.083729687998</v>
      </c>
      <c r="K77" s="8">
        <f>Tabla2[[#This Row],[VOO]]*0.01284</f>
        <v>6.8997024000000007</v>
      </c>
      <c r="L77" s="8">
        <f>Tabla2[[#This Row],[VALOR INVERSION 3]]-6.9</f>
        <v>-2.975999999996759E-4</v>
      </c>
      <c r="M77" s="8">
        <f>Tabla2[[#This Row],[VALOR INVERSION 3]]*Tabla2[[#This Row],[PRECIO DEL DÓLAR]]</f>
        <v>29305.037006496004</v>
      </c>
    </row>
    <row r="78" spans="2:13">
      <c r="B78" s="1">
        <v>45586</v>
      </c>
      <c r="C78" s="8">
        <f>VLOOKUP(B78,Tabla4[],2,FALSE)</f>
        <v>4270</v>
      </c>
      <c r="D78" s="24">
        <v>536.53</v>
      </c>
      <c r="E78" s="8">
        <f t="shared" si="10"/>
        <v>8.1445253999999991</v>
      </c>
      <c r="F78" s="8">
        <f>Tabla2[[#This Row],[VALOR INVERSION 1]]-7.7</f>
        <v>0.44452539999999896</v>
      </c>
      <c r="G78" s="8">
        <f>Tabla2[[#This Row],[VALOR INVERSION 1]]*Tabla2[[#This Row],[PRECIO DEL DÓLAR]]</f>
        <v>34777.123457999995</v>
      </c>
      <c r="H78" s="8">
        <f>Tabla2[[#This Row],[VOO]]*0.01527</f>
        <v>8.1928131000000004</v>
      </c>
      <c r="I78" s="8">
        <f>Tabla2[[#This Row],[VALOR INVERSION 2]]-7.9</f>
        <v>0.29281310000000005</v>
      </c>
      <c r="J78" s="8">
        <f>Tabla2[[#This Row],[VALOR INVERSION 2]]*Tabla2[[#This Row],[PRECIO DEL DÓLAR]]</f>
        <v>34983.311936999999</v>
      </c>
      <c r="K78" s="8">
        <f>Tabla2[[#This Row],[VOO]]*0.01284</f>
        <v>6.8890452</v>
      </c>
      <c r="L78" s="8">
        <f>Tabla2[[#This Row],[VALOR INVERSION 3]]-6.9</f>
        <v>-1.0954800000000375E-2</v>
      </c>
      <c r="M78" s="8">
        <f>Tabla2[[#This Row],[VALOR INVERSION 3]]*Tabla2[[#This Row],[PRECIO DEL DÓLAR]]</f>
        <v>29416.223003999999</v>
      </c>
    </row>
    <row r="79" spans="2:13">
      <c r="B79" s="1">
        <v>45587</v>
      </c>
      <c r="C79" s="8">
        <f>VLOOKUP(B79,Tabla4[],2,FALSE)</f>
        <v>4280.04</v>
      </c>
      <c r="D79" s="24">
        <v>536.16</v>
      </c>
      <c r="E79" s="8">
        <f t="shared" ref="E79:E84" si="11">0.01518 * D79</f>
        <v>8.1389087999999994</v>
      </c>
      <c r="F79" s="8">
        <f>Tabla2[[#This Row],[VALOR INVERSION 1]]-7.7</f>
        <v>0.43890879999999921</v>
      </c>
      <c r="G79" s="8">
        <f>Tabla2[[#This Row],[VALOR INVERSION 1]]*Tabla2[[#This Row],[PRECIO DEL DÓLAR]]</f>
        <v>34834.855220351994</v>
      </c>
      <c r="H79" s="8">
        <f>Tabla2[[#This Row],[VOO]]*0.01527</f>
        <v>8.1871632000000005</v>
      </c>
      <c r="I79" s="8">
        <f>Tabla2[[#This Row],[VALOR INVERSION 2]]-7.9</f>
        <v>0.28716320000000017</v>
      </c>
      <c r="J79" s="8">
        <f>Tabla2[[#This Row],[VALOR INVERSION 2]]*Tabla2[[#This Row],[PRECIO DEL DÓLAR]]</f>
        <v>35041.385982528001</v>
      </c>
      <c r="K79" s="8">
        <f>Tabla2[[#This Row],[VOO]]*0.01284</f>
        <v>6.8842943999999999</v>
      </c>
      <c r="L79" s="8">
        <f>Tabla2[[#This Row],[VALOR INVERSION 3]]-6.9</f>
        <v>-1.570560000000043E-2</v>
      </c>
      <c r="M79" s="8">
        <f>Tabla2[[#This Row],[VALOR INVERSION 3]]*Tabla2[[#This Row],[PRECIO DEL DÓLAR]]</f>
        <v>29465.055403776001</v>
      </c>
    </row>
    <row r="80" spans="2:13">
      <c r="B80" s="1">
        <v>45588</v>
      </c>
      <c r="C80" s="8">
        <f>VLOOKUP(B80,Tabla4[],2,FALSE)</f>
        <v>4270.37</v>
      </c>
      <c r="D80" s="24">
        <v>531.27</v>
      </c>
      <c r="E80" s="8">
        <f t="shared" si="11"/>
        <v>8.0646786000000006</v>
      </c>
      <c r="F80" s="8">
        <f>Tabla2[[#This Row],[VALOR INVERSION 1]]-7.7</f>
        <v>0.36467860000000041</v>
      </c>
      <c r="G80" s="8">
        <f>Tabla2[[#This Row],[VALOR INVERSION 1]]*Tabla2[[#This Row],[PRECIO DEL DÓLAR]]</f>
        <v>34439.161553081998</v>
      </c>
      <c r="H80" s="8">
        <f>Tabla2[[#This Row],[VOO]]*0.01527</f>
        <v>8.1124928999999995</v>
      </c>
      <c r="I80" s="8">
        <f>Tabla2[[#This Row],[VALOR INVERSION 2]]-7.9</f>
        <v>0.2124928999999991</v>
      </c>
      <c r="J80" s="8">
        <f>Tabla2[[#This Row],[VALOR INVERSION 2]]*Tabla2[[#This Row],[PRECIO DEL DÓLAR]]</f>
        <v>34643.346305372994</v>
      </c>
      <c r="K80" s="8">
        <f>Tabla2[[#This Row],[VOO]]*0.01284</f>
        <v>6.8215067999999999</v>
      </c>
      <c r="L80" s="8">
        <f>Tabla2[[#This Row],[VALOR INVERSION 3]]-6.9</f>
        <v>-7.8493200000000485E-2</v>
      </c>
      <c r="M80" s="8">
        <f>Tabla2[[#This Row],[VALOR INVERSION 3]]*Tabla2[[#This Row],[PRECIO DEL DÓLAR]]</f>
        <v>29130.357993515998</v>
      </c>
    </row>
    <row r="81" spans="2:13">
      <c r="B81" s="1">
        <v>45589</v>
      </c>
      <c r="C81" s="8">
        <f>VLOOKUP(B81,Tabla4[],2,FALSE)</f>
        <v>4323.92</v>
      </c>
      <c r="D81" s="24">
        <v>532.47</v>
      </c>
      <c r="E81" s="8">
        <f t="shared" si="11"/>
        <v>8.0828946000000013</v>
      </c>
      <c r="F81" s="8">
        <f>Tabla2[[#This Row],[VALOR INVERSION 1]]-7.7</f>
        <v>0.38289460000000108</v>
      </c>
      <c r="G81" s="8">
        <f>Tabla2[[#This Row],[VALOR INVERSION 1]]*Tabla2[[#This Row],[PRECIO DEL DÓLAR]]</f>
        <v>34949.789618832008</v>
      </c>
      <c r="H81" s="8">
        <f>Tabla2[[#This Row],[VOO]]*0.01527</f>
        <v>8.130816900000001</v>
      </c>
      <c r="I81" s="8">
        <f>Tabla2[[#This Row],[VALOR INVERSION 2]]-7.9</f>
        <v>0.23081690000000066</v>
      </c>
      <c r="J81" s="8">
        <f>Tabla2[[#This Row],[VALOR INVERSION 2]]*Tabla2[[#This Row],[PRECIO DEL DÓLAR]]</f>
        <v>35157.001810248003</v>
      </c>
      <c r="K81" s="8">
        <f>Tabla2[[#This Row],[VOO]]*0.01284</f>
        <v>6.8369148000000006</v>
      </c>
      <c r="L81" s="8">
        <f>Tabla2[[#This Row],[VALOR INVERSION 3]]-6.9</f>
        <v>-6.308519999999973E-2</v>
      </c>
      <c r="M81" s="8">
        <f>Tabla2[[#This Row],[VALOR INVERSION 3]]*Tabla2[[#This Row],[PRECIO DEL DÓLAR]]</f>
        <v>29562.272642016003</v>
      </c>
    </row>
    <row r="82" spans="2:13">
      <c r="B82" s="1">
        <v>45590</v>
      </c>
      <c r="C82" s="8">
        <f>VLOOKUP(B82,Tabla4[],2,FALSE)</f>
        <v>4323.1099999999997</v>
      </c>
      <c r="D82" s="24">
        <v>532.26</v>
      </c>
      <c r="E82" s="8">
        <f t="shared" si="11"/>
        <v>8.0797068000000003</v>
      </c>
      <c r="F82" s="8">
        <f>Tabla2[[#This Row],[VALOR INVERSION 1]]-7.7</f>
        <v>0.37970680000000012</v>
      </c>
      <c r="G82" s="8">
        <f>Tabla2[[#This Row],[VALOR INVERSION 1]]*Tabla2[[#This Row],[PRECIO DEL DÓLAR]]</f>
        <v>34929.461264147998</v>
      </c>
      <c r="H82" s="8">
        <f>Tabla2[[#This Row],[VOO]]*0.01527</f>
        <v>8.1276101999999995</v>
      </c>
      <c r="I82" s="8">
        <f>Tabla2[[#This Row],[VALOR INVERSION 2]]-7.9</f>
        <v>0.2276101999999991</v>
      </c>
      <c r="J82" s="8">
        <f>Tabla2[[#This Row],[VALOR INVERSION 2]]*Tabla2[[#This Row],[PRECIO DEL DÓLAR]]</f>
        <v>35136.552931721992</v>
      </c>
      <c r="K82" s="8">
        <f>Tabla2[[#This Row],[VOO]]*0.01284</f>
        <v>6.8342184000000001</v>
      </c>
      <c r="L82" s="8">
        <f>Tabla2[[#This Row],[VALOR INVERSION 3]]-6.9</f>
        <v>-6.5781600000000218E-2</v>
      </c>
      <c r="M82" s="8">
        <f>Tabla2[[#This Row],[VALOR INVERSION 3]]*Tabla2[[#This Row],[PRECIO DEL DÓLAR]]</f>
        <v>29545.077907223997</v>
      </c>
    </row>
    <row r="83" spans="2:13">
      <c r="B83" s="1">
        <v>45593</v>
      </c>
      <c r="C83" s="8">
        <f>VLOOKUP(B83,Tabla4[],2,FALSE)</f>
        <v>4321.6400000000003</v>
      </c>
      <c r="D83" s="24">
        <v>533.91999999999996</v>
      </c>
      <c r="E83" s="8">
        <f t="shared" si="11"/>
        <v>8.1049056000000004</v>
      </c>
      <c r="F83" s="8">
        <f>Tabla2[[#This Row],[VALOR INVERSION 1]]-7.7</f>
        <v>0.4049056000000002</v>
      </c>
      <c r="G83" s="8">
        <f>Tabla2[[#This Row],[VALOR INVERSION 1]]*Tabla2[[#This Row],[PRECIO DEL DÓLAR]]</f>
        <v>35026.484237184006</v>
      </c>
      <c r="H83" s="8">
        <f>Tabla2[[#This Row],[VOO]]*0.01527</f>
        <v>8.1529583999999993</v>
      </c>
      <c r="I83" s="8">
        <f>Tabla2[[#This Row],[VALOR INVERSION 2]]-7.9</f>
        <v>0.25295839999999892</v>
      </c>
      <c r="J83" s="8">
        <f>Tabla2[[#This Row],[VALOR INVERSION 2]]*Tabla2[[#This Row],[PRECIO DEL DÓLAR]]</f>
        <v>35234.151139775997</v>
      </c>
      <c r="K83" s="8">
        <f>Tabla2[[#This Row],[VOO]]*0.01284</f>
        <v>6.8555327999999998</v>
      </c>
      <c r="L83" s="8">
        <f>Tabla2[[#This Row],[VALOR INVERSION 3]]-6.9</f>
        <v>-4.4467200000000595E-2</v>
      </c>
      <c r="M83" s="8">
        <f>Tabla2[[#This Row],[VALOR INVERSION 3]]*Tabla2[[#This Row],[PRECIO DEL DÓLAR]]</f>
        <v>29627.144769792001</v>
      </c>
    </row>
    <row r="84" spans="2:13">
      <c r="B84" s="1">
        <v>45594</v>
      </c>
      <c r="C84" s="8">
        <f>VLOOKUP(B84,Tabla4[],2,FALSE)</f>
        <v>4345.13</v>
      </c>
      <c r="D84" s="24">
        <v>534.77</v>
      </c>
      <c r="E84" s="8">
        <f t="shared" si="11"/>
        <v>8.1178086</v>
      </c>
      <c r="F84" s="8">
        <f>Tabla2[[#This Row],[VALOR INVERSION 1]]-7.7</f>
        <v>0.41780859999999986</v>
      </c>
      <c r="G84" s="8">
        <f>Tabla2[[#This Row],[VALOR INVERSION 1]]*Tabla2[[#This Row],[PRECIO DEL DÓLAR]]</f>
        <v>35272.933682118004</v>
      </c>
      <c r="H84" s="8">
        <f>Tabla2[[#This Row],[VOO]]*0.01527</f>
        <v>8.1659378999999994</v>
      </c>
      <c r="I84" s="8">
        <f>Tabla2[[#This Row],[VALOR INVERSION 2]]-7.9</f>
        <v>0.26593789999999906</v>
      </c>
      <c r="J84" s="8">
        <f>Tabla2[[#This Row],[VALOR INVERSION 2]]*Tabla2[[#This Row],[PRECIO DEL DÓLAR]]</f>
        <v>35482.061747426997</v>
      </c>
      <c r="K84" s="8">
        <f>Tabla2[[#This Row],[VOO]]*0.01284</f>
        <v>6.8664468000000003</v>
      </c>
      <c r="L84" s="8">
        <f>Tabla2[[#This Row],[VALOR INVERSION 3]]-6.9</f>
        <v>-3.3553200000000061E-2</v>
      </c>
      <c r="M84" s="8">
        <f>Tabla2[[#This Row],[VALOR INVERSION 3]]*Tabla2[[#This Row],[PRECIO DEL DÓLAR]]</f>
        <v>29835.603984084002</v>
      </c>
    </row>
    <row r="85" spans="2:13">
      <c r="B85" s="1">
        <v>45595</v>
      </c>
      <c r="C85" s="8">
        <f>VLOOKUP(B85,Tabla4[],2,FALSE)</f>
        <v>4323.01</v>
      </c>
      <c r="D85" s="24">
        <v>533.16</v>
      </c>
      <c r="E85" s="8">
        <f t="shared" ref="E85:E90" si="12">0.01518 * D85</f>
        <v>8.0933688000000004</v>
      </c>
      <c r="F85" s="8">
        <f>Tabla2[[#This Row],[VALOR INVERSION 1]]-7.7</f>
        <v>0.39336880000000018</v>
      </c>
      <c r="G85" s="8">
        <f>Tabla2[[#This Row],[VALOR INVERSION 1]]*Tabla2[[#This Row],[PRECIO DEL DÓLAR]]</f>
        <v>34987.714256088002</v>
      </c>
      <c r="H85" s="8">
        <f>Tabla2[[#This Row],[VOO]]*0.01527</f>
        <v>8.1413531999999993</v>
      </c>
      <c r="I85" s="8">
        <f>Tabla2[[#This Row],[VALOR INVERSION 2]]-7.9</f>
        <v>0.24135319999999894</v>
      </c>
      <c r="J85" s="8">
        <f>Tabla2[[#This Row],[VALOR INVERSION 2]]*Tabla2[[#This Row],[PRECIO DEL DÓLAR]]</f>
        <v>35195.151297131997</v>
      </c>
      <c r="K85" s="8">
        <f>Tabla2[[#This Row],[VOO]]*0.01284</f>
        <v>6.8457743999999998</v>
      </c>
      <c r="L85" s="8">
        <f>Tabla2[[#This Row],[VALOR INVERSION 3]]-6.9</f>
        <v>-5.422560000000054E-2</v>
      </c>
      <c r="M85" s="8">
        <f>Tabla2[[#This Row],[VALOR INVERSION 3]]*Tabla2[[#This Row],[PRECIO DEL DÓLAR]]</f>
        <v>29594.351188944001</v>
      </c>
    </row>
    <row r="86" spans="2:13">
      <c r="B86" s="1">
        <v>45597</v>
      </c>
      <c r="C86" s="8">
        <f>VLOOKUP(B86,Tabla4[],2,FALSE)</f>
        <v>4418.63</v>
      </c>
      <c r="D86" s="24">
        <v>522.66999999999996</v>
      </c>
      <c r="E86" s="8">
        <f t="shared" si="12"/>
        <v>7.9341305999999996</v>
      </c>
      <c r="F86" s="8">
        <f>Tabla2[[#This Row],[VALOR INVERSION 1]]-7.7</f>
        <v>0.23413059999999941</v>
      </c>
      <c r="G86" s="8">
        <f>Tabla2[[#This Row],[VALOR INVERSION 1]]*Tabla2[[#This Row],[PRECIO DEL DÓLAR]]</f>
        <v>35057.987493077999</v>
      </c>
      <c r="H86" s="8">
        <f>Tabla2[[#This Row],[VOO]]*0.01527</f>
        <v>7.9811708999999995</v>
      </c>
      <c r="I86" s="8">
        <f>Tabla2[[#This Row],[VALOR INVERSION 2]]-7.9</f>
        <v>8.1170899999999158E-2</v>
      </c>
      <c r="J86" s="8">
        <f>Tabla2[[#This Row],[VALOR INVERSION 2]]*Tabla2[[#This Row],[PRECIO DEL DÓLAR]]</f>
        <v>35265.841173866997</v>
      </c>
      <c r="K86" s="8">
        <f>Tabla2[[#This Row],[VOO]]*0.01284</f>
        <v>6.7110827999999998</v>
      </c>
      <c r="L86" s="8">
        <f>Tabla2[[#This Row],[VALOR INVERSION 3]]-6.9</f>
        <v>-0.18891720000000056</v>
      </c>
      <c r="M86" s="8">
        <f>Tabla2[[#This Row],[VALOR INVERSION 3]]*Tabla2[[#This Row],[PRECIO DEL DÓLAR]]</f>
        <v>29653.791792563999</v>
      </c>
    </row>
    <row r="87" spans="2:13">
      <c r="B87" s="1">
        <v>45600</v>
      </c>
      <c r="C87" s="8">
        <f>VLOOKUP(B87,Tabla4[],2,FALSE)</f>
        <v>4445.3500000000004</v>
      </c>
      <c r="D87" s="24">
        <v>523.79999999999995</v>
      </c>
      <c r="E87" s="8">
        <f t="shared" si="12"/>
        <v>7.9512839999999994</v>
      </c>
      <c r="F87" s="8">
        <f>Tabla2[[#This Row],[VALOR INVERSION 1]]-7.7</f>
        <v>0.25128399999999917</v>
      </c>
      <c r="G87" s="8">
        <f>Tabla2[[#This Row],[VALOR INVERSION 1]]*Tabla2[[#This Row],[PRECIO DEL DÓLAR]]</f>
        <v>35346.240329400003</v>
      </c>
      <c r="H87" s="8">
        <f>Tabla2[[#This Row],[VOO]]*0.01527</f>
        <v>7.9984259999999994</v>
      </c>
      <c r="I87" s="8">
        <f>Tabla2[[#This Row],[VALOR INVERSION 2]]-7.9</f>
        <v>9.8425999999999014E-2</v>
      </c>
      <c r="J87" s="8">
        <f>Tabla2[[#This Row],[VALOR INVERSION 2]]*Tabla2[[#This Row],[PRECIO DEL DÓLAR]]</f>
        <v>35555.8030191</v>
      </c>
      <c r="K87" s="8">
        <f>Tabla2[[#This Row],[VOO]]*0.01284</f>
        <v>6.7255919999999998</v>
      </c>
      <c r="L87" s="8">
        <f>Tabla2[[#This Row],[VALOR INVERSION 3]]-6.9</f>
        <v>-0.17440800000000056</v>
      </c>
      <c r="M87" s="8">
        <f>Tabla2[[#This Row],[VALOR INVERSION 3]]*Tabla2[[#This Row],[PRECIO DEL DÓLAR]]</f>
        <v>29897.610397200002</v>
      </c>
    </row>
    <row r="88" spans="2:13">
      <c r="B88" s="1">
        <v>45601</v>
      </c>
      <c r="C88" s="8">
        <f>VLOOKUP(B88,Tabla4[],2,FALSE)</f>
        <v>4438.62</v>
      </c>
      <c r="D88" s="24">
        <v>530.1</v>
      </c>
      <c r="E88" s="8">
        <f t="shared" si="12"/>
        <v>8.0469180000000016</v>
      </c>
      <c r="F88" s="8">
        <f>Tabla2[[#This Row],[VALOR INVERSION 1]]-7.7</f>
        <v>0.34691800000000139</v>
      </c>
      <c r="G88" s="8">
        <f>Tabla2[[#This Row],[VALOR INVERSION 1]]*Tabla2[[#This Row],[PRECIO DEL DÓLAR]]</f>
        <v>35717.211173160009</v>
      </c>
      <c r="H88" s="8">
        <f>Tabla2[[#This Row],[VOO]]*0.01527</f>
        <v>8.0946270000000009</v>
      </c>
      <c r="I88" s="8">
        <f>Tabla2[[#This Row],[VALOR INVERSION 2]]-7.9</f>
        <v>0.19462700000000055</v>
      </c>
      <c r="J88" s="8">
        <f>Tabla2[[#This Row],[VALOR INVERSION 2]]*Tabla2[[#This Row],[PRECIO DEL DÓLAR]]</f>
        <v>35928.973294740004</v>
      </c>
      <c r="K88" s="8">
        <f>Tabla2[[#This Row],[VOO]]*0.01284</f>
        <v>6.8064840000000011</v>
      </c>
      <c r="L88" s="8">
        <f>Tabla2[[#This Row],[VALOR INVERSION 3]]-6.9</f>
        <v>-9.3515999999999266E-2</v>
      </c>
      <c r="M88" s="8">
        <f>Tabla2[[#This Row],[VALOR INVERSION 3]]*Tabla2[[#This Row],[PRECIO DEL DÓLAR]]</f>
        <v>30211.396012080004</v>
      </c>
    </row>
    <row r="89" spans="2:13">
      <c r="B89" s="1">
        <v>45602</v>
      </c>
      <c r="C89" s="8">
        <f>VLOOKUP(B89,Tabla4[],2,FALSE)</f>
        <v>4439.75</v>
      </c>
      <c r="D89" s="24">
        <v>543.29999999999995</v>
      </c>
      <c r="E89" s="8">
        <f t="shared" si="12"/>
        <v>8.2472940000000001</v>
      </c>
      <c r="F89" s="8">
        <f>Tabla2[[#This Row],[VALOR INVERSION 1]]-7.7</f>
        <v>0.54729399999999995</v>
      </c>
      <c r="G89" s="8">
        <f>Tabla2[[#This Row],[VALOR INVERSION 1]]*Tabla2[[#This Row],[PRECIO DEL DÓLAR]]</f>
        <v>36615.923536499999</v>
      </c>
      <c r="H89" s="8">
        <f>Tabla2[[#This Row],[VOO]]*0.01527</f>
        <v>8.2961910000000003</v>
      </c>
      <c r="I89" s="8">
        <f>Tabla2[[#This Row],[VALOR INVERSION 2]]-7.9</f>
        <v>0.39619099999999996</v>
      </c>
      <c r="J89" s="8">
        <f>Tabla2[[#This Row],[VALOR INVERSION 2]]*Tabla2[[#This Row],[PRECIO DEL DÓLAR]]</f>
        <v>36833.013992250002</v>
      </c>
      <c r="K89" s="8">
        <f>Tabla2[[#This Row],[VOO]]*0.01284</f>
        <v>6.9759719999999996</v>
      </c>
      <c r="L89" s="8">
        <f>Tabla2[[#This Row],[VALOR INVERSION 3]]-6.9</f>
        <v>7.5971999999999262E-2</v>
      </c>
      <c r="M89" s="8">
        <f>Tabla2[[#This Row],[VALOR INVERSION 3]]*Tabla2[[#This Row],[PRECIO DEL DÓLAR]]</f>
        <v>30971.571687</v>
      </c>
    </row>
    <row r="90" spans="2:13">
      <c r="B90" s="1">
        <v>45603</v>
      </c>
      <c r="C90" s="8">
        <f>VLOOKUP(B90,Tabla4[],2,FALSE)</f>
        <v>4389.7299999999996</v>
      </c>
      <c r="D90" s="24">
        <v>547.53</v>
      </c>
      <c r="E90" s="8">
        <f t="shared" si="12"/>
        <v>8.3115053999999997</v>
      </c>
      <c r="F90" s="8">
        <f>Tabla2[[#This Row],[VALOR INVERSION 1]]-7.7</f>
        <v>0.61150539999999953</v>
      </c>
      <c r="G90" s="8">
        <f>Tabla2[[#This Row],[VALOR INVERSION 1]]*Tabla2[[#This Row],[PRECIO DEL DÓLAR]]</f>
        <v>36485.264599541995</v>
      </c>
      <c r="H90" s="8">
        <f>Tabla2[[#This Row],[VOO]]*0.01527</f>
        <v>8.360783099999999</v>
      </c>
      <c r="I90" s="8">
        <f>Tabla2[[#This Row],[VALOR INVERSION 2]]-7.9</f>
        <v>0.46078309999999867</v>
      </c>
      <c r="J90" s="8">
        <f>Tabla2[[#This Row],[VALOR INVERSION 2]]*Tabla2[[#This Row],[PRECIO DEL DÓLAR]]</f>
        <v>36701.58039756299</v>
      </c>
      <c r="K90" s="8">
        <f>Tabla2[[#This Row],[VOO]]*0.01284</f>
        <v>7.0302851999999998</v>
      </c>
      <c r="L90" s="8">
        <f>Tabla2[[#This Row],[VALOR INVERSION 3]]-6.9</f>
        <v>0.13028519999999943</v>
      </c>
      <c r="M90" s="8">
        <f>Tabla2[[#This Row],[VALOR INVERSION 3]]*Tabla2[[#This Row],[PRECIO DEL DÓLAR]]</f>
        <v>30861.053850995995</v>
      </c>
    </row>
    <row r="91" spans="2:13">
      <c r="B91" s="1">
        <v>45604</v>
      </c>
      <c r="C91" s="8">
        <f>VLOOKUP(B91,Tabla4[],2,FALSE)</f>
        <v>4399.58</v>
      </c>
      <c r="D91" s="24">
        <v>549.95000000000005</v>
      </c>
      <c r="E91" s="8">
        <f>0.01518 * D91</f>
        <v>8.3482410000000016</v>
      </c>
      <c r="F91" s="8">
        <f>Tabla2[[#This Row],[VALOR INVERSION 1]]-7.7</f>
        <v>0.6482410000000014</v>
      </c>
      <c r="G91" s="8">
        <f>Tabla2[[#This Row],[VALOR INVERSION 1]]*Tabla2[[#This Row],[PRECIO DEL DÓLAR]]</f>
        <v>36728.754138780008</v>
      </c>
      <c r="H91" s="8">
        <f>Tabla2[[#This Row],[VOO]]*0.01527</f>
        <v>8.3977365000000006</v>
      </c>
      <c r="I91" s="8">
        <f>Tabla2[[#This Row],[VALOR INVERSION 2]]-7.9</f>
        <v>0.49773650000000025</v>
      </c>
      <c r="J91" s="8">
        <f>Tabla2[[#This Row],[VALOR INVERSION 2]]*Tabla2[[#This Row],[PRECIO DEL DÓLAR]]</f>
        <v>36946.513550670003</v>
      </c>
      <c r="K91" s="8">
        <f>Tabla2[[#This Row],[VOO]]*0.01284</f>
        <v>7.0613580000000011</v>
      </c>
      <c r="L91" s="8">
        <f>Tabla2[[#This Row],[VALOR INVERSION 3]]-6.9</f>
        <v>0.16135800000000078</v>
      </c>
      <c r="M91" s="8">
        <f>Tabla2[[#This Row],[VALOR INVERSION 3]]*Tabla2[[#This Row],[PRECIO DEL DÓLAR]]</f>
        <v>31067.009429640006</v>
      </c>
    </row>
    <row r="92" spans="2:13">
      <c r="B92" s="1">
        <v>45607</v>
      </c>
      <c r="C92" s="8">
        <f>VLOOKUP(B92,Tabla4[],2,FALSE)</f>
        <v>4346.7</v>
      </c>
      <c r="D92" s="24">
        <v>550.41999999999996</v>
      </c>
      <c r="E92" s="8">
        <f>0.01518 * D92</f>
        <v>8.3553756000000003</v>
      </c>
      <c r="F92" s="8">
        <f>Tabla2[[#This Row],[VALOR INVERSION 1]]-7.7</f>
        <v>0.65537560000000017</v>
      </c>
      <c r="G92" s="8">
        <f>Tabla2[[#This Row],[VALOR INVERSION 1]]*Tabla2[[#This Row],[PRECIO DEL DÓLAR]]</f>
        <v>36318.311120519997</v>
      </c>
      <c r="H92" s="8">
        <f>Tabla2[[#This Row],[VOO]]*0.01527</f>
        <v>8.4049133999999999</v>
      </c>
      <c r="I92" s="8">
        <f>Tabla2[[#This Row],[VALOR INVERSION 2]]-7.9</f>
        <v>0.50491339999999951</v>
      </c>
      <c r="J92" s="8">
        <f>Tabla2[[#This Row],[VALOR INVERSION 2]]*Tabla2[[#This Row],[PRECIO DEL DÓLAR]]</f>
        <v>36533.637075779996</v>
      </c>
      <c r="K92" s="8">
        <f>Tabla2[[#This Row],[VOO]]*0.01284</f>
        <v>7.0673927999999995</v>
      </c>
      <c r="L92" s="8">
        <f>Tabla2[[#This Row],[VALOR INVERSION 3]]-6.9</f>
        <v>0.16739279999999912</v>
      </c>
      <c r="M92" s="8">
        <f>Tabla2[[#This Row],[VALOR INVERSION 3]]*Tabla2[[#This Row],[PRECIO DEL DÓLAR]]</f>
        <v>30719.836283759996</v>
      </c>
    </row>
  </sheetData>
  <conditionalFormatting sqref="F3:F92">
    <cfRule type="cellIs" dxfId="28" priority="8" operator="greaterThan">
      <formula>0</formula>
    </cfRule>
    <cfRule type="cellIs" dxfId="27" priority="9" operator="lessThan">
      <formula>0</formula>
    </cfRule>
  </conditionalFormatting>
  <conditionalFormatting sqref="L75:L7999">
    <cfRule type="cellIs" dxfId="26" priority="1" operator="lessThan">
      <formula>0</formula>
    </cfRule>
    <cfRule type="cellIs" dxfId="25" priority="2" operator="greaterThan">
      <formula>0</formula>
    </cfRule>
  </conditionalFormatting>
  <conditionalFormatting sqref="I53:I8800">
    <cfRule type="cellIs" dxfId="24" priority="4" operator="greaterThan">
      <formula>0</formula>
    </cfRule>
    <cfRule type="cellIs" dxfId="23" priority="5" operator="lessThan">
      <formula>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2"/>
  <sheetViews>
    <sheetView topLeftCell="A33" workbookViewId="0">
      <selection activeCell="L52" sqref="L52"/>
    </sheetView>
  </sheetViews>
  <sheetFormatPr baseColWidth="10" defaultRowHeight="14.25"/>
  <cols>
    <col min="5" max="5" width="14.625" customWidth="1"/>
  </cols>
  <sheetData>
    <row r="2" spans="2:12">
      <c r="B2" s="5" t="s">
        <v>0</v>
      </c>
      <c r="C2" s="5" t="s">
        <v>1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12</v>
      </c>
      <c r="K2" s="5" t="s">
        <v>11</v>
      </c>
      <c r="L2" s="5"/>
    </row>
    <row r="3" spans="2:12">
      <c r="B3" s="1">
        <v>45460</v>
      </c>
      <c r="C3" s="3">
        <f>VLOOKUP(B3,Tabla4[],2,FALSE)</f>
        <v>4129.43</v>
      </c>
      <c r="D3" s="3">
        <v>5473.23</v>
      </c>
      <c r="E3" s="3">
        <v>17857.02</v>
      </c>
      <c r="F3" s="3">
        <v>62.62</v>
      </c>
      <c r="G3" s="3">
        <v>145.94999999999999</v>
      </c>
      <c r="H3" s="3">
        <v>167.5</v>
      </c>
      <c r="I3" s="3">
        <v>166.14</v>
      </c>
      <c r="J3" s="3"/>
      <c r="K3" s="3">
        <v>253.51</v>
      </c>
      <c r="L3" s="3"/>
    </row>
    <row r="4" spans="2:12">
      <c r="B4" s="1">
        <v>45461</v>
      </c>
      <c r="C4" s="3">
        <f>VLOOKUP(B4,Tabla4[],2,FALSE)</f>
        <v>4124.49</v>
      </c>
      <c r="D4" s="3">
        <v>5487.03</v>
      </c>
      <c r="E4" s="3">
        <v>19947.25</v>
      </c>
      <c r="F4" s="3">
        <v>62.63</v>
      </c>
      <c r="G4" s="3">
        <v>145.65</v>
      </c>
      <c r="H4" s="3">
        <v>168.56</v>
      </c>
      <c r="I4" s="3">
        <v>166.48</v>
      </c>
      <c r="J4" s="3"/>
      <c r="K4" s="3">
        <v>250.79</v>
      </c>
      <c r="L4" s="3"/>
    </row>
    <row r="5" spans="2:12">
      <c r="B5" s="1">
        <v>45462</v>
      </c>
      <c r="C5" s="3">
        <f>VLOOKUP(B5,Tabla4[],2,FALSE)</f>
        <v>4146.2</v>
      </c>
      <c r="D5" s="3">
        <v>5483.03</v>
      </c>
      <c r="E5" s="3">
        <v>19984.25</v>
      </c>
      <c r="F5" s="3">
        <v>62.63</v>
      </c>
      <c r="G5" s="3">
        <v>145.65</v>
      </c>
      <c r="H5" s="3">
        <v>168.56</v>
      </c>
      <c r="I5" s="3">
        <v>166.48</v>
      </c>
      <c r="J5" s="3"/>
      <c r="K5" s="3">
        <v>250.79</v>
      </c>
      <c r="L5" s="3"/>
    </row>
    <row r="6" spans="2:12">
      <c r="B6" s="1">
        <v>45463</v>
      </c>
      <c r="C6" s="3">
        <f>VLOOKUP(B6,Tabla4[],2,FALSE)</f>
        <v>4163.8</v>
      </c>
      <c r="D6" s="3">
        <v>5473.16</v>
      </c>
      <c r="E6" s="3">
        <v>19781.080000000002</v>
      </c>
      <c r="F6" s="3">
        <v>62.18</v>
      </c>
      <c r="G6" s="3">
        <v>147.78</v>
      </c>
      <c r="H6" s="3">
        <v>167.67</v>
      </c>
      <c r="I6" s="3">
        <v>166.68</v>
      </c>
      <c r="J6" s="3"/>
      <c r="K6" s="3">
        <v>253.8</v>
      </c>
      <c r="L6" s="3"/>
    </row>
    <row r="7" spans="2:12">
      <c r="B7" s="1">
        <v>45464</v>
      </c>
      <c r="C7" s="3">
        <f>VLOOKUP(B7,Tabla4[],2,FALSE)</f>
        <v>4167.01</v>
      </c>
      <c r="D7" s="3">
        <v>5464.61</v>
      </c>
      <c r="E7" s="3">
        <v>19734.099999999999</v>
      </c>
      <c r="F7" s="3">
        <v>62.77</v>
      </c>
      <c r="G7" s="3">
        <v>148.75</v>
      </c>
      <c r="H7" s="3">
        <v>168.26</v>
      </c>
      <c r="I7" s="3">
        <v>167.28</v>
      </c>
      <c r="J7" s="3"/>
      <c r="K7" s="3">
        <v>259.39</v>
      </c>
      <c r="L7" s="3"/>
    </row>
    <row r="8" spans="2:12">
      <c r="B8" s="1">
        <v>45467</v>
      </c>
      <c r="C8" s="3">
        <f>VLOOKUP(B8,Tabla4[],2,FALSE)</f>
        <v>4144.4799999999996</v>
      </c>
      <c r="D8" s="3">
        <v>5447.87</v>
      </c>
      <c r="E8" s="3">
        <v>19474.62</v>
      </c>
      <c r="F8" s="3">
        <v>63.97</v>
      </c>
      <c r="G8" s="3">
        <v>149.12</v>
      </c>
      <c r="H8" s="3">
        <v>168.45</v>
      </c>
      <c r="I8" s="3">
        <v>168.08</v>
      </c>
      <c r="J8" s="3"/>
      <c r="K8" s="3">
        <v>260.38</v>
      </c>
      <c r="L8" s="3"/>
    </row>
    <row r="9" spans="2:12">
      <c r="B9" s="1">
        <v>45468</v>
      </c>
      <c r="C9" s="3">
        <f>VLOOKUP(B9,Tabla4[],2,FALSE)</f>
        <v>4094.7</v>
      </c>
      <c r="D9" s="3">
        <v>5469.3</v>
      </c>
      <c r="E9" s="3">
        <v>19701.13</v>
      </c>
      <c r="F9" s="3">
        <v>63.84</v>
      </c>
      <c r="G9" s="3">
        <v>147.19</v>
      </c>
      <c r="H9" s="3">
        <v>166.85</v>
      </c>
      <c r="I9" s="3">
        <v>167.35</v>
      </c>
      <c r="J9" s="3"/>
      <c r="K9" s="3">
        <v>257.38</v>
      </c>
      <c r="L9" s="3"/>
    </row>
    <row r="10" spans="2:12">
      <c r="B10" s="1">
        <v>45469</v>
      </c>
      <c r="C10" s="3">
        <f>VLOOKUP(B10,Tabla4[],2,FALSE)</f>
        <v>4095.53</v>
      </c>
      <c r="D10" s="3">
        <v>5477.9</v>
      </c>
      <c r="E10" s="3">
        <v>19751.05</v>
      </c>
      <c r="F10" s="3">
        <v>64.05</v>
      </c>
      <c r="G10" s="3">
        <v>146.82</v>
      </c>
      <c r="H10" s="3">
        <v>167.45</v>
      </c>
      <c r="I10" s="3">
        <v>166.74</v>
      </c>
      <c r="J10" s="3"/>
      <c r="K10" s="3">
        <v>257.83</v>
      </c>
      <c r="L10" s="3"/>
    </row>
    <row r="11" spans="2:12">
      <c r="B11" s="1">
        <v>45470</v>
      </c>
      <c r="C11" s="3">
        <f>VLOOKUP(B11,Tabla4[],2,FALSE)</f>
        <v>4140.1899999999996</v>
      </c>
      <c r="D11" s="3">
        <v>5482.87</v>
      </c>
      <c r="E11" s="3">
        <v>19789.03</v>
      </c>
      <c r="F11" s="3">
        <v>63.91</v>
      </c>
      <c r="G11" s="3">
        <v>145.80000000000001</v>
      </c>
      <c r="H11" s="3">
        <v>166.62</v>
      </c>
      <c r="I11" s="3">
        <v>166.26</v>
      </c>
      <c r="J11" s="3"/>
      <c r="K11" s="3">
        <v>258.17</v>
      </c>
      <c r="L11" s="3"/>
    </row>
    <row r="12" spans="2:12">
      <c r="B12" s="1">
        <v>45471</v>
      </c>
      <c r="C12" s="3" t="e">
        <f>VLOOKUP(B12,Tabla4[],2,FALSE)</f>
        <v>#N/A</v>
      </c>
      <c r="D12" s="3">
        <v>5465.2</v>
      </c>
      <c r="E12" s="3">
        <v>19718.73</v>
      </c>
      <c r="F12" s="3">
        <v>63.59</v>
      </c>
      <c r="G12" s="3">
        <v>145.9</v>
      </c>
      <c r="H12" s="3">
        <v>164.68</v>
      </c>
      <c r="I12" s="3">
        <v>165.09</v>
      </c>
      <c r="J12" s="3"/>
      <c r="K12" s="3">
        <v>253.56</v>
      </c>
      <c r="L12" s="3"/>
    </row>
    <row r="13" spans="2:12">
      <c r="B13" s="1">
        <v>45474</v>
      </c>
      <c r="C13" s="3" t="e">
        <f>VLOOKUP(B13,Tabla4[],2,FALSE)</f>
        <v>#N/A</v>
      </c>
      <c r="D13" s="3">
        <v>5475.22</v>
      </c>
      <c r="E13" s="3">
        <v>19809</v>
      </c>
      <c r="F13" s="3">
        <v>63.32</v>
      </c>
      <c r="G13" s="3">
        <v>146.34</v>
      </c>
      <c r="H13" s="3">
        <v>162.9</v>
      </c>
      <c r="I13" s="3">
        <v>163.28</v>
      </c>
      <c r="J13" s="3"/>
      <c r="K13" s="3">
        <v>249.81</v>
      </c>
      <c r="L13" s="3"/>
    </row>
    <row r="14" spans="2:12">
      <c r="B14" s="1">
        <v>45475</v>
      </c>
      <c r="C14" s="3">
        <f>VLOOKUP(B14,Tabla4[],2,FALSE)</f>
        <v>4129.08</v>
      </c>
      <c r="D14" s="3">
        <v>5509.01</v>
      </c>
      <c r="E14" s="3">
        <v>20011.89</v>
      </c>
      <c r="F14" s="3">
        <v>63.15</v>
      </c>
      <c r="G14" s="3">
        <v>146.03</v>
      </c>
      <c r="H14" s="3">
        <v>163.9</v>
      </c>
      <c r="I14" s="3">
        <v>163.58000000000001</v>
      </c>
      <c r="J14" s="3"/>
      <c r="K14" s="3">
        <v>247.79</v>
      </c>
      <c r="L14" s="3"/>
    </row>
    <row r="15" spans="2:12">
      <c r="B15" s="1">
        <v>45476</v>
      </c>
      <c r="C15" s="3">
        <f>VLOOKUP(B15,Tabla4[],2,FALSE)</f>
        <v>4119.8999999999996</v>
      </c>
      <c r="D15" s="3">
        <v>5537.01</v>
      </c>
      <c r="E15" s="3">
        <v>20186.63</v>
      </c>
      <c r="F15" s="3">
        <v>63.33</v>
      </c>
      <c r="G15" s="3">
        <v>145.69</v>
      </c>
      <c r="H15" s="3">
        <v>163.83000000000001</v>
      </c>
      <c r="I15" s="3">
        <v>162.6</v>
      </c>
      <c r="J15" s="3">
        <v>460.77</v>
      </c>
      <c r="K15" s="3">
        <v>250</v>
      </c>
      <c r="L15" s="3"/>
    </row>
    <row r="16" spans="2:12">
      <c r="B16" s="1">
        <v>45477</v>
      </c>
      <c r="C16" s="3">
        <f>VLOOKUP(B16,Tabla4[],2,FALSE)</f>
        <v>4106.37</v>
      </c>
      <c r="D16" s="3">
        <v>5537.01</v>
      </c>
      <c r="E16" s="3">
        <v>20186.63</v>
      </c>
      <c r="F16" s="3">
        <v>63.33</v>
      </c>
      <c r="G16" s="3">
        <v>145.69</v>
      </c>
      <c r="H16" s="3">
        <v>163.83000000000001</v>
      </c>
      <c r="I16" s="3">
        <v>162.6</v>
      </c>
      <c r="J16" s="3">
        <v>460.77</v>
      </c>
      <c r="K16" s="3">
        <v>250</v>
      </c>
      <c r="L16" s="3"/>
    </row>
    <row r="17" spans="2:12">
      <c r="B17" s="1">
        <v>45478</v>
      </c>
      <c r="C17" s="3">
        <f>VLOOKUP(B17,Tabla4[],2,FALSE)</f>
        <v>4090.5</v>
      </c>
      <c r="D17" s="3">
        <v>5567.2</v>
      </c>
      <c r="E17" s="3">
        <v>20391.97</v>
      </c>
      <c r="F17" s="3">
        <v>63.76</v>
      </c>
      <c r="G17" s="3">
        <v>146.47999999999999</v>
      </c>
      <c r="H17" s="3">
        <v>165.21</v>
      </c>
      <c r="I17" s="3">
        <v>164.39</v>
      </c>
      <c r="J17" s="3">
        <v>467.56</v>
      </c>
      <c r="K17" s="3">
        <v>251.09</v>
      </c>
      <c r="L17" s="3"/>
    </row>
    <row r="18" spans="2:12">
      <c r="B18" s="1">
        <v>45481</v>
      </c>
      <c r="C18" s="3">
        <f>VLOOKUP(B18,Tabla4[],2,FALSE)</f>
        <v>4078.65</v>
      </c>
      <c r="D18" s="3">
        <v>5572.86</v>
      </c>
      <c r="E18" s="3">
        <v>20439.54</v>
      </c>
      <c r="F18" s="3">
        <v>62.96</v>
      </c>
      <c r="G18" s="3">
        <v>145.47999999999999</v>
      </c>
      <c r="H18" s="3">
        <v>166.52</v>
      </c>
      <c r="I18" s="3">
        <v>162.12</v>
      </c>
      <c r="J18" s="3">
        <v>466.24</v>
      </c>
      <c r="K18" s="3">
        <v>247.85</v>
      </c>
      <c r="L18" s="3"/>
    </row>
    <row r="19" spans="2:12">
      <c r="B19" s="1">
        <v>45482</v>
      </c>
      <c r="C19" s="3">
        <f>VLOOKUP(B19,Tabla4[],2,FALSE)</f>
        <v>4049.27</v>
      </c>
      <c r="D19" s="3">
        <v>5576.97</v>
      </c>
      <c r="E19" s="3">
        <v>20453.02</v>
      </c>
      <c r="F19" s="3">
        <v>62.69</v>
      </c>
      <c r="G19" s="3">
        <v>147.05000000000001</v>
      </c>
      <c r="H19" s="3">
        <v>165.66</v>
      </c>
      <c r="I19" s="3">
        <v>161.9</v>
      </c>
      <c r="J19" s="3">
        <v>459.54</v>
      </c>
      <c r="K19" s="3">
        <v>245.82</v>
      </c>
      <c r="L19" s="3"/>
    </row>
    <row r="20" spans="2:12">
      <c r="B20" s="1">
        <v>45483</v>
      </c>
      <c r="C20" s="3">
        <f>VLOOKUP(B20,Tabla4[],2,FALSE)</f>
        <v>4009.91</v>
      </c>
      <c r="D20" s="3">
        <v>5616.45</v>
      </c>
      <c r="E20" s="3">
        <v>20630.990000000002</v>
      </c>
      <c r="F20" s="3">
        <v>62.59</v>
      </c>
      <c r="G20" s="3">
        <v>148.62</v>
      </c>
      <c r="H20" s="3">
        <v>166.56</v>
      </c>
      <c r="I20" s="3">
        <v>162.91999999999999</v>
      </c>
      <c r="J20" s="3">
        <v>463.95</v>
      </c>
      <c r="K20" s="3">
        <v>248.89</v>
      </c>
      <c r="L20" s="3"/>
    </row>
    <row r="21" spans="2:12">
      <c r="B21" s="1">
        <v>45484</v>
      </c>
      <c r="C21" s="3">
        <f>VLOOKUP(B21,Tabla4[],2,FALSE)</f>
        <v>3955.21</v>
      </c>
      <c r="D21" s="3">
        <v>5584.55</v>
      </c>
      <c r="E21" s="3">
        <v>20211.36</v>
      </c>
      <c r="F21" s="3">
        <v>63.1</v>
      </c>
      <c r="G21" s="3">
        <v>149.69999999999999</v>
      </c>
      <c r="H21" s="3">
        <v>165.54</v>
      </c>
      <c r="I21" s="3">
        <v>163.95</v>
      </c>
      <c r="J21" s="3">
        <v>454.7</v>
      </c>
      <c r="K21" s="3">
        <v>254.8</v>
      </c>
      <c r="L21" s="3"/>
    </row>
    <row r="22" spans="2:12">
      <c r="B22" s="1">
        <v>45485</v>
      </c>
      <c r="C22" s="3">
        <f>VLOOKUP(B22,Tabla4[],2,FALSE)</f>
        <v>3975.25</v>
      </c>
      <c r="D22" s="3">
        <v>5615.34</v>
      </c>
      <c r="E22" s="3">
        <v>20331.490000000002</v>
      </c>
      <c r="F22" s="3">
        <v>63.72</v>
      </c>
      <c r="G22" s="3">
        <v>149.88999999999999</v>
      </c>
      <c r="H22" s="3">
        <v>166.61</v>
      </c>
      <c r="I22" s="3">
        <v>166.38</v>
      </c>
      <c r="J22" s="3">
        <v>453.55</v>
      </c>
      <c r="K22" s="3">
        <v>253.9</v>
      </c>
      <c r="L22" s="3"/>
    </row>
    <row r="23" spans="2:12">
      <c r="B23" s="1">
        <v>45488</v>
      </c>
      <c r="C23" s="3">
        <f>VLOOKUP(B23,Tabla4[],2,FALSE)</f>
        <v>3993.09</v>
      </c>
      <c r="D23" s="3">
        <v>5631.21</v>
      </c>
      <c r="E23" s="3">
        <v>20386.88</v>
      </c>
      <c r="F23" s="3">
        <v>63.41</v>
      </c>
      <c r="G23" s="3">
        <v>149.24</v>
      </c>
      <c r="H23" s="3">
        <v>164.58</v>
      </c>
      <c r="I23" s="3">
        <v>163.86</v>
      </c>
      <c r="J23" s="3">
        <v>453.96</v>
      </c>
      <c r="K23" s="3">
        <v>251.53</v>
      </c>
      <c r="L23" s="3"/>
    </row>
    <row r="24" spans="2:12">
      <c r="B24" s="1">
        <v>45489</v>
      </c>
      <c r="C24" s="3">
        <f>VLOOKUP(B24,Tabla4[],2,FALSE)</f>
        <v>3953.88</v>
      </c>
      <c r="D24" s="3">
        <v>5667.21</v>
      </c>
      <c r="E24" s="3">
        <v>20398.62</v>
      </c>
      <c r="F24" s="3">
        <v>64.27</v>
      </c>
      <c r="G24" s="3">
        <v>151.01</v>
      </c>
      <c r="H24" s="3">
        <v>166.95</v>
      </c>
      <c r="I24" s="3">
        <v>164.76</v>
      </c>
      <c r="J24" s="3">
        <v>449.52</v>
      </c>
      <c r="K24" s="3">
        <v>257.27</v>
      </c>
      <c r="L24" s="3"/>
    </row>
    <row r="25" spans="2:12">
      <c r="B25" s="1">
        <v>45490</v>
      </c>
      <c r="C25" s="3">
        <f>VLOOKUP(B25,Tabla4[],2,FALSE)</f>
        <v>3972.87</v>
      </c>
      <c r="D25" s="3">
        <v>5588.28</v>
      </c>
      <c r="E25" s="3">
        <v>19799.14</v>
      </c>
      <c r="F25" s="3">
        <v>65.209999999999994</v>
      </c>
      <c r="G25" s="3">
        <v>156.58000000000001</v>
      </c>
      <c r="H25" s="3">
        <v>169.44</v>
      </c>
      <c r="I25" s="3">
        <v>169.89</v>
      </c>
      <c r="J25" s="3">
        <v>443.52</v>
      </c>
      <c r="K25" s="3">
        <v>261</v>
      </c>
      <c r="L25" s="3"/>
    </row>
    <row r="26" spans="2:12">
      <c r="B26" s="1">
        <v>45491</v>
      </c>
      <c r="C26" s="3">
        <f>VLOOKUP(B26,Tabla4[],2,FALSE)</f>
        <v>3999.25</v>
      </c>
      <c r="D26" s="3">
        <v>5544.28</v>
      </c>
      <c r="E26" s="3">
        <v>19705.09</v>
      </c>
      <c r="F26" s="3">
        <v>65.19</v>
      </c>
      <c r="G26" s="3">
        <v>155.41999999999999</v>
      </c>
      <c r="H26" s="3">
        <v>168.44</v>
      </c>
      <c r="I26" s="3">
        <v>170.37</v>
      </c>
      <c r="J26" s="3">
        <v>440.37</v>
      </c>
      <c r="K26" s="3">
        <v>259.52</v>
      </c>
      <c r="L26" s="3"/>
    </row>
    <row r="27" spans="2:12">
      <c r="B27" s="1">
        <v>45492</v>
      </c>
      <c r="C27" s="3">
        <f>VLOOKUP(B27,Tabla4[],2,FALSE)</f>
        <v>4047.22</v>
      </c>
      <c r="D27" s="3">
        <v>5504.99</v>
      </c>
      <c r="E27" s="3">
        <v>19522.62</v>
      </c>
      <c r="F27" s="3">
        <v>65.290000000000006</v>
      </c>
      <c r="G27" s="3">
        <v>154.69</v>
      </c>
      <c r="H27" s="3">
        <v>167.96</v>
      </c>
      <c r="I27" s="3">
        <v>169.36</v>
      </c>
      <c r="J27" s="3">
        <v>437.11</v>
      </c>
      <c r="K27" s="3">
        <v>257.27999999999997</v>
      </c>
      <c r="L27" s="3"/>
    </row>
    <row r="28" spans="2:12">
      <c r="B28" s="1">
        <v>45495</v>
      </c>
      <c r="C28" s="3">
        <f>VLOOKUP(B28,Tabla4[],2,FALSE)</f>
        <v>4041.33</v>
      </c>
      <c r="D28" s="3">
        <v>5564.4</v>
      </c>
      <c r="E28" s="3">
        <v>19822.87</v>
      </c>
      <c r="F28" s="3">
        <v>64.77</v>
      </c>
      <c r="G28" s="3">
        <v>154.24</v>
      </c>
      <c r="H28" s="3">
        <v>168.25</v>
      </c>
      <c r="I28" s="3">
        <v>167.66</v>
      </c>
      <c r="J28" s="3">
        <v>442.94</v>
      </c>
      <c r="K28" s="3">
        <v>259.54000000000002</v>
      </c>
      <c r="L28" s="3"/>
    </row>
    <row r="29" spans="2:12">
      <c r="B29" s="1">
        <v>45496</v>
      </c>
      <c r="C29" s="3">
        <f>VLOOKUP(B29,Tabla4[],2,FALSE)</f>
        <v>3995.01</v>
      </c>
      <c r="D29" s="3">
        <v>5555.75</v>
      </c>
      <c r="E29" s="3">
        <v>19754.34</v>
      </c>
      <c r="F29" s="3">
        <v>64.959999999999994</v>
      </c>
      <c r="G29" s="3">
        <v>152.35</v>
      </c>
      <c r="H29" s="3">
        <v>166.62</v>
      </c>
      <c r="I29" s="3">
        <v>166.28</v>
      </c>
      <c r="J29" s="3">
        <v>444.85</v>
      </c>
      <c r="K29" s="3">
        <v>254.05</v>
      </c>
      <c r="L29" s="3"/>
    </row>
    <row r="30" spans="2:12">
      <c r="B30" s="1">
        <v>45497</v>
      </c>
      <c r="C30" s="3">
        <f>VLOOKUP(B30,Tabla4[],2,FALSE)</f>
        <v>4014.08</v>
      </c>
      <c r="D30" s="3">
        <v>5427.12</v>
      </c>
      <c r="E30" s="3">
        <v>19032.39</v>
      </c>
      <c r="F30" s="3">
        <v>65.81</v>
      </c>
      <c r="G30" s="3">
        <v>156.28</v>
      </c>
      <c r="H30" s="3">
        <v>168</v>
      </c>
      <c r="I30" s="3">
        <v>168.17</v>
      </c>
      <c r="J30" s="3">
        <v>428.9</v>
      </c>
      <c r="K30" s="3">
        <v>253.37</v>
      </c>
    </row>
    <row r="31" spans="2:12">
      <c r="B31" s="1">
        <v>45498</v>
      </c>
      <c r="C31" s="3">
        <f>VLOOKUP(B31,Tabla4[],2,FALSE)</f>
        <v>4044.19</v>
      </c>
      <c r="D31" s="3">
        <v>5399.23</v>
      </c>
      <c r="E31" s="3">
        <v>18830.580000000002</v>
      </c>
      <c r="F31" s="3">
        <v>66.069999999999993</v>
      </c>
      <c r="G31" s="3">
        <v>159.63999999999999</v>
      </c>
      <c r="H31" s="3">
        <v>166.9</v>
      </c>
      <c r="I31" s="3">
        <v>171.02</v>
      </c>
      <c r="J31" s="3">
        <v>418.4</v>
      </c>
      <c r="K31" s="3">
        <v>251.46</v>
      </c>
    </row>
    <row r="32" spans="2:12">
      <c r="B32" s="1">
        <v>45499</v>
      </c>
      <c r="C32" s="3">
        <f>VLOOKUP(B32,Tabla4[],2,FALSE)</f>
        <v>4042.31</v>
      </c>
      <c r="D32" s="3">
        <v>5459.09</v>
      </c>
      <c r="E32" s="3">
        <v>19023.66</v>
      </c>
      <c r="F32" s="3">
        <v>67.05</v>
      </c>
      <c r="G32" s="3">
        <v>160.63999999999999</v>
      </c>
      <c r="H32" s="3">
        <v>169.11</v>
      </c>
      <c r="I32" s="3">
        <v>172.75</v>
      </c>
      <c r="J32" s="3">
        <v>425.27</v>
      </c>
      <c r="K32" s="3">
        <v>252</v>
      </c>
    </row>
    <row r="33" spans="2:11">
      <c r="B33" s="1">
        <v>45502</v>
      </c>
      <c r="C33" s="3">
        <f>VLOOKUP(B33,Tabla4[],2,FALSE)</f>
        <v>4030.02</v>
      </c>
      <c r="D33" s="3">
        <v>5463.55</v>
      </c>
      <c r="E33" s="3">
        <v>19059.490000000002</v>
      </c>
      <c r="F33" s="3">
        <v>66.83</v>
      </c>
      <c r="G33" s="3">
        <v>158.56</v>
      </c>
      <c r="H33" s="3">
        <v>169.93</v>
      </c>
      <c r="I33" s="3">
        <v>173.21</v>
      </c>
      <c r="J33" s="3">
        <v>426.73</v>
      </c>
      <c r="K33" s="3">
        <v>261.42</v>
      </c>
    </row>
    <row r="34" spans="2:11">
      <c r="B34" s="1">
        <v>45503</v>
      </c>
      <c r="C34" s="3">
        <f>VLOOKUP(B34,Tabla4[],2,FALSE)</f>
        <v>4077.08</v>
      </c>
      <c r="D34" s="3">
        <v>5436.45</v>
      </c>
      <c r="E34" s="3">
        <v>18796.27</v>
      </c>
      <c r="F34" s="3">
        <v>67.680000000000007</v>
      </c>
      <c r="G34" s="3">
        <v>161.33000000000001</v>
      </c>
      <c r="H34" s="3">
        <v>161.69999999999999</v>
      </c>
      <c r="I34" s="3">
        <v>173.18</v>
      </c>
      <c r="J34" s="3">
        <v>422.92</v>
      </c>
      <c r="K34" s="3">
        <v>266.44</v>
      </c>
    </row>
    <row r="35" spans="2:11">
      <c r="B35" s="1">
        <v>45504</v>
      </c>
      <c r="C35" s="3">
        <f>VLOOKUP(B35,Tabla4[],2,FALSE)</f>
        <v>4077.07</v>
      </c>
      <c r="D35" s="3">
        <v>5522.29</v>
      </c>
      <c r="E35" s="3">
        <v>19362.43</v>
      </c>
      <c r="F35" s="3">
        <v>66.739999999999995</v>
      </c>
      <c r="G35" s="3">
        <v>157.85</v>
      </c>
      <c r="H35" s="3">
        <v>160.76</v>
      </c>
      <c r="I35" s="3">
        <v>172.67</v>
      </c>
      <c r="J35" s="3">
        <v>418.35</v>
      </c>
      <c r="K35" s="3">
        <v>265.39999999999998</v>
      </c>
    </row>
    <row r="36" spans="2:11">
      <c r="B36" s="1">
        <v>45505</v>
      </c>
      <c r="C36" s="3">
        <f>VLOOKUP(B36,Tabla4[],2,FALSE)</f>
        <v>4045.51</v>
      </c>
      <c r="D36" s="3">
        <v>5446.69</v>
      </c>
      <c r="E36" s="3">
        <v>18890.39</v>
      </c>
      <c r="F36" s="3">
        <v>67.959999999999994</v>
      </c>
      <c r="G36" s="3">
        <v>160.76</v>
      </c>
      <c r="H36" s="3">
        <v>165.69</v>
      </c>
      <c r="I36" s="3">
        <v>174.96</v>
      </c>
      <c r="J36" s="3">
        <v>417.11</v>
      </c>
      <c r="K36" s="3">
        <v>268.75</v>
      </c>
    </row>
    <row r="37" spans="2:11">
      <c r="B37" s="1">
        <v>45506</v>
      </c>
      <c r="C37" s="3">
        <f>VLOOKUP(B37,Tabla4[],2,FALSE)</f>
        <v>4064.07</v>
      </c>
      <c r="D37" s="3">
        <v>5346.55</v>
      </c>
      <c r="E37" s="3">
        <v>18440.849999999999</v>
      </c>
      <c r="F37" s="3">
        <v>69.33</v>
      </c>
      <c r="G37" s="3">
        <v>164.14</v>
      </c>
      <c r="H37" s="3">
        <v>170.08</v>
      </c>
      <c r="I37" s="3">
        <v>178.04</v>
      </c>
      <c r="J37" s="3">
        <v>408.49</v>
      </c>
      <c r="K37" s="3">
        <v>276.69</v>
      </c>
    </row>
    <row r="38" spans="2:11">
      <c r="B38" s="1">
        <v>45509</v>
      </c>
      <c r="C38" s="3">
        <f>VLOOKUP(B38,Tabla4[],2,FALSE)</f>
        <v>4116.91</v>
      </c>
      <c r="D38" s="3">
        <v>5186.34</v>
      </c>
      <c r="E38" s="3">
        <v>17895.16</v>
      </c>
      <c r="F38" s="3">
        <v>68.099999999999994</v>
      </c>
      <c r="G38" s="3">
        <v>161.25</v>
      </c>
      <c r="H38" s="3">
        <v>168.06</v>
      </c>
      <c r="I38" s="3">
        <v>174.04</v>
      </c>
      <c r="J38" s="3">
        <v>395.15</v>
      </c>
      <c r="K38" s="3">
        <v>268.45</v>
      </c>
    </row>
    <row r="39" spans="2:11">
      <c r="B39" s="1">
        <v>45510</v>
      </c>
      <c r="C39" s="3">
        <f>VLOOKUP(B39,Tabla4[],2,FALSE)</f>
        <v>4155.3100000000004</v>
      </c>
      <c r="D39" s="3">
        <v>5240.04</v>
      </c>
      <c r="E39" s="3">
        <v>18077.919999999998</v>
      </c>
      <c r="F39" s="3">
        <v>68.05</v>
      </c>
      <c r="G39" s="3">
        <v>158.97</v>
      </c>
      <c r="H39" s="3">
        <v>168.09</v>
      </c>
      <c r="I39" s="3">
        <v>172.49</v>
      </c>
      <c r="J39" s="3">
        <v>399.61</v>
      </c>
      <c r="K39" s="3">
        <v>270.06</v>
      </c>
    </row>
    <row r="40" spans="2:11">
      <c r="B40" s="1">
        <v>45511</v>
      </c>
      <c r="C40" s="3">
        <f>VLOOKUP(B40,Tabla4[],2,FALSE)</f>
        <v>4140.09</v>
      </c>
      <c r="D40" s="3">
        <v>5199.51</v>
      </c>
      <c r="E40" s="3">
        <v>17867.37</v>
      </c>
      <c r="F40" s="3">
        <v>68.459999999999994</v>
      </c>
      <c r="G40" s="3">
        <v>158.9</v>
      </c>
      <c r="H40" s="3">
        <v>170.02</v>
      </c>
      <c r="I40" s="3">
        <v>171.79</v>
      </c>
      <c r="J40" s="3">
        <v>398.43</v>
      </c>
      <c r="K40" s="3">
        <v>269.37</v>
      </c>
    </row>
    <row r="41" spans="2:11">
      <c r="B41" s="1">
        <v>45512</v>
      </c>
      <c r="C41" s="3">
        <f>VLOOKUP(B41,Tabla4[],2,FALSE)</f>
        <v>4148.24</v>
      </c>
      <c r="D41" s="3">
        <v>5319.3</v>
      </c>
      <c r="E41" s="3">
        <v>18413.82</v>
      </c>
      <c r="F41" s="3">
        <v>68.73</v>
      </c>
      <c r="G41" s="3">
        <v>160.22</v>
      </c>
      <c r="H41" s="3">
        <v>170.87</v>
      </c>
      <c r="I41" s="3">
        <v>172.37</v>
      </c>
      <c r="J41" s="3">
        <v>402.69</v>
      </c>
      <c r="K41" s="3">
        <v>271.19</v>
      </c>
    </row>
    <row r="42" spans="2:11">
      <c r="B42" s="1">
        <v>45513</v>
      </c>
      <c r="C42" s="3">
        <f>VLOOKUP(B42,Tabla4[],2,FALSE)</f>
        <v>4063.32</v>
      </c>
      <c r="D42" s="3">
        <v>5344.15</v>
      </c>
      <c r="E42" s="3">
        <v>18513.099999999999</v>
      </c>
      <c r="F42" s="3">
        <v>68.680000000000007</v>
      </c>
      <c r="G42" s="3">
        <v>160.62</v>
      </c>
      <c r="H42" s="3">
        <v>170.54</v>
      </c>
      <c r="I42" s="3">
        <v>172.39</v>
      </c>
      <c r="J42" s="3">
        <v>406.02</v>
      </c>
      <c r="K42" s="3">
        <v>267.91000000000003</v>
      </c>
    </row>
    <row r="43" spans="2:11">
      <c r="B43" s="1">
        <v>45516</v>
      </c>
      <c r="C43" s="3">
        <f>VLOOKUP(B43,Tabla4[],2,FALSE)</f>
        <v>4073.83</v>
      </c>
      <c r="D43" s="3">
        <v>5344.38</v>
      </c>
      <c r="E43" s="3">
        <v>18542.03</v>
      </c>
      <c r="F43" s="3">
        <v>68.17</v>
      </c>
      <c r="G43" s="3">
        <v>159.88</v>
      </c>
      <c r="H43" s="3">
        <v>166.81</v>
      </c>
      <c r="I43" s="3">
        <v>171.42</v>
      </c>
      <c r="J43" s="3">
        <v>406.06</v>
      </c>
      <c r="K43" s="3">
        <v>269.45999999999998</v>
      </c>
    </row>
    <row r="44" spans="2:11">
      <c r="B44" s="1">
        <v>45517</v>
      </c>
      <c r="C44" s="3">
        <f>VLOOKUP(B44,Tabla4[],2,FALSE)</f>
        <v>4046.96</v>
      </c>
      <c r="D44" s="3">
        <v>5434.44</v>
      </c>
      <c r="E44" s="3">
        <v>19006.43</v>
      </c>
      <c r="F44" s="3">
        <v>68.459999999999994</v>
      </c>
      <c r="G44" s="3">
        <v>158.38999999999999</v>
      </c>
      <c r="H44" s="3">
        <v>167.29</v>
      </c>
      <c r="I44" s="3">
        <v>172.37</v>
      </c>
      <c r="J44" s="3">
        <v>414.01</v>
      </c>
      <c r="K44" s="3">
        <v>270.31</v>
      </c>
    </row>
    <row r="45" spans="2:11">
      <c r="B45" s="1">
        <v>45518</v>
      </c>
      <c r="C45" s="3">
        <f>VLOOKUP(B45,Tabla4[],2,FALSE)</f>
        <v>4038.46</v>
      </c>
      <c r="D45" s="3">
        <v>5455.2</v>
      </c>
      <c r="E45" s="3">
        <v>19022.68</v>
      </c>
      <c r="F45" s="3">
        <v>68.58</v>
      </c>
      <c r="G45" s="3">
        <v>158.47999999999999</v>
      </c>
      <c r="H45" s="3">
        <v>168.8</v>
      </c>
      <c r="I45" s="3">
        <v>173.31</v>
      </c>
      <c r="J45" s="3">
        <v>416.86</v>
      </c>
      <c r="K45" s="3">
        <v>271.14999999999998</v>
      </c>
    </row>
    <row r="46" spans="2:11">
      <c r="B46" s="1">
        <v>45519</v>
      </c>
      <c r="C46" s="3">
        <f>VLOOKUP(B46,Tabla4[],2,FALSE)</f>
        <v>4037.16</v>
      </c>
      <c r="D46" s="3">
        <v>5543.21</v>
      </c>
      <c r="E46" s="3">
        <v>19490.150000000001</v>
      </c>
      <c r="F46" s="3">
        <v>68.650000000000006</v>
      </c>
      <c r="G46" s="3">
        <v>159.09</v>
      </c>
      <c r="H46" s="3">
        <v>167.92</v>
      </c>
      <c r="I46" s="3">
        <v>172.52</v>
      </c>
      <c r="J46" s="3">
        <v>421.03</v>
      </c>
      <c r="K46" s="3">
        <v>274.87</v>
      </c>
    </row>
    <row r="47" spans="2:11">
      <c r="B47" s="1">
        <v>45520</v>
      </c>
      <c r="C47" s="3">
        <f>VLOOKUP(B47,Tabla4[],2,FALSE)</f>
        <v>4014.8</v>
      </c>
      <c r="D47" s="3">
        <v>5554.26</v>
      </c>
      <c r="E47" s="3">
        <v>19508.52</v>
      </c>
      <c r="F47" s="3">
        <v>69.180000000000007</v>
      </c>
      <c r="G47" s="3">
        <v>159.38999999999999</v>
      </c>
      <c r="H47" s="3">
        <v>167.89</v>
      </c>
      <c r="I47" s="3">
        <v>172.62</v>
      </c>
      <c r="J47" s="3">
        <v>418.47</v>
      </c>
      <c r="K47" s="3">
        <v>278.49</v>
      </c>
    </row>
    <row r="48" spans="2:11">
      <c r="B48" s="1">
        <v>45523</v>
      </c>
      <c r="C48" s="3">
        <f>VLOOKUP(B48,Tabla4[],2,FALSE)</f>
        <v>4030.16</v>
      </c>
      <c r="D48" s="3">
        <v>5608.24</v>
      </c>
      <c r="E48" s="3">
        <v>19766.490000000002</v>
      </c>
      <c r="F48" s="3">
        <v>68.98</v>
      </c>
      <c r="G48" s="3">
        <v>159.63</v>
      </c>
      <c r="H48" s="3">
        <v>168.42</v>
      </c>
      <c r="I48" s="3">
        <v>173.82</v>
      </c>
      <c r="J48" s="3">
        <v>421.53</v>
      </c>
      <c r="K48" s="3">
        <v>287.55</v>
      </c>
    </row>
    <row r="49" spans="2:11">
      <c r="B49" s="1">
        <v>45524</v>
      </c>
      <c r="C49" s="3">
        <f>VLOOKUP(B49,Tabla4[],2,FALSE)</f>
        <v>4023.02</v>
      </c>
      <c r="D49" s="3">
        <v>5597.11</v>
      </c>
      <c r="E49" s="3">
        <v>19719.82</v>
      </c>
      <c r="F49" s="3">
        <v>69.38</v>
      </c>
      <c r="G49" s="3">
        <v>160.16</v>
      </c>
      <c r="H49" s="3">
        <v>170.41</v>
      </c>
      <c r="I49" s="3">
        <v>175.85</v>
      </c>
      <c r="J49" s="3">
        <v>424.8</v>
      </c>
      <c r="K49" s="3">
        <v>285.63</v>
      </c>
    </row>
    <row r="50" spans="2:11">
      <c r="B50" s="1">
        <v>45525</v>
      </c>
      <c r="C50" s="3">
        <f>VLOOKUP(B50,Tabla4[],2,FALSE)</f>
        <v>4010.2</v>
      </c>
      <c r="D50" s="3">
        <v>5620.94</v>
      </c>
      <c r="E50" s="3">
        <v>19824.84</v>
      </c>
      <c r="F50" s="3">
        <v>69.569999999999993</v>
      </c>
      <c r="G50" s="3">
        <v>161.43</v>
      </c>
      <c r="H50" s="3">
        <v>170.16</v>
      </c>
      <c r="I50" s="3">
        <v>175.21</v>
      </c>
      <c r="J50" s="3">
        <v>424.14</v>
      </c>
      <c r="K50" s="3">
        <v>289.70999999999998</v>
      </c>
    </row>
    <row r="51" spans="2:11">
      <c r="B51" s="1">
        <v>45526</v>
      </c>
      <c r="C51" s="3">
        <f>VLOOKUP(B51,Tabla4[],2,FALSE)</f>
        <v>4036.25</v>
      </c>
      <c r="D51" s="3">
        <v>5570.65</v>
      </c>
      <c r="E51" s="3">
        <v>19491.84</v>
      </c>
      <c r="F51" s="3">
        <v>69.33</v>
      </c>
      <c r="G51" s="3">
        <v>162.35</v>
      </c>
      <c r="H51" s="3">
        <v>170.15</v>
      </c>
      <c r="I51" s="3">
        <v>175.74</v>
      </c>
      <c r="J51" s="3">
        <v>415.55</v>
      </c>
      <c r="K51" s="3">
        <v>289.20999999999998</v>
      </c>
    </row>
    <row r="52" spans="2:11">
      <c r="B52" s="1">
        <v>45527</v>
      </c>
      <c r="C52" s="3">
        <f>VLOOKUP(B52,Tabla4[],2,FALSE)</f>
        <v>4069.62</v>
      </c>
      <c r="D52" s="3">
        <v>5634.6</v>
      </c>
      <c r="E52" s="3">
        <v>19720.87</v>
      </c>
      <c r="F52" s="3">
        <v>69.790000000000006</v>
      </c>
      <c r="G52" s="3">
        <v>164.13</v>
      </c>
      <c r="H52" s="3">
        <v>169.17</v>
      </c>
      <c r="I52" s="3">
        <v>175.87</v>
      </c>
      <c r="J52" s="3">
        <v>416.79</v>
      </c>
      <c r="K52" s="3">
        <v>289.52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4"/>
  <sheetViews>
    <sheetView workbookViewId="0">
      <selection activeCell="I18" sqref="I18"/>
    </sheetView>
  </sheetViews>
  <sheetFormatPr baseColWidth="10" defaultRowHeight="14.25"/>
  <cols>
    <col min="2" max="2" width="18.125" customWidth="1"/>
    <col min="3" max="3" width="18.625" customWidth="1"/>
    <col min="4" max="4" width="18.875" customWidth="1"/>
    <col min="5" max="5" width="18.625" customWidth="1"/>
    <col min="6" max="6" width="19.375" customWidth="1"/>
    <col min="7" max="7" width="20.75" customWidth="1"/>
    <col min="8" max="9" width="20.375" customWidth="1"/>
    <col min="10" max="10" width="13.125" customWidth="1"/>
    <col min="11" max="11" width="19.125" customWidth="1"/>
    <col min="12" max="12" width="20" customWidth="1"/>
    <col min="13" max="13" width="16.75" customWidth="1"/>
    <col min="14" max="14" width="27.25" customWidth="1"/>
    <col min="15" max="15" width="22.75" customWidth="1"/>
    <col min="16" max="16" width="21.75" customWidth="1"/>
    <col min="17" max="17" width="33.75" customWidth="1"/>
    <col min="18" max="18" width="30.625" customWidth="1"/>
    <col min="19" max="19" width="21.75" customWidth="1"/>
    <col min="20" max="20" width="17.875" customWidth="1"/>
  </cols>
  <sheetData>
    <row r="2" spans="2:20">
      <c r="B2" s="20" t="s">
        <v>67</v>
      </c>
      <c r="C2" s="20" t="s">
        <v>68</v>
      </c>
      <c r="D2" s="20" t="s">
        <v>69</v>
      </c>
      <c r="E2" s="20" t="s">
        <v>70</v>
      </c>
      <c r="F2" s="20" t="s">
        <v>71</v>
      </c>
      <c r="G2" s="20" t="s">
        <v>72</v>
      </c>
      <c r="H2" s="20" t="s">
        <v>73</v>
      </c>
      <c r="I2" s="20" t="s">
        <v>84</v>
      </c>
      <c r="J2" s="20" t="s">
        <v>74</v>
      </c>
      <c r="K2" s="20" t="s">
        <v>39</v>
      </c>
      <c r="L2" s="20" t="s">
        <v>75</v>
      </c>
      <c r="M2" s="20" t="s">
        <v>80</v>
      </c>
      <c r="N2" s="20" t="s">
        <v>81</v>
      </c>
      <c r="O2" s="20" t="s">
        <v>76</v>
      </c>
      <c r="P2" s="20" t="s">
        <v>77</v>
      </c>
      <c r="Q2" s="20" t="s">
        <v>82</v>
      </c>
      <c r="R2" s="20" t="s">
        <v>83</v>
      </c>
      <c r="S2" s="20" t="s">
        <v>78</v>
      </c>
      <c r="T2" s="20" t="s">
        <v>47</v>
      </c>
    </row>
    <row r="3" spans="2:20">
      <c r="B3" s="1">
        <f t="shared" ref="B3:B14" ca="1" si="0">TODAY()</f>
        <v>45607</v>
      </c>
      <c r="C3" s="19" t="e">
        <f ca="1">VLOOKUP(B3,Tabla1[],5,FALSE)</f>
        <v>#N/A</v>
      </c>
      <c r="D3" s="18" t="e">
        <f ca="1">VLOOKUP(B3,Tabla1[],6,FALSE)</f>
        <v>#N/A</v>
      </c>
      <c r="E3" s="18" t="e">
        <f ca="1">VLOOKUP(B3,Tabla1[],7,FALSE)</f>
        <v>#N/A</v>
      </c>
      <c r="F3" s="18" t="e">
        <f ca="1">VLOOKUP(B3,Tabla1[],8,FALSE)</f>
        <v>#N/A</v>
      </c>
      <c r="G3" s="18" t="e">
        <f ca="1">VLOOKUP(B3,Tabla1[],9,FALSE)</f>
        <v>#N/A</v>
      </c>
      <c r="H3" s="18" t="e">
        <f ca="1">VLOOKUP(B3,Tabla1[],10,FALSE)</f>
        <v>#N/A</v>
      </c>
      <c r="I3" s="18">
        <f ca="1">VLOOKUP(B3,Tabla2[],3,FALSE)</f>
        <v>550.41999999999996</v>
      </c>
      <c r="J3" s="18" t="s">
        <v>7</v>
      </c>
      <c r="K3" s="1">
        <v>45460</v>
      </c>
      <c r="L3" s="7">
        <v>62.62</v>
      </c>
      <c r="M3" s="7">
        <v>7</v>
      </c>
      <c r="N3" s="21">
        <f t="shared" ref="N3:N14" si="1">(M3/L3)</f>
        <v>0.11178537208559566</v>
      </c>
      <c r="O3" s="7" t="e">
        <f t="shared" ref="O3:O14" ca="1" si="2">ROUND(IF(J3="KO",N3*C3,IF(J3="JNJ",N3*D3,IF(J3="PG",N3*E3,IF(J3="PEP",N3*F3,IF(J3="MSFT",N3*G3,IF(J3="MCD",N3*H3,IF(J3="VOO",N3*I3,0))))))),2)</f>
        <v>#N/A</v>
      </c>
      <c r="P3" s="18"/>
      <c r="Q3" s="7"/>
      <c r="R3" s="7">
        <f t="shared" ref="R3:R14" si="3">ROUND(Q3*N3,2)</f>
        <v>0</v>
      </c>
      <c r="S3" s="7" t="e">
        <f t="shared" ref="S3:S14" ca="1" si="4">ROUND(O3-M3,2)</f>
        <v>#N/A</v>
      </c>
      <c r="T3" s="9" t="e">
        <f t="shared" ref="T3:T14" ca="1" si="5">ROUND((S3+R3)/M3,2)</f>
        <v>#N/A</v>
      </c>
    </row>
    <row r="4" spans="2:20">
      <c r="B4" s="1">
        <f t="shared" ca="1" si="0"/>
        <v>45607</v>
      </c>
      <c r="C4" s="19" t="e">
        <f ca="1">VLOOKUP(B4,Tabla1[],5,FALSE)</f>
        <v>#N/A</v>
      </c>
      <c r="D4" s="18" t="e">
        <f ca="1">VLOOKUP(B4,Tabla1[],6,FALSE)</f>
        <v>#N/A</v>
      </c>
      <c r="E4" s="18" t="e">
        <f ca="1">VLOOKUP(B4,Tabla1[],7,FALSE)</f>
        <v>#N/A</v>
      </c>
      <c r="F4" s="18" t="e">
        <f ca="1">VLOOKUP(B4,Tabla1[],8,FALSE)</f>
        <v>#N/A</v>
      </c>
      <c r="G4" s="18" t="e">
        <f ca="1">VLOOKUP(B4,Tabla1[],9,FALSE)</f>
        <v>#N/A</v>
      </c>
      <c r="H4" s="18" t="e">
        <f ca="1">VLOOKUP(B4,Tabla1[],10,FALSE)</f>
        <v>#N/A</v>
      </c>
      <c r="I4" s="18">
        <f ca="1">VLOOKUP(B4,Tabla2[],3,FALSE)</f>
        <v>550.41999999999996</v>
      </c>
      <c r="J4" s="18" t="s">
        <v>8</v>
      </c>
      <c r="K4" s="1">
        <v>45460</v>
      </c>
      <c r="L4" s="7">
        <v>145.94999999999999</v>
      </c>
      <c r="M4" s="7">
        <v>7</v>
      </c>
      <c r="N4" s="21">
        <f t="shared" si="1"/>
        <v>4.7961630695443652E-2</v>
      </c>
      <c r="O4" s="7" t="e">
        <f t="shared" ca="1" si="2"/>
        <v>#N/A</v>
      </c>
      <c r="P4" s="18"/>
      <c r="Q4" s="7"/>
      <c r="R4" s="7">
        <f t="shared" si="3"/>
        <v>0</v>
      </c>
      <c r="S4" s="7" t="e">
        <f t="shared" ca="1" si="4"/>
        <v>#N/A</v>
      </c>
      <c r="T4" s="9" t="e">
        <f t="shared" ca="1" si="5"/>
        <v>#N/A</v>
      </c>
    </row>
    <row r="5" spans="2:20">
      <c r="B5" s="1">
        <f t="shared" ca="1" si="0"/>
        <v>45607</v>
      </c>
      <c r="C5" s="19" t="e">
        <f ca="1">VLOOKUP(B5,Tabla1[],5,FALSE)</f>
        <v>#N/A</v>
      </c>
      <c r="D5" s="18" t="e">
        <f ca="1">VLOOKUP(B5,Tabla1[],6,FALSE)</f>
        <v>#N/A</v>
      </c>
      <c r="E5" s="18" t="e">
        <f ca="1">VLOOKUP(B5,Tabla1[],7,FALSE)</f>
        <v>#N/A</v>
      </c>
      <c r="F5" s="18" t="e">
        <f ca="1">VLOOKUP(B5,Tabla1[],8,FALSE)</f>
        <v>#N/A</v>
      </c>
      <c r="G5" s="18" t="e">
        <f ca="1">VLOOKUP(B5,Tabla1[],9,FALSE)</f>
        <v>#N/A</v>
      </c>
      <c r="H5" s="18" t="e">
        <f ca="1">VLOOKUP(B5,Tabla1[],10,FALSE)</f>
        <v>#N/A</v>
      </c>
      <c r="I5" s="18">
        <f ca="1">VLOOKUP(B5,Tabla2[],3,FALSE)</f>
        <v>550.41999999999996</v>
      </c>
      <c r="J5" s="18" t="s">
        <v>9</v>
      </c>
      <c r="K5" s="1">
        <v>45460</v>
      </c>
      <c r="L5" s="7">
        <v>167.5</v>
      </c>
      <c r="M5" s="7">
        <v>7</v>
      </c>
      <c r="N5" s="21">
        <f t="shared" si="1"/>
        <v>4.1791044776119404E-2</v>
      </c>
      <c r="O5" s="7" t="e">
        <f t="shared" ca="1" si="2"/>
        <v>#N/A</v>
      </c>
      <c r="P5" s="18"/>
      <c r="Q5" s="7"/>
      <c r="R5" s="7">
        <f t="shared" si="3"/>
        <v>0</v>
      </c>
      <c r="S5" s="7" t="e">
        <f t="shared" ca="1" si="4"/>
        <v>#N/A</v>
      </c>
      <c r="T5" s="9" t="e">
        <f t="shared" ca="1" si="5"/>
        <v>#N/A</v>
      </c>
    </row>
    <row r="6" spans="2:20">
      <c r="B6" s="1">
        <f t="shared" ca="1" si="0"/>
        <v>45607</v>
      </c>
      <c r="C6" s="19" t="e">
        <f ca="1">VLOOKUP(B6,Tabla1[],5,FALSE)</f>
        <v>#N/A</v>
      </c>
      <c r="D6" s="18" t="e">
        <f ca="1">VLOOKUP(B6,Tabla1[],6,FALSE)</f>
        <v>#N/A</v>
      </c>
      <c r="E6" s="18" t="e">
        <f ca="1">VLOOKUP(B6,Tabla1[],7,FALSE)</f>
        <v>#N/A</v>
      </c>
      <c r="F6" s="18" t="e">
        <f ca="1">VLOOKUP(B6,Tabla1[],8,FALSE)</f>
        <v>#N/A</v>
      </c>
      <c r="G6" s="18" t="e">
        <f ca="1">VLOOKUP(B6,Tabla1[],9,FALSE)</f>
        <v>#N/A</v>
      </c>
      <c r="H6" s="18" t="e">
        <f ca="1">VLOOKUP(B6,Tabla1[],10,FALSE)</f>
        <v>#N/A</v>
      </c>
      <c r="I6" s="18">
        <f ca="1">VLOOKUP(B6,Tabla2[],3,FALSE)</f>
        <v>550.41999999999996</v>
      </c>
      <c r="J6" s="18" t="s">
        <v>10</v>
      </c>
      <c r="K6" s="1">
        <v>45460</v>
      </c>
      <c r="L6" s="7">
        <v>166.14</v>
      </c>
      <c r="M6" s="7">
        <v>7</v>
      </c>
      <c r="N6" s="21">
        <f t="shared" si="1"/>
        <v>4.2133140724690023E-2</v>
      </c>
      <c r="O6" s="7" t="e">
        <f t="shared" ca="1" si="2"/>
        <v>#N/A</v>
      </c>
      <c r="P6" s="18"/>
      <c r="Q6" s="7"/>
      <c r="R6" s="7">
        <f t="shared" si="3"/>
        <v>0</v>
      </c>
      <c r="S6" s="7" t="e">
        <f t="shared" ca="1" si="4"/>
        <v>#N/A</v>
      </c>
      <c r="T6" s="9" t="e">
        <f t="shared" ca="1" si="5"/>
        <v>#N/A</v>
      </c>
    </row>
    <row r="7" spans="2:20">
      <c r="B7" s="1">
        <f t="shared" ca="1" si="0"/>
        <v>45607</v>
      </c>
      <c r="C7" s="19" t="e">
        <f ca="1">VLOOKUP(B7,Tabla1[],5,FALSE)</f>
        <v>#N/A</v>
      </c>
      <c r="D7" s="18" t="e">
        <f ca="1">VLOOKUP(B7,Tabla1[],6,FALSE)</f>
        <v>#N/A</v>
      </c>
      <c r="E7" s="18" t="e">
        <f ca="1">VLOOKUP(B7,Tabla1[],7,FALSE)</f>
        <v>#N/A</v>
      </c>
      <c r="F7" s="18" t="e">
        <f ca="1">VLOOKUP(B7,Tabla1[],8,FALSE)</f>
        <v>#N/A</v>
      </c>
      <c r="G7" s="18" t="e">
        <f ca="1">VLOOKUP(B7,Tabla1[],9,FALSE)</f>
        <v>#N/A</v>
      </c>
      <c r="H7" s="18" t="e">
        <f ca="1">VLOOKUP(B7,Tabla1[],10,FALSE)</f>
        <v>#N/A</v>
      </c>
      <c r="I7" s="18">
        <f ca="1">VLOOKUP(B7,Tabla2[],3,FALSE)</f>
        <v>550.41999999999996</v>
      </c>
      <c r="J7" s="18" t="s">
        <v>11</v>
      </c>
      <c r="K7" s="1">
        <v>45460</v>
      </c>
      <c r="L7" s="7">
        <v>253.51</v>
      </c>
      <c r="M7" s="7">
        <v>7</v>
      </c>
      <c r="N7" s="21">
        <f t="shared" si="1"/>
        <v>2.7612322985286576E-2</v>
      </c>
      <c r="O7" s="7" t="e">
        <f t="shared" ca="1" si="2"/>
        <v>#N/A</v>
      </c>
      <c r="P7" s="18"/>
      <c r="Q7" s="7"/>
      <c r="R7" s="7">
        <f t="shared" si="3"/>
        <v>0</v>
      </c>
      <c r="S7" s="7" t="e">
        <f ca="1">ROUND(O7-M7,2)</f>
        <v>#N/A</v>
      </c>
      <c r="T7" s="9" t="e">
        <f t="shared" ca="1" si="5"/>
        <v>#N/A</v>
      </c>
    </row>
    <row r="8" spans="2:20">
      <c r="B8" s="1">
        <f t="shared" ca="1" si="0"/>
        <v>45607</v>
      </c>
      <c r="C8" s="19" t="e">
        <f ca="1">VLOOKUP(B8,Tabla1[],5,FALSE)</f>
        <v>#N/A</v>
      </c>
      <c r="D8" s="18" t="e">
        <f ca="1">VLOOKUP(B8,Tabla1[],6,FALSE)</f>
        <v>#N/A</v>
      </c>
      <c r="E8" s="18" t="e">
        <f ca="1">VLOOKUP(B8,Tabla1[],7,FALSE)</f>
        <v>#N/A</v>
      </c>
      <c r="F8" s="18" t="e">
        <f ca="1">VLOOKUP(B8,Tabla1[],8,FALSE)</f>
        <v>#N/A</v>
      </c>
      <c r="G8" s="18" t="e">
        <f ca="1">VLOOKUP(B8,Tabla1[],9,FALSE)</f>
        <v>#N/A</v>
      </c>
      <c r="H8" s="18" t="e">
        <f ca="1">VLOOKUP(B8,Tabla1[],10,FALSE)</f>
        <v>#N/A</v>
      </c>
      <c r="I8" s="18">
        <f ca="1">VLOOKUP(B8,Tabla2[],3,FALSE)</f>
        <v>550.41999999999996</v>
      </c>
      <c r="J8" s="18" t="s">
        <v>13</v>
      </c>
      <c r="K8" s="1">
        <v>45478</v>
      </c>
      <c r="L8" s="7">
        <v>507.08</v>
      </c>
      <c r="M8" s="7">
        <v>7.7</v>
      </c>
      <c r="N8" s="21">
        <f t="shared" si="1"/>
        <v>1.5184980673660961E-2</v>
      </c>
      <c r="O8" s="7">
        <f ca="1">ROUND(IF(J8="KO",N8*C8,IF(J8="JNJ",N8*D8,IF(J8="PG",N8*E8,IF(J8="PEP",N8*F8,IF(J8="MSFT",N8*G8,IF(J8="MCD",N8*H8,IF(J8="VOO",N8*I8,0))))))),2)</f>
        <v>8.36</v>
      </c>
      <c r="P8" s="18"/>
      <c r="Q8" s="7"/>
      <c r="R8" s="7">
        <f t="shared" si="3"/>
        <v>0</v>
      </c>
      <c r="S8" s="7">
        <f t="shared" ca="1" si="4"/>
        <v>0.66</v>
      </c>
      <c r="T8" s="9">
        <f t="shared" ca="1" si="5"/>
        <v>0.09</v>
      </c>
    </row>
    <row r="9" spans="2:20">
      <c r="B9" s="1">
        <f t="shared" ca="1" si="0"/>
        <v>45607</v>
      </c>
      <c r="C9" s="19" t="e">
        <f ca="1">VLOOKUP(B9,Tabla1[],5,FALSE)</f>
        <v>#N/A</v>
      </c>
      <c r="D9" s="18" t="e">
        <f ca="1">VLOOKUP(B9,Tabla1[],6,FALSE)</f>
        <v>#N/A</v>
      </c>
      <c r="E9" s="18" t="e">
        <f ca="1">VLOOKUP(B9,Tabla1[],7,FALSE)</f>
        <v>#N/A</v>
      </c>
      <c r="F9" s="18" t="e">
        <f ca="1">VLOOKUP(B9,Tabla1[],8,FALSE)</f>
        <v>#N/A</v>
      </c>
      <c r="G9" s="18" t="e">
        <f ca="1">VLOOKUP(B9,Tabla1[],9,FALSE)</f>
        <v>#N/A</v>
      </c>
      <c r="H9" s="18" t="e">
        <f ca="1">VLOOKUP(B9,Tabla1[],10,FALSE)</f>
        <v>#N/A</v>
      </c>
      <c r="I9" s="18">
        <f ca="1">VLOOKUP(B9,Tabla2[],3,FALSE)</f>
        <v>550.41999999999996</v>
      </c>
      <c r="J9" s="18" t="s">
        <v>7</v>
      </c>
      <c r="K9" s="1">
        <v>45490</v>
      </c>
      <c r="L9" s="7">
        <v>65.209999999999994</v>
      </c>
      <c r="M9" s="7">
        <v>7</v>
      </c>
      <c r="N9" s="21">
        <f t="shared" si="1"/>
        <v>0.10734549915657109</v>
      </c>
      <c r="O9" s="7" t="e">
        <f t="shared" ca="1" si="2"/>
        <v>#N/A</v>
      </c>
      <c r="P9" s="18"/>
      <c r="Q9" s="7"/>
      <c r="R9" s="7">
        <f t="shared" si="3"/>
        <v>0</v>
      </c>
      <c r="S9" s="7" t="e">
        <f t="shared" ca="1" si="4"/>
        <v>#N/A</v>
      </c>
      <c r="T9" s="9" t="e">
        <f t="shared" ca="1" si="5"/>
        <v>#N/A</v>
      </c>
    </row>
    <row r="10" spans="2:20">
      <c r="B10" s="1">
        <f t="shared" ca="1" si="0"/>
        <v>45607</v>
      </c>
      <c r="C10" s="19" t="e">
        <f ca="1">VLOOKUP(B10,Tabla1[],5,FALSE)</f>
        <v>#N/A</v>
      </c>
      <c r="D10" s="18" t="e">
        <f ca="1">VLOOKUP(B10,Tabla1[],6,FALSE)</f>
        <v>#N/A</v>
      </c>
      <c r="E10" s="18" t="e">
        <f ca="1">VLOOKUP(B10,Tabla1[],7,FALSE)</f>
        <v>#N/A</v>
      </c>
      <c r="F10" s="18" t="e">
        <f ca="1">VLOOKUP(B10,Tabla1[],8,FALSE)</f>
        <v>#N/A</v>
      </c>
      <c r="G10" s="18" t="e">
        <f ca="1">VLOOKUP(B10,Tabla1[],9,FALSE)</f>
        <v>#N/A</v>
      </c>
      <c r="H10" s="18" t="e">
        <f ca="1">VLOOKUP(B10,Tabla1[],10,FALSE)</f>
        <v>#N/A</v>
      </c>
      <c r="I10" s="18">
        <f ca="1">VLOOKUP(B10,Tabla2[],3,FALSE)</f>
        <v>550.41999999999996</v>
      </c>
      <c r="J10" s="18" t="s">
        <v>8</v>
      </c>
      <c r="K10" s="1">
        <v>45490</v>
      </c>
      <c r="L10" s="7">
        <v>156.58000000000001</v>
      </c>
      <c r="M10" s="7">
        <v>7</v>
      </c>
      <c r="N10" s="21">
        <f t="shared" si="1"/>
        <v>4.4705581811214708E-2</v>
      </c>
      <c r="O10" s="7" t="e">
        <f t="shared" ca="1" si="2"/>
        <v>#N/A</v>
      </c>
      <c r="P10" s="18"/>
      <c r="Q10" s="7"/>
      <c r="R10" s="7">
        <f t="shared" si="3"/>
        <v>0</v>
      </c>
      <c r="S10" s="7" t="e">
        <f t="shared" ca="1" si="4"/>
        <v>#N/A</v>
      </c>
      <c r="T10" s="9" t="e">
        <f t="shared" ca="1" si="5"/>
        <v>#N/A</v>
      </c>
    </row>
    <row r="11" spans="2:20">
      <c r="B11" s="1">
        <f t="shared" ca="1" si="0"/>
        <v>45607</v>
      </c>
      <c r="C11" s="19" t="e">
        <f ca="1">VLOOKUP(B11,Tabla1[],5,FALSE)</f>
        <v>#N/A</v>
      </c>
      <c r="D11" s="18" t="e">
        <f ca="1">VLOOKUP(B11,Tabla1[],6,FALSE)</f>
        <v>#N/A</v>
      </c>
      <c r="E11" s="18" t="e">
        <f ca="1">VLOOKUP(B11,Tabla1[],7,FALSE)</f>
        <v>#N/A</v>
      </c>
      <c r="F11" s="18" t="e">
        <f ca="1">VLOOKUP(B11,Tabla1[],8,FALSE)</f>
        <v>#N/A</v>
      </c>
      <c r="G11" s="18" t="e">
        <f ca="1">VLOOKUP(B11,Tabla1[],9,FALSE)</f>
        <v>#N/A</v>
      </c>
      <c r="H11" s="18" t="e">
        <f ca="1">VLOOKUP(B11,Tabla1[],10,FALSE)</f>
        <v>#N/A</v>
      </c>
      <c r="I11" s="18">
        <f ca="1">VLOOKUP(B11,Tabla2[],3,FALSE)</f>
        <v>550.41999999999996</v>
      </c>
      <c r="J11" s="18" t="s">
        <v>9</v>
      </c>
      <c r="K11" s="1">
        <v>45490</v>
      </c>
      <c r="L11" s="7">
        <v>169.44</v>
      </c>
      <c r="M11" s="7">
        <v>7</v>
      </c>
      <c r="N11" s="21">
        <f t="shared" si="1"/>
        <v>4.1312559017941453E-2</v>
      </c>
      <c r="O11" s="7" t="e">
        <f t="shared" ca="1" si="2"/>
        <v>#N/A</v>
      </c>
      <c r="P11" s="18"/>
      <c r="Q11" s="7"/>
      <c r="R11" s="7">
        <f t="shared" si="3"/>
        <v>0</v>
      </c>
      <c r="S11" s="7" t="e">
        <f t="shared" ca="1" si="4"/>
        <v>#N/A</v>
      </c>
      <c r="T11" s="9" t="e">
        <f t="shared" ca="1" si="5"/>
        <v>#N/A</v>
      </c>
    </row>
    <row r="12" spans="2:20">
      <c r="B12" s="1">
        <f t="shared" ca="1" si="0"/>
        <v>45607</v>
      </c>
      <c r="C12" s="19" t="e">
        <f ca="1">VLOOKUP(B12,Tabla1[],5,FALSE)</f>
        <v>#N/A</v>
      </c>
      <c r="D12" s="18" t="e">
        <f ca="1">VLOOKUP(B12,Tabla1[],6,FALSE)</f>
        <v>#N/A</v>
      </c>
      <c r="E12" s="18" t="e">
        <f ca="1">VLOOKUP(B12,Tabla1[],7,FALSE)</f>
        <v>#N/A</v>
      </c>
      <c r="F12" s="18" t="e">
        <f ca="1">VLOOKUP(B12,Tabla1[],8,FALSE)</f>
        <v>#N/A</v>
      </c>
      <c r="G12" s="18" t="e">
        <f ca="1">VLOOKUP(B12,Tabla1[],9,FALSE)</f>
        <v>#N/A</v>
      </c>
      <c r="H12" s="18" t="e">
        <f ca="1">VLOOKUP(B12,Tabla1[],10,FALSE)</f>
        <v>#N/A</v>
      </c>
      <c r="I12" s="18">
        <f ca="1">VLOOKUP(B12,Tabla2[],3,FALSE)</f>
        <v>550.41999999999996</v>
      </c>
      <c r="J12" s="18" t="s">
        <v>10</v>
      </c>
      <c r="K12" s="1">
        <v>45490</v>
      </c>
      <c r="L12" s="7">
        <v>169.89</v>
      </c>
      <c r="M12" s="7">
        <v>7</v>
      </c>
      <c r="N12" s="21">
        <f t="shared" si="1"/>
        <v>4.1203131437989288E-2</v>
      </c>
      <c r="O12" s="7" t="e">
        <f t="shared" ca="1" si="2"/>
        <v>#N/A</v>
      </c>
      <c r="P12" s="18"/>
      <c r="Q12" s="7"/>
      <c r="R12" s="7">
        <f t="shared" si="3"/>
        <v>0</v>
      </c>
      <c r="S12" s="7" t="e">
        <f t="shared" ca="1" si="4"/>
        <v>#N/A</v>
      </c>
      <c r="T12" s="9" t="e">
        <f t="shared" ca="1" si="5"/>
        <v>#N/A</v>
      </c>
    </row>
    <row r="13" spans="2:20">
      <c r="B13" s="1">
        <f t="shared" ca="1" si="0"/>
        <v>45607</v>
      </c>
      <c r="C13" s="19" t="e">
        <f ca="1">VLOOKUP(B13,Tabla1[],5,FALSE)</f>
        <v>#N/A</v>
      </c>
      <c r="D13" s="18" t="e">
        <f ca="1">VLOOKUP(B13,Tabla1[],6,FALSE)</f>
        <v>#N/A</v>
      </c>
      <c r="E13" s="18" t="e">
        <f ca="1">VLOOKUP(B13,Tabla1[],7,FALSE)</f>
        <v>#N/A</v>
      </c>
      <c r="F13" s="18" t="e">
        <f ca="1">VLOOKUP(B13,Tabla1[],8,FALSE)</f>
        <v>#N/A</v>
      </c>
      <c r="G13" s="18" t="e">
        <f ca="1">VLOOKUP(B13,Tabla1[],9,FALSE)</f>
        <v>#N/A</v>
      </c>
      <c r="H13" s="18" t="e">
        <f ca="1">VLOOKUP(B13,Tabla1[],10,FALSE)</f>
        <v>#N/A</v>
      </c>
      <c r="I13" s="18">
        <f ca="1">VLOOKUP(B13,Tabla2[],3,FALSE)</f>
        <v>550.41999999999996</v>
      </c>
      <c r="J13" s="18" t="s">
        <v>11</v>
      </c>
      <c r="K13" s="1">
        <v>45490</v>
      </c>
      <c r="L13" s="7">
        <v>261</v>
      </c>
      <c r="M13" s="7">
        <v>7</v>
      </c>
      <c r="N13" s="21">
        <f t="shared" si="1"/>
        <v>2.681992337164751E-2</v>
      </c>
      <c r="O13" s="7" t="e">
        <f t="shared" ca="1" si="2"/>
        <v>#N/A</v>
      </c>
      <c r="P13" s="18"/>
      <c r="Q13" s="7"/>
      <c r="R13" s="7">
        <f t="shared" si="3"/>
        <v>0</v>
      </c>
      <c r="S13" s="7" t="e">
        <f t="shared" ca="1" si="4"/>
        <v>#N/A</v>
      </c>
      <c r="T13" s="9" t="e">
        <f t="shared" ca="1" si="5"/>
        <v>#N/A</v>
      </c>
    </row>
    <row r="14" spans="2:20">
      <c r="B14" s="1">
        <f t="shared" ca="1" si="0"/>
        <v>45607</v>
      </c>
      <c r="C14" s="19" t="e">
        <f ca="1">VLOOKUP(B14,Tabla1[],5,FALSE)</f>
        <v>#N/A</v>
      </c>
      <c r="D14" s="18" t="e">
        <f ca="1">VLOOKUP(B14,Tabla1[],6,FALSE)</f>
        <v>#N/A</v>
      </c>
      <c r="E14" s="18" t="e">
        <f ca="1">VLOOKUP(B14,Tabla1[],7,FALSE)</f>
        <v>#N/A</v>
      </c>
      <c r="F14" s="18" t="e">
        <f ca="1">VLOOKUP(B14,Tabla1[],8,FALSE)</f>
        <v>#N/A</v>
      </c>
      <c r="G14" s="18" t="e">
        <f ca="1">VLOOKUP(B14,Tabla1[],9,FALSE)</f>
        <v>#N/A</v>
      </c>
      <c r="H14" s="18" t="e">
        <f ca="1">VLOOKUP(B14,Tabla1[],10,FALSE)</f>
        <v>#N/A</v>
      </c>
      <c r="I14" s="18">
        <f ca="1">VLOOKUP(B14,Tabla2[],3,FALSE)</f>
        <v>550.41999999999996</v>
      </c>
      <c r="J14" s="18" t="s">
        <v>12</v>
      </c>
      <c r="K14" s="1">
        <v>45490</v>
      </c>
      <c r="L14" s="7">
        <v>443.52</v>
      </c>
      <c r="M14" s="7">
        <v>7</v>
      </c>
      <c r="N14" s="21">
        <f t="shared" si="1"/>
        <v>1.5782828282828284E-2</v>
      </c>
      <c r="O14" s="7" t="e">
        <f t="shared" ca="1" si="2"/>
        <v>#N/A</v>
      </c>
      <c r="P14" s="18"/>
      <c r="Q14" s="7"/>
      <c r="R14" s="7">
        <f t="shared" si="3"/>
        <v>0</v>
      </c>
      <c r="S14" s="7" t="e">
        <f t="shared" ca="1" si="4"/>
        <v>#N/A</v>
      </c>
      <c r="T14" s="9" t="e">
        <f t="shared" ca="1" si="5"/>
        <v>#N/A</v>
      </c>
    </row>
  </sheetData>
  <conditionalFormatting sqref="S1:S1048576">
    <cfRule type="colorScale" priority="1">
      <colorScale>
        <cfvo type="num" val="0"/>
        <cfvo type="num" val="0"/>
        <color rgb="FFFF3B3B"/>
        <color rgb="FF92D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I3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PORTAFOLIO</vt:lpstr>
      <vt:lpstr>Reporte mes cuenta de ahorro</vt:lpstr>
      <vt:lpstr>CRIPTOS</vt:lpstr>
      <vt:lpstr>reportePorCompra</vt:lpstr>
      <vt:lpstr>USDT</vt:lpstr>
      <vt:lpstr>inventarioCripto</vt:lpstr>
      <vt:lpstr>Inv Bolsa</vt:lpstr>
      <vt:lpstr>BOLSA</vt:lpstr>
      <vt:lpstr>simulacionBolsa</vt:lpstr>
      <vt:lpstr>BOLSA</vt:lpstr>
      <vt:lpstr>PRECIOS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carrero</dc:creator>
  <cp:lastModifiedBy>DILZA RAMIREZ</cp:lastModifiedBy>
  <dcterms:created xsi:type="dcterms:W3CDTF">2024-04-08T04:15:12Z</dcterms:created>
  <dcterms:modified xsi:type="dcterms:W3CDTF">2024-11-11T22:09:18Z</dcterms:modified>
</cp:coreProperties>
</file>