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K74" i="7"/>
  <c r="L74" i="7" s="1"/>
  <c r="K75" i="7"/>
  <c r="L75" i="7" s="1"/>
  <c r="K76" i="7"/>
  <c r="L76" i="7" s="1"/>
  <c r="H74" i="7"/>
  <c r="L9" i="7"/>
  <c r="L17" i="7"/>
  <c r="L25" i="7"/>
  <c r="L33" i="7"/>
  <c r="L41" i="7"/>
  <c r="L49" i="7"/>
  <c r="L57" i="7"/>
  <c r="L65" i="7"/>
  <c r="L73" i="7"/>
  <c r="C76" i="7"/>
  <c r="E76" i="7"/>
  <c r="F76" i="7" s="1"/>
  <c r="H76" i="7"/>
  <c r="I76" i="7" s="1"/>
  <c r="C75" i="7"/>
  <c r="M75" i="7" s="1"/>
  <c r="E75" i="7"/>
  <c r="F75" i="7" s="1"/>
  <c r="H75" i="7"/>
  <c r="M76" i="7" l="1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J16" i="10" s="1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L16" i="10" l="1"/>
  <c r="K16" i="10"/>
  <c r="G71" i="7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J15" i="10" s="1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L15" i="10"/>
  <c r="K15" i="10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J14" i="10" s="1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K14" i="10" l="1"/>
  <c r="L14" i="10"/>
  <c r="V59" i="9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J13" i="10" s="1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K13" i="10" l="1"/>
  <c r="L13" i="10"/>
  <c r="C56" i="9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L12" i="10" s="1"/>
  <c r="F12" i="10"/>
  <c r="J12" i="10" s="1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K12" i="10" l="1"/>
  <c r="F53" i="9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J11" i="10" s="1"/>
  <c r="G11" i="10"/>
  <c r="M11" i="10"/>
  <c r="B50" i="9"/>
  <c r="C50" i="9" s="1"/>
  <c r="I50" i="9"/>
  <c r="L50" i="9" s="1"/>
  <c r="W50" i="9" s="1"/>
  <c r="U50" i="9"/>
  <c r="Y50" i="9" s="1"/>
  <c r="J50" i="7" l="1"/>
  <c r="M50" i="7"/>
  <c r="L11" i="10"/>
  <c r="K11" i="10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J10" i="10" s="1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L10" i="10"/>
  <c r="K10" i="10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J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J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K7" i="10" s="1"/>
  <c r="F7" i="10"/>
  <c r="J7" i="10" s="1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L9" i="10"/>
  <c r="K9" i="10"/>
  <c r="L8" i="10"/>
  <c r="K8" i="10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L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15" i="7" l="1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L3" i="10" l="1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<sst xmlns="http://schemas.openxmlformats.org/spreadsheetml/2006/main" count="342" uniqueCount="124">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</sst>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</cellXfs>
  <cellStyles count="3">
    <cellStyle name="Moneda" xfId="2" builtinId="4"/>
    <cellStyle name="Normal" xfId="0" builtinId="0"/>
    <cellStyle name="Porcentaje" xfId="1" builtinId="5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3"/>
      <tableStyleElement type="headerRow" dxfId="132"/>
      <tableStyleElement type="secondRowStripe" dxfId="131"/>
    </tableStyle>
    <tableStyle name="Estilo de tabla 2" pivot="0" count="5">
      <tableStyleElement type="wholeTable" dxfId="130"/>
      <tableStyleElement type="headerRow" dxfId="129"/>
      <tableStyleElement type="firstRowStripe" dxfId="128"/>
      <tableStyleElement type="secondRowStripe" dxfId="127"/>
      <tableStyleElement type="firstColumnStripe" dxfId="126"/>
    </tableStyle>
    <tableStyle name="Estilo de tabla 3" pivot="0" count="3">
      <tableStyleElement type="headerRow" dxfId="125"/>
      <tableStyleElement type="firstRowStripe" dxfId="124"/>
      <tableStyleElement type="secondRowStripe" dxfId="123"/>
    </tableStyle>
    <tableStyle name="Estilo de tabla 4" pivot="0" count="4">
      <tableStyleElement type="wholeTable" dxfId="122"/>
      <tableStyleElement type="headerRow" dxfId="121"/>
      <tableStyleElement type="firstRowStripe" dxfId="120"/>
      <tableStyleElement type="secondRowStripe" dxfId="119"/>
    </tableStyle>
    <tableStyle name="Estilo de tabla 5" pivot="0" count="4">
      <tableStyleElement type="wholeTable" dxfId="118"/>
      <tableStyleElement type="headerRow" dxfId="117"/>
      <tableStyleElement type="firstRowStripe" dxfId="116"/>
      <tableStyleElement type="secondRowStripe" dxfId="115"/>
    </tableStyle>
  </tableStyles>
  <colors>
    <mruColors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CRIPTOS!$B$3:$B$179</c:f>
              <c:numCache>
                <c:formatCode>m/d/yyyy</c:formatCode>
                <c:ptCount val="17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</c:numCache>
            </c:numRef>
          </c:cat>
          <c:val>
            <c:numRef>
              <c:f>CRIPTOS!$C$3:$C$179</c:f>
              <c:numCache>
                <c:formatCode>_-[$$-240A]\ * #,##0.00_-;\-[$$-240A]\ * #,##0.00_-;_-[$$-240A]\ * "-"??_-;_-@_-</c:formatCode>
                <c:ptCount val="177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CRIPTOS!$B$3:$B$179</c:f>
              <c:numCache>
                <c:formatCode>m/d/yyyy</c:formatCode>
                <c:ptCount val="17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</c:numCache>
            </c:numRef>
          </c:cat>
          <c:val>
            <c:numRef>
              <c:f>CRIPTOS!$D$3:$D$179</c:f>
              <c:numCache>
                <c:formatCode>_-[$$-240A]\ * #,##0.00_-;\-[$$-240A]\ * #,##0.00_-;_-[$$-240A]\ * "-"??_-;_-@_-</c:formatCode>
                <c:ptCount val="177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CRIPTOS!$B$3:$B$179</c:f>
              <c:numCache>
                <c:formatCode>m/d/yyyy</c:formatCode>
                <c:ptCount val="17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</c:numCache>
            </c:numRef>
          </c:cat>
          <c:val>
            <c:numRef>
              <c:f>CRIPTOS!$E$3:$E$179</c:f>
              <c:numCache>
                <c:formatCode>_-[$$-240A]\ * #,##0.00_-;\-[$$-240A]\ * #,##0.00_-;_-[$$-240A]\ * "-"??_-;_-@_-</c:formatCode>
                <c:ptCount val="177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CRIPTOS!$B$3:$B$179</c:f>
              <c:numCache>
                <c:formatCode>m/d/yyyy</c:formatCode>
                <c:ptCount val="17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</c:numCache>
            </c:numRef>
          </c:cat>
          <c:val>
            <c:numRef>
              <c:f>CRIPTOS!$F$3:$F$179</c:f>
              <c:numCache>
                <c:formatCode>_-[$$-240A]\ * #,##0.00_-;\-[$$-240A]\ * #,##0.00_-;_-[$$-240A]\ * "-"??_-;_-@_-</c:formatCode>
                <c:ptCount val="177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CRIPTOS!$B$3:$B$179</c:f>
              <c:numCache>
                <c:formatCode>m/d/yyyy</c:formatCode>
                <c:ptCount val="17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</c:numCache>
            </c:numRef>
          </c:cat>
          <c:val>
            <c:numRef>
              <c:f>CRIPTOS!$G$3:$G$179</c:f>
              <c:numCache>
                <c:formatCode>_-[$$-240A]\ * #,##0.00_-;\-[$$-240A]\ * #,##0.00_-;_-[$$-240A]\ * "-"??_-;_-@_-</c:formatCode>
                <c:ptCount val="177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Bolsa'!$C$3:$C$76</c:f>
              <c:numCache>
                <c:formatCode>_("$"* #,##0.00_);_("$"* \(#,##0.00\);_("$"* "-"??_);_(@_)</c:formatCode>
                <c:ptCount val="74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Bolsa'!$D$3:$D$76</c:f>
              <c:numCache>
                <c:formatCode>_("$"* #,##0.00_);_("$"* \(#,##0.00\);_("$"* "-"??_);_(@_)</c:formatCode>
                <c:ptCount val="74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Bolsa'!$E$3:$E$76</c:f>
              <c:numCache>
                <c:formatCode>_("$"* #,##0.00_);_("$"* \(#,##0.00\);_("$"* "-"??_);_(@_)</c:formatCode>
                <c:ptCount val="74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Bolsa'!$F$3:$F$76</c:f>
              <c:numCache>
                <c:formatCode>_("$"* #,##0.00_);_("$"* \(#,##0.00\);_("$"* "-"??_);_(@_)</c:formatCode>
                <c:ptCount val="74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Bolsa'!$G$3:$G$76</c:f>
              <c:numCache>
                <c:formatCode>_("$"* #,##0.00_);_("$"* \(#,##0.00\);_("$"* "-"??_);_(@_)</c:formatCode>
                <c:ptCount val="74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Bolsa'!$H$3:$H$76</c:f>
              <c:numCache>
                <c:formatCode>_("$"* #,##0.00_);_("$"* \(#,##0.00\);_("$"* "-"??_);_(@_)</c:formatCode>
                <c:ptCount val="74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Bolsa'!$I$3:$I$76</c:f>
              <c:numCache>
                <c:formatCode>_("$"* #,##0.00_);_("$"* \(#,##0.00\);_("$"* "-"??_);_(@_)</c:formatCode>
                <c:ptCount val="74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Bolsa'!$J$3:$J$76</c:f>
              <c:numCache>
                <c:formatCode>_("$"* #,##0.00_);_("$"* \(#,##0.00\);_("$"* "-"??_);_(@_)</c:formatCode>
                <c:ptCount val="74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Bolsa'!$K$3:$K$76</c:f>
              <c:numCache>
                <c:formatCode>_("$"* #,##0.00_);_("$"* \(#,##0.00\);_("$"* "-"??_);_(@_)</c:formatCode>
                <c:ptCount val="74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Bolsa'!$L$3:$L$76</c:f>
              <c:numCache>
                <c:formatCode>_("$"* #,##0.00_);_("$"* \(#,##0.00\);_("$"* "-"??_);_(@_)</c:formatCode>
                <c:ptCount val="74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Bolsa'!$B$3:$B$76</c:f>
              <c:numCache>
                <c:formatCode>m/d/yyyy</c:formatCode>
                <c:ptCount val="7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</c:numCache>
            </c:numRef>
          </c:cat>
          <c:val>
            <c:numRef>
              <c:f>'Inv Bolsa'!$M$3:$M$76</c:f>
              <c:numCache>
                <c:formatCode>_("$"* #,##0.00_);_("$"* \(#,##0.00\);_("$"* "-"??_);_(@_)</c:formatCode>
                <c:ptCount val="74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0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09" dataDxfId="107" headerRowBorderDxfId="108" tableBorderDxfId="106" totalsRowBorderDxfId="105" dataCellStyle="Moneda">
  <autoFilter ref="L2:Y3"/>
  <tableColumns count="14">
    <tableColumn id="1" name="MES" dataDxfId="104"/>
    <tableColumn id="2" name="ENERO" dataDxfId="103" dataCellStyle="Moneda"/>
    <tableColumn id="3" name="FEBRERO" dataDxfId="102" dataCellStyle="Moneda"/>
    <tableColumn id="4" name="MARZO" dataDxfId="101" dataCellStyle="Moneda"/>
    <tableColumn id="5" name="ABRIL" dataDxfId="100" dataCellStyle="Moneda"/>
    <tableColumn id="6" name="MAYO" dataDxfId="99" dataCellStyle="Moneda"/>
    <tableColumn id="7" name="JUNIO" dataDxfId="98" dataCellStyle="Moneda"/>
    <tableColumn id="8" name="JULIO" dataDxfId="97" dataCellStyle="Moneda">
      <calculatedColumnFormula>SUM(H3:H9)</calculatedColumnFormula>
    </tableColumn>
    <tableColumn id="9" name="AGOSTO" dataDxfId="96" dataCellStyle="Moneda">
      <calculatedColumnFormula>SUM(H10:H16)</calculatedColumnFormula>
    </tableColumn>
    <tableColumn id="10" name="SEPTIEMBRE" dataDxfId="95" dataCellStyle="Moneda">
      <calculatedColumnFormula>SUM(H17:H23)</calculatedColumnFormula>
    </tableColumn>
    <tableColumn id="11" name="OCTUBRE" dataDxfId="94" dataCellStyle="Moneda"/>
    <tableColumn id="12" name="NOVIEMBRE" dataDxfId="93" dataCellStyle="Moneda"/>
    <tableColumn id="13" name="DICIEMBRE" dataDxfId="92" dataCellStyle="Moneda"/>
    <tableColumn id="14" name="TOTAL ANUAL" dataDxfId="91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0">
  <autoFilter ref="B2:J14"/>
  <tableColumns count="9">
    <tableColumn id="1" name="MES"/>
    <tableColumn id="2" name="CUENTA"/>
    <tableColumn id="3" name="CANTIDAD INICIAL" dataDxfId="89"/>
    <tableColumn id="4" name="CAPITAL INVERTIDO" dataDxfId="88"/>
    <tableColumn id="5" name="INTERES OBTENIDO" dataDxfId="87"/>
    <tableColumn id="6" name="PORCENTAJE DE INTERES" dataDxfId="86" dataCellStyle="Porcentaje">
      <calculatedColumnFormula>(F3/(D3+E3))</calculatedColumnFormula>
    </tableColumn>
    <tableColumn id="7" name="RETIROS DE CAPITAL" dataDxfId="85"/>
    <tableColumn id="8" name="TOTAL CAPITAL FIN DE MES" dataDxfId="84">
      <calculatedColumnFormula>D3+E3+F3-H3</calculatedColumnFormula>
    </tableColumn>
    <tableColumn id="9" name="RENTABILIDAD" dataDxfId="8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79" totalsRowShown="0">
  <autoFilter ref="B2:G179"/>
  <tableColumns count="6">
    <tableColumn id="1" name="FECHA" dataDxfId="82"/>
    <tableColumn id="2" name="DÓLAR" dataDxfId="81"/>
    <tableColumn id="3" name="BITCOIN" dataDxfId="80"/>
    <tableColumn id="5" name="io.net" dataDxfId="79"/>
    <tableColumn id="4" name="ETHEREUM" dataDxfId="78"/>
    <tableColumn id="6" name="USDT" dataDxfId="7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2" totalsRowShown="0">
  <autoFilter ref="B2:Z62">
    <filterColumn colId="23">
      <filters>
        <filter val="ACTIVA"/>
      </filters>
    </filterColumn>
  </autoFilter>
  <tableColumns count="25">
    <tableColumn id="1" name="fecha act" dataDxfId="72">
      <calculatedColumnFormula>TODAY()</calculatedColumnFormula>
    </tableColumn>
    <tableColumn id="2" name="precio actual dólar" dataDxfId="71">
      <calculatedColumnFormula>VLOOKUP(B3,Tabla4[],2,FALSE)</calculatedColumnFormula>
    </tableColumn>
    <tableColumn id="3" name="precio actual btc" dataDxfId="70">
      <calculatedColumnFormula>VLOOKUP(B3,Tabla4[],3,FALSE)</calculatedColumnFormula>
    </tableColumn>
    <tableColumn id="4" name="precio actul eth" dataDxfId="69">
      <calculatedColumnFormula>VLOOKUP(B3,Tabla4[],5,FALSE)</calculatedColumnFormula>
    </tableColumn>
    <tableColumn id="5" name="precio actual io.net" dataDxfId="68">
      <calculatedColumnFormula>VLOOKUP(B3,Tabla4[],4,FALSE)</calculatedColumnFormula>
    </tableColumn>
    <tableColumn id="6" name="moneda"/>
    <tableColumn id="27" name="FECHA COMPRA"/>
    <tableColumn id="20" name="PRECIO DEL DÓLAR, DIA COMPRA" dataDxfId="67">
      <calculatedColumnFormula>VLOOKUP(H3,Tabla4[],2,FALSE)</calculatedColumnFormula>
    </tableColumn>
    <tableColumn id="7" name="precio de compra" dataDxfId="66"/>
    <tableColumn id="8" name="cantidad" dataDxfId="65" dataCellStyle="Porcentaje"/>
    <tableColumn id="18" name="COSTO DE COMPRA" dataDxfId="64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3" dataCellStyle="Porcentaje">
      <calculatedColumnFormula xml:space="preserve"> K3 * (IF(G3="BTC", D3, IF(G3="ETH", E3, IF(G3="IO.NET", F3, 0)))) * C3</calculatedColumnFormula>
    </tableColumn>
    <tableColumn id="9" name="rentabilidad" dataDxfId="62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1" dataCellStyle="Porcentaje"/>
    <tableColumn id="11" name="META2" dataDxfId="60" dataCellStyle="Porcentaje"/>
    <tableColumn id="12" name="ACCION" dataDxfId="59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58"/>
    <tableColumn id="23" name="INVENTARIO" dataDxfId="57">
      <calculatedColumnFormula>Tabla6[[#This Row],[cantidad]]-Tabla6[[#This Row],[CANTIDAD VENDIDA]]</calculatedColumnFormula>
    </tableColumn>
    <tableColumn id="24" name="VALOR ACTUAL" dataDxfId="56">
      <calculatedColumnFormula>IF(G3="BTC", D3 * U3 * C3, IF(G3="ETH", E3 * U3 * C3, IF(G3="IO.NET", F3 * U3 * C3, 0)))</calculatedColumnFormula>
    </tableColumn>
    <tableColumn id="15" name="GANANCIA/PERDIDA" dataDxfId="55">
      <calculatedColumnFormula>IF(G3 = "BTC", ((T3 - L3)), IF(G3 = "ETH", ((T3 - L3)), IF(G3 = "IO.NET", ((T3 - L3)), "Moneda no soportada")))</calculatedColumnFormula>
    </tableColumn>
    <tableColumn id="25" name="RENTABILIDAD TOTAL" dataDxfId="54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3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6" totalsRowShown="0">
  <autoFilter ref="B2:M16"/>
  <tableColumns count="12">
    <tableColumn id="1" name="FECHA ACT" dataDxfId="52">
      <calculatedColumnFormula>TODAY()</calculatedColumnFormula>
    </tableColumn>
    <tableColumn id="11" name="FECHA COMPRA" dataDxfId="51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0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49">
      <calculatedColumnFormula>Tabla5[[#This Row],[VALOR ACTUAL EN COP]]-Tabla5[[#This Row],[COSTO TOTAL EN COP]]</calculatedColumnFormula>
    </tableColumn>
    <tableColumn id="9" name="RENTABILIDAD" dataDxfId="48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47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6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76" totalsRowShown="0">
  <autoFilter ref="B2:M76"/>
  <tableColumns count="12">
    <tableColumn id="1" name="FECHA" dataDxfId="41"/>
    <tableColumn id="5" name="PRECIO DEL DÓLAR" dataDxfId="40">
      <calculatedColumnFormula>VLOOKUP(B3,Tabla4[],2,FALSE)</calculatedColumnFormula>
    </tableColumn>
    <tableColumn id="2" name="VOO" dataDxfId="39" dataCellStyle="Moneda"/>
    <tableColumn id="3" name="VALOR INVERSION 1" dataDxfId="38">
      <calculatedColumnFormula>0.01518 * D3</calculatedColumnFormula>
    </tableColumn>
    <tableColumn id="4" name="GAN/PER" dataDxfId="37">
      <calculatedColumnFormula>Tabla2[[#This Row],[VALOR INVERSION 1]]-7.7</calculatedColumnFormula>
    </tableColumn>
    <tableColumn id="6" name="VALOR EN COP" dataDxfId="36">
      <calculatedColumnFormula>Tabla2[[#This Row],[VALOR INVERSION 1]]*Tabla2[[#This Row],[PRECIO DEL DÓLAR]]</calculatedColumnFormula>
    </tableColumn>
    <tableColumn id="8" name="VALOR INVERSION 2" dataDxfId="35">
      <calculatedColumnFormula>Tabla2[[#This Row],[VOO]]*0.01527</calculatedColumnFormula>
    </tableColumn>
    <tableColumn id="9" name="GAN/PER2" dataDxfId="34">
      <calculatedColumnFormula>Tabla2[[#This Row],[VALOR INVERSION 2]]-7.9</calculatedColumnFormula>
    </tableColumn>
    <tableColumn id="10" name="VALOR EN COP2" dataDxfId="33">
      <calculatedColumnFormula>Tabla2[[#This Row],[VALOR INVERSION 2]]*Tabla2[[#This Row],[PRECIO DEL DÓLAR]]</calculatedColumnFormula>
    </tableColumn>
    <tableColumn id="7" name="VALOR INVERSION 3" dataDxfId="32">
      <calculatedColumnFormula>Tabla2[[#This Row],[VOO]]*0.01284</calculatedColumnFormula>
    </tableColumn>
    <tableColumn id="11" name="GAN/PER3" dataDxfId="31">
      <calculatedColumnFormula>Tabla2[[#This Row],[VALOR INVERSION 3]]-6.9</calculatedColumnFormula>
    </tableColumn>
    <tableColumn id="12" name="VALOR EN COP3" dataDxfId="30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F30" sqref="F30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1400</v>
      </c>
      <c r="G26" s="7"/>
      <c r="H26" s="7">
        <f>(Tabla8[[#This Row],[CAPITAL A FIN DE MES]]-(Tabla8[[#This Row],[CAPITAL A INICIO DE MES]]+Tabla8[[#This Row],[CAPITAL INVERTIDO ESTE MES]]))</f>
        <v>-15469.86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1400</v>
      </c>
      <c r="G27" s="7"/>
      <c r="H27" s="7">
        <f>(Tabla8[[#This Row],[CAPITAL A FIN DE MES]]-(Tabla8[[#This Row],[CAPITAL A INICIO DE MES]]+Tabla8[[#This Row],[CAPITAL INVERTIDO ESTE MES]]))</f>
        <v>-12773.39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811969</v>
      </c>
      <c r="F28" s="29">
        <v>700</v>
      </c>
      <c r="G28" s="7"/>
      <c r="H28" s="7">
        <f>(Tabla8[[#This Row],[CAPITAL A FIN DE MES]]-(Tabla8[[#This Row],[CAPITAL A INICIO DE MES]]+Tabla8[[#This Row],[CAPITAL INVERTIDO ESTE MES]]))</f>
        <v>-812669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1400</v>
      </c>
      <c r="G29" s="7"/>
      <c r="H29" s="7">
        <f>(Tabla8[[#This Row],[CAPITAL A FIN DE MES]]-(Tabla8[[#This Row],[CAPITAL A INICIO DE MES]]+Tabla8[[#This Row],[CAPITAL INVERTIDO ESTE MES]]))</f>
        <v>-9519.6899999999987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4" priority="3" operator="lessThan">
      <formula>0</formula>
    </cfRule>
    <cfRule type="cellIs" dxfId="113" priority="4" operator="lessThan">
      <formula>0</formula>
    </cfRule>
  </conditionalFormatting>
  <conditionalFormatting sqref="M3:X3">
    <cfRule type="cellIs" dxfId="112" priority="2" operator="lessThan">
      <formula>0</formula>
    </cfRule>
  </conditionalFormatting>
  <conditionalFormatting sqref="M3:Y3">
    <cfRule type="cellIs" dxfId="111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9"/>
  <sheetViews>
    <sheetView topLeftCell="A159" zoomScaleNormal="100" workbookViewId="0">
      <selection activeCell="H179" sqref="H179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7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7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7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2"/>
  <sheetViews>
    <sheetView topLeftCell="F49" workbookViewId="0">
      <selection activeCell="M57" sqref="M57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45583</v>
      </c>
      <c r="C3" s="2">
        <f ca="1">VLOOKUP(B3,Tabla4[],2,FALSE)</f>
        <v>4247.29</v>
      </c>
      <c r="D3" s="3">
        <f ca="1">VLOOKUP(B3,Tabla4[],3,FALSE)</f>
        <v>67725.279999999999</v>
      </c>
      <c r="E3" s="2">
        <f ca="1">VLOOKUP(B3,Tabla4[],5,FALSE)</f>
        <v>2623.4</v>
      </c>
      <c r="F3" s="2">
        <f ca="1">VLOOKUP(B3,Tabla4[],4,FALSE)</f>
        <v>1.88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724.87523931782403</v>
      </c>
      <c r="N3" s="10">
        <f t="shared" ref="N3:N21" ca="1" si="1">IF(G3 = "BTC", (D3 - J3) / J3,
 IF(G3 = "ETH", (E3 - J3) / J3,
 IF(G3 = "IO.NET", (F3 - J3) / J3,
 "Moneda no soportada")))</f>
        <v>-4.5410235809829891E-2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724.87523931782403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-4.5410235809829891E-2</v>
      </c>
      <c r="Y3" s="2" t="str">
        <f>IF(U3=0,"VENDIDA","ACTIVA")</f>
        <v>ACTIVA</v>
      </c>
    </row>
    <row r="4" spans="2:26">
      <c r="B4" s="1">
        <f t="shared" ca="1" si="0"/>
        <v>45583</v>
      </c>
      <c r="C4" s="2">
        <f ca="1">VLOOKUP(B4,Tabla4[],2,FALSE)</f>
        <v>4247.29</v>
      </c>
      <c r="D4" s="3">
        <f ca="1">VLOOKUP(B4,Tabla4[],3,FALSE)</f>
        <v>67725.279999999999</v>
      </c>
      <c r="E4" s="2">
        <f ca="1">VLOOKUP(B4,Tabla4[],5,FALSE)</f>
        <v>2623.4</v>
      </c>
      <c r="F4" s="2">
        <f ca="1">VLOOKUP(B4,Tabla4[],4,FALSE)</f>
        <v>1.88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525.91847565920011</v>
      </c>
      <c r="N4" s="10">
        <f t="shared" ca="1" si="1"/>
        <v>-0.30986949235921296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525.91847565920011</v>
      </c>
      <c r="W4" s="2">
        <f t="shared" si="3"/>
        <v>-705.39693250799996</v>
      </c>
      <c r="X4" s="9">
        <f t="shared" ca="1" si="4"/>
        <v>-0.30986949235921296</v>
      </c>
      <c r="Y4" s="2" t="str">
        <f t="shared" ref="Y4:Y24" si="7">IF(U4=0,"VENDIDA","ACTIVA")</f>
        <v>ACTIVA</v>
      </c>
    </row>
    <row r="5" spans="2:26">
      <c r="B5" s="1">
        <f t="shared" ca="1" si="0"/>
        <v>45583</v>
      </c>
      <c r="C5" s="2">
        <f ca="1">VLOOKUP(B5,Tabla4[],2,FALSE)</f>
        <v>4247.29</v>
      </c>
      <c r="D5" s="3">
        <f ca="1">VLOOKUP(B5,Tabla4[],3,FALSE)</f>
        <v>67725.279999999999</v>
      </c>
      <c r="E5" s="2">
        <f ca="1">VLOOKUP(B5,Tabla4[],5,FALSE)</f>
        <v>2623.4</v>
      </c>
      <c r="F5" s="2">
        <f ca="1">VLOOKUP(B5,Tabla4[],4,FALSE)</f>
        <v>1.88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739.25768454238403</v>
      </c>
      <c r="N5" s="10">
        <f t="shared" ca="1" si="1"/>
        <v>-2.2384664241584404E-2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739.25768454238403</v>
      </c>
      <c r="W5" s="2">
        <f t="shared" si="3"/>
        <v>-711.38458935120002</v>
      </c>
      <c r="X5" s="9">
        <f t="shared" ca="1" si="4"/>
        <v>-2.2384664241584404E-2</v>
      </c>
      <c r="Y5" s="2" t="str">
        <f t="shared" si="7"/>
        <v>ACTIVA</v>
      </c>
    </row>
    <row r="6" spans="2:26">
      <c r="B6" s="1">
        <f t="shared" ca="1" si="0"/>
        <v>45583</v>
      </c>
      <c r="C6" s="2">
        <f ca="1">VLOOKUP(B6,Tabla4[],2,FALSE)</f>
        <v>4247.29</v>
      </c>
      <c r="D6" s="3">
        <f ca="1">VLOOKUP(B6,Tabla4[],3,FALSE)</f>
        <v>67725.279999999999</v>
      </c>
      <c r="E6" s="2">
        <f ca="1">VLOOKUP(B6,Tabla4[],5,FALSE)</f>
        <v>2623.4</v>
      </c>
      <c r="F6" s="2">
        <f ca="1">VLOOKUP(B6,Tabla4[],4,FALSE)</f>
        <v>1.88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542.29771632062</v>
      </c>
      <c r="N6" s="10">
        <f t="shared" ca="1" si="1"/>
        <v>-0.28511477840029642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542.29771632062</v>
      </c>
      <c r="W6" s="2">
        <f t="shared" si="3"/>
        <v>-713.63816396689595</v>
      </c>
      <c r="X6" s="9">
        <f t="shared" ca="1" si="4"/>
        <v>-0.28511477840029642</v>
      </c>
      <c r="Y6" s="2" t="str">
        <f t="shared" si="7"/>
        <v>ACTIVA</v>
      </c>
    </row>
    <row r="7" spans="2:26">
      <c r="B7" s="1">
        <f t="shared" ca="1" si="0"/>
        <v>45583</v>
      </c>
      <c r="C7" s="2">
        <f ca="1">VLOOKUP(B7,Tabla4[],2,FALSE)</f>
        <v>4247.29</v>
      </c>
      <c r="D7" s="3">
        <f ca="1">VLOOKUP(B7,Tabla4[],3,FALSE)</f>
        <v>67725.279999999999</v>
      </c>
      <c r="E7" s="2">
        <f ca="1">VLOOKUP(B7,Tabla4[],5,FALSE)</f>
        <v>2623.4</v>
      </c>
      <c r="F7" s="2">
        <f ca="1">VLOOKUP(B7,Tabla4[],4,FALSE)</f>
        <v>1.88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756.51661881185601</v>
      </c>
      <c r="N7" s="10">
        <f t="shared" ca="1" si="1"/>
        <v>1.8886443337510734E-2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756.51661881185601</v>
      </c>
      <c r="W7" s="2">
        <f t="shared" si="3"/>
        <v>-721.88976178291</v>
      </c>
      <c r="X7" s="9">
        <f t="shared" ca="1" si="4"/>
        <v>1.8886443337510734E-2</v>
      </c>
      <c r="Y7" s="2" t="str">
        <f t="shared" si="7"/>
        <v>ACTIVA</v>
      </c>
    </row>
    <row r="8" spans="2:26">
      <c r="B8" s="1">
        <f t="shared" ca="1" si="0"/>
        <v>45583</v>
      </c>
      <c r="C8" s="2">
        <f ca="1">VLOOKUP(B8,Tabla4[],2,FALSE)</f>
        <v>4247.29</v>
      </c>
      <c r="D8" s="3">
        <f ca="1">VLOOKUP(B8,Tabla4[],3,FALSE)</f>
        <v>67725.279999999999</v>
      </c>
      <c r="E8" s="2">
        <f ca="1">VLOOKUP(B8,Tabla4[],5,FALSE)</f>
        <v>2623.4</v>
      </c>
      <c r="F8" s="2">
        <f ca="1">VLOOKUP(B8,Tabla4[],4,FALSE)</f>
        <v>1.88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309.10182866900396</v>
      </c>
      <c r="N8" s="10">
        <f t="shared" ca="1" si="1"/>
        <v>-0.55555555555555558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309.10182866900396</v>
      </c>
      <c r="W8" s="2">
        <f t="shared" si="3"/>
        <v>-676.17994528545319</v>
      </c>
      <c r="X8" s="9">
        <f t="shared" ca="1" si="4"/>
        <v>-0.55555555555555558</v>
      </c>
      <c r="Y8" s="2" t="str">
        <f t="shared" si="7"/>
        <v>ACTIVA</v>
      </c>
    </row>
    <row r="9" spans="2:26">
      <c r="B9" s="1">
        <f t="shared" ca="1" si="0"/>
        <v>45583</v>
      </c>
      <c r="C9" s="2">
        <f ca="1">VLOOKUP(B9,Tabla4[],2,FALSE)</f>
        <v>4247.29</v>
      </c>
      <c r="D9" s="3">
        <f ca="1">VLOOKUP(B9,Tabla4[],3,FALSE)</f>
        <v>67725.279999999999</v>
      </c>
      <c r="E9" s="2">
        <f ca="1">VLOOKUP(B9,Tabla4[],5,FALSE)</f>
        <v>2623.4</v>
      </c>
      <c r="F9" s="2">
        <f ca="1">VLOOKUP(B9,Tabla4[],4,FALSE)</f>
        <v>1.88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548.20315683120009</v>
      </c>
      <c r="N9" s="10">
        <f t="shared" ca="1" si="1"/>
        <v>-0.25169505304082673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548.20315683120009</v>
      </c>
      <c r="W9" s="2">
        <f t="shared" si="3"/>
        <v>-712.26418846524007</v>
      </c>
      <c r="X9" s="9">
        <f t="shared" ca="1" si="4"/>
        <v>-0.25169505304082673</v>
      </c>
      <c r="Y9" s="2" t="str">
        <f t="shared" si="7"/>
        <v>ACTIVA</v>
      </c>
    </row>
    <row r="10" spans="2:26">
      <c r="B10" s="1">
        <f t="shared" ca="1" si="0"/>
        <v>45583</v>
      </c>
      <c r="C10" s="2">
        <f ca="1">VLOOKUP(B10,Tabla4[],2,FALSE)</f>
        <v>4247.29</v>
      </c>
      <c r="D10" s="3">
        <f ca="1">VLOOKUP(B10,Tabla4[],3,FALSE)</f>
        <v>67725.279999999999</v>
      </c>
      <c r="E10" s="2">
        <f ca="1">VLOOKUP(B10,Tabla4[],5,FALSE)</f>
        <v>2623.4</v>
      </c>
      <c r="F10" s="2">
        <f ca="1">VLOOKUP(B10,Tabla4[],4,FALSE)</f>
        <v>1.88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782.40502021606392</v>
      </c>
      <c r="N10" s="10">
        <f t="shared" ca="1" si="1"/>
        <v>0.10227795030044989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782.40502021606392</v>
      </c>
      <c r="W10" s="2">
        <f t="shared" si="3"/>
        <v>-692.62576284671991</v>
      </c>
      <c r="X10" s="9">
        <f t="shared" ca="1" si="4"/>
        <v>0.10227795030044989</v>
      </c>
      <c r="Y10" s="2" t="str">
        <f t="shared" si="7"/>
        <v>ACTIVA</v>
      </c>
    </row>
    <row r="11" spans="2:26">
      <c r="B11" s="1">
        <f t="shared" ca="1" si="0"/>
        <v>45583</v>
      </c>
      <c r="C11" s="2">
        <f ca="1">VLOOKUP(B11,Tabla4[],2,FALSE)</f>
        <v>4247.29</v>
      </c>
      <c r="D11" s="3">
        <f ca="1">VLOOKUP(B11,Tabla4[],3,FALSE)</f>
        <v>67725.279999999999</v>
      </c>
      <c r="E11" s="2">
        <f ca="1">VLOOKUP(B11,Tabla4[],5,FALSE)</f>
        <v>2623.4</v>
      </c>
      <c r="F11" s="2">
        <f ca="1">VLOOKUP(B11,Tabla4[],4,FALSE)</f>
        <v>1.88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779.52853117115194</v>
      </c>
      <c r="N11" s="10">
        <f t="shared" ca="1" si="1"/>
        <v>0.11073484503078387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779.52853117115194</v>
      </c>
      <c r="W11" s="2">
        <f t="shared" si="3"/>
        <v>-682.28056593911992</v>
      </c>
      <c r="X11" s="9">
        <f t="shared" ca="1" si="4"/>
        <v>0.11073484503078387</v>
      </c>
      <c r="Y11" s="2" t="str">
        <f t="shared" si="7"/>
        <v>ACTIVA</v>
      </c>
    </row>
    <row r="12" spans="2:26">
      <c r="B12" s="1">
        <f t="shared" ca="1" si="0"/>
        <v>45583</v>
      </c>
      <c r="C12" s="2">
        <f ca="1">VLOOKUP(B12,Tabla4[],2,FALSE)</f>
        <v>4247.29</v>
      </c>
      <c r="D12" s="3">
        <f ca="1">VLOOKUP(B12,Tabla4[],3,FALSE)</f>
        <v>67725.279999999999</v>
      </c>
      <c r="E12" s="2">
        <f ca="1">VLOOKUP(B12,Tabla4[],5,FALSE)</f>
        <v>2623.4</v>
      </c>
      <c r="F12" s="2">
        <f ca="1">VLOOKUP(B12,Tabla4[],4,FALSE)</f>
        <v>1.88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871.5761806083359</v>
      </c>
      <c r="N12" s="10">
        <f t="shared" ca="1" si="1"/>
        <v>0.1861982961551395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871.5761806083359</v>
      </c>
      <c r="W12" s="2">
        <f t="shared" si="3"/>
        <v>-705.59026591680004</v>
      </c>
      <c r="X12" s="9">
        <f t="shared" ca="1" si="4"/>
        <v>0.1861982961551395</v>
      </c>
      <c r="Y12" s="2" t="str">
        <f t="shared" si="7"/>
        <v>ACTIVA</v>
      </c>
    </row>
    <row r="13" spans="2:26">
      <c r="B13" s="1">
        <f t="shared" ca="1" si="0"/>
        <v>45583</v>
      </c>
      <c r="C13" s="2">
        <f ca="1">VLOOKUP(B13,Tabla4[],2,FALSE)</f>
        <v>4247.29</v>
      </c>
      <c r="D13" s="3">
        <f ca="1">VLOOKUP(B13,Tabla4[],3,FALSE)</f>
        <v>67725.279999999999</v>
      </c>
      <c r="E13" s="2">
        <f ca="1">VLOOKUP(B13,Tabla4[],5,FALSE)</f>
        <v>2623.4</v>
      </c>
      <c r="F13" s="2">
        <f ca="1">VLOOKUP(B13,Tabla4[],4,FALSE)</f>
        <v>1.88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808.29342162027194</v>
      </c>
      <c r="N13" s="10">
        <f t="shared" ca="1" si="1"/>
        <v>7.5689129112339715E-2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808.29342162027194</v>
      </c>
      <c r="W13" s="2">
        <f t="shared" si="3"/>
        <v>-706.44677732571006</v>
      </c>
      <c r="X13" s="9">
        <f t="shared" ca="1" si="4"/>
        <v>7.5689129112339715E-2</v>
      </c>
      <c r="Y13" s="2" t="str">
        <f t="shared" si="7"/>
        <v>ACTIVA</v>
      </c>
    </row>
    <row r="14" spans="2:26">
      <c r="B14" s="1">
        <f t="shared" ca="1" si="0"/>
        <v>45583</v>
      </c>
      <c r="C14" s="2">
        <f ca="1">VLOOKUP(B14,Tabla4[],2,FALSE)</f>
        <v>4247.29</v>
      </c>
      <c r="D14" s="3">
        <f ca="1">VLOOKUP(B14,Tabla4[],3,FALSE)</f>
        <v>67725.279999999999</v>
      </c>
      <c r="E14" s="2">
        <f ca="1">VLOOKUP(B14,Tabla4[],5,FALSE)</f>
        <v>2623.4</v>
      </c>
      <c r="F14" s="2">
        <f ca="1">VLOOKUP(B14,Tabla4[],4,FALSE)</f>
        <v>1.88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563.91385705745995</v>
      </c>
      <c r="N14" s="10">
        <f t="shared" ca="1" si="1"/>
        <v>-0.22334293521542059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563.91385705745995</v>
      </c>
      <c r="W14" s="2">
        <f t="shared" si="3"/>
        <v>-708.50285169316794</v>
      </c>
      <c r="X14" s="9">
        <f t="shared" ca="1" si="4"/>
        <v>-0.22334293521542059</v>
      </c>
      <c r="Y14" s="2" t="str">
        <f t="shared" si="7"/>
        <v>ACTIVA</v>
      </c>
    </row>
    <row r="15" spans="2:26">
      <c r="B15" s="1">
        <f t="shared" ca="1" si="0"/>
        <v>45583</v>
      </c>
      <c r="C15" s="2">
        <f ca="1">VLOOKUP(B15,Tabla4[],2,FALSE)</f>
        <v>4247.29</v>
      </c>
      <c r="D15" s="3">
        <f ca="1">VLOOKUP(B15,Tabla4[],3,FALSE)</f>
        <v>67725.279999999999</v>
      </c>
      <c r="E15" s="2">
        <f ca="1">VLOOKUP(B15,Tabla4[],5,FALSE)</f>
        <v>2623.4</v>
      </c>
      <c r="F15" s="2">
        <f ca="1">VLOOKUP(B15,Tabla4[],4,FALSE)</f>
        <v>1.88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549.76308451324007</v>
      </c>
      <c r="N15" s="10">
        <f t="shared" ca="1" si="1"/>
        <v>-0.21900072342313109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549.76308451324007</v>
      </c>
      <c r="W15" s="2">
        <f t="shared" si="3"/>
        <v>-684.33117524901604</v>
      </c>
      <c r="X15" s="9">
        <f t="shared" ca="1" si="4"/>
        <v>-0.21900072342313109</v>
      </c>
      <c r="Y15" s="2" t="str">
        <f t="shared" si="7"/>
        <v>ACTIVA</v>
      </c>
    </row>
    <row r="16" spans="2:26">
      <c r="B16" s="1">
        <f t="shared" ca="1" si="0"/>
        <v>45583</v>
      </c>
      <c r="C16" s="2">
        <f ca="1">VLOOKUP(B16,Tabla4[],2,FALSE)</f>
        <v>4247.29</v>
      </c>
      <c r="D16" s="3">
        <f ca="1">VLOOKUP(B16,Tabla4[],3,FALSE)</f>
        <v>67725.279999999999</v>
      </c>
      <c r="E16" s="2">
        <f ca="1">VLOOKUP(B16,Tabla4[],5,FALSE)</f>
        <v>2623.4</v>
      </c>
      <c r="F16" s="2">
        <f ca="1">VLOOKUP(B16,Tabla4[],4,FALSE)</f>
        <v>1.88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633.33063890823996</v>
      </c>
      <c r="N16" s="10">
        <f t="shared" ca="1" si="1"/>
        <v>-0.14127659574468082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633.33063890823996</v>
      </c>
      <c r="W16" s="2">
        <f t="shared" si="3"/>
        <v>-708.24207363000005</v>
      </c>
      <c r="X16" s="9">
        <f t="shared" ca="1" si="4"/>
        <v>-0.14127659574468082</v>
      </c>
      <c r="Y16" s="2" t="str">
        <f t="shared" si="7"/>
        <v>ACTIVA</v>
      </c>
    </row>
    <row r="17" spans="2:25">
      <c r="B17" s="1">
        <f t="shared" ca="1" si="0"/>
        <v>45583</v>
      </c>
      <c r="C17" s="2">
        <f ca="1">VLOOKUP(B17,Tabla4[],2,FALSE)</f>
        <v>4247.29</v>
      </c>
      <c r="D17" s="3">
        <f ca="1">VLOOKUP(B17,Tabla4[],3,FALSE)</f>
        <v>67725.279999999999</v>
      </c>
      <c r="E17" s="2">
        <f ca="1">VLOOKUP(B17,Tabla4[],5,FALSE)</f>
        <v>2623.4</v>
      </c>
      <c r="F17" s="2">
        <f ca="1">VLOOKUP(B17,Tabla4[],4,FALSE)</f>
        <v>1.88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586.08711482360002</v>
      </c>
      <c r="N17" s="10">
        <f t="shared" ca="1" si="1"/>
        <v>-0.24137532170845258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586.08711482360002</v>
      </c>
      <c r="W17" s="2">
        <f t="shared" si="3"/>
        <v>-726.32733822540001</v>
      </c>
      <c r="X17" s="9">
        <f t="shared" ca="1" si="4"/>
        <v>-0.24137532170845258</v>
      </c>
      <c r="Y17" s="2" t="str">
        <f t="shared" si="7"/>
        <v>ACTIVA</v>
      </c>
    </row>
    <row r="18" spans="2:25">
      <c r="B18" s="1">
        <f t="shared" ca="1" si="0"/>
        <v>45583</v>
      </c>
      <c r="C18" s="2">
        <f ca="1">VLOOKUP(B18,Tabla4[],2,FALSE)</f>
        <v>4247.29</v>
      </c>
      <c r="D18" s="3">
        <f ca="1">VLOOKUP(B18,Tabla4[],3,FALSE)</f>
        <v>67725.279999999999</v>
      </c>
      <c r="E18" s="2">
        <f ca="1">VLOOKUP(B18,Tabla4[],5,FALSE)</f>
        <v>2623.4</v>
      </c>
      <c r="F18" s="2">
        <f ca="1">VLOOKUP(B18,Tabla4[],4,FALSE)</f>
        <v>1.88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421.01219142425191</v>
      </c>
      <c r="N18" s="12">
        <f t="shared" ca="1" si="1"/>
        <v>-0.44705882352941179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421.01219142425191</v>
      </c>
      <c r="W18" s="2">
        <f t="shared" si="3"/>
        <v>-742.97443934431988</v>
      </c>
      <c r="X18" s="9">
        <f t="shared" ca="1" si="4"/>
        <v>-0.44705882352941179</v>
      </c>
      <c r="Y18" s="2" t="str">
        <f t="shared" si="7"/>
        <v>ACTIVA</v>
      </c>
    </row>
    <row r="19" spans="2:25">
      <c r="B19" s="1">
        <f t="shared" ca="1" si="0"/>
        <v>45583</v>
      </c>
      <c r="C19" s="2">
        <f ca="1">VLOOKUP(B19,Tabla4[],2,FALSE)</f>
        <v>4247.29</v>
      </c>
      <c r="D19" s="3">
        <f ca="1">VLOOKUP(B19,Tabla4[],3,FALSE)</f>
        <v>67725.279999999999</v>
      </c>
      <c r="E19" s="2">
        <f ca="1">VLOOKUP(B19,Tabla4[],5,FALSE)</f>
        <v>2623.4</v>
      </c>
      <c r="F19" s="2">
        <f ca="1">VLOOKUP(B19,Tabla4[],4,FALSE)</f>
        <v>1.88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219.48619957172798</v>
      </c>
      <c r="N19" s="12">
        <f t="shared" ca="1" si="1"/>
        <v>-0.33568904593639581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219.48619957172798</v>
      </c>
      <c r="W19" s="2">
        <f t="shared" si="3"/>
        <v>-321.201220736496</v>
      </c>
      <c r="X19" s="9">
        <f t="shared" ca="1" si="4"/>
        <v>-0.33568904593639581</v>
      </c>
      <c r="Y19" s="2" t="str">
        <f t="shared" si="7"/>
        <v>ACTIVA</v>
      </c>
    </row>
    <row r="20" spans="2:25" hidden="1">
      <c r="B20" s="1">
        <f t="shared" ca="1" si="0"/>
        <v>45583</v>
      </c>
      <c r="C20" s="2">
        <f ca="1">VLOOKUP(B20,Tabla4[],2,FALSE)</f>
        <v>4247.29</v>
      </c>
      <c r="D20" s="3">
        <f ca="1">VLOOKUP(B20,Tabla4[],3,FALSE)</f>
        <v>67725.279999999999</v>
      </c>
      <c r="E20" s="2">
        <f ca="1">VLOOKUP(B20,Tabla4[],5,FALSE)</f>
        <v>2623.4</v>
      </c>
      <c r="F20" s="2">
        <f ca="1">VLOOKUP(B20,Tabla4[],4,FALSE)</f>
        <v>1.88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308.52140591001597</v>
      </c>
      <c r="N20" s="12">
        <f t="shared" ca="1" si="1"/>
        <v>-0.17903930131004372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-0.17903930131004372</v>
      </c>
      <c r="Y20" s="2" t="str">
        <f t="shared" si="7"/>
        <v>VENDIDA</v>
      </c>
    </row>
    <row r="21" spans="2:25" hidden="1">
      <c r="B21" s="1">
        <f t="shared" ca="1" si="0"/>
        <v>45583</v>
      </c>
      <c r="C21" s="2">
        <f ca="1">VLOOKUP(B21,Tabla4[],2,FALSE)</f>
        <v>4247.29</v>
      </c>
      <c r="D21" s="3">
        <f ca="1">VLOOKUP(B21,Tabla4[],3,FALSE)</f>
        <v>67725.279999999999</v>
      </c>
      <c r="E21" s="2">
        <f ca="1">VLOOKUP(B21,Tabla4[],5,FALSE)</f>
        <v>2623.4</v>
      </c>
      <c r="F21" s="2">
        <f ca="1">VLOOKUP(B21,Tabla4[],4,FALSE)</f>
        <v>1.88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296.39888253347993</v>
      </c>
      <c r="N21" s="12">
        <f t="shared" ca="1" si="1"/>
        <v>-0.28244274809160314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-0.28244274809160314</v>
      </c>
      <c r="Y21" s="2" t="str">
        <f t="shared" si="7"/>
        <v>VENDIDA</v>
      </c>
    </row>
    <row r="22" spans="2:25">
      <c r="B22" s="1">
        <f t="shared" ref="B22:B29" ca="1" si="9">TODAY()</f>
        <v>45583</v>
      </c>
      <c r="C22" s="2">
        <f ca="1">VLOOKUP(B22,Tabla4[],2,FALSE)</f>
        <v>4247.29</v>
      </c>
      <c r="D22" s="3">
        <f ca="1">VLOOKUP(B22,Tabla4[],3,FALSE)</f>
        <v>67725.279999999999</v>
      </c>
      <c r="E22" s="2">
        <f ca="1">VLOOKUP(B22,Tabla4[],5,FALSE)</f>
        <v>2623.4</v>
      </c>
      <c r="F22" s="2">
        <f ca="1">VLOOKUP(B22,Tabla4[],4,FALSE)</f>
        <v>1.88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303.94821115481994</v>
      </c>
      <c r="N22" s="12">
        <f t="shared" ref="N22:N29" ca="1" si="11">IF(G22 = "BTC", (D22 - J22) / J22,
 IF(G22 = "ETH", (E22 - J22) / J22,
 IF(G22 = "IO.NET", (F22 - J22) / J22,
 "Moneda no soportada")))</f>
        <v>-0.30111524163568776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0.52181355481998992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-0.30111524163568776</v>
      </c>
      <c r="Y22" s="2" t="str">
        <f t="shared" si="7"/>
        <v>ACTIVA</v>
      </c>
    </row>
    <row r="23" spans="2:25">
      <c r="B23" s="1">
        <f t="shared" ca="1" si="9"/>
        <v>45583</v>
      </c>
      <c r="C23" s="2">
        <f ca="1">VLOOKUP(B23,Tabla4[],2,FALSE)</f>
        <v>4247.29</v>
      </c>
      <c r="D23" s="3">
        <f ca="1">VLOOKUP(B23,Tabla4[],3,FALSE)</f>
        <v>67725.279999999999</v>
      </c>
      <c r="E23" s="2">
        <f ca="1">VLOOKUP(B23,Tabla4[],5,FALSE)</f>
        <v>2623.4</v>
      </c>
      <c r="F23" s="2">
        <f ca="1">VLOOKUP(B23,Tabla4[],4,FALSE)</f>
        <v>1.88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306.03003563856396</v>
      </c>
      <c r="N23" s="12">
        <f t="shared" ca="1" si="11"/>
        <v>-0.30882352941176477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2.6036380385639819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-0.30882352941176477</v>
      </c>
      <c r="Y23" s="2" t="str">
        <f t="shared" si="7"/>
        <v>ACTIVA</v>
      </c>
    </row>
    <row r="24" spans="2:25">
      <c r="B24" s="1">
        <f t="shared" ca="1" si="9"/>
        <v>45583</v>
      </c>
      <c r="C24" s="2">
        <f ca="1">VLOOKUP(B24,Tabla4[],2,FALSE)</f>
        <v>4247.29</v>
      </c>
      <c r="D24" s="3">
        <f ca="1">VLOOKUP(B24,Tabla4[],3,FALSE)</f>
        <v>67725.279999999999</v>
      </c>
      <c r="E24" s="2">
        <f ca="1">VLOOKUP(B24,Tabla4[],5,FALSE)</f>
        <v>2623.4</v>
      </c>
      <c r="F24" s="2">
        <f ca="1">VLOOKUP(B24,Tabla4[],4,FALSE)</f>
        <v>1.88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310.33477788093597</v>
      </c>
      <c r="N24" s="12">
        <f t="shared" ca="1" si="11"/>
        <v>-0.3188405797101449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8.8408870374400212</v>
      </c>
      <c r="W24" s="2">
        <f t="shared" si="14"/>
        <v>8.8385908401840538</v>
      </c>
      <c r="X24" s="9">
        <f t="shared" ca="1" si="15"/>
        <v>-0.3188405797101449</v>
      </c>
      <c r="Y24" s="2" t="str">
        <f t="shared" si="7"/>
        <v>ACTIVA</v>
      </c>
    </row>
    <row r="25" spans="2:25">
      <c r="B25" s="1">
        <f t="shared" ca="1" si="9"/>
        <v>45583</v>
      </c>
      <c r="C25" s="2">
        <f ca="1">VLOOKUP(B25,Tabla4[],2,FALSE)</f>
        <v>4247.29</v>
      </c>
      <c r="D25" s="3">
        <f ca="1">VLOOKUP(B25,Tabla4[],3,FALSE)</f>
        <v>67725.279999999999</v>
      </c>
      <c r="E25" s="2">
        <f ca="1">VLOOKUP(B25,Tabla4[],5,FALSE)</f>
        <v>2623.4</v>
      </c>
      <c r="F25" s="2">
        <f ca="1">VLOOKUP(B25,Tabla4[],4,FALSE)</f>
        <v>1.88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305.10650150313199</v>
      </c>
      <c r="N25" s="12">
        <f t="shared" ca="1" si="11"/>
        <v>-0.33096085409252674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1.6801039031320091</v>
      </c>
      <c r="W25" s="2">
        <f t="shared" si="14"/>
        <v>40.44492107583801</v>
      </c>
      <c r="X25" s="9">
        <f t="shared" ca="1" si="15"/>
        <v>-0.33096085409252674</v>
      </c>
      <c r="Y25" s="2" t="str">
        <f t="shared" ref="Y25:Y32" si="16">IF(U25=0,"VENDIDA","ACTIVA")</f>
        <v>ACTIVA</v>
      </c>
    </row>
    <row r="26" spans="2:25">
      <c r="B26" s="1">
        <f t="shared" ca="1" si="9"/>
        <v>45583</v>
      </c>
      <c r="C26" s="2">
        <f ca="1">VLOOKUP(B26,Tabla4[],2,FALSE)</f>
        <v>4247.29</v>
      </c>
      <c r="D26" s="3">
        <f ca="1">VLOOKUP(B26,Tabla4[],3,FALSE)</f>
        <v>67725.279999999999</v>
      </c>
      <c r="E26" s="2">
        <f ca="1">VLOOKUP(B26,Tabla4[],5,FALSE)</f>
        <v>2623.4</v>
      </c>
      <c r="F26" s="2">
        <f ca="1">VLOOKUP(B26,Tabla4[],4,FALSE)</f>
        <v>1.88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307.90137802123598</v>
      </c>
      <c r="N26" s="12">
        <f t="shared" ca="1" si="11"/>
        <v>-0.38246056616540863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307.90137802123598</v>
      </c>
      <c r="W26" s="2">
        <f t="shared" si="14"/>
        <v>-474.99592218630107</v>
      </c>
      <c r="X26" s="9">
        <f t="shared" ca="1" si="15"/>
        <v>-0.38246056616540863</v>
      </c>
      <c r="Y26" s="2" t="str">
        <f t="shared" si="16"/>
        <v>ACTIVA</v>
      </c>
    </row>
    <row r="27" spans="2:25">
      <c r="B27" s="1">
        <f t="shared" ca="1" si="9"/>
        <v>45583</v>
      </c>
      <c r="C27" s="2">
        <f ca="1">VLOOKUP(B27,Tabla4[],2,FALSE)</f>
        <v>4247.29</v>
      </c>
      <c r="D27" s="3">
        <f ca="1">VLOOKUP(B27,Tabla4[],3,FALSE)</f>
        <v>67725.279999999999</v>
      </c>
      <c r="E27" s="2">
        <f ca="1">VLOOKUP(B27,Tabla4[],5,FALSE)</f>
        <v>2623.4</v>
      </c>
      <c r="F27" s="2">
        <f ca="1">VLOOKUP(B27,Tabla4[],4,FALSE)</f>
        <v>1.88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745.01066263220798</v>
      </c>
      <c r="N27" s="12">
        <f t="shared" ca="1" si="11"/>
        <v>1.3925264622545883E-2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745.01066263220798</v>
      </c>
      <c r="W27" s="2">
        <f t="shared" si="14"/>
        <v>-699.14771612275808</v>
      </c>
      <c r="X27" s="9">
        <f t="shared" ca="1" si="15"/>
        <v>1.3925264622545883E-2</v>
      </c>
      <c r="Y27" s="2" t="str">
        <f t="shared" si="16"/>
        <v>ACTIVA</v>
      </c>
    </row>
    <row r="28" spans="2:25">
      <c r="B28" s="1">
        <f t="shared" ca="1" si="9"/>
        <v>45583</v>
      </c>
      <c r="C28" s="2">
        <f ca="1">VLOOKUP(B28,Tabla4[],2,FALSE)</f>
        <v>4247.29</v>
      </c>
      <c r="D28" s="3">
        <f ca="1">VLOOKUP(B28,Tabla4[],3,FALSE)</f>
        <v>67725.279999999999</v>
      </c>
      <c r="E28" s="2">
        <f ca="1">VLOOKUP(B28,Tabla4[],5,FALSE)</f>
        <v>2623.4</v>
      </c>
      <c r="F28" s="2">
        <f ca="1">VLOOKUP(B28,Tabla4[],4,FALSE)</f>
        <v>1.88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558.78838038790002</v>
      </c>
      <c r="N28" s="12">
        <f t="shared" ca="1" si="11"/>
        <v>-0.24115588209771191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558.78838038790002</v>
      </c>
      <c r="W28" s="2">
        <f t="shared" si="14"/>
        <v>-700.6597894414499</v>
      </c>
      <c r="X28" s="9">
        <f t="shared" ca="1" si="15"/>
        <v>-0.24115588209771191</v>
      </c>
      <c r="Y28" s="2" t="str">
        <f t="shared" si="16"/>
        <v>ACTIVA</v>
      </c>
    </row>
    <row r="29" spans="2:25">
      <c r="B29" s="1">
        <f t="shared" ca="1" si="9"/>
        <v>45583</v>
      </c>
      <c r="C29" s="2">
        <f ca="1">VLOOKUP(B29,Tabla4[],2,FALSE)</f>
        <v>4247.29</v>
      </c>
      <c r="D29" s="3">
        <f ca="1">VLOOKUP(B29,Tabla4[],3,FALSE)</f>
        <v>67725.279999999999</v>
      </c>
      <c r="E29" s="2">
        <f ca="1">VLOOKUP(B29,Tabla4[],5,FALSE)</f>
        <v>2623.4</v>
      </c>
      <c r="F29" s="2">
        <f ca="1">VLOOKUP(B29,Tabla4[],4,FALSE)</f>
        <v>1.88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237.220274775668</v>
      </c>
      <c r="N29" s="12">
        <f t="shared" ca="1" si="11"/>
        <v>-0.35616438356164387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237.220274775668</v>
      </c>
      <c r="W29" s="2">
        <f t="shared" si="14"/>
        <v>-350.58167079212399</v>
      </c>
      <c r="X29" s="9">
        <f t="shared" ca="1" si="15"/>
        <v>-0.35616438356164387</v>
      </c>
      <c r="Y29" s="2" t="str">
        <f t="shared" si="16"/>
        <v>ACTIVA</v>
      </c>
    </row>
    <row r="30" spans="2:25">
      <c r="B30" s="1">
        <f t="shared" ref="B30:B35" ca="1" si="17">TODAY()</f>
        <v>45583</v>
      </c>
      <c r="C30" s="2">
        <f ca="1">VLOOKUP(B30,Tabla4[],2,FALSE)</f>
        <v>4247.29</v>
      </c>
      <c r="D30" s="3">
        <f ca="1">VLOOKUP(B30,Tabla4[],3,FALSE)</f>
        <v>67725.279999999999</v>
      </c>
      <c r="E30" s="2">
        <f ca="1">VLOOKUP(B30,Tabla4[],5,FALSE)</f>
        <v>2623.4</v>
      </c>
      <c r="F30" s="2">
        <f ca="1">VLOOKUP(B30,Tabla4[],4,FALSE)</f>
        <v>1.88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727.751728362736</v>
      </c>
      <c r="N30" s="12">
        <f t="shared" ref="N30:N35" ca="1" si="19">IF(G30 = "BTC", (D30 - J30) / J30,
 IF(G30 = "ETH", (E30 - J30) / J30,
 IF(G30 = "IO.NET", (F30 - J30) / J30,
 "Moneda no soportada")))</f>
        <v>-1.3903861666098792E-2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727.751728362736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-1.3903861666098792E-2</v>
      </c>
      <c r="Y30" s="2" t="str">
        <f t="shared" si="16"/>
        <v>ACTIVA</v>
      </c>
    </row>
    <row r="31" spans="2:25">
      <c r="B31" s="1">
        <f t="shared" ca="1" si="17"/>
        <v>45583</v>
      </c>
      <c r="C31" s="2">
        <f ca="1">VLOOKUP(B31,Tabla4[],2,FALSE)</f>
        <v>4247.29</v>
      </c>
      <c r="D31" s="3">
        <f ca="1">VLOOKUP(B31,Tabla4[],3,FALSE)</f>
        <v>67725.279999999999</v>
      </c>
      <c r="E31" s="2">
        <f ca="1">VLOOKUP(B31,Tabla4[],5,FALSE)</f>
        <v>2623.4</v>
      </c>
      <c r="F31" s="2">
        <f ca="1">VLOOKUP(B31,Tabla4[],4,FALSE)</f>
        <v>1.88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583.74722330053999</v>
      </c>
      <c r="N31" s="12">
        <f t="shared" ca="1" si="19"/>
        <v>-0.20874679535515003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583.74722330053999</v>
      </c>
      <c r="W31" s="2">
        <f t="shared" si="22"/>
        <v>-700.01062533089998</v>
      </c>
      <c r="X31" s="9">
        <f t="shared" ca="1" si="23"/>
        <v>-0.20874679535515003</v>
      </c>
      <c r="Y31" s="2" t="str">
        <f t="shared" si="16"/>
        <v>ACTIVA</v>
      </c>
    </row>
    <row r="32" spans="2:25">
      <c r="B32" s="1">
        <f t="shared" ca="1" si="17"/>
        <v>45583</v>
      </c>
      <c r="C32" s="2">
        <f ca="1">VLOOKUP(B32,Tabla4[],2,FALSE)</f>
        <v>4247.29</v>
      </c>
      <c r="D32" s="3">
        <f ca="1">VLOOKUP(B32,Tabla4[],3,FALSE)</f>
        <v>67725.279999999999</v>
      </c>
      <c r="E32" s="2">
        <f ca="1">VLOOKUP(B32,Tabla4[],5,FALSE)</f>
        <v>2623.4</v>
      </c>
      <c r="F32" s="2">
        <f ca="1">VLOOKUP(B32,Tabla4[],4,FALSE)</f>
        <v>1.88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239.20947435909198</v>
      </c>
      <c r="N32" s="12">
        <f t="shared" ca="1" si="19"/>
        <v>-0.35172413793103452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239.20947435909198</v>
      </c>
      <c r="W32" s="2">
        <f t="shared" si="22"/>
        <v>-350.11749431717993</v>
      </c>
      <c r="X32" s="9">
        <f t="shared" ca="1" si="23"/>
        <v>-0.35172413793103452</v>
      </c>
      <c r="Y32" s="2" t="str">
        <f t="shared" si="16"/>
        <v>ACTIVA</v>
      </c>
    </row>
    <row r="33" spans="2:25">
      <c r="B33" s="1">
        <f t="shared" ca="1" si="17"/>
        <v>45583</v>
      </c>
      <c r="C33" s="2">
        <f ca="1">VLOOKUP(B33,Tabla4[],2,FALSE)</f>
        <v>4247.29</v>
      </c>
      <c r="D33" s="3">
        <f ca="1">VLOOKUP(B33,Tabla4[],3,FALSE)</f>
        <v>67725.279999999999</v>
      </c>
      <c r="E33" s="2">
        <f ca="1">VLOOKUP(B33,Tabla4[],5,FALSE)</f>
        <v>2623.4</v>
      </c>
      <c r="F33" s="2">
        <f ca="1">VLOOKUP(B33,Tabla4[],4,FALSE)</f>
        <v>1.88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914.72351628201602</v>
      </c>
      <c r="N33" s="12">
        <f t="shared" ca="1" si="19"/>
        <v>0.26663909902823141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914.72351628201602</v>
      </c>
      <c r="W33" s="2">
        <f t="shared" si="22"/>
        <v>-699.99737650756197</v>
      </c>
      <c r="X33" s="9">
        <f t="shared" ca="1" si="23"/>
        <v>0.26663909902823141</v>
      </c>
      <c r="Y33" s="2" t="str">
        <f t="shared" ref="Y33:Y38" si="24">IF(U33=0,"VENDIDA","ACTIVA")</f>
        <v>ACTIVA</v>
      </c>
    </row>
    <row r="34" spans="2:25">
      <c r="B34" s="1">
        <f t="shared" ca="1" si="17"/>
        <v>45583</v>
      </c>
      <c r="C34" s="2">
        <f ca="1">VLOOKUP(B34,Tabla4[],2,FALSE)</f>
        <v>4247.29</v>
      </c>
      <c r="D34" s="3">
        <f ca="1">VLOOKUP(B34,Tabla4[],3,FALSE)</f>
        <v>67725.279999999999</v>
      </c>
      <c r="E34" s="2">
        <f ca="1">VLOOKUP(B34,Tabla4[],5,FALSE)</f>
        <v>2623.4</v>
      </c>
      <c r="F34" s="2">
        <f ca="1">VLOOKUP(B34,Tabla4[],4,FALSE)</f>
        <v>1.88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797.90300936346</v>
      </c>
      <c r="N34" s="12">
        <f t="shared" ca="1" si="19"/>
        <v>0.10487790496887607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797.90300936346</v>
      </c>
      <c r="W34" s="2">
        <f t="shared" si="22"/>
        <v>-699.99553871893795</v>
      </c>
      <c r="X34" s="9">
        <f t="shared" ca="1" si="23"/>
        <v>0.10487790496887607</v>
      </c>
      <c r="Y34" s="2" t="str">
        <f t="shared" si="24"/>
        <v>ACTIVA</v>
      </c>
    </row>
    <row r="35" spans="2:25">
      <c r="B35" s="1">
        <f t="shared" ca="1" si="17"/>
        <v>45583</v>
      </c>
      <c r="C35" s="2">
        <f ca="1">VLOOKUP(B35,Tabla4[],2,FALSE)</f>
        <v>4247.29</v>
      </c>
      <c r="D35" s="3">
        <f ca="1">VLOOKUP(B35,Tabla4[],3,FALSE)</f>
        <v>67725.279999999999</v>
      </c>
      <c r="E35" s="2">
        <f ca="1">VLOOKUP(B35,Tabla4[],5,FALSE)</f>
        <v>2623.4</v>
      </c>
      <c r="F35" s="2">
        <f ca="1">VLOOKUP(B35,Tabla4[],4,FALSE)</f>
        <v>1.88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461.05345673827594</v>
      </c>
      <c r="N35" s="12">
        <f t="shared" ca="1" si="19"/>
        <v>0.2768269491985873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461.05345673827594</v>
      </c>
      <c r="W35" s="2">
        <f t="shared" si="22"/>
        <v>-350.00858741327886</v>
      </c>
      <c r="X35" s="9">
        <f t="shared" ca="1" si="23"/>
        <v>0.2768269491985873</v>
      </c>
      <c r="Y35" s="2" t="str">
        <f t="shared" si="24"/>
        <v>ACTIVA</v>
      </c>
    </row>
    <row r="36" spans="2:25">
      <c r="B36" s="1">
        <f t="shared" ref="B36:B41" ca="1" si="25">TODAY()</f>
        <v>45583</v>
      </c>
      <c r="C36" s="2">
        <f ca="1">VLOOKUP(B36,Tabla4[],2,FALSE)</f>
        <v>4247.29</v>
      </c>
      <c r="D36" s="3">
        <f ca="1">VLOOKUP(B36,Tabla4[],3,FALSE)</f>
        <v>67725.279999999999</v>
      </c>
      <c r="E36" s="2">
        <f ca="1">VLOOKUP(B36,Tabla4[],5,FALSE)</f>
        <v>2623.4</v>
      </c>
      <c r="F36" s="2">
        <f ca="1">VLOOKUP(B36,Tabla4[],4,FALSE)</f>
        <v>1.88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837.05831206939195</v>
      </c>
      <c r="N36" s="27">
        <f t="shared" ref="N36:N41" ca="1" si="27">IF(G36 = "BTC", (D36 - J36) / J36,
 IF(G36 = "ETH", (E36 - J36) / J36,
 IF(G36 = "IO.NET", (F36 - J36) / J36,
 "Moneda no soportada")))</f>
        <v>0.14696677866164556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837.05831206939195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0.14696677866164556</v>
      </c>
      <c r="Y36" s="2" t="str">
        <f t="shared" si="24"/>
        <v>ACTIVA</v>
      </c>
    </row>
    <row r="37" spans="2:25">
      <c r="B37" s="1">
        <f t="shared" ca="1" si="25"/>
        <v>45583</v>
      </c>
      <c r="C37" s="2">
        <f ca="1">VLOOKUP(B37,Tabla4[],2,FALSE)</f>
        <v>4247.29</v>
      </c>
      <c r="D37" s="3">
        <f ca="1">VLOOKUP(B37,Tabla4[],3,FALSE)</f>
        <v>67725.279999999999</v>
      </c>
      <c r="E37" s="2">
        <f ca="1">VLOOKUP(B37,Tabla4[],5,FALSE)</f>
        <v>2623.4</v>
      </c>
      <c r="F37" s="2">
        <f ca="1">VLOOKUP(B37,Tabla4[],4,FALSE)</f>
        <v>1.88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723.80644446656004</v>
      </c>
      <c r="N37" s="27">
        <f t="shared" ca="1" si="27"/>
        <v>-8.2413428096173181E-3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723.80644446656004</v>
      </c>
      <c r="W37" s="2">
        <f t="shared" si="30"/>
        <v>-700.01513873535998</v>
      </c>
      <c r="X37" s="9">
        <f t="shared" ca="1" si="31"/>
        <v>-8.2413428096173181E-3</v>
      </c>
      <c r="Y37" s="2" t="str">
        <f t="shared" si="24"/>
        <v>ACTIVA</v>
      </c>
    </row>
    <row r="38" spans="2:25">
      <c r="B38" s="1">
        <f t="shared" ca="1" si="25"/>
        <v>45583</v>
      </c>
      <c r="C38" s="2">
        <f ca="1">VLOOKUP(B38,Tabla4[],2,FALSE)</f>
        <v>4247.29</v>
      </c>
      <c r="D38" s="3">
        <f ca="1">VLOOKUP(B38,Tabla4[],3,FALSE)</f>
        <v>67725.279999999999</v>
      </c>
      <c r="E38" s="2">
        <f ca="1">VLOOKUP(B38,Tabla4[],5,FALSE)</f>
        <v>2623.4</v>
      </c>
      <c r="F38" s="2">
        <f ca="1">VLOOKUP(B38,Tabla4[],4,FALSE)</f>
        <v>1.88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436.30208714647199</v>
      </c>
      <c r="N38" s="27">
        <f t="shared" ca="1" si="27"/>
        <v>0.19567014767798302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436.30208714647199</v>
      </c>
      <c r="W38" s="2">
        <f t="shared" si="30"/>
        <v>-349.9990705940495</v>
      </c>
      <c r="X38" s="9">
        <f t="shared" ca="1" si="31"/>
        <v>0.19567014767798302</v>
      </c>
      <c r="Y38" s="2" t="str">
        <f t="shared" si="24"/>
        <v>ACTIVA</v>
      </c>
    </row>
    <row r="39" spans="2:25">
      <c r="B39" s="1">
        <f t="shared" ca="1" si="25"/>
        <v>45583</v>
      </c>
      <c r="C39" s="2">
        <f ca="1">VLOOKUP(B39,Tabla4[],2,FALSE)</f>
        <v>4247.29</v>
      </c>
      <c r="D39" s="3">
        <f ca="1">VLOOKUP(B39,Tabla4[],3,FALSE)</f>
        <v>67725.279999999999</v>
      </c>
      <c r="E39" s="2">
        <f ca="1">VLOOKUP(B39,Tabla4[],5,FALSE)</f>
        <v>2623.4</v>
      </c>
      <c r="F39" s="2">
        <f ca="1">VLOOKUP(B39,Tabla4[],4,FALSE)</f>
        <v>1.88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871.5761806083359</v>
      </c>
      <c r="N39" s="27">
        <f t="shared" ca="1" si="27"/>
        <v>0.18145133434978133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871.5761806083359</v>
      </c>
      <c r="W39" s="2">
        <f t="shared" si="30"/>
        <v>-700.00297999823999</v>
      </c>
      <c r="X39" s="9">
        <f t="shared" ca="1" si="31"/>
        <v>0.18145133434978133</v>
      </c>
      <c r="Y39" s="2" t="str">
        <f t="shared" ref="Y39:Y44" si="32">IF(U39=0,"VENDIDA","ACTIVA")</f>
        <v>ACTIVA</v>
      </c>
    </row>
    <row r="40" spans="2:25">
      <c r="B40" s="1">
        <f t="shared" ca="1" si="25"/>
        <v>45583</v>
      </c>
      <c r="C40" s="2">
        <f ca="1">VLOOKUP(B40,Tabla4[],2,FALSE)</f>
        <v>4247.29</v>
      </c>
      <c r="D40" s="3">
        <f ca="1">VLOOKUP(B40,Tabla4[],3,FALSE)</f>
        <v>67725.279999999999</v>
      </c>
      <c r="E40" s="2">
        <f ca="1">VLOOKUP(B40,Tabla4[],5,FALSE)</f>
        <v>2623.4</v>
      </c>
      <c r="F40" s="2">
        <f ca="1">VLOOKUP(B40,Tabla4[],4,FALSE)</f>
        <v>1.88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765.81306847578003</v>
      </c>
      <c r="N40" s="27">
        <f t="shared" ca="1" si="27"/>
        <v>3.8086381892645862E-2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765.81306847578003</v>
      </c>
      <c r="W40" s="2">
        <f t="shared" si="30"/>
        <v>-700.00259914812</v>
      </c>
      <c r="X40" s="9">
        <f t="shared" ca="1" si="31"/>
        <v>3.8086381892645862E-2</v>
      </c>
      <c r="Y40" s="2" t="str">
        <f t="shared" si="32"/>
        <v>ACTIVA</v>
      </c>
    </row>
    <row r="41" spans="2:25">
      <c r="B41" s="1">
        <f t="shared" ca="1" si="25"/>
        <v>45583</v>
      </c>
      <c r="C41" s="2">
        <f ca="1">VLOOKUP(B41,Tabla4[],2,FALSE)</f>
        <v>4247.29</v>
      </c>
      <c r="D41" s="3">
        <f ca="1">VLOOKUP(B41,Tabla4[],3,FALSE)</f>
        <v>67725.279999999999</v>
      </c>
      <c r="E41" s="2">
        <f ca="1">VLOOKUP(B41,Tabla4[],5,FALSE)</f>
        <v>2623.4</v>
      </c>
      <c r="F41" s="2">
        <f ca="1">VLOOKUP(B41,Tabla4[],4,FALSE)</f>
        <v>1.88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430.12360704986793</v>
      </c>
      <c r="N41" s="27">
        <f t="shared" ca="1" si="27"/>
        <v>0.16610842327254671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430.12360704986793</v>
      </c>
      <c r="W41" s="2">
        <f t="shared" si="30"/>
        <v>-349.99732079053973</v>
      </c>
      <c r="X41" s="9">
        <f t="shared" ca="1" si="31"/>
        <v>0.16610842327254671</v>
      </c>
      <c r="Y41" s="2" t="str">
        <f t="shared" si="32"/>
        <v>ACTIVA</v>
      </c>
    </row>
    <row r="42" spans="2:25">
      <c r="B42" s="1">
        <f t="shared" ref="B42:B47" ca="1" si="33">TODAY()</f>
        <v>45583</v>
      </c>
      <c r="C42" s="2">
        <f ca="1">VLOOKUP(B42,Tabla4[],2,FALSE)</f>
        <v>4247.29</v>
      </c>
      <c r="D42" s="3">
        <f ca="1">VLOOKUP(B42,Tabla4[],3,FALSE)</f>
        <v>67725.279999999999</v>
      </c>
      <c r="E42" s="2">
        <f ca="1">VLOOKUP(B42,Tabla4[],5,FALSE)</f>
        <v>2623.4</v>
      </c>
      <c r="F42" s="2">
        <f ca="1">VLOOKUP(B42,Tabla4[],4,FALSE)</f>
        <v>1.88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799.66395448553601</v>
      </c>
      <c r="N42" s="27">
        <f t="shared" ref="N42:N47" ca="1" si="35">IF(G42 = "BTC", (D42 - J42) / J42,
 IF(G42 = "ETH", (E42 - J42) / J42,
 IF(G42 = "IO.NET", (F42 - J42) / J42,
 "Moneda no soportada")))</f>
        <v>8.3864607505801367E-2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799.66395448553601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8.3864607505801367E-2</v>
      </c>
      <c r="Y42" s="2" t="str">
        <f t="shared" si="32"/>
        <v>ACTIVA</v>
      </c>
    </row>
    <row r="43" spans="2:25">
      <c r="B43" s="1">
        <f t="shared" ca="1" si="33"/>
        <v>45583</v>
      </c>
      <c r="C43" s="2">
        <f ca="1">VLOOKUP(B43,Tabla4[],2,FALSE)</f>
        <v>4247.29</v>
      </c>
      <c r="D43" s="3">
        <f ca="1">VLOOKUP(B43,Tabla4[],3,FALSE)</f>
        <v>67725.279999999999</v>
      </c>
      <c r="E43" s="2">
        <f ca="1">VLOOKUP(B43,Tabla4[],5,FALSE)</f>
        <v>2623.4</v>
      </c>
      <c r="F43" s="2">
        <f ca="1">VLOOKUP(B43,Tabla4[],4,FALSE)</f>
        <v>1.88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724.69783171344</v>
      </c>
      <c r="N43" s="27">
        <f t="shared" ca="1" si="35"/>
        <v>-1.7743813628177382E-2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724.69783171344</v>
      </c>
      <c r="W43" s="2">
        <f t="shared" si="38"/>
        <v>-700.00054480260007</v>
      </c>
      <c r="X43" s="9">
        <f t="shared" ca="1" si="39"/>
        <v>-1.7743813628177382E-2</v>
      </c>
      <c r="Y43" s="2" t="str">
        <f t="shared" si="32"/>
        <v>ACTIVA</v>
      </c>
    </row>
    <row r="44" spans="2:25">
      <c r="B44" s="1">
        <f t="shared" ca="1" si="33"/>
        <v>45583</v>
      </c>
      <c r="C44" s="2">
        <f ca="1">VLOOKUP(B44,Tabla4[],2,FALSE)</f>
        <v>4247.29</v>
      </c>
      <c r="D44" s="3">
        <f ca="1">VLOOKUP(B44,Tabla4[],3,FALSE)</f>
        <v>67725.279999999999</v>
      </c>
      <c r="E44" s="2">
        <f ca="1">VLOOKUP(B44,Tabla4[],5,FALSE)</f>
        <v>2623.4</v>
      </c>
      <c r="F44" s="2">
        <f ca="1">VLOOKUP(B44,Tabla4[],4,FALSE)</f>
        <v>1.88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318.61720064868791</v>
      </c>
      <c r="N44" s="27">
        <f t="shared" ca="1" si="35"/>
        <v>-0.13630328618223078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318.61720064868791</v>
      </c>
      <c r="W44" s="2">
        <f t="shared" si="38"/>
        <v>-350.00491194757706</v>
      </c>
      <c r="X44" s="9">
        <f t="shared" ca="1" si="39"/>
        <v>-0.13630328618223078</v>
      </c>
      <c r="Y44" s="2" t="str">
        <f t="shared" si="32"/>
        <v>ACTIVA</v>
      </c>
    </row>
    <row r="45" spans="2:25">
      <c r="B45" s="1">
        <f t="shared" ca="1" si="33"/>
        <v>45583</v>
      </c>
      <c r="C45" s="2">
        <f ca="1">VLOOKUP(B45,Tabla4[],2,FALSE)</f>
        <v>4247.29</v>
      </c>
      <c r="D45" s="3">
        <f ca="1">VLOOKUP(B45,Tabla4[],3,FALSE)</f>
        <v>67725.279999999999</v>
      </c>
      <c r="E45" s="2">
        <f ca="1">VLOOKUP(B45,Tabla4[],5,FALSE)</f>
        <v>2623.4</v>
      </c>
      <c r="F45" s="2">
        <f ca="1">VLOOKUP(B45,Tabla4[],4,FALSE)</f>
        <v>1.88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860.07022442868799</v>
      </c>
      <c r="N45" s="27">
        <f t="shared" ca="1" si="35"/>
        <v>0.20351715215876934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860.07022442868799</v>
      </c>
      <c r="W45" s="2">
        <f t="shared" si="38"/>
        <v>-699.99575477832013</v>
      </c>
      <c r="X45" s="32">
        <f t="shared" ca="1" si="39"/>
        <v>0.20351715215876934</v>
      </c>
      <c r="Y45" s="2" t="str">
        <f t="shared" ref="Y45:Y50" si="40">IF(U45=0,"VENDIDA","ACTIVA")</f>
        <v>ACTIVA</v>
      </c>
    </row>
    <row r="46" spans="2:25">
      <c r="B46" s="1">
        <f t="shared" ca="1" si="33"/>
        <v>45583</v>
      </c>
      <c r="C46" s="2">
        <f ca="1">VLOOKUP(B46,Tabla4[],2,FALSE)</f>
        <v>4247.29</v>
      </c>
      <c r="D46" s="3">
        <f ca="1">VLOOKUP(B46,Tabla4[],3,FALSE)</f>
        <v>67725.279999999999</v>
      </c>
      <c r="E46" s="2">
        <f ca="1">VLOOKUP(B46,Tabla4[],5,FALSE)</f>
        <v>2623.4</v>
      </c>
      <c r="F46" s="2">
        <f ca="1">VLOOKUP(B46,Tabla4[],4,FALSE)</f>
        <v>1.88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776.0640218149</v>
      </c>
      <c r="N46" s="27">
        <f t="shared" ca="1" si="35"/>
        <v>8.5952246911944835E-2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776.0640218149</v>
      </c>
      <c r="W46" s="2">
        <f t="shared" si="38"/>
        <v>-700.00412532204018</v>
      </c>
      <c r="X46" s="32">
        <f t="shared" ca="1" si="39"/>
        <v>8.5952246911944835E-2</v>
      </c>
      <c r="Y46" s="2" t="str">
        <f t="shared" si="40"/>
        <v>ACTIVA</v>
      </c>
    </row>
    <row r="47" spans="2:25">
      <c r="B47" s="1">
        <f t="shared" ca="1" si="33"/>
        <v>45583</v>
      </c>
      <c r="C47" s="2">
        <f ca="1">VLOOKUP(B47,Tabla4[],2,FALSE)</f>
        <v>4247.29</v>
      </c>
      <c r="D47" s="3">
        <f ca="1">VLOOKUP(B47,Tabla4[],3,FALSE)</f>
        <v>67725.279999999999</v>
      </c>
      <c r="E47" s="2">
        <f ca="1">VLOOKUP(B47,Tabla4[],5,FALSE)</f>
        <v>2623.4</v>
      </c>
      <c r="F47" s="2">
        <f ca="1">VLOOKUP(B47,Tabla4[],4,FALSE)</f>
        <v>1.88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482.26823196794794</v>
      </c>
      <c r="N47" s="27">
        <f t="shared" ca="1" si="35"/>
        <v>0.34970206044942198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482.26823196794794</v>
      </c>
      <c r="W47" s="2">
        <f t="shared" si="38"/>
        <v>-349.99716107114455</v>
      </c>
      <c r="X47" s="32">
        <f t="shared" ca="1" si="39"/>
        <v>0.34970206044942198</v>
      </c>
      <c r="Y47" s="2" t="str">
        <f t="shared" si="40"/>
        <v>ACTIVA</v>
      </c>
    </row>
    <row r="48" spans="2:25">
      <c r="B48" s="1">
        <f t="shared" ref="B48:B53" ca="1" si="41">TODAY()</f>
        <v>45583</v>
      </c>
      <c r="C48" s="2">
        <f ca="1">VLOOKUP(B48,Tabla4[],2,FALSE)</f>
        <v>4247.29</v>
      </c>
      <c r="D48" s="3">
        <f ca="1">VLOOKUP(B48,Tabla4[],3,FALSE)</f>
        <v>67725.279999999999</v>
      </c>
      <c r="E48" s="2">
        <f ca="1">VLOOKUP(B48,Tabla4[],5,FALSE)</f>
        <v>2623.4</v>
      </c>
      <c r="F48" s="2">
        <f ca="1">VLOOKUP(B48,Tabla4[],4,FALSE)</f>
        <v>1.88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891.71160392271997</v>
      </c>
      <c r="N48" s="27">
        <f t="shared" ref="N48:N53" ca="1" si="43">IF(G48 = "BTC", (D48 - J48) / J48,
 IF(G48 = "ETH", (E48 - J48) / J48,
 IF(G48 = "IO.NET", (F48 - J48) / J48,
 "Moneda no soportada")))</f>
        <v>0.2446296908883743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891.71160392271997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0.2446296908883743</v>
      </c>
      <c r="Y48" s="2" t="str">
        <f t="shared" si="40"/>
        <v>ACTIVA</v>
      </c>
    </row>
    <row r="49" spans="2:25">
      <c r="B49" s="1">
        <f t="shared" ca="1" si="41"/>
        <v>45583</v>
      </c>
      <c r="C49" s="2">
        <f ca="1">VLOOKUP(B49,Tabla4[],2,FALSE)</f>
        <v>4247.29</v>
      </c>
      <c r="D49" s="3">
        <f ca="1">VLOOKUP(B49,Tabla4[],3,FALSE)</f>
        <v>67725.279999999999</v>
      </c>
      <c r="E49" s="2">
        <f ca="1">VLOOKUP(B49,Tabla4[],5,FALSE)</f>
        <v>2623.4</v>
      </c>
      <c r="F49" s="2">
        <f ca="1">VLOOKUP(B49,Tabla4[],4,FALSE)</f>
        <v>1.88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823.41896930539997</v>
      </c>
      <c r="N49" s="27">
        <f t="shared" ca="1" si="43"/>
        <v>0.14930846100263295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823.41896930539997</v>
      </c>
      <c r="W49" s="2">
        <f t="shared" si="46"/>
        <v>-700.00069063578997</v>
      </c>
      <c r="X49" s="32">
        <f t="shared" ca="1" si="47"/>
        <v>0.14930846100263295</v>
      </c>
      <c r="Y49" s="2" t="str">
        <f t="shared" si="40"/>
        <v>ACTIVA</v>
      </c>
    </row>
    <row r="50" spans="2:25">
      <c r="B50" s="1">
        <f t="shared" ca="1" si="41"/>
        <v>45583</v>
      </c>
      <c r="C50" s="2">
        <f ca="1">VLOOKUP(B50,Tabla4[],2,FALSE)</f>
        <v>4247.29</v>
      </c>
      <c r="D50" s="3">
        <f ca="1">VLOOKUP(B50,Tabla4[],3,FALSE)</f>
        <v>67725.279999999999</v>
      </c>
      <c r="E50" s="2">
        <f ca="1">VLOOKUP(B50,Tabla4[],5,FALSE)</f>
        <v>2623.4</v>
      </c>
      <c r="F50" s="2">
        <f ca="1">VLOOKUP(B50,Tabla4[],4,FALSE)</f>
        <v>1.88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431.31279898130396</v>
      </c>
      <c r="N50" s="27">
        <f t="shared" ca="1" si="43"/>
        <v>0.20404764954527987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431.31279898130396</v>
      </c>
      <c r="W50" s="2">
        <f t="shared" si="46"/>
        <v>-349.9958350273381</v>
      </c>
      <c r="X50" s="32">
        <f t="shared" ca="1" si="47"/>
        <v>0.20404764954527987</v>
      </c>
      <c r="Y50" s="2" t="str">
        <f t="shared" si="40"/>
        <v>ACTIVA</v>
      </c>
    </row>
    <row r="51" spans="2:25">
      <c r="B51" s="1">
        <f t="shared" ca="1" si="41"/>
        <v>45583</v>
      </c>
      <c r="C51" s="2">
        <f ca="1">VLOOKUP(B51,Tabla4[],2,FALSE)</f>
        <v>4247.29</v>
      </c>
      <c r="D51" s="3">
        <f ca="1">VLOOKUP(B51,Tabla4[],3,FALSE)</f>
        <v>67725.279999999999</v>
      </c>
      <c r="E51" s="2">
        <f ca="1">VLOOKUP(B51,Tabla4[],5,FALSE)</f>
        <v>2623.4</v>
      </c>
      <c r="F51" s="2">
        <f ca="1">VLOOKUP(B51,Tabla4[],4,FALSE)</f>
        <v>1.88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831.30533397956799</v>
      </c>
      <c r="N51" s="27">
        <f t="shared" ca="1" si="43"/>
        <v>0.16655835101608582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831.30533397956799</v>
      </c>
      <c r="W51" s="2">
        <f t="shared" si="46"/>
        <v>-700.00318686059086</v>
      </c>
      <c r="X51" s="32">
        <f t="shared" ca="1" si="47"/>
        <v>0.16655835101608582</v>
      </c>
      <c r="Y51" s="2" t="str">
        <f t="shared" ref="Y51:Y56" si="48">IF(U51=0,"VENDIDA","ACTIVA")</f>
        <v>ACTIVA</v>
      </c>
    </row>
    <row r="52" spans="2:25">
      <c r="B52" s="1">
        <f t="shared" ca="1" si="41"/>
        <v>45583</v>
      </c>
      <c r="C52" s="2">
        <f ca="1">VLOOKUP(B52,Tabla4[],2,FALSE)</f>
        <v>4247.29</v>
      </c>
      <c r="D52" s="3">
        <f ca="1">VLOOKUP(B52,Tabla4[],3,FALSE)</f>
        <v>67725.279999999999</v>
      </c>
      <c r="E52" s="2">
        <f ca="1">VLOOKUP(B52,Tabla4[],5,FALSE)</f>
        <v>2623.4</v>
      </c>
      <c r="F52" s="2">
        <f ca="1">VLOOKUP(B52,Tabla4[],4,FALSE)</f>
        <v>1.88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823.75323952298015</v>
      </c>
      <c r="N52" s="27">
        <f t="shared" ca="1" si="43"/>
        <v>0.15595780494038231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823.75323952298015</v>
      </c>
      <c r="W52" s="2">
        <f t="shared" si="46"/>
        <v>-700.00488533471412</v>
      </c>
      <c r="X52" s="32">
        <f t="shared" ca="1" si="47"/>
        <v>0.15595780494038231</v>
      </c>
      <c r="Y52" s="2" t="str">
        <f t="shared" si="48"/>
        <v>ACTIVA</v>
      </c>
    </row>
    <row r="53" spans="2:25">
      <c r="B53" s="1">
        <f t="shared" ca="1" si="41"/>
        <v>45583</v>
      </c>
      <c r="C53" s="2">
        <f ca="1">VLOOKUP(B53,Tabla4[],2,FALSE)</f>
        <v>4247.29</v>
      </c>
      <c r="D53" s="3">
        <f ca="1">VLOOKUP(B53,Tabla4[],3,FALSE)</f>
        <v>67725.279999999999</v>
      </c>
      <c r="E53" s="2">
        <f ca="1">VLOOKUP(B53,Tabla4[],5,FALSE)</f>
        <v>2623.4</v>
      </c>
      <c r="F53" s="2">
        <f ca="1">VLOOKUP(B53,Tabla4[],4,FALSE)</f>
        <v>1.88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388.50125065719192</v>
      </c>
      <c r="N53" s="27">
        <f t="shared" ca="1" si="43"/>
        <v>9.0360747013107492E-2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388.50125065719192</v>
      </c>
      <c r="W53" s="2">
        <f t="shared" si="46"/>
        <v>-350.00006885889513</v>
      </c>
      <c r="X53" s="32">
        <f t="shared" ca="1" si="47"/>
        <v>9.0360747013107492E-2</v>
      </c>
      <c r="Y53" s="2" t="str">
        <f t="shared" si="48"/>
        <v>ACTIVA</v>
      </c>
    </row>
    <row r="54" spans="2:25">
      <c r="B54" s="1">
        <f t="shared" ref="B54:B59" ca="1" si="49">TODAY()</f>
        <v>45583</v>
      </c>
      <c r="C54" s="2">
        <f ca="1">VLOOKUP(B54,Tabla4[],2,FALSE)</f>
        <v>4247.29</v>
      </c>
      <c r="D54" s="3">
        <f ca="1">VLOOKUP(B54,Tabla4[],3,FALSE)</f>
        <v>67725.279999999999</v>
      </c>
      <c r="E54" s="2">
        <f ca="1">VLOOKUP(B54,Tabla4[],5,FALSE)</f>
        <v>2623.4</v>
      </c>
      <c r="F54" s="2">
        <f ca="1">VLOOKUP(B54,Tabla4[],4,FALSE)</f>
        <v>1.88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773.77555308132798</v>
      </c>
      <c r="N54" s="27">
        <f t="shared" ref="N54:N59" ca="1" si="51">IF(G54 = "BTC", (D54 - J54) / J54,
 IF(G54 = "ETH", (E54 - J54) / J54,
 IF(G54 = "IO.NET", (F54 - J54) / J54,
 "Moneda no soportada")))</f>
        <v>8.1113594278781662E-2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773.77555308132798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8.1113594278781662E-2</v>
      </c>
      <c r="Y54" s="2" t="str">
        <f t="shared" si="48"/>
        <v>ACTIVA</v>
      </c>
    </row>
    <row r="55" spans="2:25">
      <c r="B55" s="1">
        <f t="shared" ca="1" si="49"/>
        <v>45583</v>
      </c>
      <c r="C55" s="2">
        <f ca="1">VLOOKUP(B55,Tabla4[],2,FALSE)</f>
        <v>4247.29</v>
      </c>
      <c r="D55" s="3">
        <f ca="1">VLOOKUP(B55,Tabla4[],3,FALSE)</f>
        <v>67725.279999999999</v>
      </c>
      <c r="E55" s="2">
        <f ca="1">VLOOKUP(B55,Tabla4[],5,FALSE)</f>
        <v>2623.4</v>
      </c>
      <c r="F55" s="2">
        <f ca="1">VLOOKUP(B55,Tabla4[],4,FALSE)</f>
        <v>1.88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722.46936359623999</v>
      </c>
      <c r="N55" s="27">
        <f t="shared" ca="1" si="51"/>
        <v>9.4192972465485733E-3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722.46936359623999</v>
      </c>
      <c r="W55" s="2">
        <f t="shared" si="54"/>
        <v>-700.0036727317439</v>
      </c>
      <c r="X55" s="32">
        <f t="shared" ca="1" si="55"/>
        <v>9.4192972465485733E-3</v>
      </c>
      <c r="Y55" s="2" t="str">
        <f t="shared" si="48"/>
        <v>ACTIVA</v>
      </c>
    </row>
    <row r="56" spans="2:25">
      <c r="B56" s="1">
        <f t="shared" ca="1" si="49"/>
        <v>45583</v>
      </c>
      <c r="C56" s="2">
        <f ca="1">VLOOKUP(B56,Tabla4[],2,FALSE)</f>
        <v>4247.29</v>
      </c>
      <c r="D56" s="3">
        <f ca="1">VLOOKUP(B56,Tabla4[],3,FALSE)</f>
        <v>67725.279999999999</v>
      </c>
      <c r="E56" s="2">
        <f ca="1">VLOOKUP(B56,Tabla4[],5,FALSE)</f>
        <v>2623.4</v>
      </c>
      <c r="F56" s="2">
        <f ca="1">VLOOKUP(B56,Tabla4[],4,FALSE)</f>
        <v>1.88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322.55248132745595</v>
      </c>
      <c r="N56" s="27">
        <f t="shared" ca="1" si="51"/>
        <v>-9.8667178061175559E-2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322.55248132745595</v>
      </c>
      <c r="W56" s="2">
        <f t="shared" si="54"/>
        <v>-349.99971212019545</v>
      </c>
      <c r="X56" s="32">
        <f t="shared" ca="1" si="55"/>
        <v>-9.8667178061175559E-2</v>
      </c>
      <c r="Y56" s="2" t="str">
        <f t="shared" si="48"/>
        <v>ACTIVA</v>
      </c>
    </row>
    <row r="57" spans="2:25">
      <c r="B57" s="1">
        <f t="shared" ca="1" si="49"/>
        <v>45583</v>
      </c>
      <c r="C57" s="2">
        <f ca="1">VLOOKUP(B57,Tabla4[],2,FALSE)</f>
        <v>4247.29</v>
      </c>
      <c r="D57" s="3">
        <f ca="1">VLOOKUP(B57,Tabla4[],3,FALSE)</f>
        <v>67725.279999999999</v>
      </c>
      <c r="E57" s="2">
        <f ca="1">VLOOKUP(B57,Tabla4[],5,FALSE)</f>
        <v>2623.4</v>
      </c>
      <c r="F57" s="2">
        <f ca="1">VLOOKUP(B57,Tabla4[],4,FALSE)</f>
        <v>1.88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782.40502021606392</v>
      </c>
      <c r="N57" s="27">
        <f t="shared" ca="1" si="51"/>
        <v>5.2645583896088963E-2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782.40502021606392</v>
      </c>
      <c r="W57" s="2">
        <f t="shared" si="54"/>
        <v>-699.99918079999998</v>
      </c>
      <c r="X57" s="32">
        <f t="shared" ca="1" si="55"/>
        <v>5.2645583896088963E-2</v>
      </c>
      <c r="Y57" s="2" t="str">
        <f t="shared" ref="Y57:Y62" si="56">IF(U57=0,"VENDIDA","ACTIVA")</f>
        <v>ACTIVA</v>
      </c>
    </row>
    <row r="58" spans="2:25">
      <c r="B58" s="1">
        <f t="shared" ca="1" si="49"/>
        <v>45583</v>
      </c>
      <c r="C58" s="2">
        <f ca="1">VLOOKUP(B58,Tabla4[],2,FALSE)</f>
        <v>4247.29</v>
      </c>
      <c r="D58" s="3">
        <f ca="1">VLOOKUP(B58,Tabla4[],3,FALSE)</f>
        <v>67725.279999999999</v>
      </c>
      <c r="E58" s="2">
        <f ca="1">VLOOKUP(B58,Tabla4[],5,FALSE)</f>
        <v>2623.4</v>
      </c>
      <c r="F58" s="2">
        <f ca="1">VLOOKUP(B58,Tabla4[],4,FALSE)</f>
        <v>1.88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743.52838730378005</v>
      </c>
      <c r="N58" s="27">
        <f t="shared" ca="1" si="51"/>
        <v>3.4318398474741311E-4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743.52838730378005</v>
      </c>
      <c r="W58" s="2">
        <f t="shared" si="54"/>
        <v>-699.99770000000001</v>
      </c>
      <c r="X58" s="32">
        <f t="shared" ca="1" si="55"/>
        <v>3.4318398474741311E-4</v>
      </c>
      <c r="Y58" s="2" t="str">
        <f t="shared" si="56"/>
        <v>ACTIVA</v>
      </c>
    </row>
    <row r="59" spans="2:25">
      <c r="B59" s="1">
        <f t="shared" ca="1" si="49"/>
        <v>45583</v>
      </c>
      <c r="C59" s="2">
        <f ca="1">VLOOKUP(B59,Tabla4[],2,FALSE)</f>
        <v>4247.29</v>
      </c>
      <c r="D59" s="3">
        <f ca="1">VLOOKUP(B59,Tabla4[],3,FALSE)</f>
        <v>67725.279999999999</v>
      </c>
      <c r="E59" s="2">
        <f ca="1">VLOOKUP(B59,Tabla4[],5,FALSE)</f>
        <v>2623.4</v>
      </c>
      <c r="F59" s="2">
        <f ca="1">VLOOKUP(B59,Tabla4[],4,FALSE)</f>
        <v>1.88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335.94636130993598</v>
      </c>
      <c r="N59" s="27">
        <f t="shared" ca="1" si="51"/>
        <v>-9.6032158175139021E-2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335.94636130993598</v>
      </c>
      <c r="W59" s="2">
        <f t="shared" si="54"/>
        <v>-349.9975761984</v>
      </c>
      <c r="X59" s="32">
        <f t="shared" ca="1" si="55"/>
        <v>-9.6032158175139021E-2</v>
      </c>
      <c r="Y59" s="2" t="str">
        <f t="shared" si="56"/>
        <v>ACTIVA</v>
      </c>
    </row>
    <row r="60" spans="2:25">
      <c r="B60" s="1">
        <f ca="1">TODAY()</f>
        <v>45583</v>
      </c>
      <c r="C60" s="2">
        <f ca="1">VLOOKUP(B60,Tabla4[],2,FALSE)</f>
        <v>4247.29</v>
      </c>
      <c r="D60" s="3">
        <f ca="1">VLOOKUP(B60,Tabla4[],3,FALSE)</f>
        <v>67725.279999999999</v>
      </c>
      <c r="E60" s="2">
        <f ca="1">VLOOKUP(B60,Tabla4[],5,FALSE)</f>
        <v>2623.4</v>
      </c>
      <c r="F60" s="2">
        <f ca="1">VLOOKUP(B60,Tabla4[],4,FALSE)</f>
        <v>1.88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ca="1" xml:space="preserve"> K60 * (IF(G60="BTC", D60, IF(G60="ETH", E60, IF(G60="IO.NET", F60, 0)))) * C60</f>
        <v>791.03448735079996</v>
      </c>
      <c r="N60" s="27">
        <f ca="1">IF(G60 = "BTC", (D60 - J60) / J60,
 IF(G60 = "ETH", (E60 - J60) / J60,
 IF(G60 = "IO.NET", (F60 - J60) / J60,
 "Moneda no soportada")))</f>
        <v>7.4015668115068642E-2</v>
      </c>
      <c r="O60" s="28">
        <v>0.25</v>
      </c>
      <c r="P60" s="28">
        <v>0.5</v>
      </c>
      <c r="Q60" s="31" t="str">
        <f ca="1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ca="1">IF(G60="BTC", D60 * U60 * C60, IF(G60="ETH", E60 * U60 * C60, IF(G60="IO.NET", F60 * U60 * C60, 0)))</f>
        <v>791.03448735079996</v>
      </c>
      <c r="W60" s="2">
        <f>IF(G60 = "BTC", ((T60 - L60)), IF(G60 = "ETH", ((T60 - L60)), IF(G60 = "IO.NET", ((T60 - L60)), "Moneda no soportada")))</f>
        <v>-699.99692636500004</v>
      </c>
      <c r="X60" s="32">
        <f ca="1">IF(G60 = "BTC", (((D60 - J60) / J60)),IF(G60 = "ETH", ((E60 - J60) / J60), IF(G60 = "IO.NET", ((F60 - J60) / J60), "Moneda no soportada")))</f>
        <v>7.4015668115068642E-2</v>
      </c>
      <c r="Y60" s="2" t="str">
        <f t="shared" si="56"/>
        <v>ACTIVA</v>
      </c>
    </row>
    <row r="61" spans="2:25">
      <c r="B61" s="1">
        <f ca="1">TODAY()</f>
        <v>45583</v>
      </c>
      <c r="C61" s="2">
        <f ca="1">VLOOKUP(B61,Tabla4[],2,FALSE)</f>
        <v>4247.29</v>
      </c>
      <c r="D61" s="3">
        <f ca="1">VLOOKUP(B61,Tabla4[],3,FALSE)</f>
        <v>67725.279999999999</v>
      </c>
      <c r="E61" s="2">
        <f ca="1">VLOOKUP(B61,Tabla4[],5,FALSE)</f>
        <v>2623.4</v>
      </c>
      <c r="F61" s="2">
        <f ca="1">VLOOKUP(B61,Tabla4[],4,FALSE)</f>
        <v>1.88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ca="1" xml:space="preserve"> K61 * (IF(G61="BTC", D61, IF(G61="ETH", E61, IF(G61="IO.NET", F61, 0)))) * C61</f>
        <v>791.32902841772</v>
      </c>
      <c r="N61" s="27">
        <f ca="1">IF(G61 = "BTC", (D61 - J61) / J61,
 IF(G61 = "ETH", (E61 - J61) / J61,
 IF(G61 = "IO.NET", (F61 - J61) / J61,
 "Moneda no soportada")))</f>
        <v>7.4415366343121708E-2</v>
      </c>
      <c r="O61" s="28">
        <v>0.25</v>
      </c>
      <c r="P61" s="28">
        <v>0.5</v>
      </c>
      <c r="Q61" s="31" t="str">
        <f ca="1">IF(N61 &lt; O61, "MANTENER", IF(N61 &lt; P61, "VENTA PARCIAL", "VENDER"))</f>
        <v>MANTENER</v>
      </c>
      <c r="T61" s="2"/>
      <c r="U61" s="14">
        <f>Tabla6[[#This Row],[cantidad]]-Tabla6[[#This Row],[CANTIDAD VENDIDA]]</f>
        <v>7.1019999999999994E-5</v>
      </c>
      <c r="V61" s="2">
        <f ca="1">IF(G61="BTC", D61 * U61 * C61, IF(G61="ETH", E61 * U61 * C61, IF(G61="IO.NET", F61 * U61 * C61, 0)))</f>
        <v>791.32902841772</v>
      </c>
      <c r="W61" s="2">
        <f>IF(G61 = "BTC", ((T61 - L61)), IF(G61 = "ETH", ((T61 - L61)), IF(G61 = "IO.NET", ((T61 - L61)), "Moneda no soportada")))</f>
        <v>-699.99706361177994</v>
      </c>
      <c r="X61" s="32">
        <f ca="1">IF(G61 = "BTC", (((D61 - J61) / J61)),IF(G61 = "ETH", ((E61 - J61) / J61), IF(G61 = "IO.NET", ((F61 - J61) / J61), "Moneda no soportada")))</f>
        <v>7.4415366343121708E-2</v>
      </c>
      <c r="Y61" s="2" t="str">
        <f t="shared" si="56"/>
        <v>ACTIVA</v>
      </c>
    </row>
    <row r="62" spans="2:25">
      <c r="B62" s="1">
        <f ca="1">TODAY()</f>
        <v>45583</v>
      </c>
      <c r="C62" s="2">
        <f ca="1">VLOOKUP(B62,Tabla4[],2,FALSE)</f>
        <v>4247.29</v>
      </c>
      <c r="D62" s="3">
        <f ca="1">VLOOKUP(B62,Tabla4[],3,FALSE)</f>
        <v>67725.279999999999</v>
      </c>
      <c r="E62" s="2">
        <f ca="1">VLOOKUP(B62,Tabla4[],5,FALSE)</f>
        <v>2623.4</v>
      </c>
      <c r="F62" s="2">
        <f ca="1">VLOOKUP(B62,Tabla4[],4,FALSE)</f>
        <v>1.88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ca="1" xml:space="preserve"> K62 * (IF(G62="BTC", D62, IF(G62="ETH", E62, IF(G62="IO.NET", F62, 0)))) * C62</f>
        <v>376.06579884586796</v>
      </c>
      <c r="N62" s="27">
        <f ca="1">IF(G62 = "BTC", (D62 - J62) / J62,
 IF(G62 = "ETH", (E62 - J62) / J62,
 IF(G62 = "IO.NET", (F62 - J62) / J62,
 "Moneda no soportada")))</f>
        <v>2.1184139054861446E-2</v>
      </c>
      <c r="O62" s="28">
        <v>0.1</v>
      </c>
      <c r="P62" s="28">
        <v>0.3</v>
      </c>
      <c r="Q62" s="31" t="str">
        <f ca="1">IF(N62 &lt; O62, "MANTENER", IF(N62 &lt; P62, "VENTA PARCIAL", "VENDER"))</f>
        <v>MANTENER</v>
      </c>
      <c r="T62" s="2"/>
      <c r="U62" s="14">
        <f>Tabla6[[#This Row],[cantidad]]-Tabla6[[#This Row],[CANTIDAD VENDIDA]]</f>
        <v>4.7097090000000001E-2</v>
      </c>
      <c r="V62" s="2">
        <f ca="1">IF(G62="BTC", D62 * U62 * C62, IF(G62="ETH", E62 * U62 * C62, IF(G62="IO.NET", F62 * U62 * C62, 0)))</f>
        <v>376.06579884586796</v>
      </c>
      <c r="W62" s="2">
        <f>IF(G62 = "BTC", ((T62 - L62)), IF(G62 = "ETH", ((T62 - L62)), IF(G62 = "IO.NET", ((T62 - L62)), "Moneda no soportada")))</f>
        <v>-350.00247034444232</v>
      </c>
      <c r="X62" s="32">
        <f ca="1">IF(G62 = "BTC", (((D62 - J62) / J62)),IF(G62 = "ETH", ((E62 - J62) / J62), IF(G62 = "IO.NET", ((F62 - J62) / J62), "Moneda no soportada")))</f>
        <v>2.1184139054861446E-2</v>
      </c>
      <c r="Y62" s="2" t="str">
        <f t="shared" si="56"/>
        <v>ACTIVA</v>
      </c>
    </row>
  </sheetData>
  <conditionalFormatting sqref="B3:Z62">
    <cfRule type="expression" dxfId="76" priority="1">
      <formula>$Y:$Y="VENDIDA"</formula>
    </cfRule>
  </conditionalFormatting>
  <conditionalFormatting sqref="Q1:Q1048576">
    <cfRule type="containsText" dxfId="75" priority="9" operator="containsText" text="VENTA PARCIAL">
      <formula>NOT(ISERROR(SEARCH("VENTA PARCIAL",Q1)))</formula>
    </cfRule>
    <cfRule type="containsText" dxfId="74" priority="10" operator="containsText" text="MANTENER">
      <formula>NOT(ISERROR(SEARCH("MANTENER",Q1)))</formula>
    </cfRule>
  </conditionalFormatting>
  <conditionalFormatting sqref="Q3:Q62">
    <cfRule type="containsText" dxfId="73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B17" sqref="B17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45583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4149</v>
      </c>
      <c r="I3" s="7">
        <f t="shared" ref="I3:I8" ca="1" si="2">G3*H3</f>
        <v>729.09186237000006</v>
      </c>
      <c r="J3" s="7">
        <f>F3</f>
        <v>699.9650905725</v>
      </c>
      <c r="K3" s="7">
        <f ca="1">Tabla5[[#This Row],[VALOR ACTUAL EN COP]]-Tabla5[[#This Row],[COSTO TOTAL EN COP]]</f>
        <v>29.126771797500055</v>
      </c>
      <c r="L3" s="10">
        <f t="shared" ref="L3:L8" ca="1" si="3">((I3-J3)/J3)</f>
        <v>4.1611749199774131E-2</v>
      </c>
      <c r="M3" s="7">
        <f>D3*1.1</f>
        <v>4381.5750000000007</v>
      </c>
    </row>
    <row r="4" spans="2:13">
      <c r="B4" s="1">
        <f t="shared" ca="1" si="0"/>
        <v>45583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4149</v>
      </c>
      <c r="I4" s="7">
        <f t="shared" ca="1" si="2"/>
        <v>833.60674899000014</v>
      </c>
      <c r="J4" s="7">
        <f t="shared" ref="J4:J9" si="5">F4+J3</f>
        <v>799.96510538510006</v>
      </c>
      <c r="K4" s="7">
        <f ca="1">Tabla5[[#This Row],[VALOR ACTUAL EN COP]]-Tabla5[[#This Row],[COSTO TOTAL EN COP]]</f>
        <v>33.641643604900082</v>
      </c>
      <c r="L4" s="10">
        <f t="shared" ca="1" si="3"/>
        <v>4.2053888823944549E-2</v>
      </c>
      <c r="M4" s="7">
        <f t="shared" ref="M4:M6" si="6">D4*1.1</f>
        <v>4366.7470000000003</v>
      </c>
    </row>
    <row r="5" spans="2:13">
      <c r="B5" s="1">
        <f t="shared" ref="B5:B10" ca="1" si="7">TODAY()</f>
        <v>45583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4149</v>
      </c>
      <c r="I5" s="22">
        <f t="shared" ca="1" si="2"/>
        <v>1557.20326086</v>
      </c>
      <c r="J5" s="8">
        <f t="shared" si="5"/>
        <v>1499.9649414160999</v>
      </c>
      <c r="K5" s="8">
        <f ca="1">Tabla5[[#This Row],[VALOR ACTUAL EN COP]]-Tabla5[[#This Row],[COSTO TOTAL EN COP]]</f>
        <v>57.238319443900082</v>
      </c>
      <c r="L5" s="10">
        <f t="shared" ca="1" si="3"/>
        <v>3.8159771514300882E-2</v>
      </c>
      <c r="M5" s="7">
        <f t="shared" si="6"/>
        <v>4415.07</v>
      </c>
    </row>
    <row r="6" spans="2:13">
      <c r="B6" s="1">
        <f t="shared" ca="1" si="7"/>
        <v>45583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4149</v>
      </c>
      <c r="I6" s="22">
        <f t="shared" ca="1" si="2"/>
        <v>2248.06403826</v>
      </c>
      <c r="J6" s="8">
        <f t="shared" si="5"/>
        <v>2199.9655954301002</v>
      </c>
      <c r="K6" s="8">
        <f ca="1">Tabla5[[#This Row],[VALOR ACTUAL EN COP]]-Tabla5[[#This Row],[COSTO TOTAL EN COP]]</f>
        <v>48.098442829899795</v>
      </c>
      <c r="L6" s="10">
        <f t="shared" ca="1" si="3"/>
        <v>2.1863270466507635E-2</v>
      </c>
      <c r="M6" s="7">
        <f t="shared" si="6"/>
        <v>4624.2790000000005</v>
      </c>
    </row>
    <row r="7" spans="2:13">
      <c r="B7" s="1">
        <f t="shared" ca="1" si="7"/>
        <v>45583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4149</v>
      </c>
      <c r="I7" s="22">
        <f t="shared" ca="1" si="2"/>
        <v>2966.36119839</v>
      </c>
      <c r="J7" s="8">
        <f t="shared" si="5"/>
        <v>2899.9651352048004</v>
      </c>
      <c r="K7" s="8">
        <f ca="1">Tabla5[[#This Row],[VALOR ACTUAL EN COP]]-Tabla5[[#This Row],[COSTO TOTAL EN COP]]</f>
        <v>66.396063185199637</v>
      </c>
      <c r="L7" s="30">
        <f t="shared" ca="1" si="3"/>
        <v>2.2895469458983905E-2</v>
      </c>
      <c r="M7" s="8">
        <f t="shared" ref="M7:M12" si="8">D7*1.1</f>
        <v>4447.6410000000005</v>
      </c>
    </row>
    <row r="8" spans="2:13">
      <c r="B8" s="1">
        <f t="shared" ca="1" si="7"/>
        <v>45583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4149</v>
      </c>
      <c r="I8" s="22">
        <f t="shared" ca="1" si="2"/>
        <v>3700.1302284600001</v>
      </c>
      <c r="J8" s="8">
        <f t="shared" si="5"/>
        <v>3599.9655804106005</v>
      </c>
      <c r="K8" s="8">
        <f ca="1">Tabla5[[#This Row],[VALOR ACTUAL EN COP]]-Tabla5[[#This Row],[COSTO TOTAL EN COP]]</f>
        <v>100.1646480493996</v>
      </c>
      <c r="L8" s="30">
        <f t="shared" ca="1" si="3"/>
        <v>2.7823779370128074E-2</v>
      </c>
      <c r="M8" s="8">
        <f t="shared" si="8"/>
        <v>4353.866</v>
      </c>
    </row>
    <row r="9" spans="2:13">
      <c r="B9" s="1">
        <f t="shared" ca="1" si="7"/>
        <v>45583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4149</v>
      </c>
      <c r="I9" s="22">
        <f t="shared" ref="I9:I14" ca="1" si="10">G9*H9</f>
        <v>4432.3033041899998</v>
      </c>
      <c r="J9" s="8">
        <f t="shared" si="5"/>
        <v>4299.9646876742008</v>
      </c>
      <c r="K9" s="8">
        <f ca="1">Tabla5[[#This Row],[VALOR ACTUAL EN COP]]-Tabla5[[#This Row],[COSTO TOTAL EN COP]]</f>
        <v>132.338616515799</v>
      </c>
      <c r="L9" s="30">
        <f t="shared" ref="L9:L14" ca="1" si="11">((I9-J9)/J9)</f>
        <v>3.0776675188786112E-2</v>
      </c>
      <c r="M9" s="8">
        <f t="shared" si="8"/>
        <v>4363.348</v>
      </c>
    </row>
    <row r="10" spans="2:13">
      <c r="B10" s="1">
        <f t="shared" ca="1" si="7"/>
        <v>45583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4149</v>
      </c>
      <c r="I10" s="22">
        <f t="shared" ca="1" si="10"/>
        <v>5159.2768531199999</v>
      </c>
      <c r="J10" s="8">
        <f t="shared" ref="J10:J15" si="13">F10+J9</f>
        <v>4999.9653978184006</v>
      </c>
      <c r="K10" s="8">
        <f ca="1">Tabla5[[#This Row],[VALOR ACTUAL EN COP]]-Tabla5[[#This Row],[COSTO TOTAL EN COP]]</f>
        <v>159.31145530159938</v>
      </c>
      <c r="L10" s="30">
        <f t="shared" ca="1" si="11"/>
        <v>3.1862511562802141E-2</v>
      </c>
      <c r="M10" s="8">
        <f t="shared" si="8"/>
        <v>4394.5660000000007</v>
      </c>
    </row>
    <row r="11" spans="2:13">
      <c r="B11" s="1">
        <f t="shared" ref="B11:B16" ca="1" si="14">TODAY()</f>
        <v>45583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4149</v>
      </c>
      <c r="I11" s="22">
        <f t="shared" ca="1" si="10"/>
        <v>5870.7585754199999</v>
      </c>
      <c r="J11" s="8">
        <f t="shared" si="13"/>
        <v>5699.9646385264004</v>
      </c>
      <c r="K11" s="8">
        <f ca="1">Tabla5[[#This Row],[VALOR ACTUAL EN COP]]-Tabla5[[#This Row],[COSTO TOTAL EN COP]]</f>
        <v>170.79393689359949</v>
      </c>
      <c r="L11" s="30">
        <f t="shared" ca="1" si="11"/>
        <v>2.9964034467721626E-2</v>
      </c>
      <c r="M11" s="8">
        <f t="shared" si="8"/>
        <v>4490.2440000000006</v>
      </c>
    </row>
    <row r="12" spans="2:13">
      <c r="B12" s="1">
        <f t="shared" ca="1" si="14"/>
        <v>45583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4149</v>
      </c>
      <c r="I12" s="22">
        <f t="shared" ca="1" si="10"/>
        <v>6573.1776370200005</v>
      </c>
      <c r="J12" s="8">
        <f t="shared" si="13"/>
        <v>6399.9644259904007</v>
      </c>
      <c r="K12" s="8">
        <f ca="1">Tabla5[[#This Row],[VALOR ACTUAL EN COP]]-Tabla5[[#This Row],[COSTO TOTAL EN COP]]</f>
        <v>173.21321102959973</v>
      </c>
      <c r="L12" s="30">
        <f t="shared" ca="1" si="11"/>
        <v>2.7064714660940452E-2</v>
      </c>
      <c r="M12" s="8">
        <f t="shared" si="8"/>
        <v>4548.1810000000005</v>
      </c>
    </row>
    <row r="13" spans="2:13">
      <c r="B13" s="1">
        <f t="shared" ca="1" si="14"/>
        <v>45583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4149</v>
      </c>
      <c r="I13" s="22">
        <f t="shared" ca="1" si="10"/>
        <v>7283.9575974600002</v>
      </c>
      <c r="J13" s="8">
        <f t="shared" si="13"/>
        <v>7099.9636240996006</v>
      </c>
      <c r="K13" s="8">
        <f ca="1">Tabla5[[#This Row],[VALOR ACTUAL EN COP]]-Tabla5[[#This Row],[COSTO TOTAL EN COP]]</f>
        <v>183.99397336039965</v>
      </c>
      <c r="L13" s="30">
        <f t="shared" ca="1" si="11"/>
        <v>2.5914776906161022E-2</v>
      </c>
      <c r="M13" s="8">
        <f>D13*1.1</f>
        <v>4494.6770000000006</v>
      </c>
    </row>
    <row r="14" spans="2:13">
      <c r="B14" s="1">
        <f t="shared" ca="1" si="14"/>
        <v>45583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4149</v>
      </c>
      <c r="I14" s="22">
        <f t="shared" ca="1" si="10"/>
        <v>8002.0734048000004</v>
      </c>
      <c r="J14" s="8">
        <f t="shared" si="13"/>
        <v>7799.9629740874007</v>
      </c>
      <c r="K14" s="8">
        <f ca="1">Tabla5[[#This Row],[VALOR ACTUAL EN COP]]-Tabla5[[#This Row],[COSTO TOTAL EN COP]]</f>
        <v>202.11043071259974</v>
      </c>
      <c r="L14" s="30">
        <f t="shared" ca="1" si="11"/>
        <v>2.5911716681738063E-2</v>
      </c>
      <c r="M14" s="8">
        <f>D14*1.1</f>
        <v>4448.7629999999999</v>
      </c>
    </row>
    <row r="15" spans="2:13">
      <c r="B15" s="1">
        <f t="shared" ca="1" si="14"/>
        <v>45583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4149</v>
      </c>
      <c r="I15" s="22">
        <f ca="1">G15*H15</f>
        <v>8721.5522001300014</v>
      </c>
      <c r="J15" s="8">
        <f t="shared" si="13"/>
        <v>8499.962605021301</v>
      </c>
      <c r="K15" s="8">
        <f ca="1">Tabla5[[#This Row],[VALOR ACTUAL EN COP]]-Tabla5[[#This Row],[COSTO TOTAL EN COP]]</f>
        <v>221.58959510870045</v>
      </c>
      <c r="L15" s="30">
        <f ca="1">((I15-J15)/J15)</f>
        <v>2.6069478820741839E-2</v>
      </c>
      <c r="M15" s="8">
        <f>D15*1.1</f>
        <v>4440.3370000000004</v>
      </c>
    </row>
    <row r="16" spans="2:13">
      <c r="B16" s="1">
        <f t="shared" ca="1" si="14"/>
        <v>45583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4149</v>
      </c>
      <c r="I16" s="22">
        <f ca="1">G16*H16</f>
        <v>9429.7075861500016</v>
      </c>
      <c r="J16" s="8">
        <f>F16+J15</f>
        <v>9199.9628538169018</v>
      </c>
      <c r="K16" s="8">
        <f ca="1">Tabla5[[#This Row],[VALOR ACTUAL EN COP]]-Tabla5[[#This Row],[COSTO TOTAL EN COP]]</f>
        <v>229.74473233309982</v>
      </c>
      <c r="L16" s="30">
        <f ca="1">((I16-J16)/J16)</f>
        <v>2.4972354343559419E-2</v>
      </c>
      <c r="M16" s="8">
        <f>D16*1.1</f>
        <v>4511.3420000000006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tabSelected="1" topLeftCell="G61" workbookViewId="0">
      <selection activeCell="K75" sqref="K75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>0.01518 * D74</f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>0.01518 * D75</f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>0.01518 * D76</f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</sheetData>
  <conditionalFormatting sqref="F3:F76">
    <cfRule type="cellIs" dxfId="45" priority="5" operator="greaterThan">
      <formula>0</formula>
    </cfRule>
    <cfRule type="cellIs" dxfId="44" priority="6" operator="lessThan">
      <formula>0</formula>
    </cfRule>
  </conditionalFormatting>
  <conditionalFormatting sqref="I3:I76">
    <cfRule type="cellIs" dxfId="43" priority="2" operator="lessThan">
      <formula>0</formula>
    </cfRule>
  </conditionalFormatting>
  <conditionalFormatting sqref="I3:I76">
    <cfRule type="cellIs" dxfId="42" priority="1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45583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535.29999999999995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45583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535.29999999999995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45583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535.29999999999995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45583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535.29999999999995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45583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535.29999999999995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45583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535.29999999999995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8.1300000000000008</v>
      </c>
      <c r="P8" s="18"/>
      <c r="Q8" s="7"/>
      <c r="R8" s="7">
        <f t="shared" si="3"/>
        <v>0</v>
      </c>
      <c r="S8" s="7">
        <f t="shared" ca="1" si="4"/>
        <v>0.43</v>
      </c>
      <c r="T8" s="9">
        <f t="shared" ca="1" si="5"/>
        <v>0.06</v>
      </c>
    </row>
    <row r="9" spans="2:20">
      <c r="B9" s="1">
        <f t="shared" ca="1" si="0"/>
        <v>45583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535.29999999999995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45583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535.29999999999995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45583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535.29999999999995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45583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535.29999999999995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45583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535.29999999999995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45583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535.29999999999995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2024-10-18T12:18:06Z</dcterms:modified>
</cp:coreProperties>
</file>