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56" firstSheet="1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Samuel" sheetId="14" r:id="rId8"/>
    <sheet name="BOLSA" sheetId="6" r:id="rId9"/>
    <sheet name="simulacionBolsa" sheetId="12" r:id="rId10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4" l="1"/>
  <c r="E11" i="14"/>
  <c r="C10" i="14"/>
  <c r="E10" i="14"/>
  <c r="C124" i="7"/>
  <c r="E124" i="7"/>
  <c r="F124" i="7"/>
  <c r="H124" i="7"/>
  <c r="K124" i="7"/>
  <c r="L124" i="7" s="1"/>
  <c r="N124" i="7"/>
  <c r="O124" i="7" s="1"/>
  <c r="C123" i="7"/>
  <c r="E123" i="7"/>
  <c r="F123" i="7"/>
  <c r="H123" i="7"/>
  <c r="I123" i="7"/>
  <c r="K123" i="7"/>
  <c r="L123" i="7" s="1"/>
  <c r="N123" i="7"/>
  <c r="O123" i="7" s="1"/>
  <c r="G123" i="7" l="1"/>
  <c r="F10" i="14"/>
  <c r="G124" i="7"/>
  <c r="J124" i="7"/>
  <c r="F11" i="14"/>
  <c r="G11" i="14"/>
  <c r="G10" i="14"/>
  <c r="I124" i="7"/>
  <c r="M124" i="7"/>
  <c r="M123" i="7"/>
  <c r="P124" i="7"/>
  <c r="J123" i="7"/>
  <c r="P123" i="7"/>
  <c r="C9" i="14"/>
  <c r="E9" i="14"/>
  <c r="G9" i="14" s="1"/>
  <c r="C122" i="7"/>
  <c r="E122" i="7"/>
  <c r="H122" i="7"/>
  <c r="I122" i="7" s="1"/>
  <c r="K122" i="7"/>
  <c r="L122" i="7" s="1"/>
  <c r="N122" i="7"/>
  <c r="O122" i="7" s="1"/>
  <c r="G122" i="7" l="1"/>
  <c r="F9" i="14"/>
  <c r="M122" i="7"/>
  <c r="J122" i="7"/>
  <c r="F122" i="7"/>
  <c r="P122" i="7"/>
  <c r="C8" i="14"/>
  <c r="E8" i="14"/>
  <c r="E121" i="7"/>
  <c r="F121" i="7" s="1"/>
  <c r="C121" i="7"/>
  <c r="H121" i="7"/>
  <c r="I121" i="7" s="1"/>
  <c r="K121" i="7"/>
  <c r="N121" i="7"/>
  <c r="O121" i="7" s="1"/>
  <c r="M121" i="7" l="1"/>
  <c r="F8" i="14"/>
  <c r="G8" i="14"/>
  <c r="G121" i="7"/>
  <c r="J121" i="7"/>
  <c r="P121" i="7"/>
  <c r="L121" i="7"/>
  <c r="C7" i="14"/>
  <c r="E7" i="14"/>
  <c r="G7" i="14" s="1"/>
  <c r="C6" i="14"/>
  <c r="E6" i="14"/>
  <c r="C120" i="7"/>
  <c r="E120" i="7"/>
  <c r="F120" i="7" s="1"/>
  <c r="H120" i="7"/>
  <c r="I120" i="7" s="1"/>
  <c r="K120" i="7"/>
  <c r="L120" i="7"/>
  <c r="N120" i="7"/>
  <c r="O120" i="7" s="1"/>
  <c r="P120" i="7" l="1"/>
  <c r="F6" i="14"/>
  <c r="F7" i="14"/>
  <c r="G6" i="14"/>
  <c r="M120" i="7"/>
  <c r="J120" i="7"/>
  <c r="G120" i="7"/>
  <c r="C119" i="7"/>
  <c r="P119" i="7" s="1"/>
  <c r="E119" i="7"/>
  <c r="F119" i="7"/>
  <c r="H119" i="7"/>
  <c r="I119" i="7" s="1"/>
  <c r="K119" i="7"/>
  <c r="N119" i="7"/>
  <c r="O119" i="7" s="1"/>
  <c r="M119" i="7" l="1"/>
  <c r="J119" i="7"/>
  <c r="G119" i="7"/>
  <c r="L119" i="7"/>
  <c r="C5" i="14"/>
  <c r="E5" i="14"/>
  <c r="E118" i="7"/>
  <c r="F118" i="7" s="1"/>
  <c r="C118" i="7"/>
  <c r="H118" i="7"/>
  <c r="K118" i="7"/>
  <c r="L118" i="7" s="1"/>
  <c r="N118" i="7"/>
  <c r="O118" i="7" s="1"/>
  <c r="M118" i="7" l="1"/>
  <c r="P118" i="7"/>
  <c r="J118" i="7"/>
  <c r="F5" i="14"/>
  <c r="G5" i="14"/>
  <c r="G118" i="7"/>
  <c r="I118" i="7"/>
  <c r="C4" i="14"/>
  <c r="E4" i="14"/>
  <c r="G4" i="14" s="1"/>
  <c r="C117" i="7"/>
  <c r="E117" i="7"/>
  <c r="F117" i="7"/>
  <c r="H117" i="7"/>
  <c r="I117" i="7" s="1"/>
  <c r="K117" i="7"/>
  <c r="L117" i="7" s="1"/>
  <c r="N117" i="7"/>
  <c r="O117" i="7" s="1"/>
  <c r="G117" i="7" l="1"/>
  <c r="F4" i="14"/>
  <c r="J117" i="7"/>
  <c r="M117" i="7"/>
  <c r="P117" i="7"/>
  <c r="B92" i="9"/>
  <c r="C92" i="9" s="1"/>
  <c r="L92" i="9"/>
  <c r="W92" i="9" s="1"/>
  <c r="U92" i="9"/>
  <c r="Y92" i="9" s="1"/>
  <c r="B91" i="9"/>
  <c r="D91" i="9" s="1"/>
  <c r="L91" i="9"/>
  <c r="W91" i="9" s="1"/>
  <c r="U91" i="9"/>
  <c r="Y91" i="9" s="1"/>
  <c r="B90" i="9"/>
  <c r="C90" i="9" s="1"/>
  <c r="L90" i="9"/>
  <c r="W90" i="9" s="1"/>
  <c r="U90" i="9"/>
  <c r="Y90" i="9" s="1"/>
  <c r="B25" i="10"/>
  <c r="H25" i="10" s="1"/>
  <c r="I25" i="10" s="1"/>
  <c r="F25" i="10"/>
  <c r="J25" i="10" s="1"/>
  <c r="G25" i="10"/>
  <c r="M25" i="10"/>
  <c r="C116" i="7"/>
  <c r="E116" i="7"/>
  <c r="F116" i="7" s="1"/>
  <c r="H116" i="7"/>
  <c r="I116" i="7" s="1"/>
  <c r="K116" i="7"/>
  <c r="N116" i="7"/>
  <c r="O116" i="7" s="1"/>
  <c r="C115" i="7"/>
  <c r="E115" i="7"/>
  <c r="F115" i="7"/>
  <c r="H115" i="7"/>
  <c r="K115" i="7"/>
  <c r="L115" i="7" s="1"/>
  <c r="N115" i="7"/>
  <c r="O115" i="7"/>
  <c r="C114" i="7"/>
  <c r="E114" i="7"/>
  <c r="F114" i="7"/>
  <c r="H114" i="7"/>
  <c r="I114" i="7" s="1"/>
  <c r="K114" i="7"/>
  <c r="N114" i="7"/>
  <c r="O114" i="7" s="1"/>
  <c r="P116" i="7" l="1"/>
  <c r="M115" i="7"/>
  <c r="P115" i="7"/>
  <c r="J115" i="7"/>
  <c r="M116" i="7"/>
  <c r="M114" i="7"/>
  <c r="E92" i="9"/>
  <c r="F92" i="9"/>
  <c r="D92" i="9"/>
  <c r="F91" i="9"/>
  <c r="C91" i="9"/>
  <c r="E91" i="9"/>
  <c r="F90" i="9"/>
  <c r="E90" i="9"/>
  <c r="D90" i="9"/>
  <c r="K25" i="10"/>
  <c r="L25" i="10"/>
  <c r="L116" i="7"/>
  <c r="G116" i="7"/>
  <c r="J116" i="7"/>
  <c r="I115" i="7"/>
  <c r="G115" i="7"/>
  <c r="L114" i="7"/>
  <c r="P114" i="7"/>
  <c r="J114" i="7"/>
  <c r="G114" i="7"/>
  <c r="G3" i="14"/>
  <c r="F3" i="7"/>
  <c r="E3" i="14"/>
  <c r="E3" i="7"/>
  <c r="C3" i="14"/>
  <c r="F3" i="14" s="1"/>
  <c r="C4" i="7"/>
  <c r="C3" i="7"/>
  <c r="G3" i="7" s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N92" i="9" l="1"/>
  <c r="Q92" i="9" s="1"/>
  <c r="V92" i="9"/>
  <c r="X92" i="9"/>
  <c r="M92" i="9"/>
  <c r="N91" i="9"/>
  <c r="Q91" i="9" s="1"/>
  <c r="V91" i="9"/>
  <c r="X91" i="9"/>
  <c r="M91" i="9"/>
  <c r="N90" i="9"/>
  <c r="Q90" i="9" s="1"/>
  <c r="X90" i="9"/>
  <c r="V90" i="9"/>
  <c r="M90" i="9"/>
  <c r="E113" i="7"/>
  <c r="H113" i="7"/>
  <c r="I113" i="7" s="1"/>
  <c r="K113" i="7"/>
  <c r="L113" i="7" s="1"/>
  <c r="N113" i="7"/>
  <c r="O113" i="7" s="1"/>
  <c r="F113" i="7" l="1"/>
  <c r="E112" i="7"/>
  <c r="F112" i="7" s="1"/>
  <c r="H112" i="7"/>
  <c r="I112" i="7" s="1"/>
  <c r="K112" i="7"/>
  <c r="L112" i="7" s="1"/>
  <c r="N112" i="7"/>
  <c r="O112" i="7" s="1"/>
  <c r="E111" i="7" l="1"/>
  <c r="H111" i="7"/>
  <c r="I111" i="7" s="1"/>
  <c r="K111" i="7"/>
  <c r="L111" i="7" s="1"/>
  <c r="N111" i="7"/>
  <c r="O111" i="7" s="1"/>
  <c r="F111" i="7" l="1"/>
  <c r="B88" i="9"/>
  <c r="D88" i="9" s="1"/>
  <c r="L88" i="9"/>
  <c r="W88" i="9" s="1"/>
  <c r="U88" i="9"/>
  <c r="Y88" i="9" s="1"/>
  <c r="B89" i="9"/>
  <c r="E89" i="9" s="1"/>
  <c r="L89" i="9"/>
  <c r="W89" i="9" s="1"/>
  <c r="U89" i="9"/>
  <c r="Y89" i="9" s="1"/>
  <c r="B24" i="10"/>
  <c r="H24" i="10" s="1"/>
  <c r="F24" i="10"/>
  <c r="J24" i="10" s="1"/>
  <c r="G24" i="10"/>
  <c r="M24" i="10"/>
  <c r="B87" i="9"/>
  <c r="D87" i="9" s="1"/>
  <c r="L87" i="9"/>
  <c r="W87" i="9" s="1"/>
  <c r="U87" i="9"/>
  <c r="Y87" i="9" s="1"/>
  <c r="H44" i="13"/>
  <c r="I44" i="13"/>
  <c r="H43" i="13"/>
  <c r="I43" i="13"/>
  <c r="H42" i="13"/>
  <c r="I42" i="13"/>
  <c r="H41" i="13"/>
  <c r="I41" i="13"/>
  <c r="H40" i="13"/>
  <c r="I40" i="13"/>
  <c r="H39" i="13"/>
  <c r="I39" i="13"/>
  <c r="H38" i="13"/>
  <c r="I38" i="13"/>
  <c r="G26" i="11"/>
  <c r="K26" i="11"/>
  <c r="L26" i="11"/>
  <c r="N26" i="11" s="1"/>
  <c r="M26" i="11"/>
  <c r="G25" i="11"/>
  <c r="O25" i="11" s="1"/>
  <c r="K25" i="11"/>
  <c r="L25" i="11"/>
  <c r="N25" i="11" s="1"/>
  <c r="M25" i="11"/>
  <c r="G24" i="11"/>
  <c r="K24" i="11"/>
  <c r="L24" i="11"/>
  <c r="M24" i="11"/>
  <c r="N24" i="11"/>
  <c r="G23" i="11"/>
  <c r="K23" i="11"/>
  <c r="L23" i="11"/>
  <c r="N23" i="11" s="1"/>
  <c r="M23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B86" i="9"/>
  <c r="C86" i="9" s="1"/>
  <c r="L86" i="9"/>
  <c r="W86" i="9" s="1"/>
  <c r="U86" i="9"/>
  <c r="Y86" i="9" s="1"/>
  <c r="B85" i="9"/>
  <c r="C85" i="9" s="1"/>
  <c r="L85" i="9"/>
  <c r="W85" i="9" s="1"/>
  <c r="U85" i="9"/>
  <c r="Y85" i="9" s="1"/>
  <c r="B84" i="9"/>
  <c r="D84" i="9" s="1"/>
  <c r="N84" i="9" s="1"/>
  <c r="Q84" i="9" s="1"/>
  <c r="L84" i="9"/>
  <c r="W84" i="9" s="1"/>
  <c r="U84" i="9"/>
  <c r="Y84" i="9" s="1"/>
  <c r="B23" i="10"/>
  <c r="H23" i="10" s="1"/>
  <c r="F23" i="10"/>
  <c r="J23" i="10" s="1"/>
  <c r="G23" i="10"/>
  <c r="M23" i="10"/>
  <c r="E110" i="7"/>
  <c r="F110" i="7" s="1"/>
  <c r="H110" i="7"/>
  <c r="I110" i="7" s="1"/>
  <c r="K110" i="7"/>
  <c r="L110" i="7" s="1"/>
  <c r="N110" i="7"/>
  <c r="O110" i="7" s="1"/>
  <c r="C88" i="9" l="1"/>
  <c r="E88" i="9"/>
  <c r="F88" i="9"/>
  <c r="C89" i="9"/>
  <c r="M89" i="9" s="1"/>
  <c r="D89" i="9"/>
  <c r="N89" i="9"/>
  <c r="Q89" i="9" s="1"/>
  <c r="X89" i="9"/>
  <c r="F89" i="9"/>
  <c r="I24" i="10"/>
  <c r="L24" i="10" s="1"/>
  <c r="C87" i="9"/>
  <c r="M87" i="9" s="1"/>
  <c r="X87" i="9"/>
  <c r="N87" i="9"/>
  <c r="Q87" i="9" s="1"/>
  <c r="F87" i="9"/>
  <c r="E87" i="9"/>
  <c r="O26" i="11"/>
  <c r="O24" i="11"/>
  <c r="O23" i="11"/>
  <c r="F86" i="9"/>
  <c r="N86" i="9" s="1"/>
  <c r="Q86" i="9" s="1"/>
  <c r="E86" i="9"/>
  <c r="D86" i="9"/>
  <c r="F85" i="9"/>
  <c r="D85" i="9"/>
  <c r="E85" i="9"/>
  <c r="M85" i="9" s="1"/>
  <c r="X84" i="9"/>
  <c r="C84" i="9"/>
  <c r="M84" i="9" s="1"/>
  <c r="E84" i="9"/>
  <c r="F84" i="9"/>
  <c r="I23" i="10"/>
  <c r="E109" i="7"/>
  <c r="F109" i="7" s="1"/>
  <c r="H109" i="7"/>
  <c r="I109" i="7" s="1"/>
  <c r="K109" i="7"/>
  <c r="L109" i="7" s="1"/>
  <c r="N109" i="7"/>
  <c r="O109" i="7" s="1"/>
  <c r="N88" i="9" l="1"/>
  <c r="Q88" i="9" s="1"/>
  <c r="V88" i="9"/>
  <c r="X88" i="9"/>
  <c r="M88" i="9"/>
  <c r="V89" i="9"/>
  <c r="K24" i="10"/>
  <c r="V87" i="9"/>
  <c r="M86" i="9"/>
  <c r="V86" i="9"/>
  <c r="X86" i="9"/>
  <c r="V85" i="9"/>
  <c r="X85" i="9"/>
  <c r="N85" i="9"/>
  <c r="Q85" i="9" s="1"/>
  <c r="V84" i="9"/>
  <c r="K23" i="10"/>
  <c r="L23" i="10"/>
  <c r="G18" i="1"/>
  <c r="G17" i="1"/>
  <c r="E108" i="7"/>
  <c r="F108" i="7" s="1"/>
  <c r="H108" i="7"/>
  <c r="I108" i="7" s="1"/>
  <c r="K108" i="7"/>
  <c r="L108" i="7" s="1"/>
  <c r="N108" i="7"/>
  <c r="O108" i="7" s="1"/>
  <c r="I18" i="1" l="1"/>
  <c r="J18" i="1" s="1"/>
  <c r="I17" i="1"/>
  <c r="J17" i="1" s="1"/>
  <c r="E107" i="7"/>
  <c r="F107" i="7"/>
  <c r="H107" i="7"/>
  <c r="I107" i="7" s="1"/>
  <c r="K107" i="7"/>
  <c r="L107" i="7" s="1"/>
  <c r="N107" i="7"/>
  <c r="O107" i="7" s="1"/>
  <c r="E106" i="7" l="1"/>
  <c r="F106" i="7"/>
  <c r="H106" i="7"/>
  <c r="I106" i="7" s="1"/>
  <c r="K106" i="7"/>
  <c r="N106" i="7"/>
  <c r="O106" i="7" s="1"/>
  <c r="L106" i="7" l="1"/>
  <c r="E105" i="7"/>
  <c r="F105" i="7" s="1"/>
  <c r="H105" i="7"/>
  <c r="I105" i="7" s="1"/>
  <c r="K105" i="7"/>
  <c r="L105" i="7" s="1"/>
  <c r="N105" i="7"/>
  <c r="O105" i="7" s="1"/>
  <c r="E104" i="7" l="1"/>
  <c r="F104" i="7" s="1"/>
  <c r="H104" i="7"/>
  <c r="I104" i="7" s="1"/>
  <c r="K104" i="7"/>
  <c r="L104" i="7" s="1"/>
  <c r="N104" i="7"/>
  <c r="O104" i="7" s="1"/>
  <c r="E103" i="7" l="1"/>
  <c r="F103" i="7" s="1"/>
  <c r="H103" i="7"/>
  <c r="K103" i="7"/>
  <c r="L103" i="7" s="1"/>
  <c r="N103" i="7"/>
  <c r="O103" i="7" s="1"/>
  <c r="I103" i="7" l="1"/>
  <c r="E102" i="7"/>
  <c r="F102" i="7" s="1"/>
  <c r="H102" i="7"/>
  <c r="I102" i="7" s="1"/>
  <c r="K102" i="7"/>
  <c r="L102" i="7" s="1"/>
  <c r="N102" i="7"/>
  <c r="O102" i="7" s="1"/>
  <c r="E101" i="7" l="1"/>
  <c r="F101" i="7" s="1"/>
  <c r="H101" i="7"/>
  <c r="I101" i="7" s="1"/>
  <c r="K101" i="7"/>
  <c r="L101" i="7" s="1"/>
  <c r="N101" i="7"/>
  <c r="B81" i="9"/>
  <c r="C81" i="9" s="1"/>
  <c r="L81" i="9"/>
  <c r="W81" i="9" s="1"/>
  <c r="U81" i="9"/>
  <c r="Y81" i="9" s="1"/>
  <c r="B83" i="9"/>
  <c r="C83" i="9" s="1"/>
  <c r="L83" i="9"/>
  <c r="W83" i="9" s="1"/>
  <c r="U83" i="9"/>
  <c r="Y83" i="9" s="1"/>
  <c r="B22" i="10"/>
  <c r="H22" i="10" s="1"/>
  <c r="F22" i="10"/>
  <c r="J22" i="10" s="1"/>
  <c r="G22" i="10"/>
  <c r="M22" i="10"/>
  <c r="B82" i="9"/>
  <c r="C82" i="9" s="1"/>
  <c r="L82" i="9"/>
  <c r="W82" i="9" s="1"/>
  <c r="U82" i="9"/>
  <c r="Y82" i="9" s="1"/>
  <c r="O101" i="7" l="1"/>
  <c r="E81" i="9"/>
  <c r="D81" i="9"/>
  <c r="F81" i="9"/>
  <c r="E83" i="9"/>
  <c r="F83" i="9"/>
  <c r="D83" i="9"/>
  <c r="I22" i="10"/>
  <c r="F82" i="9"/>
  <c r="D82" i="9"/>
  <c r="E82" i="9"/>
  <c r="E100" i="7"/>
  <c r="F100" i="7" s="1"/>
  <c r="H100" i="7"/>
  <c r="I100" i="7" s="1"/>
  <c r="K100" i="7"/>
  <c r="L100" i="7" s="1"/>
  <c r="N100" i="7"/>
  <c r="O100" i="7" s="1"/>
  <c r="N81" i="9" l="1"/>
  <c r="Q81" i="9" s="1"/>
  <c r="V81" i="9"/>
  <c r="X81" i="9"/>
  <c r="M81" i="9"/>
  <c r="X83" i="9"/>
  <c r="V83" i="9"/>
  <c r="N83" i="9"/>
  <c r="Q83" i="9" s="1"/>
  <c r="M83" i="9"/>
  <c r="L22" i="10"/>
  <c r="K22" i="10"/>
  <c r="V82" i="9"/>
  <c r="X82" i="9"/>
  <c r="N82" i="9"/>
  <c r="Q82" i="9" s="1"/>
  <c r="M82" i="9"/>
  <c r="E99" i="7"/>
  <c r="F99" i="7"/>
  <c r="H99" i="7"/>
  <c r="I99" i="7" s="1"/>
  <c r="K99" i="7"/>
  <c r="L99" i="7" s="1"/>
  <c r="N99" i="7"/>
  <c r="O99" i="7" s="1"/>
  <c r="E98" i="7" l="1"/>
  <c r="F98" i="7" s="1"/>
  <c r="H98" i="7"/>
  <c r="K98" i="7"/>
  <c r="L98" i="7" s="1"/>
  <c r="N98" i="7"/>
  <c r="O98" i="7" s="1"/>
  <c r="I98" i="7" l="1"/>
  <c r="B78" i="9"/>
  <c r="C78" i="9" s="1"/>
  <c r="L78" i="9"/>
  <c r="W78" i="9" s="1"/>
  <c r="U78" i="9"/>
  <c r="Y78" i="9" s="1"/>
  <c r="B79" i="9"/>
  <c r="D79" i="9" s="1"/>
  <c r="L79" i="9"/>
  <c r="W79" i="9" s="1"/>
  <c r="U79" i="9"/>
  <c r="Y79" i="9" s="1"/>
  <c r="B80" i="9"/>
  <c r="D80" i="9" s="1"/>
  <c r="L80" i="9"/>
  <c r="W80" i="9" s="1"/>
  <c r="U80" i="9"/>
  <c r="Y80" i="9" s="1"/>
  <c r="B21" i="10"/>
  <c r="H21" i="10" s="1"/>
  <c r="I21" i="10" s="1"/>
  <c r="F21" i="10"/>
  <c r="J21" i="10" s="1"/>
  <c r="G21" i="10"/>
  <c r="M21" i="10"/>
  <c r="F78" i="9" l="1"/>
  <c r="E78" i="9"/>
  <c r="D78" i="9"/>
  <c r="C79" i="9"/>
  <c r="F79" i="9"/>
  <c r="E79" i="9"/>
  <c r="N80" i="9"/>
  <c r="Q80" i="9" s="1"/>
  <c r="X80" i="9"/>
  <c r="C80" i="9"/>
  <c r="M80" i="9" s="1"/>
  <c r="E80" i="9"/>
  <c r="F80" i="9"/>
  <c r="L21" i="10"/>
  <c r="K21" i="10"/>
  <c r="E97" i="7"/>
  <c r="F97" i="7" s="1"/>
  <c r="H97" i="7"/>
  <c r="I97" i="7" s="1"/>
  <c r="K97" i="7"/>
  <c r="L97" i="7" s="1"/>
  <c r="N97" i="7"/>
  <c r="O97" i="7" s="1"/>
  <c r="N78" i="9" l="1"/>
  <c r="Q78" i="9" s="1"/>
  <c r="V78" i="9"/>
  <c r="X78" i="9"/>
  <c r="M78" i="9"/>
  <c r="M79" i="9"/>
  <c r="N79" i="9"/>
  <c r="Q79" i="9" s="1"/>
  <c r="V79" i="9"/>
  <c r="X79" i="9"/>
  <c r="V80" i="9"/>
  <c r="E96" i="7"/>
  <c r="F96" i="7"/>
  <c r="H96" i="7"/>
  <c r="K96" i="7"/>
  <c r="L96" i="7" s="1"/>
  <c r="N96" i="7"/>
  <c r="O96" i="7" s="1"/>
  <c r="I96" i="7" l="1"/>
  <c r="N3" i="7"/>
  <c r="O3" i="7" s="1"/>
  <c r="N4" i="7"/>
  <c r="O4" i="7" s="1"/>
  <c r="N5" i="7"/>
  <c r="O5" i="7" s="1"/>
  <c r="N6" i="7"/>
  <c r="O6" i="7" s="1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 s="1"/>
  <c r="N27" i="7"/>
  <c r="O27" i="7" s="1"/>
  <c r="N28" i="7"/>
  <c r="O28" i="7" s="1"/>
  <c r="N29" i="7"/>
  <c r="O29" i="7" s="1"/>
  <c r="N30" i="7"/>
  <c r="O30" i="7" s="1"/>
  <c r="N31" i="7"/>
  <c r="O31" i="7" s="1"/>
  <c r="N32" i="7"/>
  <c r="O32" i="7" s="1"/>
  <c r="N33" i="7"/>
  <c r="O33" i="7" s="1"/>
  <c r="N34" i="7"/>
  <c r="O34" i="7" s="1"/>
  <c r="N35" i="7"/>
  <c r="O35" i="7" s="1"/>
  <c r="N36" i="7"/>
  <c r="O36" i="7" s="1"/>
  <c r="N37" i="7"/>
  <c r="O37" i="7" s="1"/>
  <c r="N38" i="7"/>
  <c r="O38" i="7" s="1"/>
  <c r="N39" i="7"/>
  <c r="O39" i="7" s="1"/>
  <c r="N40" i="7"/>
  <c r="O40" i="7" s="1"/>
  <c r="N41" i="7"/>
  <c r="O41" i="7" s="1"/>
  <c r="N42" i="7"/>
  <c r="O42" i="7" s="1"/>
  <c r="N43" i="7"/>
  <c r="O43" i="7" s="1"/>
  <c r="N44" i="7"/>
  <c r="O44" i="7" s="1"/>
  <c r="N45" i="7"/>
  <c r="O45" i="7" s="1"/>
  <c r="N46" i="7"/>
  <c r="O46" i="7" s="1"/>
  <c r="N47" i="7"/>
  <c r="O47" i="7" s="1"/>
  <c r="N48" i="7"/>
  <c r="O48" i="7" s="1"/>
  <c r="N49" i="7"/>
  <c r="O49" i="7" s="1"/>
  <c r="N50" i="7"/>
  <c r="O50" i="7" s="1"/>
  <c r="N51" i="7"/>
  <c r="O51" i="7" s="1"/>
  <c r="N52" i="7"/>
  <c r="O52" i="7" s="1"/>
  <c r="N53" i="7"/>
  <c r="O53" i="7" s="1"/>
  <c r="N54" i="7"/>
  <c r="O54" i="7" s="1"/>
  <c r="N55" i="7"/>
  <c r="O55" i="7" s="1"/>
  <c r="N56" i="7"/>
  <c r="O56" i="7" s="1"/>
  <c r="N57" i="7"/>
  <c r="O57" i="7" s="1"/>
  <c r="N58" i="7"/>
  <c r="O58" i="7" s="1"/>
  <c r="N59" i="7"/>
  <c r="O59" i="7" s="1"/>
  <c r="N60" i="7"/>
  <c r="O60" i="7" s="1"/>
  <c r="N61" i="7"/>
  <c r="O61" i="7" s="1"/>
  <c r="N62" i="7"/>
  <c r="O62" i="7" s="1"/>
  <c r="N63" i="7"/>
  <c r="O63" i="7" s="1"/>
  <c r="N64" i="7"/>
  <c r="O64" i="7" s="1"/>
  <c r="N65" i="7"/>
  <c r="O65" i="7" s="1"/>
  <c r="N66" i="7"/>
  <c r="O66" i="7" s="1"/>
  <c r="N67" i="7"/>
  <c r="O67" i="7" s="1"/>
  <c r="N68" i="7"/>
  <c r="O68" i="7" s="1"/>
  <c r="N69" i="7"/>
  <c r="O69" i="7" s="1"/>
  <c r="N70" i="7"/>
  <c r="O70" i="7" s="1"/>
  <c r="N71" i="7"/>
  <c r="O71" i="7" s="1"/>
  <c r="N72" i="7"/>
  <c r="O72" i="7" s="1"/>
  <c r="N73" i="7"/>
  <c r="O73" i="7" s="1"/>
  <c r="N74" i="7"/>
  <c r="O74" i="7" s="1"/>
  <c r="N75" i="7"/>
  <c r="O75" i="7" s="1"/>
  <c r="N76" i="7"/>
  <c r="O76" i="7" s="1"/>
  <c r="N77" i="7"/>
  <c r="O77" i="7" s="1"/>
  <c r="N78" i="7"/>
  <c r="O78" i="7" s="1"/>
  <c r="N79" i="7"/>
  <c r="O79" i="7" s="1"/>
  <c r="N80" i="7"/>
  <c r="O80" i="7" s="1"/>
  <c r="N81" i="7"/>
  <c r="O81" i="7" s="1"/>
  <c r="N82" i="7"/>
  <c r="O82" i="7" s="1"/>
  <c r="N83" i="7"/>
  <c r="O83" i="7" s="1"/>
  <c r="N84" i="7"/>
  <c r="O84" i="7" s="1"/>
  <c r="N85" i="7"/>
  <c r="O85" i="7" s="1"/>
  <c r="N86" i="7"/>
  <c r="O86" i="7" s="1"/>
  <c r="N87" i="7"/>
  <c r="O87" i="7" s="1"/>
  <c r="N88" i="7"/>
  <c r="O88" i="7" s="1"/>
  <c r="N89" i="7"/>
  <c r="O89" i="7" s="1"/>
  <c r="N90" i="7"/>
  <c r="O90" i="7" s="1"/>
  <c r="N91" i="7"/>
  <c r="O91" i="7" s="1"/>
  <c r="N92" i="7"/>
  <c r="O92" i="7" s="1"/>
  <c r="N93" i="7"/>
  <c r="O93" i="7" s="1"/>
  <c r="N94" i="7"/>
  <c r="O94" i="7" s="1"/>
  <c r="N95" i="7"/>
  <c r="O95" i="7" s="1"/>
  <c r="E95" i="7" l="1"/>
  <c r="H95" i="7"/>
  <c r="I95" i="7" s="1"/>
  <c r="K95" i="7"/>
  <c r="L95" i="7" s="1"/>
  <c r="F95" i="7" l="1"/>
  <c r="E94" i="7"/>
  <c r="F94" i="7" s="1"/>
  <c r="H94" i="7"/>
  <c r="I94" i="7" s="1"/>
  <c r="K94" i="7"/>
  <c r="L94" i="7" l="1"/>
  <c r="E93" i="7"/>
  <c r="F93" i="7" s="1"/>
  <c r="H93" i="7"/>
  <c r="I93" i="7" s="1"/>
  <c r="K93" i="7"/>
  <c r="L93" i="7" s="1"/>
  <c r="B75" i="9" l="1"/>
  <c r="D75" i="9" s="1"/>
  <c r="L75" i="9"/>
  <c r="W75" i="9" s="1"/>
  <c r="U75" i="9"/>
  <c r="Y75" i="9" s="1"/>
  <c r="B77" i="9"/>
  <c r="C77" i="9" s="1"/>
  <c r="L77" i="9"/>
  <c r="W77" i="9" s="1"/>
  <c r="U77" i="9"/>
  <c r="Y77" i="9" s="1"/>
  <c r="B76" i="9"/>
  <c r="C76" i="9" s="1"/>
  <c r="L76" i="9"/>
  <c r="W76" i="9" s="1"/>
  <c r="U76" i="9"/>
  <c r="Y76" i="9" s="1"/>
  <c r="B20" i="10"/>
  <c r="H20" i="10" s="1"/>
  <c r="F20" i="10"/>
  <c r="M20" i="10"/>
  <c r="E92" i="7"/>
  <c r="F92" i="7" s="1"/>
  <c r="H92" i="7"/>
  <c r="I92" i="7" s="1"/>
  <c r="K92" i="7"/>
  <c r="E91" i="7"/>
  <c r="F91" i="7" s="1"/>
  <c r="H91" i="7"/>
  <c r="I91" i="7" s="1"/>
  <c r="K91" i="7"/>
  <c r="L91" i="7" s="1"/>
  <c r="L92" i="7" l="1"/>
  <c r="F75" i="9"/>
  <c r="E75" i="9"/>
  <c r="C75" i="9"/>
  <c r="F77" i="9"/>
  <c r="E77" i="9"/>
  <c r="M77" i="9" s="1"/>
  <c r="D77" i="9"/>
  <c r="F76" i="9"/>
  <c r="E76" i="9"/>
  <c r="D76" i="9"/>
  <c r="M76" i="9" s="1"/>
  <c r="E90" i="7"/>
  <c r="F90" i="7" s="1"/>
  <c r="H90" i="7"/>
  <c r="I90" i="7" s="1"/>
  <c r="K90" i="7"/>
  <c r="L90" i="7" s="1"/>
  <c r="M75" i="9" l="1"/>
  <c r="V75" i="9"/>
  <c r="N75" i="9"/>
  <c r="Q75" i="9" s="1"/>
  <c r="X75" i="9"/>
  <c r="V77" i="9"/>
  <c r="N77" i="9"/>
  <c r="Q77" i="9" s="1"/>
  <c r="X77" i="9"/>
  <c r="N76" i="9"/>
  <c r="Q76" i="9" s="1"/>
  <c r="X76" i="9"/>
  <c r="V76" i="9"/>
  <c r="E89" i="7"/>
  <c r="F89" i="7" s="1"/>
  <c r="H89" i="7"/>
  <c r="K89" i="7"/>
  <c r="L89" i="7" s="1"/>
  <c r="E88" i="7"/>
  <c r="F88" i="7" s="1"/>
  <c r="H88" i="7"/>
  <c r="I88" i="7" s="1"/>
  <c r="K88" i="7"/>
  <c r="L88" i="7" s="1"/>
  <c r="I89" i="7" l="1"/>
  <c r="E87" i="7"/>
  <c r="F87" i="7" s="1"/>
  <c r="H87" i="7"/>
  <c r="I87" i="7" s="1"/>
  <c r="K87" i="7"/>
  <c r="L87" i="7" s="1"/>
  <c r="B72" i="9" l="1"/>
  <c r="C72" i="9" s="1"/>
  <c r="L72" i="9"/>
  <c r="W72" i="9" s="1"/>
  <c r="U72" i="9"/>
  <c r="Y72" i="9" s="1"/>
  <c r="B74" i="9"/>
  <c r="C74" i="9" s="1"/>
  <c r="L74" i="9"/>
  <c r="W74" i="9" s="1"/>
  <c r="U74" i="9"/>
  <c r="Y74" i="9" s="1"/>
  <c r="B73" i="9"/>
  <c r="E73" i="9" s="1"/>
  <c r="L73" i="9"/>
  <c r="W73" i="9" s="1"/>
  <c r="U73" i="9"/>
  <c r="Y73" i="9" s="1"/>
  <c r="B19" i="10"/>
  <c r="H19" i="10" s="1"/>
  <c r="F19" i="10"/>
  <c r="M19" i="10"/>
  <c r="F72" i="9" l="1"/>
  <c r="M72" i="9" s="1"/>
  <c r="E72" i="9"/>
  <c r="D72" i="9"/>
  <c r="F74" i="9"/>
  <c r="E74" i="9"/>
  <c r="M74" i="9" s="1"/>
  <c r="D74" i="9"/>
  <c r="D73" i="9"/>
  <c r="C73" i="9"/>
  <c r="F73" i="9"/>
  <c r="H37" i="13"/>
  <c r="I37" i="13"/>
  <c r="H36" i="13"/>
  <c r="I36" i="13"/>
  <c r="H35" i="13"/>
  <c r="I35" i="13"/>
  <c r="H34" i="13"/>
  <c r="I34" i="13"/>
  <c r="H33" i="13"/>
  <c r="I33" i="13"/>
  <c r="H32" i="13"/>
  <c r="I32" i="13"/>
  <c r="H31" i="13"/>
  <c r="I31" i="13"/>
  <c r="G22" i="11"/>
  <c r="K22" i="11"/>
  <c r="L22" i="11"/>
  <c r="N22" i="11" s="1"/>
  <c r="G21" i="11"/>
  <c r="K21" i="11"/>
  <c r="L21" i="11"/>
  <c r="N21" i="11" s="1"/>
  <c r="G20" i="11"/>
  <c r="K20" i="11"/>
  <c r="L20" i="11"/>
  <c r="N20" i="11" s="1"/>
  <c r="G19" i="11"/>
  <c r="K19" i="11"/>
  <c r="L19" i="11"/>
  <c r="N19" i="11" s="1"/>
  <c r="G16" i="1"/>
  <c r="I16" i="1"/>
  <c r="J16" i="1" s="1"/>
  <c r="G15" i="1"/>
  <c r="I15" i="1"/>
  <c r="J15" i="1" s="1"/>
  <c r="E86" i="7"/>
  <c r="F86" i="7" s="1"/>
  <c r="H86" i="7"/>
  <c r="I86" i="7" s="1"/>
  <c r="K86" i="7"/>
  <c r="L86" i="7" s="1"/>
  <c r="W3" i="13" l="1"/>
  <c r="O22" i="11"/>
  <c r="M73" i="9"/>
  <c r="V72" i="9"/>
  <c r="X72" i="9"/>
  <c r="N72" i="9"/>
  <c r="Q72" i="9" s="1"/>
  <c r="N74" i="9"/>
  <c r="Q74" i="9" s="1"/>
  <c r="V74" i="9"/>
  <c r="X74" i="9"/>
  <c r="N73" i="9"/>
  <c r="Q73" i="9" s="1"/>
  <c r="V73" i="9"/>
  <c r="X73" i="9"/>
  <c r="O21" i="11"/>
  <c r="O20" i="11"/>
  <c r="O19" i="11"/>
  <c r="E85" i="7"/>
  <c r="H85" i="7"/>
  <c r="I85" i="7" s="1"/>
  <c r="K85" i="7"/>
  <c r="L85" i="7" s="1"/>
  <c r="F85" i="7" l="1"/>
  <c r="E84" i="7"/>
  <c r="F84" i="7" s="1"/>
  <c r="H84" i="7"/>
  <c r="I84" i="7" s="1"/>
  <c r="K84" i="7"/>
  <c r="L84" i="7" l="1"/>
  <c r="E83" i="7"/>
  <c r="F83" i="7" s="1"/>
  <c r="H83" i="7"/>
  <c r="I83" i="7" s="1"/>
  <c r="K83" i="7"/>
  <c r="L83" i="7" s="1"/>
  <c r="B69" i="9" l="1"/>
  <c r="C69" i="9" s="1"/>
  <c r="L69" i="9"/>
  <c r="W69" i="9" s="1"/>
  <c r="U69" i="9"/>
  <c r="Y69" i="9" s="1"/>
  <c r="B71" i="9"/>
  <c r="C71" i="9" s="1"/>
  <c r="L71" i="9"/>
  <c r="W71" i="9" s="1"/>
  <c r="U71" i="9"/>
  <c r="Y71" i="9" s="1"/>
  <c r="L70" i="9"/>
  <c r="W70" i="9" s="1"/>
  <c r="B70" i="9"/>
  <c r="D70" i="9" s="1"/>
  <c r="U70" i="9"/>
  <c r="Y70" i="9" s="1"/>
  <c r="B18" i="10"/>
  <c r="H18" i="10" s="1"/>
  <c r="F18" i="10"/>
  <c r="M18" i="10"/>
  <c r="E82" i="7"/>
  <c r="F82" i="7" s="1"/>
  <c r="H82" i="7"/>
  <c r="I82" i="7" s="1"/>
  <c r="K82" i="7"/>
  <c r="F69" i="9" l="1"/>
  <c r="M69" i="9" s="1"/>
  <c r="E69" i="9"/>
  <c r="D69" i="9"/>
  <c r="F71" i="9"/>
  <c r="E71" i="9"/>
  <c r="M71" i="9" s="1"/>
  <c r="D71" i="9"/>
  <c r="N70" i="9"/>
  <c r="Q70" i="9" s="1"/>
  <c r="X70" i="9"/>
  <c r="C70" i="9"/>
  <c r="M70" i="9" s="1"/>
  <c r="E70" i="9"/>
  <c r="F70" i="9"/>
  <c r="L82" i="7"/>
  <c r="E81" i="7"/>
  <c r="F81" i="7" s="1"/>
  <c r="H81" i="7"/>
  <c r="I81" i="7" s="1"/>
  <c r="K81" i="7"/>
  <c r="L81" i="7" s="1"/>
  <c r="N69" i="9" l="1"/>
  <c r="Q69" i="9" s="1"/>
  <c r="V69" i="9"/>
  <c r="X69" i="9"/>
  <c r="V71" i="9"/>
  <c r="X71" i="9"/>
  <c r="N71" i="9"/>
  <c r="Q71" i="9" s="1"/>
  <c r="V70" i="9"/>
  <c r="E80" i="7"/>
  <c r="F80" i="7" s="1"/>
  <c r="H80" i="7"/>
  <c r="I80" i="7" s="1"/>
  <c r="K80" i="7"/>
  <c r="L80" i="7" s="1"/>
  <c r="E79" i="7" l="1"/>
  <c r="F79" i="7" s="1"/>
  <c r="H79" i="7"/>
  <c r="I79" i="7" s="1"/>
  <c r="K79" i="7"/>
  <c r="L79" i="7" s="1"/>
  <c r="E78" i="7" l="1"/>
  <c r="F78" i="7" s="1"/>
  <c r="H78" i="7"/>
  <c r="I78" i="7" s="1"/>
  <c r="K78" i="7"/>
  <c r="L78" i="7" s="1"/>
  <c r="B17" i="10" l="1"/>
  <c r="H17" i="10" s="1"/>
  <c r="F17" i="10"/>
  <c r="M17" i="10"/>
  <c r="B66" i="9"/>
  <c r="C66" i="9" s="1"/>
  <c r="I66" i="9"/>
  <c r="L66" i="9" s="1"/>
  <c r="W66" i="9" s="1"/>
  <c r="U66" i="9"/>
  <c r="Y66" i="9" s="1"/>
  <c r="B68" i="9"/>
  <c r="C68" i="9" s="1"/>
  <c r="I68" i="9"/>
  <c r="L68" i="9" s="1"/>
  <c r="W68" i="9" s="1"/>
  <c r="U68" i="9"/>
  <c r="Y68" i="9" s="1"/>
  <c r="B67" i="9"/>
  <c r="D67" i="9" s="1"/>
  <c r="I67" i="9"/>
  <c r="L67" i="9" s="1"/>
  <c r="W67" i="9" s="1"/>
  <c r="U67" i="9"/>
  <c r="Y67" i="9" s="1"/>
  <c r="B64" i="9"/>
  <c r="D64" i="9" s="1"/>
  <c r="I64" i="9"/>
  <c r="L64" i="9" s="1"/>
  <c r="W64" i="9" s="1"/>
  <c r="U64" i="9"/>
  <c r="Y64" i="9" s="1"/>
  <c r="N67" i="9" l="1"/>
  <c r="Q67" i="9" s="1"/>
  <c r="F66" i="9"/>
  <c r="M66" i="9" s="1"/>
  <c r="E66" i="9"/>
  <c r="D66" i="9"/>
  <c r="F68" i="9"/>
  <c r="E68" i="9"/>
  <c r="M68" i="9" s="1"/>
  <c r="D68" i="9"/>
  <c r="X67" i="9"/>
  <c r="C67" i="9"/>
  <c r="M67" i="9" s="1"/>
  <c r="F67" i="9"/>
  <c r="E67" i="9"/>
  <c r="C64" i="9"/>
  <c r="E64" i="9"/>
  <c r="F64" i="9"/>
  <c r="B65" i="9"/>
  <c r="E65" i="9" s="1"/>
  <c r="I65" i="9"/>
  <c r="L65" i="9" s="1"/>
  <c r="W65" i="9" s="1"/>
  <c r="U65" i="9"/>
  <c r="Y65" i="9" s="1"/>
  <c r="B63" i="9"/>
  <c r="C63" i="9" s="1"/>
  <c r="I63" i="9"/>
  <c r="L63" i="9" s="1"/>
  <c r="W63" i="9" s="1"/>
  <c r="U63" i="9"/>
  <c r="Y63" i="9" s="1"/>
  <c r="E77" i="7"/>
  <c r="H77" i="7"/>
  <c r="I77" i="7" s="1"/>
  <c r="K77" i="7"/>
  <c r="L77" i="7" s="1"/>
  <c r="M64" i="9" l="1"/>
  <c r="N66" i="9"/>
  <c r="Q66" i="9" s="1"/>
  <c r="V66" i="9"/>
  <c r="X66" i="9"/>
  <c r="V68" i="9"/>
  <c r="X68" i="9"/>
  <c r="N68" i="9"/>
  <c r="Q68" i="9" s="1"/>
  <c r="V67" i="9"/>
  <c r="V64" i="9"/>
  <c r="X64" i="9"/>
  <c r="N64" i="9"/>
  <c r="Q64" i="9" s="1"/>
  <c r="C65" i="9"/>
  <c r="M65" i="9" s="1"/>
  <c r="D65" i="9"/>
  <c r="X65" i="9"/>
  <c r="N65" i="9"/>
  <c r="Q65" i="9" s="1"/>
  <c r="F65" i="9"/>
  <c r="F63" i="9"/>
  <c r="E63" i="9"/>
  <c r="D63" i="9"/>
  <c r="M63" i="9" s="1"/>
  <c r="F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E76" i="7"/>
  <c r="F76" i="7" s="1"/>
  <c r="H76" i="7"/>
  <c r="I76" i="7" s="1"/>
  <c r="E75" i="7"/>
  <c r="F75" i="7" s="1"/>
  <c r="H75" i="7"/>
  <c r="V65" i="9" l="1"/>
  <c r="N63" i="9"/>
  <c r="Q63" i="9" s="1"/>
  <c r="V63" i="9"/>
  <c r="X63" i="9"/>
  <c r="I75" i="7"/>
  <c r="E74" i="7"/>
  <c r="F74" i="7" s="1"/>
  <c r="I74" i="7"/>
  <c r="E73" i="7"/>
  <c r="F73" i="7" s="1"/>
  <c r="H73" i="7"/>
  <c r="I73" i="7" l="1"/>
  <c r="B16" i="10"/>
  <c r="H16" i="10" s="1"/>
  <c r="F16" i="10"/>
  <c r="M16" i="10"/>
  <c r="E72" i="7"/>
  <c r="F72" i="7" s="1"/>
  <c r="H72" i="7"/>
  <c r="I72" i="7" s="1"/>
  <c r="E71" i="7" l="1"/>
  <c r="H71" i="7"/>
  <c r="I71" i="7" s="1"/>
  <c r="F71" i="7" l="1"/>
  <c r="E70" i="7"/>
  <c r="F70" i="7" s="1"/>
  <c r="H70" i="7"/>
  <c r="I70" i="7" s="1"/>
  <c r="E69" i="7" l="1"/>
  <c r="H69" i="7"/>
  <c r="I69" i="7" s="1"/>
  <c r="F69" i="7" l="1"/>
  <c r="E68" i="7"/>
  <c r="F68" i="7" s="1"/>
  <c r="H68" i="7"/>
  <c r="I68" i="7" s="1"/>
  <c r="E67" i="7" l="1"/>
  <c r="F67" i="7" s="1"/>
  <c r="H67" i="7"/>
  <c r="I67" i="7" s="1"/>
  <c r="B15" i="10"/>
  <c r="H15" i="10" s="1"/>
  <c r="F15" i="10"/>
  <c r="M15" i="10"/>
  <c r="B60" i="9"/>
  <c r="E60" i="9" s="1"/>
  <c r="L60" i="9"/>
  <c r="W60" i="9" s="1"/>
  <c r="U60" i="9"/>
  <c r="Y60" i="9" s="1"/>
  <c r="B62" i="9"/>
  <c r="D62" i="9" s="1"/>
  <c r="L62" i="9"/>
  <c r="W62" i="9" s="1"/>
  <c r="U62" i="9"/>
  <c r="Y62" i="9" s="1"/>
  <c r="B61" i="9"/>
  <c r="E61" i="9" s="1"/>
  <c r="L61" i="9"/>
  <c r="W61" i="9" s="1"/>
  <c r="U61" i="9"/>
  <c r="Y61" i="9" s="1"/>
  <c r="D60" i="9" l="1"/>
  <c r="C60" i="9"/>
  <c r="F60" i="9"/>
  <c r="C62" i="9"/>
  <c r="F62" i="9"/>
  <c r="E62" i="9"/>
  <c r="C61" i="9"/>
  <c r="D61" i="9"/>
  <c r="F61" i="9"/>
  <c r="E66" i="7"/>
  <c r="F66" i="7" s="1"/>
  <c r="H66" i="7"/>
  <c r="I66" i="7" s="1"/>
  <c r="M60" i="9" l="1"/>
  <c r="M62" i="9"/>
  <c r="M61" i="9"/>
  <c r="V60" i="9"/>
  <c r="N60" i="9"/>
  <c r="Q60" i="9" s="1"/>
  <c r="X60" i="9"/>
  <c r="V62" i="9"/>
  <c r="X62" i="9"/>
  <c r="N62" i="9"/>
  <c r="Q62" i="9" s="1"/>
  <c r="V61" i="9"/>
  <c r="X61" i="9"/>
  <c r="N61" i="9"/>
  <c r="Q61" i="9" s="1"/>
  <c r="E65" i="7"/>
  <c r="F65" i="7" s="1"/>
  <c r="H65" i="7"/>
  <c r="I65" i="7" s="1"/>
  <c r="E64" i="7" l="1"/>
  <c r="F64" i="7" s="1"/>
  <c r="H64" i="7"/>
  <c r="I64" i="7" s="1"/>
  <c r="G18" i="11" l="1"/>
  <c r="K18" i="11"/>
  <c r="L18" i="11"/>
  <c r="N18" i="11" s="1"/>
  <c r="G17" i="11"/>
  <c r="K17" i="11"/>
  <c r="L17" i="11"/>
  <c r="N17" i="11"/>
  <c r="G16" i="11"/>
  <c r="K16" i="11"/>
  <c r="L16" i="11"/>
  <c r="N16" i="11" s="1"/>
  <c r="G15" i="11"/>
  <c r="K15" i="11"/>
  <c r="L15" i="11"/>
  <c r="N15" i="11" s="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E63" i="7"/>
  <c r="F63" i="7" s="1"/>
  <c r="H63" i="7"/>
  <c r="V3" i="13" l="1"/>
  <c r="O17" i="11"/>
  <c r="O18" i="11"/>
  <c r="O16" i="11"/>
  <c r="O15" i="11"/>
  <c r="I14" i="1"/>
  <c r="J14" i="1" s="1"/>
  <c r="I13" i="1"/>
  <c r="J13" i="1" s="1"/>
  <c r="I63" i="7"/>
  <c r="E62" i="7"/>
  <c r="H62" i="7"/>
  <c r="I62" i="7" s="1"/>
  <c r="B14" i="10"/>
  <c r="H14" i="10" s="1"/>
  <c r="F14" i="10"/>
  <c r="M14" i="10"/>
  <c r="B58" i="9"/>
  <c r="C58" i="9" s="1"/>
  <c r="L58" i="9"/>
  <c r="W58" i="9" s="1"/>
  <c r="U58" i="9"/>
  <c r="Y58" i="9" s="1"/>
  <c r="B59" i="9"/>
  <c r="E59" i="9" s="1"/>
  <c r="L59" i="9"/>
  <c r="W59" i="9" s="1"/>
  <c r="U59" i="9"/>
  <c r="Y59" i="9" s="1"/>
  <c r="B57" i="9"/>
  <c r="D57" i="9" s="1"/>
  <c r="L57" i="9"/>
  <c r="W57" i="9" s="1"/>
  <c r="U57" i="9"/>
  <c r="Y57" i="9" s="1"/>
  <c r="F62" i="7" l="1"/>
  <c r="F58" i="9"/>
  <c r="M58" i="9" s="1"/>
  <c r="D58" i="9"/>
  <c r="E58" i="9"/>
  <c r="C59" i="9"/>
  <c r="M59" i="9" s="1"/>
  <c r="D59" i="9"/>
  <c r="X59" i="9"/>
  <c r="N59" i="9"/>
  <c r="Q59" i="9" s="1"/>
  <c r="F59" i="9"/>
  <c r="C57" i="9"/>
  <c r="M57" i="9" s="1"/>
  <c r="N57" i="9"/>
  <c r="Q57" i="9" s="1"/>
  <c r="X57" i="9"/>
  <c r="F57" i="9"/>
  <c r="E57" i="9"/>
  <c r="E61" i="7"/>
  <c r="F61" i="7" s="1"/>
  <c r="H61" i="7"/>
  <c r="I61" i="7" s="1"/>
  <c r="V57" i="9" l="1"/>
  <c r="V58" i="9"/>
  <c r="N58" i="9"/>
  <c r="Q58" i="9" s="1"/>
  <c r="X58" i="9"/>
  <c r="V59" i="9"/>
  <c r="E60" i="7"/>
  <c r="F60" i="7" s="1"/>
  <c r="H60" i="7"/>
  <c r="I60" i="7" s="1"/>
  <c r="E59" i="7"/>
  <c r="F59" i="7" s="1"/>
  <c r="H59" i="7"/>
  <c r="I59" i="7" s="1"/>
  <c r="E58" i="7" l="1"/>
  <c r="F58" i="7" s="1"/>
  <c r="H58" i="7"/>
  <c r="I58" i="7" s="1"/>
  <c r="B13" i="10" l="1"/>
  <c r="H13" i="10" s="1"/>
  <c r="F13" i="10"/>
  <c r="M13" i="10"/>
  <c r="B55" i="9"/>
  <c r="D55" i="9" s="1"/>
  <c r="I55" i="9"/>
  <c r="L55" i="9" s="1"/>
  <c r="W55" i="9" s="1"/>
  <c r="U55" i="9"/>
  <c r="Y55" i="9" s="1"/>
  <c r="B56" i="9"/>
  <c r="E56" i="9" s="1"/>
  <c r="I56" i="9"/>
  <c r="L56" i="9" s="1"/>
  <c r="W56" i="9" s="1"/>
  <c r="U56" i="9"/>
  <c r="Y56" i="9" s="1"/>
  <c r="B54" i="9"/>
  <c r="C54" i="9" s="1"/>
  <c r="I54" i="9"/>
  <c r="L54" i="9" s="1"/>
  <c r="W54" i="9" s="1"/>
  <c r="U54" i="9"/>
  <c r="Y54" i="9" s="1"/>
  <c r="C55" i="9" l="1"/>
  <c r="F55" i="9"/>
  <c r="E55" i="9"/>
  <c r="D56" i="9"/>
  <c r="C56" i="9"/>
  <c r="M56" i="9" s="1"/>
  <c r="F56" i="9"/>
  <c r="N56" i="9"/>
  <c r="Q56" i="9" s="1"/>
  <c r="X56" i="9"/>
  <c r="F54" i="9"/>
  <c r="E54" i="9"/>
  <c r="D54" i="9"/>
  <c r="M54" i="9" s="1"/>
  <c r="H18" i="13"/>
  <c r="H19" i="13"/>
  <c r="H20" i="13"/>
  <c r="H21" i="13"/>
  <c r="H22" i="13"/>
  <c r="H23" i="13"/>
  <c r="M55" i="9" l="1"/>
  <c r="N55" i="9"/>
  <c r="Q55" i="9" s="1"/>
  <c r="V55" i="9"/>
  <c r="X55" i="9"/>
  <c r="V56" i="9"/>
  <c r="N54" i="9"/>
  <c r="Q54" i="9" s="1"/>
  <c r="X54" i="9"/>
  <c r="V54" i="9"/>
  <c r="E57" i="7"/>
  <c r="F57" i="7" s="1"/>
  <c r="H57" i="7"/>
  <c r="I57" i="7" s="1"/>
  <c r="E56" i="7" l="1"/>
  <c r="F56" i="7" s="1"/>
  <c r="H56" i="7"/>
  <c r="I56" i="7" s="1"/>
  <c r="E55" i="7" l="1"/>
  <c r="F55" i="7" s="1"/>
  <c r="H55" i="7"/>
  <c r="I55" i="7" s="1"/>
  <c r="B12" i="10" l="1"/>
  <c r="H12" i="10" s="1"/>
  <c r="F12" i="10"/>
  <c r="M12" i="10"/>
  <c r="B51" i="9"/>
  <c r="C51" i="9" s="1"/>
  <c r="I51" i="9"/>
  <c r="L51" i="9" s="1"/>
  <c r="W51" i="9" s="1"/>
  <c r="U51" i="9"/>
  <c r="Y51" i="9" s="1"/>
  <c r="B53" i="9"/>
  <c r="D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F51" i="9" l="1"/>
  <c r="M51" i="9" s="1"/>
  <c r="E51" i="9"/>
  <c r="D51" i="9"/>
  <c r="C53" i="9"/>
  <c r="F53" i="9"/>
  <c r="E53" i="9"/>
  <c r="C52" i="9"/>
  <c r="M52" i="9" s="1"/>
  <c r="N52" i="9"/>
  <c r="Q52" i="9" s="1"/>
  <c r="X52" i="9"/>
  <c r="F52" i="9"/>
  <c r="E52" i="9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E54" i="7"/>
  <c r="F54" i="7" s="1"/>
  <c r="M53" i="9" l="1"/>
  <c r="N51" i="9"/>
  <c r="Q51" i="9" s="1"/>
  <c r="V51" i="9"/>
  <c r="X51" i="9"/>
  <c r="V53" i="9"/>
  <c r="X53" i="9"/>
  <c r="N53" i="9"/>
  <c r="Q53" i="9" s="1"/>
  <c r="V52" i="9"/>
  <c r="E52" i="7"/>
  <c r="F52" i="7" s="1"/>
  <c r="E51" i="7" l="1"/>
  <c r="F51" i="7" s="1"/>
  <c r="E50" i="7" l="1"/>
  <c r="F50" i="7" s="1"/>
  <c r="B11" i="10"/>
  <c r="H11" i="10" s="1"/>
  <c r="F11" i="10"/>
  <c r="M11" i="10"/>
  <c r="B48" i="9"/>
  <c r="C48" i="9" s="1"/>
  <c r="I48" i="9"/>
  <c r="L48" i="9" s="1"/>
  <c r="W48" i="9" s="1"/>
  <c r="U48" i="9"/>
  <c r="Y48" i="9" s="1"/>
  <c r="E48" i="9" l="1"/>
  <c r="F48" i="9"/>
  <c r="M48" i="9" s="1"/>
  <c r="D48" i="9"/>
  <c r="B50" i="9"/>
  <c r="C50" i="9" s="1"/>
  <c r="I50" i="9"/>
  <c r="L50" i="9" s="1"/>
  <c r="W50" i="9" s="1"/>
  <c r="U50" i="9"/>
  <c r="Y50" i="9" s="1"/>
  <c r="B49" i="9"/>
  <c r="D49" i="9" s="1"/>
  <c r="I49" i="9"/>
  <c r="L49" i="9" s="1"/>
  <c r="W49" i="9" s="1"/>
  <c r="U49" i="9"/>
  <c r="Y49" i="9" s="1"/>
  <c r="E49" i="7"/>
  <c r="F49" i="7" s="1"/>
  <c r="V48" i="9" l="1"/>
  <c r="X48" i="9"/>
  <c r="N48" i="9"/>
  <c r="Q48" i="9" s="1"/>
  <c r="F50" i="9"/>
  <c r="E50" i="9"/>
  <c r="M50" i="9" s="1"/>
  <c r="D50" i="9"/>
  <c r="X49" i="9"/>
  <c r="N49" i="9"/>
  <c r="Q49" i="9" s="1"/>
  <c r="C49" i="9"/>
  <c r="M49" i="9" s="1"/>
  <c r="F49" i="9"/>
  <c r="E49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50" i="9" l="1"/>
  <c r="Q50" i="9" s="1"/>
  <c r="V50" i="9"/>
  <c r="X50" i="9"/>
  <c r="V49" i="9"/>
  <c r="H17" i="13"/>
  <c r="U3" i="13" s="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5" i="9"/>
  <c r="E45" i="9" s="1"/>
  <c r="I45" i="9"/>
  <c r="L45" i="9" s="1"/>
  <c r="W45" i="9" s="1"/>
  <c r="U45" i="9"/>
  <c r="Y45" i="9" s="1"/>
  <c r="B10" i="10"/>
  <c r="H10" i="10" s="1"/>
  <c r="F10" i="10"/>
  <c r="M10" i="10"/>
  <c r="B47" i="9"/>
  <c r="E47" i="9" s="1"/>
  <c r="I47" i="9"/>
  <c r="L47" i="9" s="1"/>
  <c r="W47" i="9" s="1"/>
  <c r="U47" i="9"/>
  <c r="Y47" i="9" s="1"/>
  <c r="B46" i="9"/>
  <c r="E46" i="9" s="1"/>
  <c r="I46" i="9"/>
  <c r="L46" i="9" s="1"/>
  <c r="W46" i="9" s="1"/>
  <c r="U46" i="9"/>
  <c r="Y46" i="9" s="1"/>
  <c r="E48" i="7"/>
  <c r="F48" i="7" s="1"/>
  <c r="E47" i="7"/>
  <c r="F47" i="7" s="1"/>
  <c r="E46" i="7"/>
  <c r="F46" i="7" s="1"/>
  <c r="E45" i="7"/>
  <c r="F45" i="7" s="1"/>
  <c r="E44" i="7"/>
  <c r="F44" i="7" s="1"/>
  <c r="E43" i="7"/>
  <c r="F43" i="7" s="1"/>
  <c r="E42" i="7"/>
  <c r="F42" i="7" s="1"/>
  <c r="E41" i="7"/>
  <c r="F41" i="7" s="1"/>
  <c r="O14" i="11" l="1"/>
  <c r="O13" i="11"/>
  <c r="O12" i="11"/>
  <c r="D45" i="9"/>
  <c r="C45" i="9"/>
  <c r="F45" i="9"/>
  <c r="D47" i="9"/>
  <c r="C47" i="9"/>
  <c r="M47" i="9" s="1"/>
  <c r="X47" i="9"/>
  <c r="N47" i="9"/>
  <c r="Q47" i="9" s="1"/>
  <c r="F47" i="9"/>
  <c r="D46" i="9"/>
  <c r="C46" i="9"/>
  <c r="F46" i="9"/>
  <c r="E40" i="7"/>
  <c r="F40" i="7" s="1"/>
  <c r="B9" i="10"/>
  <c r="H9" i="10" s="1"/>
  <c r="F9" i="10"/>
  <c r="M9" i="10"/>
  <c r="B43" i="9"/>
  <c r="C43" i="9" s="1"/>
  <c r="I43" i="9"/>
  <c r="L43" i="9" s="1"/>
  <c r="W43" i="9" s="1"/>
  <c r="U43" i="9"/>
  <c r="Y43" i="9" s="1"/>
  <c r="I44" i="9"/>
  <c r="L44" i="9" s="1"/>
  <c r="W44" i="9" s="1"/>
  <c r="B44" i="9"/>
  <c r="C44" i="9" s="1"/>
  <c r="U44" i="9"/>
  <c r="Y44" i="9" s="1"/>
  <c r="B42" i="9"/>
  <c r="C42" i="9" s="1"/>
  <c r="I42" i="9"/>
  <c r="L42" i="9" s="1"/>
  <c r="W42" i="9" s="1"/>
  <c r="U42" i="9"/>
  <c r="Y42" i="9" s="1"/>
  <c r="C52" i="6"/>
  <c r="E39" i="7"/>
  <c r="F39" i="7" s="1"/>
  <c r="C51" i="6"/>
  <c r="C50" i="6"/>
  <c r="E38" i="7"/>
  <c r="F38" i="7" s="1"/>
  <c r="E37" i="7"/>
  <c r="F37" i="7" s="1"/>
  <c r="C49" i="6"/>
  <c r="C48" i="6"/>
  <c r="B8" i="10"/>
  <c r="H8" i="10" s="1"/>
  <c r="F8" i="10"/>
  <c r="M8" i="10"/>
  <c r="B39" i="9"/>
  <c r="C39" i="9" s="1"/>
  <c r="I39" i="9"/>
  <c r="L39" i="9" s="1"/>
  <c r="W39" i="9" s="1"/>
  <c r="U39" i="9"/>
  <c r="Y39" i="9" s="1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E36" i="7"/>
  <c r="F36" i="7" s="1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E34" i="7"/>
  <c r="F34" i="7" s="1"/>
  <c r="C47" i="6"/>
  <c r="C46" i="6"/>
  <c r="E33" i="7"/>
  <c r="F33" i="7" s="1"/>
  <c r="C45" i="6"/>
  <c r="E32" i="7"/>
  <c r="F32" i="7" s="1"/>
  <c r="C44" i="6"/>
  <c r="E31" i="7"/>
  <c r="F31" i="7" s="1"/>
  <c r="C43" i="6"/>
  <c r="E30" i="7"/>
  <c r="F30" i="7" s="1"/>
  <c r="G3" i="11"/>
  <c r="K3" i="11"/>
  <c r="B7" i="10"/>
  <c r="H7" i="10" s="1"/>
  <c r="F7" i="10"/>
  <c r="M7" i="10"/>
  <c r="B36" i="9"/>
  <c r="C36" i="9" s="1"/>
  <c r="I36" i="9"/>
  <c r="L36" i="9" s="1"/>
  <c r="W36" i="9" s="1"/>
  <c r="U36" i="9"/>
  <c r="Y36" i="9" s="1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E28" i="7"/>
  <c r="F28" i="7" s="1"/>
  <c r="E27" i="7"/>
  <c r="F27" i="7" s="1"/>
  <c r="E26" i="7"/>
  <c r="F26" i="7" s="1"/>
  <c r="M45" i="9" l="1"/>
  <c r="M46" i="9"/>
  <c r="S3" i="13"/>
  <c r="T3" i="13"/>
  <c r="V47" i="9"/>
  <c r="V45" i="9"/>
  <c r="X45" i="9"/>
  <c r="N45" i="9"/>
  <c r="Q45" i="9" s="1"/>
  <c r="V46" i="9"/>
  <c r="X46" i="9"/>
  <c r="N46" i="9"/>
  <c r="Q46" i="9" s="1"/>
  <c r="F43" i="9"/>
  <c r="M43" i="9" s="1"/>
  <c r="E43" i="9"/>
  <c r="D43" i="9"/>
  <c r="F44" i="9"/>
  <c r="E44" i="9"/>
  <c r="M44" i="9" s="1"/>
  <c r="D44" i="9"/>
  <c r="F42" i="9"/>
  <c r="E42" i="9"/>
  <c r="D42" i="9"/>
  <c r="M42" i="9" s="1"/>
  <c r="F39" i="9"/>
  <c r="M39" i="9" s="1"/>
  <c r="E39" i="9"/>
  <c r="D39" i="9"/>
  <c r="F41" i="9"/>
  <c r="E41" i="9"/>
  <c r="M41" i="9" s="1"/>
  <c r="D41" i="9"/>
  <c r="F40" i="9"/>
  <c r="E40" i="9"/>
  <c r="D40" i="9"/>
  <c r="M40" i="9" s="1"/>
  <c r="F36" i="9"/>
  <c r="M36" i="9" s="1"/>
  <c r="E36" i="9"/>
  <c r="D36" i="9"/>
  <c r="F38" i="9"/>
  <c r="E38" i="9"/>
  <c r="M38" i="9" s="1"/>
  <c r="D38" i="9"/>
  <c r="F37" i="9"/>
  <c r="E37" i="9"/>
  <c r="D37" i="9"/>
  <c r="M37" i="9" s="1"/>
  <c r="E25" i="7"/>
  <c r="F25" i="7" s="1"/>
  <c r="M4" i="10"/>
  <c r="M5" i="10"/>
  <c r="M6" i="10"/>
  <c r="E24" i="7"/>
  <c r="F24" i="7" s="1"/>
  <c r="B6" i="10"/>
  <c r="H6" i="10" s="1"/>
  <c r="F6" i="10"/>
  <c r="B33" i="9"/>
  <c r="C33" i="9" s="1"/>
  <c r="I33" i="9"/>
  <c r="L33" i="9" s="1"/>
  <c r="W33" i="9" s="1"/>
  <c r="U33" i="9"/>
  <c r="Y33" i="9" s="1"/>
  <c r="B35" i="9"/>
  <c r="C35" i="9" s="1"/>
  <c r="I35" i="9"/>
  <c r="L35" i="9" s="1"/>
  <c r="W35" i="9" s="1"/>
  <c r="U35" i="9"/>
  <c r="Y35" i="9" s="1"/>
  <c r="I32" i="9"/>
  <c r="L32" i="9" s="1"/>
  <c r="W32" i="9" s="1"/>
  <c r="B34" i="9"/>
  <c r="C34" i="9" s="1"/>
  <c r="I34" i="9"/>
  <c r="L34" i="9" s="1"/>
  <c r="W34" i="9" s="1"/>
  <c r="U34" i="9"/>
  <c r="Y34" i="9" s="1"/>
  <c r="E23" i="7"/>
  <c r="F23" i="7" s="1"/>
  <c r="E22" i="7"/>
  <c r="F22" i="7" s="1"/>
  <c r="G7" i="11"/>
  <c r="G10" i="1"/>
  <c r="I10" i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8" i="9"/>
  <c r="L18" i="9" s="1"/>
  <c r="W18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R3" i="12" s="1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R11" i="12" s="1"/>
  <c r="N12" i="12"/>
  <c r="R12" i="12" s="1"/>
  <c r="N13" i="12"/>
  <c r="R13" i="12" s="1"/>
  <c r="N14" i="12"/>
  <c r="R14" i="12" s="1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8" i="9"/>
  <c r="C28" i="9" s="1"/>
  <c r="I28" i="9"/>
  <c r="L28" i="9" s="1"/>
  <c r="W28" i="9" s="1"/>
  <c r="U28" i="9"/>
  <c r="Y28" i="9" s="1"/>
  <c r="B29" i="9"/>
  <c r="C29" i="9" s="1"/>
  <c r="I29" i="9"/>
  <c r="L29" i="9" s="1"/>
  <c r="W29" i="9" s="1"/>
  <c r="U29" i="9"/>
  <c r="Y29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G7" i="10" s="1"/>
  <c r="G8" i="10" s="1"/>
  <c r="G9" i="10" s="1"/>
  <c r="G10" i="10" s="1"/>
  <c r="F3" i="10"/>
  <c r="J3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0" i="9"/>
  <c r="C20" i="9" s="1"/>
  <c r="I20" i="9"/>
  <c r="L20" i="9" s="1"/>
  <c r="W20" i="9" s="1"/>
  <c r="U20" i="9"/>
  <c r="Y20" i="9" s="1"/>
  <c r="B17" i="9"/>
  <c r="C17" i="9" s="1"/>
  <c r="I17" i="9"/>
  <c r="L17" i="9" s="1"/>
  <c r="W17" i="9" s="1"/>
  <c r="U17" i="9"/>
  <c r="Y17" i="9" s="1"/>
  <c r="B14" i="9"/>
  <c r="C14" i="9" s="1"/>
  <c r="I14" i="9"/>
  <c r="L14" i="9" s="1"/>
  <c r="W14" i="9" s="1"/>
  <c r="U14" i="9"/>
  <c r="Y14" i="9" s="1"/>
  <c r="B12" i="9"/>
  <c r="C12" i="9" s="1"/>
  <c r="I12" i="9"/>
  <c r="L12" i="9" s="1"/>
  <c r="W12" i="9" s="1"/>
  <c r="U12" i="9"/>
  <c r="Y12" i="9" s="1"/>
  <c r="B21" i="9"/>
  <c r="C21" i="9" s="1"/>
  <c r="I21" i="9"/>
  <c r="L21" i="9" s="1"/>
  <c r="W21" i="9" s="1"/>
  <c r="U21" i="9"/>
  <c r="Y21" i="9" s="1"/>
  <c r="B18" i="9"/>
  <c r="C18" i="9" s="1"/>
  <c r="U18" i="9"/>
  <c r="Y18" i="9" s="1"/>
  <c r="B15" i="9"/>
  <c r="C15" i="9" s="1"/>
  <c r="I15" i="9"/>
  <c r="L15" i="9" s="1"/>
  <c r="W15" i="9" s="1"/>
  <c r="U15" i="9"/>
  <c r="Y15" i="9" s="1"/>
  <c r="B11" i="9"/>
  <c r="D11" i="9" s="1"/>
  <c r="I11" i="9"/>
  <c r="L11" i="9" s="1"/>
  <c r="W11" i="9" s="1"/>
  <c r="U11" i="9"/>
  <c r="Y11" i="9" s="1"/>
  <c r="B19" i="9"/>
  <c r="C19" i="9" s="1"/>
  <c r="I19" i="9"/>
  <c r="L19" i="9" s="1"/>
  <c r="W19" i="9" s="1"/>
  <c r="U19" i="9"/>
  <c r="Y19" i="9" s="1"/>
  <c r="B16" i="9"/>
  <c r="C16" i="9" s="1"/>
  <c r="I16" i="9"/>
  <c r="L16" i="9" s="1"/>
  <c r="W16" i="9" s="1"/>
  <c r="U16" i="9"/>
  <c r="Y16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9" i="9"/>
  <c r="L9" i="9" s="1"/>
  <c r="W9" i="9" s="1"/>
  <c r="I8" i="9"/>
  <c r="L8" i="9" s="1"/>
  <c r="W8" i="9" s="1"/>
  <c r="I10" i="9"/>
  <c r="L10" i="9" s="1"/>
  <c r="W10" i="9" s="1"/>
  <c r="I13" i="9"/>
  <c r="B13" i="9"/>
  <c r="C13" i="9" s="1"/>
  <c r="U13" i="9"/>
  <c r="Y13" i="9" s="1"/>
  <c r="B10" i="9"/>
  <c r="C10" i="9" s="1"/>
  <c r="U10" i="9"/>
  <c r="Y10" i="9" s="1"/>
  <c r="B8" i="9"/>
  <c r="C8" i="9" s="1"/>
  <c r="U8" i="9"/>
  <c r="Y8" i="9" s="1"/>
  <c r="B9" i="9"/>
  <c r="C9" i="9" s="1"/>
  <c r="U9" i="9"/>
  <c r="Y9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Y3" i="13" l="1"/>
  <c r="J4" i="10"/>
  <c r="J10" i="1"/>
  <c r="D12" i="1"/>
  <c r="I9" i="10"/>
  <c r="G11" i="10"/>
  <c r="I10" i="10"/>
  <c r="I8" i="10"/>
  <c r="I7" i="10"/>
  <c r="N44" i="9"/>
  <c r="Q44" i="9" s="1"/>
  <c r="N38" i="9"/>
  <c r="Q38" i="9" s="1"/>
  <c r="X43" i="9"/>
  <c r="N41" i="9"/>
  <c r="Q41" i="9" s="1"/>
  <c r="J5" i="10"/>
  <c r="J6" i="10" s="1"/>
  <c r="J7" i="10" s="1"/>
  <c r="O10" i="11"/>
  <c r="J9" i="1"/>
  <c r="D11" i="1"/>
  <c r="V43" i="9"/>
  <c r="N43" i="9"/>
  <c r="Q43" i="9" s="1"/>
  <c r="V44" i="9"/>
  <c r="X44" i="9"/>
  <c r="N42" i="9"/>
  <c r="Q42" i="9" s="1"/>
  <c r="V42" i="9"/>
  <c r="X42" i="9"/>
  <c r="V39" i="9"/>
  <c r="N39" i="9"/>
  <c r="Q39" i="9" s="1"/>
  <c r="X39" i="9"/>
  <c r="V41" i="9"/>
  <c r="X41" i="9"/>
  <c r="N40" i="9"/>
  <c r="Q40" i="9" s="1"/>
  <c r="V40" i="9"/>
  <c r="X40" i="9"/>
  <c r="V36" i="9"/>
  <c r="N36" i="9"/>
  <c r="Q36" i="9" s="1"/>
  <c r="X36" i="9"/>
  <c r="X38" i="9"/>
  <c r="V38" i="9"/>
  <c r="N37" i="9"/>
  <c r="Q37" i="9" s="1"/>
  <c r="X37" i="9"/>
  <c r="V37" i="9"/>
  <c r="I6" i="10"/>
  <c r="I4" i="10"/>
  <c r="I5" i="10"/>
  <c r="O8" i="11"/>
  <c r="O9" i="11"/>
  <c r="O4" i="11"/>
  <c r="O3" i="11"/>
  <c r="F33" i="9"/>
  <c r="M33" i="9" s="1"/>
  <c r="E33" i="9"/>
  <c r="D33" i="9"/>
  <c r="F35" i="9"/>
  <c r="E35" i="9"/>
  <c r="M35" i="9" s="1"/>
  <c r="D35" i="9"/>
  <c r="F34" i="9"/>
  <c r="E34" i="9"/>
  <c r="D34" i="9"/>
  <c r="M34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M31" i="9" s="1"/>
  <c r="D31" i="9"/>
  <c r="F30" i="9"/>
  <c r="E30" i="9"/>
  <c r="D30" i="9"/>
  <c r="M3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8" i="9"/>
  <c r="M28" i="9" s="1"/>
  <c r="E28" i="9"/>
  <c r="D28" i="9"/>
  <c r="F29" i="9"/>
  <c r="E29" i="9"/>
  <c r="M29" i="9" s="1"/>
  <c r="D29" i="9"/>
  <c r="F27" i="9"/>
  <c r="E27" i="9"/>
  <c r="D27" i="9"/>
  <c r="M27" i="9" s="1"/>
  <c r="I3" i="10"/>
  <c r="F26" i="9"/>
  <c r="M26" i="9" s="1"/>
  <c r="E26" i="9"/>
  <c r="D26" i="9"/>
  <c r="F25" i="9"/>
  <c r="M25" i="9" s="1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0" i="9"/>
  <c r="M20" i="9" s="1"/>
  <c r="E20" i="9"/>
  <c r="D20" i="9"/>
  <c r="F17" i="9"/>
  <c r="M17" i="9" s="1"/>
  <c r="E17" i="9"/>
  <c r="D17" i="9"/>
  <c r="F14" i="9"/>
  <c r="M14" i="9" s="1"/>
  <c r="E14" i="9"/>
  <c r="D14" i="9"/>
  <c r="F12" i="9"/>
  <c r="M12" i="9" s="1"/>
  <c r="E12" i="9"/>
  <c r="D12" i="9"/>
  <c r="F21" i="9"/>
  <c r="E21" i="9"/>
  <c r="M21" i="9" s="1"/>
  <c r="D21" i="9"/>
  <c r="F18" i="9"/>
  <c r="E18" i="9"/>
  <c r="M18" i="9" s="1"/>
  <c r="D18" i="9"/>
  <c r="F15" i="9"/>
  <c r="E15" i="9"/>
  <c r="M15" i="9" s="1"/>
  <c r="D15" i="9"/>
  <c r="F11" i="9"/>
  <c r="E11" i="9"/>
  <c r="C11" i="9"/>
  <c r="F19" i="9"/>
  <c r="E19" i="9"/>
  <c r="D19" i="9"/>
  <c r="M19" i="9" s="1"/>
  <c r="F16" i="9"/>
  <c r="E16" i="9"/>
  <c r="D16" i="9"/>
  <c r="M16" i="9" s="1"/>
  <c r="L13" i="9"/>
  <c r="W13" i="9" s="1"/>
  <c r="F13" i="9"/>
  <c r="E13" i="9"/>
  <c r="D13" i="9"/>
  <c r="M13" i="9" s="1"/>
  <c r="F10" i="9"/>
  <c r="E10" i="9"/>
  <c r="D10" i="9"/>
  <c r="M10" i="9" s="1"/>
  <c r="F8" i="9"/>
  <c r="D8" i="9"/>
  <c r="E8" i="9"/>
  <c r="M8" i="9" s="1"/>
  <c r="F9" i="9"/>
  <c r="M9" i="9" s="1"/>
  <c r="E9" i="9"/>
  <c r="D9" i="9"/>
  <c r="F7" i="9"/>
  <c r="E7" i="9"/>
  <c r="D7" i="9"/>
  <c r="M7" i="9" s="1"/>
  <c r="F6" i="9"/>
  <c r="E6" i="9"/>
  <c r="M6" i="9" s="1"/>
  <c r="D6" i="9"/>
  <c r="F5" i="9"/>
  <c r="E5" i="9"/>
  <c r="D5" i="9"/>
  <c r="M5" i="9" s="1"/>
  <c r="F3" i="9"/>
  <c r="F4" i="9"/>
  <c r="E4" i="9"/>
  <c r="M4" i="9" s="1"/>
  <c r="D4" i="9"/>
  <c r="D3" i="9"/>
  <c r="M3" i="9" l="1"/>
  <c r="G12" i="10"/>
  <c r="I11" i="10"/>
  <c r="G12" i="1"/>
  <c r="I12" i="1"/>
  <c r="J12" i="1" s="1"/>
  <c r="M11" i="9"/>
  <c r="X6" i="9"/>
  <c r="X28" i="9"/>
  <c r="X20" i="9"/>
  <c r="X8" i="9"/>
  <c r="X4" i="9"/>
  <c r="X11" i="9"/>
  <c r="X14" i="9"/>
  <c r="N35" i="9"/>
  <c r="Q35" i="9" s="1"/>
  <c r="X9" i="9"/>
  <c r="X16" i="9"/>
  <c r="X21" i="9"/>
  <c r="X7" i="9"/>
  <c r="X10" i="9"/>
  <c r="V25" i="9"/>
  <c r="N31" i="9"/>
  <c r="Q31" i="9" s="1"/>
  <c r="X3" i="9"/>
  <c r="X18" i="9"/>
  <c r="N29" i="9"/>
  <c r="Q29" i="9" s="1"/>
  <c r="X19" i="9"/>
  <c r="X33" i="9"/>
  <c r="X5" i="9"/>
  <c r="X15" i="9"/>
  <c r="X13" i="9"/>
  <c r="X12" i="9"/>
  <c r="X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3" i="9"/>
  <c r="N33" i="9"/>
  <c r="Q33" i="9" s="1"/>
  <c r="X35" i="9"/>
  <c r="V35" i="9"/>
  <c r="N34" i="9"/>
  <c r="Q34" i="9" s="1"/>
  <c r="X34" i="9"/>
  <c r="V34" i="9"/>
  <c r="V31" i="9"/>
  <c r="V32" i="9"/>
  <c r="N32" i="9"/>
  <c r="Q32" i="9" s="1"/>
  <c r="X32" i="9"/>
  <c r="X31" i="9"/>
  <c r="N30" i="9"/>
  <c r="Q30" i="9" s="1"/>
  <c r="X30" i="9"/>
  <c r="V30" i="9"/>
  <c r="S7" i="12"/>
  <c r="T7" i="12" s="1"/>
  <c r="V28" i="9"/>
  <c r="N28" i="9"/>
  <c r="Q28" i="9" s="1"/>
  <c r="X29" i="9"/>
  <c r="V29" i="9"/>
  <c r="N27" i="9"/>
  <c r="Q27" i="9" s="1"/>
  <c r="X27" i="9"/>
  <c r="V27" i="9"/>
  <c r="V26" i="9"/>
  <c r="N26" i="9"/>
  <c r="Q26" i="9" s="1"/>
  <c r="N25" i="9"/>
  <c r="Q25" i="9" s="1"/>
  <c r="X25" i="9"/>
  <c r="X17" i="9"/>
  <c r="V17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3" i="9"/>
  <c r="Q3" i="9" s="1"/>
  <c r="V12" i="9"/>
  <c r="V4" i="9"/>
  <c r="V6" i="9"/>
  <c r="V8" i="9"/>
  <c r="V11" i="9"/>
  <c r="V14" i="9"/>
  <c r="V7" i="9"/>
  <c r="V13" i="9"/>
  <c r="V16" i="9"/>
  <c r="V21" i="9"/>
  <c r="V5" i="9"/>
  <c r="V15" i="9"/>
  <c r="V19" i="9"/>
  <c r="N9" i="9"/>
  <c r="Q9" i="9" s="1"/>
  <c r="V9" i="9"/>
  <c r="V10" i="9"/>
  <c r="V18" i="9"/>
  <c r="V20" i="9"/>
  <c r="V3" i="9"/>
  <c r="N12" i="9"/>
  <c r="Q12" i="9" s="1"/>
  <c r="N20" i="9"/>
  <c r="Q20" i="9" s="1"/>
  <c r="N17" i="9"/>
  <c r="Q17" i="9" s="1"/>
  <c r="N14" i="9"/>
  <c r="Q14" i="9" s="1"/>
  <c r="N21" i="9"/>
  <c r="Q21" i="9" s="1"/>
  <c r="N18" i="9"/>
  <c r="Q18" i="9" s="1"/>
  <c r="N15" i="9"/>
  <c r="Q15" i="9" s="1"/>
  <c r="N11" i="9"/>
  <c r="Q11" i="9" s="1"/>
  <c r="N19" i="9"/>
  <c r="Q19" i="9" s="1"/>
  <c r="N16" i="9"/>
  <c r="Q16" i="9" s="1"/>
  <c r="N13" i="9"/>
  <c r="Q13" i="9" s="1"/>
  <c r="N10" i="9"/>
  <c r="Q10" i="9" s="1"/>
  <c r="N8" i="9"/>
  <c r="Q8" i="9" s="1"/>
  <c r="N7" i="9"/>
  <c r="Q7" i="9" s="1"/>
  <c r="N6" i="9"/>
  <c r="Q6" i="9" s="1"/>
  <c r="N5" i="9"/>
  <c r="Q5" i="9" s="1"/>
  <c r="N4" i="9"/>
  <c r="Q4" i="9" s="1"/>
  <c r="G13" i="10" l="1"/>
  <c r="I12" i="10"/>
  <c r="J9" i="10"/>
  <c r="K8" i="10"/>
  <c r="L8" i="10"/>
  <c r="S8" i="12"/>
  <c r="T8" i="12" s="1"/>
  <c r="G14" i="10" l="1"/>
  <c r="I13" i="10"/>
  <c r="J10" i="10"/>
  <c r="L9" i="10"/>
  <c r="K9" i="10"/>
  <c r="G15" i="10" l="1"/>
  <c r="I14" i="10"/>
  <c r="J11" i="10"/>
  <c r="L10" i="10"/>
  <c r="K10" i="10"/>
  <c r="G16" i="10" l="1"/>
  <c r="I15" i="10"/>
  <c r="J12" i="10"/>
  <c r="L11" i="10"/>
  <c r="K11" i="10"/>
  <c r="G17" i="10" l="1"/>
  <c r="I16" i="10"/>
  <c r="J13" i="10"/>
  <c r="L12" i="10"/>
  <c r="K12" i="10"/>
  <c r="G18" i="10" l="1"/>
  <c r="I17" i="10"/>
  <c r="J14" i="10"/>
  <c r="L13" i="10"/>
  <c r="K13" i="10"/>
  <c r="G19" i="10" l="1"/>
  <c r="I18" i="10"/>
  <c r="J15" i="10"/>
  <c r="K14" i="10"/>
  <c r="L14" i="10"/>
  <c r="G20" i="10" l="1"/>
  <c r="I20" i="10" s="1"/>
  <c r="I19" i="10"/>
  <c r="J16" i="10"/>
  <c r="L15" i="10"/>
  <c r="K15" i="10"/>
  <c r="J17" i="10" l="1"/>
  <c r="J18" i="10" s="1"/>
  <c r="L16" i="10"/>
  <c r="K16" i="10"/>
  <c r="J19" i="10" l="1"/>
  <c r="L18" i="10"/>
  <c r="K18" i="10"/>
  <c r="L17" i="10"/>
  <c r="K17" i="10"/>
  <c r="J20" i="10" l="1"/>
  <c r="K19" i="10"/>
  <c r="L19" i="10"/>
  <c r="L20" i="10" l="1"/>
  <c r="K20" i="10"/>
  <c r="G11" i="7"/>
  <c r="P11" i="7"/>
  <c r="J11" i="7"/>
  <c r="M11" i="7"/>
  <c r="G27" i="7"/>
  <c r="J27" i="7"/>
  <c r="M27" i="7"/>
  <c r="P27" i="7"/>
  <c r="M35" i="7"/>
  <c r="G35" i="7"/>
  <c r="P35" i="7"/>
  <c r="J35" i="7"/>
  <c r="P51" i="7"/>
  <c r="G51" i="7"/>
  <c r="M51" i="7"/>
  <c r="J51" i="7"/>
  <c r="P12" i="7"/>
  <c r="J12" i="7"/>
  <c r="M12" i="7"/>
  <c r="G12" i="7"/>
  <c r="G20" i="7"/>
  <c r="P20" i="7"/>
  <c r="J20" i="7"/>
  <c r="M20" i="7"/>
  <c r="M36" i="7"/>
  <c r="G36" i="7"/>
  <c r="J36" i="7"/>
  <c r="P36" i="7"/>
  <c r="M44" i="7"/>
  <c r="G44" i="7"/>
  <c r="P44" i="7"/>
  <c r="J44" i="7"/>
  <c r="J60" i="7"/>
  <c r="M60" i="7"/>
  <c r="G60" i="7"/>
  <c r="P60" i="7"/>
  <c r="P76" i="7"/>
  <c r="G76" i="7"/>
  <c r="M76" i="7"/>
  <c r="J76" i="7"/>
  <c r="J84" i="7"/>
  <c r="P84" i="7"/>
  <c r="M84" i="7"/>
  <c r="G84" i="7"/>
  <c r="P100" i="7"/>
  <c r="J100" i="7"/>
  <c r="G100" i="7"/>
  <c r="M100" i="7"/>
  <c r="J108" i="7"/>
  <c r="P108" i="7"/>
  <c r="M108" i="7"/>
  <c r="G108" i="7"/>
  <c r="G86" i="7"/>
  <c r="M86" i="7"/>
  <c r="P86" i="7"/>
  <c r="J86" i="7"/>
  <c r="P87" i="7"/>
  <c r="M87" i="7"/>
  <c r="J87" i="7"/>
  <c r="G87" i="7"/>
  <c r="P88" i="7"/>
  <c r="M88" i="7"/>
  <c r="J88" i="7"/>
  <c r="G88" i="7"/>
  <c r="G65" i="7"/>
  <c r="J65" i="7"/>
  <c r="P65" i="7"/>
  <c r="M65" i="7"/>
  <c r="M113" i="7"/>
  <c r="J113" i="7"/>
  <c r="G113" i="7"/>
  <c r="P113" i="7"/>
  <c r="M98" i="7"/>
  <c r="G98" i="7"/>
  <c r="P98" i="7"/>
  <c r="J98" i="7"/>
  <c r="P5" i="7"/>
  <c r="J5" i="7"/>
  <c r="M5" i="7"/>
  <c r="G5" i="7"/>
  <c r="M13" i="7"/>
  <c r="P13" i="7"/>
  <c r="G13" i="7"/>
  <c r="J13" i="7"/>
  <c r="G29" i="7"/>
  <c r="J29" i="7"/>
  <c r="M29" i="7"/>
  <c r="P29" i="7"/>
  <c r="G37" i="7"/>
  <c r="J37" i="7"/>
  <c r="P37" i="7"/>
  <c r="M37" i="7"/>
  <c r="G53" i="7"/>
  <c r="P53" i="7"/>
  <c r="M53" i="7"/>
  <c r="J53" i="7"/>
  <c r="M69" i="7"/>
  <c r="J69" i="7"/>
  <c r="G69" i="7"/>
  <c r="P69" i="7"/>
  <c r="P77" i="7"/>
  <c r="M77" i="7"/>
  <c r="G77" i="7"/>
  <c r="J77" i="7"/>
  <c r="J93" i="7"/>
  <c r="P93" i="7"/>
  <c r="M93" i="7"/>
  <c r="G93" i="7"/>
  <c r="G101" i="7"/>
  <c r="M101" i="7"/>
  <c r="J101" i="7"/>
  <c r="P101" i="7"/>
  <c r="M14" i="7"/>
  <c r="J14" i="7"/>
  <c r="P14" i="7"/>
  <c r="G14" i="7"/>
  <c r="J54" i="7"/>
  <c r="G54" i="7"/>
  <c r="M54" i="7"/>
  <c r="P54" i="7"/>
  <c r="P78" i="7"/>
  <c r="J78" i="7"/>
  <c r="G78" i="7"/>
  <c r="M78" i="7"/>
  <c r="G79" i="7"/>
  <c r="M79" i="7"/>
  <c r="J79" i="7"/>
  <c r="P79" i="7"/>
  <c r="J111" i="7"/>
  <c r="G111" i="7"/>
  <c r="M111" i="7"/>
  <c r="P111" i="7"/>
  <c r="M33" i="7"/>
  <c r="G33" i="7"/>
  <c r="P33" i="7"/>
  <c r="J33" i="7"/>
  <c r="P81" i="7"/>
  <c r="M81" i="7"/>
  <c r="J81" i="7"/>
  <c r="G81" i="7"/>
  <c r="P10" i="7"/>
  <c r="M10" i="7"/>
  <c r="G10" i="7"/>
  <c r="J10" i="7"/>
  <c r="P74" i="7"/>
  <c r="G74" i="7"/>
  <c r="J74" i="7"/>
  <c r="M74" i="7"/>
  <c r="J91" i="7"/>
  <c r="G91" i="7"/>
  <c r="P91" i="7"/>
  <c r="M91" i="7"/>
  <c r="J6" i="7"/>
  <c r="G6" i="7"/>
  <c r="P6" i="7"/>
  <c r="M6" i="7"/>
  <c r="P30" i="7"/>
  <c r="G30" i="7"/>
  <c r="M30" i="7"/>
  <c r="J30" i="7"/>
  <c r="P46" i="7"/>
  <c r="G46" i="7"/>
  <c r="J46" i="7"/>
  <c r="M46" i="7"/>
  <c r="J102" i="7"/>
  <c r="M102" i="7"/>
  <c r="P102" i="7"/>
  <c r="G102" i="7"/>
  <c r="P103" i="7"/>
  <c r="G103" i="7"/>
  <c r="M103" i="7"/>
  <c r="J103" i="7"/>
  <c r="M9" i="7"/>
  <c r="G9" i="7"/>
  <c r="P9" i="7"/>
  <c r="J9" i="7"/>
  <c r="G97" i="7"/>
  <c r="M97" i="7"/>
  <c r="J97" i="7"/>
  <c r="P97" i="7"/>
  <c r="P34" i="7"/>
  <c r="M34" i="7"/>
  <c r="J34" i="7"/>
  <c r="G34" i="7"/>
  <c r="J90" i="7"/>
  <c r="M90" i="7"/>
  <c r="G90" i="7"/>
  <c r="P90" i="7"/>
  <c r="J75" i="7"/>
  <c r="M75" i="7"/>
  <c r="P75" i="7"/>
  <c r="G75" i="7"/>
  <c r="G7" i="7"/>
  <c r="M7" i="7"/>
  <c r="P7" i="7"/>
  <c r="J7" i="7"/>
  <c r="P23" i="7"/>
  <c r="G23" i="7"/>
  <c r="J23" i="7"/>
  <c r="M23" i="7"/>
  <c r="P31" i="7"/>
  <c r="G31" i="7"/>
  <c r="J31" i="7"/>
  <c r="M31" i="7"/>
  <c r="J47" i="7"/>
  <c r="M47" i="7"/>
  <c r="G47" i="7"/>
  <c r="P47" i="7"/>
  <c r="J55" i="7"/>
  <c r="G55" i="7"/>
  <c r="P55" i="7"/>
  <c r="M55" i="7"/>
  <c r="J71" i="7"/>
  <c r="P71" i="7"/>
  <c r="M71" i="7"/>
  <c r="G71" i="7"/>
  <c r="G104" i="7"/>
  <c r="P104" i="7"/>
  <c r="J104" i="7"/>
  <c r="M104" i="7"/>
  <c r="M41" i="7"/>
  <c r="P41" i="7"/>
  <c r="J41" i="7"/>
  <c r="G41" i="7"/>
  <c r="P105" i="7"/>
  <c r="G105" i="7"/>
  <c r="J105" i="7"/>
  <c r="M105" i="7"/>
  <c r="J26" i="7"/>
  <c r="M26" i="7"/>
  <c r="P26" i="7"/>
  <c r="G26" i="7"/>
  <c r="P106" i="7"/>
  <c r="J106" i="7"/>
  <c r="G106" i="7"/>
  <c r="M106" i="7"/>
  <c r="P8" i="7"/>
  <c r="J8" i="7"/>
  <c r="M8" i="7"/>
  <c r="G8" i="7"/>
  <c r="J16" i="7"/>
  <c r="P16" i="7"/>
  <c r="M16" i="7"/>
  <c r="G16" i="7"/>
  <c r="J32" i="7"/>
  <c r="M32" i="7"/>
  <c r="G32" i="7"/>
  <c r="P32" i="7"/>
  <c r="M40" i="7"/>
  <c r="G40" i="7"/>
  <c r="P40" i="7"/>
  <c r="J40" i="7"/>
  <c r="P56" i="7"/>
  <c r="J56" i="7"/>
  <c r="M56" i="7"/>
  <c r="G56" i="7"/>
  <c r="P72" i="7"/>
  <c r="G72" i="7"/>
  <c r="J72" i="7"/>
  <c r="M72" i="7"/>
  <c r="J80" i="7"/>
  <c r="M80" i="7"/>
  <c r="P80" i="7"/>
  <c r="G80" i="7"/>
  <c r="G89" i="7"/>
  <c r="J89" i="7"/>
  <c r="M89" i="7"/>
  <c r="P89" i="7"/>
  <c r="M18" i="7"/>
  <c r="P18" i="7"/>
  <c r="J18" i="7"/>
  <c r="G18" i="7"/>
  <c r="P59" i="7"/>
  <c r="J59" i="7"/>
  <c r="M59" i="7"/>
  <c r="G59" i="7"/>
  <c r="M4" i="7"/>
  <c r="P4" i="7"/>
  <c r="J4" i="7"/>
  <c r="G4" i="7"/>
  <c r="P92" i="7"/>
  <c r="M92" i="7"/>
  <c r="J92" i="7"/>
  <c r="G92" i="7"/>
  <c r="G83" i="7"/>
  <c r="P83" i="7"/>
  <c r="M83" i="7"/>
  <c r="J83" i="7"/>
  <c r="M73" i="7"/>
  <c r="G73" i="7"/>
  <c r="P73" i="7"/>
  <c r="J73" i="7"/>
  <c r="J67" i="7"/>
  <c r="P67" i="7"/>
  <c r="G67" i="7"/>
  <c r="M67" i="7"/>
  <c r="M64" i="7"/>
  <c r="P64" i="7"/>
  <c r="G64" i="7"/>
  <c r="J64" i="7"/>
  <c r="P43" i="7"/>
  <c r="J43" i="7"/>
  <c r="M43" i="7"/>
  <c r="G43" i="7"/>
  <c r="P52" i="7"/>
  <c r="M52" i="7"/>
  <c r="J52" i="7"/>
  <c r="G52" i="7"/>
  <c r="M62" i="7"/>
  <c r="J62" i="7"/>
  <c r="G62" i="7"/>
  <c r="P62" i="7"/>
  <c r="P42" i="7"/>
  <c r="J42" i="7"/>
  <c r="G42" i="7"/>
  <c r="M42" i="7"/>
  <c r="P45" i="7"/>
  <c r="G45" i="7"/>
  <c r="J45" i="7"/>
  <c r="M45" i="7"/>
  <c r="M109" i="7"/>
  <c r="G109" i="7"/>
  <c r="J109" i="7"/>
  <c r="P109" i="7"/>
  <c r="M112" i="7"/>
  <c r="P112" i="7"/>
  <c r="J112" i="7"/>
  <c r="G112" i="7"/>
  <c r="J107" i="7"/>
  <c r="P107" i="7"/>
  <c r="M107" i="7"/>
  <c r="G107" i="7"/>
  <c r="G96" i="7"/>
  <c r="J96" i="7"/>
  <c r="P96" i="7"/>
  <c r="M96" i="7"/>
  <c r="J99" i="7"/>
  <c r="M99" i="7"/>
  <c r="P99" i="7"/>
  <c r="G99" i="7"/>
  <c r="M63" i="7"/>
  <c r="P63" i="7"/>
  <c r="G63" i="7"/>
  <c r="J63" i="7"/>
  <c r="M66" i="7"/>
  <c r="P66" i="7"/>
  <c r="J66" i="7"/>
  <c r="G66" i="7"/>
  <c r="P48" i="7"/>
  <c r="J48" i="7"/>
  <c r="M48" i="7"/>
  <c r="G48" i="7"/>
  <c r="P82" i="7"/>
  <c r="M82" i="7"/>
  <c r="G82" i="7"/>
  <c r="J82" i="7"/>
  <c r="P17" i="7"/>
  <c r="M17" i="7"/>
  <c r="J17" i="7"/>
  <c r="G17" i="7"/>
  <c r="P21" i="7"/>
  <c r="G21" i="7"/>
  <c r="J21" i="7"/>
  <c r="M21" i="7"/>
  <c r="J61" i="7"/>
  <c r="M61" i="7"/>
  <c r="G61" i="7"/>
  <c r="P61" i="7"/>
  <c r="G38" i="7"/>
  <c r="P38" i="7"/>
  <c r="M38" i="7"/>
  <c r="J38" i="7"/>
  <c r="J22" i="7"/>
  <c r="P22" i="7"/>
  <c r="G22" i="7"/>
  <c r="M22" i="7"/>
  <c r="P57" i="7"/>
  <c r="M57" i="7"/>
  <c r="G57" i="7"/>
  <c r="J57" i="7"/>
  <c r="M15" i="7"/>
  <c r="P15" i="7"/>
  <c r="J15" i="7"/>
  <c r="G15" i="7"/>
  <c r="G95" i="7"/>
  <c r="P95" i="7"/>
  <c r="J95" i="7"/>
  <c r="M95" i="7"/>
  <c r="P19" i="7"/>
  <c r="J19" i="7"/>
  <c r="M19" i="7"/>
  <c r="G19" i="7"/>
  <c r="P28" i="7"/>
  <c r="G28" i="7"/>
  <c r="J28" i="7"/>
  <c r="M28" i="7"/>
  <c r="P85" i="7"/>
  <c r="M85" i="7"/>
  <c r="G85" i="7"/>
  <c r="J85" i="7"/>
  <c r="P94" i="7"/>
  <c r="M94" i="7"/>
  <c r="J94" i="7"/>
  <c r="G94" i="7"/>
  <c r="P50" i="7"/>
  <c r="J50" i="7"/>
  <c r="M50" i="7"/>
  <c r="G50" i="7"/>
  <c r="M70" i="7"/>
  <c r="J70" i="7"/>
  <c r="G70" i="7"/>
  <c r="P70" i="7"/>
  <c r="P58" i="7"/>
  <c r="G58" i="7"/>
  <c r="M58" i="7"/>
  <c r="J58" i="7"/>
  <c r="P39" i="7"/>
  <c r="J39" i="7"/>
  <c r="G39" i="7"/>
  <c r="M39" i="7"/>
  <c r="P24" i="7"/>
  <c r="M24" i="7"/>
  <c r="J24" i="7"/>
  <c r="G24" i="7"/>
  <c r="P25" i="7"/>
  <c r="G25" i="7"/>
  <c r="J25" i="7"/>
  <c r="M25" i="7"/>
  <c r="J110" i="7"/>
  <c r="P110" i="7"/>
  <c r="M110" i="7"/>
  <c r="G110" i="7"/>
  <c r="M68" i="7"/>
  <c r="J68" i="7"/>
  <c r="P68" i="7"/>
  <c r="G68" i="7"/>
  <c r="P49" i="7"/>
  <c r="J49" i="7"/>
  <c r="M49" i="7"/>
  <c r="G49" i="7"/>
  <c r="M3" i="7"/>
  <c r="J3" i="7"/>
  <c r="P3" i="7"/>
</calcChain>
</file>

<file path=xl/sharedStrings.xml><?xml version="1.0" encoding="utf-8"?>
<sst xmlns="http://schemas.openxmlformats.org/spreadsheetml/2006/main" count="446" uniqueCount="130">
  <si>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</si>
  <si>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</si>
  <si>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</si>
  <si>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</si>
  <si>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</si>
  <si>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</si>
  <si>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</si>
  <si>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</si>
  <si>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</si>
  <si>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</si>
  <si>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</si>
  <si>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</si>
  <si>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</si>
  <si>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</si>
  <si>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</si>
  <si>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</si>
  <si>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</si>
  <si>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</si>
  <si>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</si>
  <si>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</si>
  <si>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</si>
  <si>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</si>
  <si>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</si>
  <si>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</si>
  <si>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</si>
  <si>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</si>
  <si>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</si>
  <si>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</si>
  <si>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</si>
  <si>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</si>
  <si>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</si>
  <si>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</si>
  <si>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</si>
  <si>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</si>
  <si>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</si>
  <si>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</si>
  <si>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</si>
  <si>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</si>
  <si>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</si>
  <si>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</si>
  <si>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</si>
  <si>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</si>
  <si>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</si>
  <si>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</si>
  <si>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</si>
  <si>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</si>
  <si>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</si>
  <si>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</si>
  <si>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</si>
  <si>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</si>
  <si>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</si>
  <si>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</si>
  <si>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</si>
  <si>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</si>
  <si>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</si>
  <si>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</si>
  <si>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</si>
  <si>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</si>
  <si>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</si>
  <si>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</si>
  <si>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</si>
  <si>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</si>
  <si>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</si>
  <si>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</si>
  <si>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</si>
  <si>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</si>
  <si>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</si>
  <si>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</si>
  <si>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</si>
  <si>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</si>
  <si>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</si>
  <si>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</si>
  <si>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</si>
  <si>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</si>
  <si>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</si>
  <si>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</si>
  <si>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</si>
  <si>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</si>
  <si>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</si>
  <si>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</si>
  <si>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</si>
  <si>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</si>
  <si>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</si>
  <si>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</si>
  <si>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</si>
  <si>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</si>
  <si>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</si>
  <si>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</si>
  <si>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</si>
  <si>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</si>
  <si>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</si>
  <si>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</si>
  <si>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</si>
  <si>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</si>
  <si>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</si>
  <si>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</si>
  <si>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</si>
  <si>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</si>
  <si>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</si>
  <si>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</si>
  <si>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</si>
  <si>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</si>
  <si>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</si>
  <si>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</si>
  <si>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</si>
  <si>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</si>
  <si>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</si>
  <si>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</si>
  <si>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</si>
  <si>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</si>
  <si>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</si>
  <si>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</si>
  <si>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</si>
  <si>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</si>
  <si>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</si>
  <si>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</si>
  <si>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</si>
  <si>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</si>
  <si>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</si>
  <si>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</si>
  <si>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</si>
  <si>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</si>
  <si>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</si>
  <si>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</si>
  <si>
    <t>VALOR INVERSION 4</t>
  </si>
  <si>
    <t>GAN/PER4</t>
  </si>
  <si>
    <t>VALOR EN COP4</t>
  </si>
  <si>
    <t>PRECIO DÓLAR</t>
  </si>
  <si>
    <t>VALOR INV</t>
  </si>
  <si>
    <t>VALOR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</si>
</sst>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  <numFmt numFmtId="170" formatCode="_-&quot;$&quot;\ * #,##0.00_-;\-&quot;$&quot;\ * #,##0.00_-;_-&quot;$&quot;\ * &quot;-&quot;_-;_-@_-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  <xf numFmtId="170" fontId="0" fillId="0" borderId="0" xfId="3" applyNumberFormat="1" applyFont="1"/>
    <xf numFmtId="2" fontId="4" fillId="0" borderId="0" xfId="1" applyNumberFormat="1" applyFont="1"/>
    <xf numFmtId="170" fontId="4" fillId="0" borderId="0" xfId="3" applyNumberFormat="1" applyFont="1"/>
    <xf numFmtId="44" fontId="0" fillId="0" borderId="0" xfId="0" applyNumberFormat="1" applyFill="1"/>
    <xf numFmtId="165" fontId="0" fillId="0" borderId="0" xfId="0" applyNumberFormat="1" applyFill="1"/>
    <xf numFmtId="165" fontId="0" fillId="0" borderId="0" xfId="0" applyNumberFormat="1" applyFont="1"/>
    <xf numFmtId="0" fontId="5" fillId="6" borderId="0" xfId="0" applyFont="1" applyFill="1"/>
    <xf numFmtId="44" fontId="6" fillId="0" borderId="0" xfId="2" applyFont="1"/>
    <xf numFmtId="44" fontId="7" fillId="0" borderId="0" xfId="2" applyFont="1"/>
  </cellXfs>
  <cellStyles count="4">
    <cellStyle name="Moneda" xfId="2" builtinId="4"/>
    <cellStyle name="Moneda [0]" xfId="3" builtinId="7"/>
    <cellStyle name="Normal" xfId="0" builtinId="0"/>
    <cellStyle name="Porcentaje" xfId="1" builtinId="5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scheme val="minor"/>
      </font>
      <fill>
        <patternFill patternType="solid">
          <fgColor indexed="64"/>
          <bgColor rgb="FFC00000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rgb="FFFF4F4F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48"/>
      <tableStyleElement type="headerRow" dxfId="147"/>
      <tableStyleElement type="secondRowStripe" dxfId="146"/>
    </tableStyle>
    <tableStyle name="Estilo de tabla 2" pivot="0" count="5">
      <tableStyleElement type="wholeTable" dxfId="145"/>
      <tableStyleElement type="headerRow" dxfId="144"/>
      <tableStyleElement type="firstRowStripe" dxfId="143"/>
      <tableStyleElement type="secondRowStripe" dxfId="142"/>
      <tableStyleElement type="firstColumnStripe" dxfId="141"/>
    </tableStyle>
    <tableStyle name="Estilo de tabla 3" pivot="0" count="3">
      <tableStyleElement type="headerRow" dxfId="140"/>
      <tableStyleElement type="firstRowStripe" dxfId="139"/>
      <tableStyleElement type="secondRowStripe" dxfId="138"/>
    </tableStyle>
    <tableStyle name="Estilo de tabla 4" pivot="0" count="4">
      <tableStyleElement type="wholeTable" dxfId="137"/>
      <tableStyleElement type="headerRow" dxfId="136"/>
      <tableStyleElement type="firstRowStripe" dxfId="135"/>
      <tableStyleElement type="secondRowStripe" dxfId="134"/>
    </tableStyle>
    <tableStyle name="Estilo de tabla 5" pivot="0" count="4">
      <tableStyleElement type="wholeTable" dxfId="133"/>
      <tableStyleElement type="headerRow" dxfId="132"/>
      <tableStyleElement type="firstRowStripe" dxfId="131"/>
      <tableStyleElement type="secondRowStripe" dxfId="130"/>
    </tableStyle>
  </tableStyles>
  <colors>
    <mruColors>
      <color rgb="FFFFFFFF"/>
      <color rgb="FFFF2D2D"/>
      <color rgb="FFFF4F4F"/>
      <color rgb="FFFF8989"/>
      <color rgb="FFFF5B5B"/>
      <color rgb="FFFF4343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  <c:pt idx="3">
                  <c:v>-3958.345066650003</c:v>
                </c:pt>
                <c:pt idx="4">
                  <c:v>18070.395726733324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70992"/>
        <c:axId val="459778608"/>
      </c:lineChart>
      <c:catAx>
        <c:axId val="45977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8608"/>
        <c:crosses val="autoZero"/>
        <c:auto val="1"/>
        <c:lblAlgn val="ctr"/>
        <c:lblOffset val="100"/>
        <c:noMultiLvlLbl val="0"/>
      </c:catAx>
      <c:valAx>
        <c:axId val="459778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CRIPTOS!$B$3:$B$252</c:f>
              <c:numCache>
                <c:formatCode>m/d/yyyy</c:formatCode>
                <c:ptCount val="25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  <c:pt idx="229">
                  <c:v>45636</c:v>
                </c:pt>
                <c:pt idx="230">
                  <c:v>45637</c:v>
                </c:pt>
                <c:pt idx="231">
                  <c:v>45638</c:v>
                </c:pt>
                <c:pt idx="232">
                  <c:v>45639</c:v>
                </c:pt>
                <c:pt idx="233">
                  <c:v>45640</c:v>
                </c:pt>
                <c:pt idx="234">
                  <c:v>45641</c:v>
                </c:pt>
                <c:pt idx="235">
                  <c:v>45642</c:v>
                </c:pt>
                <c:pt idx="236">
                  <c:v>45643</c:v>
                </c:pt>
                <c:pt idx="237">
                  <c:v>45644</c:v>
                </c:pt>
                <c:pt idx="238">
                  <c:v>45645</c:v>
                </c:pt>
                <c:pt idx="239">
                  <c:v>45646</c:v>
                </c:pt>
                <c:pt idx="240">
                  <c:v>45647</c:v>
                </c:pt>
                <c:pt idx="241">
                  <c:v>45648</c:v>
                </c:pt>
                <c:pt idx="242">
                  <c:v>45649</c:v>
                </c:pt>
                <c:pt idx="243">
                  <c:v>45650</c:v>
                </c:pt>
                <c:pt idx="244">
                  <c:v>45651</c:v>
                </c:pt>
                <c:pt idx="245">
                  <c:v>45652</c:v>
                </c:pt>
                <c:pt idx="246">
                  <c:v>45653</c:v>
                </c:pt>
                <c:pt idx="247">
                  <c:v>45654</c:v>
                </c:pt>
                <c:pt idx="248">
                  <c:v>45655</c:v>
                </c:pt>
                <c:pt idx="249">
                  <c:v>45656</c:v>
                </c:pt>
              </c:numCache>
            </c:numRef>
          </c:cat>
          <c:val>
            <c:numRef>
              <c:f>CRIPTOS!$C$3:$C$252</c:f>
              <c:numCache>
                <c:formatCode>_-[$$-240A]\ * #,##0.00_-;\-[$$-240A]\ * #,##0.00_-;_-[$$-240A]\ * "-"??_-;_-@_-</c:formatCode>
                <c:ptCount val="250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  <c:pt idx="190">
                  <c:v>4418.63</c:v>
                </c:pt>
                <c:pt idx="191">
                  <c:v>4414</c:v>
                </c:pt>
                <c:pt idx="192">
                  <c:v>4418.12</c:v>
                </c:pt>
                <c:pt idx="193">
                  <c:v>4445.3500000000004</c:v>
                </c:pt>
                <c:pt idx="194">
                  <c:v>4438.62</c:v>
                </c:pt>
                <c:pt idx="195">
                  <c:v>4439.75</c:v>
                </c:pt>
                <c:pt idx="196">
                  <c:v>4389.7299999999996</c:v>
                </c:pt>
                <c:pt idx="197">
                  <c:v>4399.58</c:v>
                </c:pt>
                <c:pt idx="198">
                  <c:v>4346.7</c:v>
                </c:pt>
                <c:pt idx="199">
                  <c:v>4346.7</c:v>
                </c:pt>
                <c:pt idx="200">
                  <c:v>4346.7</c:v>
                </c:pt>
                <c:pt idx="201">
                  <c:v>4376.95</c:v>
                </c:pt>
                <c:pt idx="202">
                  <c:v>4352.8</c:v>
                </c:pt>
                <c:pt idx="203">
                  <c:v>4500.38</c:v>
                </c:pt>
                <c:pt idx="204">
                  <c:v>4487.51</c:v>
                </c:pt>
                <c:pt idx="205">
                  <c:v>4498.58</c:v>
                </c:pt>
                <c:pt idx="206">
                  <c:v>4498.58</c:v>
                </c:pt>
                <c:pt idx="207">
                  <c:v>4407.41</c:v>
                </c:pt>
                <c:pt idx="208">
                  <c:v>4421.08</c:v>
                </c:pt>
                <c:pt idx="209">
                  <c:v>4405.5600000000004</c:v>
                </c:pt>
                <c:pt idx="210">
                  <c:v>4414.34</c:v>
                </c:pt>
                <c:pt idx="211">
                  <c:v>4438.78</c:v>
                </c:pt>
                <c:pt idx="212">
                  <c:v>4389.2299999999996</c:v>
                </c:pt>
                <c:pt idx="213">
                  <c:v>4389.2299999999996</c:v>
                </c:pt>
                <c:pt idx="214">
                  <c:v>4362.95</c:v>
                </c:pt>
                <c:pt idx="215">
                  <c:v>4399.41</c:v>
                </c:pt>
                <c:pt idx="216">
                  <c:v>4379.28</c:v>
                </c:pt>
                <c:pt idx="217">
                  <c:v>4390.7299999999996</c:v>
                </c:pt>
                <c:pt idx="218">
                  <c:v>4378.58</c:v>
                </c:pt>
                <c:pt idx="219">
                  <c:v>4419.5600000000004</c:v>
                </c:pt>
                <c:pt idx="220">
                  <c:v>4419.59</c:v>
                </c:pt>
                <c:pt idx="221">
                  <c:v>4398.53</c:v>
                </c:pt>
                <c:pt idx="222">
                  <c:v>4438.1000000000004</c:v>
                </c:pt>
                <c:pt idx="223">
                  <c:v>4443.45</c:v>
                </c:pt>
                <c:pt idx="224">
                  <c:v>4427.9399999999996</c:v>
                </c:pt>
                <c:pt idx="225">
                  <c:v>4424.18</c:v>
                </c:pt>
                <c:pt idx="226">
                  <c:v>4424.18</c:v>
                </c:pt>
                <c:pt idx="227">
                  <c:v>4424.18</c:v>
                </c:pt>
                <c:pt idx="228">
                  <c:v>4426</c:v>
                </c:pt>
                <c:pt idx="229">
                  <c:v>4422.58</c:v>
                </c:pt>
                <c:pt idx="230">
                  <c:v>4380.03</c:v>
                </c:pt>
                <c:pt idx="231">
                  <c:v>4369.57</c:v>
                </c:pt>
                <c:pt idx="232">
                  <c:v>4349.75</c:v>
                </c:pt>
                <c:pt idx="233">
                  <c:v>4341.32</c:v>
                </c:pt>
                <c:pt idx="234">
                  <c:v>4341.32</c:v>
                </c:pt>
                <c:pt idx="235">
                  <c:v>4341.32</c:v>
                </c:pt>
                <c:pt idx="236">
                  <c:v>4316.46</c:v>
                </c:pt>
                <c:pt idx="237">
                  <c:v>4321.25</c:v>
                </c:pt>
                <c:pt idx="238">
                  <c:v>4385.17</c:v>
                </c:pt>
                <c:pt idx="239">
                  <c:v>4370.3</c:v>
                </c:pt>
                <c:pt idx="240">
                  <c:v>4359.18</c:v>
                </c:pt>
                <c:pt idx="241">
                  <c:v>4359.18</c:v>
                </c:pt>
                <c:pt idx="242">
                  <c:v>4373.33</c:v>
                </c:pt>
                <c:pt idx="243">
                  <c:v>4383.8900000000003</c:v>
                </c:pt>
                <c:pt idx="244">
                  <c:v>4380.9399999999996</c:v>
                </c:pt>
                <c:pt idx="245">
                  <c:v>4408.54</c:v>
                </c:pt>
                <c:pt idx="246">
                  <c:v>4397.8900000000003</c:v>
                </c:pt>
                <c:pt idx="247">
                  <c:v>4397.8900000000003</c:v>
                </c:pt>
                <c:pt idx="248">
                  <c:v>4398.5200000000004</c:v>
                </c:pt>
                <c:pt idx="249">
                  <c:v>4388.83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CRIPTOS!$B$3:$B$252</c:f>
              <c:numCache>
                <c:formatCode>m/d/yyyy</c:formatCode>
                <c:ptCount val="25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  <c:pt idx="229">
                  <c:v>45636</c:v>
                </c:pt>
                <c:pt idx="230">
                  <c:v>45637</c:v>
                </c:pt>
                <c:pt idx="231">
                  <c:v>45638</c:v>
                </c:pt>
                <c:pt idx="232">
                  <c:v>45639</c:v>
                </c:pt>
                <c:pt idx="233">
                  <c:v>45640</c:v>
                </c:pt>
                <c:pt idx="234">
                  <c:v>45641</c:v>
                </c:pt>
                <c:pt idx="235">
                  <c:v>45642</c:v>
                </c:pt>
                <c:pt idx="236">
                  <c:v>45643</c:v>
                </c:pt>
                <c:pt idx="237">
                  <c:v>45644</c:v>
                </c:pt>
                <c:pt idx="238">
                  <c:v>45645</c:v>
                </c:pt>
                <c:pt idx="239">
                  <c:v>45646</c:v>
                </c:pt>
                <c:pt idx="240">
                  <c:v>45647</c:v>
                </c:pt>
                <c:pt idx="241">
                  <c:v>45648</c:v>
                </c:pt>
                <c:pt idx="242">
                  <c:v>45649</c:v>
                </c:pt>
                <c:pt idx="243">
                  <c:v>45650</c:v>
                </c:pt>
                <c:pt idx="244">
                  <c:v>45651</c:v>
                </c:pt>
                <c:pt idx="245">
                  <c:v>45652</c:v>
                </c:pt>
                <c:pt idx="246">
                  <c:v>45653</c:v>
                </c:pt>
                <c:pt idx="247">
                  <c:v>45654</c:v>
                </c:pt>
                <c:pt idx="248">
                  <c:v>45655</c:v>
                </c:pt>
                <c:pt idx="249">
                  <c:v>45656</c:v>
                </c:pt>
              </c:numCache>
            </c:numRef>
          </c:cat>
          <c:val>
            <c:numRef>
              <c:f>CRIPTOS!$D$3:$D$252</c:f>
              <c:numCache>
                <c:formatCode>_-[$$-240A]\ * #,##0.00_-;\-[$$-240A]\ * #,##0.00_-;_-[$$-240A]\ * "-"??_-;_-@_-</c:formatCode>
                <c:ptCount val="250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  <c:pt idx="190">
                  <c:v>69923.17</c:v>
                </c:pt>
                <c:pt idx="191">
                  <c:v>69374.740000000005</c:v>
                </c:pt>
                <c:pt idx="192">
                  <c:v>68306.28</c:v>
                </c:pt>
                <c:pt idx="193">
                  <c:v>67722.23</c:v>
                </c:pt>
                <c:pt idx="194">
                  <c:v>68825.05</c:v>
                </c:pt>
                <c:pt idx="195">
                  <c:v>75165</c:v>
                </c:pt>
                <c:pt idx="196">
                  <c:v>76495</c:v>
                </c:pt>
                <c:pt idx="197">
                  <c:v>76116.72</c:v>
                </c:pt>
                <c:pt idx="198">
                  <c:v>76677.460000000006</c:v>
                </c:pt>
                <c:pt idx="199">
                  <c:v>80370.009999999995</c:v>
                </c:pt>
                <c:pt idx="200">
                  <c:v>87272.61</c:v>
                </c:pt>
                <c:pt idx="201">
                  <c:v>87348.83</c:v>
                </c:pt>
                <c:pt idx="202">
                  <c:v>87644</c:v>
                </c:pt>
                <c:pt idx="203">
                  <c:v>91328</c:v>
                </c:pt>
                <c:pt idx="204">
                  <c:v>90301.8</c:v>
                </c:pt>
                <c:pt idx="205">
                  <c:v>90748.73</c:v>
                </c:pt>
                <c:pt idx="206">
                  <c:v>89855.99</c:v>
                </c:pt>
                <c:pt idx="207">
                  <c:v>90464.08</c:v>
                </c:pt>
                <c:pt idx="208">
                  <c:v>92087.16</c:v>
                </c:pt>
                <c:pt idx="209">
                  <c:v>93571.07</c:v>
                </c:pt>
                <c:pt idx="210">
                  <c:v>98020</c:v>
                </c:pt>
                <c:pt idx="211">
                  <c:v>98838.75</c:v>
                </c:pt>
                <c:pt idx="212">
                  <c:v>97712</c:v>
                </c:pt>
                <c:pt idx="213">
                  <c:v>97384</c:v>
                </c:pt>
                <c:pt idx="214">
                  <c:v>98202.98</c:v>
                </c:pt>
                <c:pt idx="215">
                  <c:v>91967.67</c:v>
                </c:pt>
                <c:pt idx="216">
                  <c:v>93360.16</c:v>
                </c:pt>
                <c:pt idx="217">
                  <c:v>95743.55</c:v>
                </c:pt>
                <c:pt idx="218">
                  <c:v>97308.01</c:v>
                </c:pt>
                <c:pt idx="219">
                  <c:v>96407.99</c:v>
                </c:pt>
                <c:pt idx="220">
                  <c:v>97185.17</c:v>
                </c:pt>
                <c:pt idx="221">
                  <c:v>95031.74</c:v>
                </c:pt>
                <c:pt idx="222">
                  <c:v>94966.55</c:v>
                </c:pt>
                <c:pt idx="223">
                  <c:v>95716.12</c:v>
                </c:pt>
                <c:pt idx="224">
                  <c:v>102611.8</c:v>
                </c:pt>
                <c:pt idx="225">
                  <c:v>98080.1</c:v>
                </c:pt>
                <c:pt idx="226">
                  <c:v>99831.99</c:v>
                </c:pt>
                <c:pt idx="227">
                  <c:v>101109.59</c:v>
                </c:pt>
                <c:pt idx="228">
                  <c:v>98015.98</c:v>
                </c:pt>
                <c:pt idx="229">
                  <c:v>97685.21</c:v>
                </c:pt>
                <c:pt idx="230">
                  <c:v>98323.53</c:v>
                </c:pt>
                <c:pt idx="231">
                  <c:v>100340</c:v>
                </c:pt>
                <c:pt idx="232">
                  <c:v>100007.38</c:v>
                </c:pt>
                <c:pt idx="233">
                  <c:v>101420</c:v>
                </c:pt>
                <c:pt idx="234">
                  <c:v>104463.93</c:v>
                </c:pt>
                <c:pt idx="235">
                  <c:v>105492.89</c:v>
                </c:pt>
                <c:pt idx="236">
                  <c:v>106974.13</c:v>
                </c:pt>
                <c:pt idx="237">
                  <c:v>104492.41</c:v>
                </c:pt>
                <c:pt idx="238">
                  <c:v>102400</c:v>
                </c:pt>
                <c:pt idx="239">
                  <c:v>95331.22</c:v>
                </c:pt>
                <c:pt idx="240">
                  <c:v>97174.19</c:v>
                </c:pt>
                <c:pt idx="241">
                  <c:v>96665</c:v>
                </c:pt>
                <c:pt idx="242">
                  <c:v>95916.43</c:v>
                </c:pt>
                <c:pt idx="243">
                  <c:v>94195.99</c:v>
                </c:pt>
                <c:pt idx="244">
                  <c:v>99429.6</c:v>
                </c:pt>
                <c:pt idx="245">
                  <c:v>95547.46</c:v>
                </c:pt>
                <c:pt idx="246">
                  <c:v>94299.03</c:v>
                </c:pt>
                <c:pt idx="247">
                  <c:v>95203.85</c:v>
                </c:pt>
                <c:pt idx="248">
                  <c:v>93224.38</c:v>
                </c:pt>
                <c:pt idx="249">
                  <c:v>93880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CRIPTOS!$B$3:$B$252</c:f>
              <c:numCache>
                <c:formatCode>m/d/yyyy</c:formatCode>
                <c:ptCount val="25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  <c:pt idx="229">
                  <c:v>45636</c:v>
                </c:pt>
                <c:pt idx="230">
                  <c:v>45637</c:v>
                </c:pt>
                <c:pt idx="231">
                  <c:v>45638</c:v>
                </c:pt>
                <c:pt idx="232">
                  <c:v>45639</c:v>
                </c:pt>
                <c:pt idx="233">
                  <c:v>45640</c:v>
                </c:pt>
                <c:pt idx="234">
                  <c:v>45641</c:v>
                </c:pt>
                <c:pt idx="235">
                  <c:v>45642</c:v>
                </c:pt>
                <c:pt idx="236">
                  <c:v>45643</c:v>
                </c:pt>
                <c:pt idx="237">
                  <c:v>45644</c:v>
                </c:pt>
                <c:pt idx="238">
                  <c:v>45645</c:v>
                </c:pt>
                <c:pt idx="239">
                  <c:v>45646</c:v>
                </c:pt>
                <c:pt idx="240">
                  <c:v>45647</c:v>
                </c:pt>
                <c:pt idx="241">
                  <c:v>45648</c:v>
                </c:pt>
                <c:pt idx="242">
                  <c:v>45649</c:v>
                </c:pt>
                <c:pt idx="243">
                  <c:v>45650</c:v>
                </c:pt>
                <c:pt idx="244">
                  <c:v>45651</c:v>
                </c:pt>
                <c:pt idx="245">
                  <c:v>45652</c:v>
                </c:pt>
                <c:pt idx="246">
                  <c:v>45653</c:v>
                </c:pt>
                <c:pt idx="247">
                  <c:v>45654</c:v>
                </c:pt>
                <c:pt idx="248">
                  <c:v>45655</c:v>
                </c:pt>
                <c:pt idx="249">
                  <c:v>45656</c:v>
                </c:pt>
              </c:numCache>
            </c:numRef>
          </c:cat>
          <c:val>
            <c:numRef>
              <c:f>CRIPTOS!$E$3:$E$252</c:f>
              <c:numCache>
                <c:formatCode>_-[$$-240A]\ * #,##0.00_-;\-[$$-240A]\ * #,##0.00_-;_-[$$-240A]\ * "-"??_-;_-@_-</c:formatCode>
                <c:ptCount val="250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  <c:pt idx="190">
                  <c:v>1.61</c:v>
                </c:pt>
                <c:pt idx="191">
                  <c:v>1.54</c:v>
                </c:pt>
                <c:pt idx="192">
                  <c:v>1.47</c:v>
                </c:pt>
                <c:pt idx="193">
                  <c:v>1.47</c:v>
                </c:pt>
                <c:pt idx="194">
                  <c:v>1.5</c:v>
                </c:pt>
                <c:pt idx="195">
                  <c:v>1.73</c:v>
                </c:pt>
                <c:pt idx="196">
                  <c:v>1.83</c:v>
                </c:pt>
                <c:pt idx="197">
                  <c:v>1.99</c:v>
                </c:pt>
                <c:pt idx="198">
                  <c:v>2.02</c:v>
                </c:pt>
                <c:pt idx="199">
                  <c:v>2.02</c:v>
                </c:pt>
                <c:pt idx="200">
                  <c:v>2.69</c:v>
                </c:pt>
                <c:pt idx="201">
                  <c:v>2.4900000000000002</c:v>
                </c:pt>
                <c:pt idx="202">
                  <c:v>2.23</c:v>
                </c:pt>
                <c:pt idx="203">
                  <c:v>2.2400000000000002</c:v>
                </c:pt>
                <c:pt idx="204">
                  <c:v>2.27</c:v>
                </c:pt>
                <c:pt idx="205">
                  <c:v>2.44</c:v>
                </c:pt>
                <c:pt idx="206">
                  <c:v>2.27</c:v>
                </c:pt>
                <c:pt idx="207">
                  <c:v>2.38</c:v>
                </c:pt>
                <c:pt idx="208">
                  <c:v>2.2999999999999998</c:v>
                </c:pt>
                <c:pt idx="209">
                  <c:v>2.39</c:v>
                </c:pt>
                <c:pt idx="210">
                  <c:v>2.2000000000000002</c:v>
                </c:pt>
                <c:pt idx="211">
                  <c:v>2.5</c:v>
                </c:pt>
                <c:pt idx="212">
                  <c:v>2.62</c:v>
                </c:pt>
                <c:pt idx="213">
                  <c:v>2.52</c:v>
                </c:pt>
                <c:pt idx="214">
                  <c:v>2.75</c:v>
                </c:pt>
                <c:pt idx="215">
                  <c:v>2.4700000000000002</c:v>
                </c:pt>
                <c:pt idx="216">
                  <c:v>2.6</c:v>
                </c:pt>
                <c:pt idx="217">
                  <c:v>2.91</c:v>
                </c:pt>
                <c:pt idx="218">
                  <c:v>3.01</c:v>
                </c:pt>
                <c:pt idx="219">
                  <c:v>3.46</c:v>
                </c:pt>
                <c:pt idx="220">
                  <c:v>3.3266</c:v>
                </c:pt>
                <c:pt idx="221">
                  <c:v>3.18</c:v>
                </c:pt>
                <c:pt idx="222">
                  <c:v>3.35</c:v>
                </c:pt>
                <c:pt idx="223">
                  <c:v>3.41</c:v>
                </c:pt>
                <c:pt idx="224">
                  <c:v>3.24</c:v>
                </c:pt>
                <c:pt idx="225">
                  <c:v>3.86</c:v>
                </c:pt>
                <c:pt idx="226">
                  <c:v>3.63</c:v>
                </c:pt>
                <c:pt idx="227">
                  <c:v>3.6</c:v>
                </c:pt>
                <c:pt idx="228">
                  <c:v>3.23</c:v>
                </c:pt>
                <c:pt idx="229">
                  <c:v>3.44</c:v>
                </c:pt>
                <c:pt idx="230">
                  <c:v>3.87</c:v>
                </c:pt>
                <c:pt idx="231">
                  <c:v>4.3600000000000003</c:v>
                </c:pt>
                <c:pt idx="232">
                  <c:v>4.16</c:v>
                </c:pt>
                <c:pt idx="233">
                  <c:v>4.01</c:v>
                </c:pt>
                <c:pt idx="234">
                  <c:v>4.08</c:v>
                </c:pt>
                <c:pt idx="235">
                  <c:v>3.84</c:v>
                </c:pt>
                <c:pt idx="236">
                  <c:v>3.86</c:v>
                </c:pt>
                <c:pt idx="237">
                  <c:v>3.64</c:v>
                </c:pt>
                <c:pt idx="238">
                  <c:v>3.67</c:v>
                </c:pt>
                <c:pt idx="239">
                  <c:v>2.93</c:v>
                </c:pt>
                <c:pt idx="240">
                  <c:v>2.97</c:v>
                </c:pt>
                <c:pt idx="241">
                  <c:v>2.93</c:v>
                </c:pt>
                <c:pt idx="242">
                  <c:v>2.87</c:v>
                </c:pt>
                <c:pt idx="243">
                  <c:v>3.09</c:v>
                </c:pt>
                <c:pt idx="244">
                  <c:v>2.83</c:v>
                </c:pt>
                <c:pt idx="245">
                  <c:v>2.82</c:v>
                </c:pt>
                <c:pt idx="246">
                  <c:v>2.96</c:v>
                </c:pt>
                <c:pt idx="247">
                  <c:v>2.99</c:v>
                </c:pt>
                <c:pt idx="248">
                  <c:v>2.82</c:v>
                </c:pt>
                <c:pt idx="24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CRIPTOS!$B$3:$B$252</c:f>
              <c:numCache>
                <c:formatCode>m/d/yyyy</c:formatCode>
                <c:ptCount val="25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  <c:pt idx="229">
                  <c:v>45636</c:v>
                </c:pt>
                <c:pt idx="230">
                  <c:v>45637</c:v>
                </c:pt>
                <c:pt idx="231">
                  <c:v>45638</c:v>
                </c:pt>
                <c:pt idx="232">
                  <c:v>45639</c:v>
                </c:pt>
                <c:pt idx="233">
                  <c:v>45640</c:v>
                </c:pt>
                <c:pt idx="234">
                  <c:v>45641</c:v>
                </c:pt>
                <c:pt idx="235">
                  <c:v>45642</c:v>
                </c:pt>
                <c:pt idx="236">
                  <c:v>45643</c:v>
                </c:pt>
                <c:pt idx="237">
                  <c:v>45644</c:v>
                </c:pt>
                <c:pt idx="238">
                  <c:v>45645</c:v>
                </c:pt>
                <c:pt idx="239">
                  <c:v>45646</c:v>
                </c:pt>
                <c:pt idx="240">
                  <c:v>45647</c:v>
                </c:pt>
                <c:pt idx="241">
                  <c:v>45648</c:v>
                </c:pt>
                <c:pt idx="242">
                  <c:v>45649</c:v>
                </c:pt>
                <c:pt idx="243">
                  <c:v>45650</c:v>
                </c:pt>
                <c:pt idx="244">
                  <c:v>45651</c:v>
                </c:pt>
                <c:pt idx="245">
                  <c:v>45652</c:v>
                </c:pt>
                <c:pt idx="246">
                  <c:v>45653</c:v>
                </c:pt>
                <c:pt idx="247">
                  <c:v>45654</c:v>
                </c:pt>
                <c:pt idx="248">
                  <c:v>45655</c:v>
                </c:pt>
                <c:pt idx="249">
                  <c:v>45656</c:v>
                </c:pt>
              </c:numCache>
            </c:numRef>
          </c:cat>
          <c:val>
            <c:numRef>
              <c:f>CRIPTOS!$F$3:$F$252</c:f>
              <c:numCache>
                <c:formatCode>_-[$$-240A]\ * #,##0.00_-;\-[$$-240A]\ * #,##0.00_-;_-[$$-240A]\ * "-"??_-;_-@_-</c:formatCode>
                <c:ptCount val="250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  <c:pt idx="190">
                  <c:v>2517.8000000000002</c:v>
                </c:pt>
                <c:pt idx="191">
                  <c:v>2493.4</c:v>
                </c:pt>
                <c:pt idx="192">
                  <c:v>2445.3000000000002</c:v>
                </c:pt>
                <c:pt idx="193">
                  <c:v>2412</c:v>
                </c:pt>
                <c:pt idx="194">
                  <c:v>2438.6</c:v>
                </c:pt>
                <c:pt idx="195">
                  <c:v>2622.5</c:v>
                </c:pt>
                <c:pt idx="196">
                  <c:v>2819.3</c:v>
                </c:pt>
                <c:pt idx="197">
                  <c:v>2924.8</c:v>
                </c:pt>
                <c:pt idx="198">
                  <c:v>3128.4</c:v>
                </c:pt>
                <c:pt idx="199">
                  <c:v>3186.8</c:v>
                </c:pt>
                <c:pt idx="200">
                  <c:v>3355.6</c:v>
                </c:pt>
                <c:pt idx="201">
                  <c:v>3295.5</c:v>
                </c:pt>
                <c:pt idx="202">
                  <c:v>3172.4</c:v>
                </c:pt>
                <c:pt idx="203">
                  <c:v>3186.4</c:v>
                </c:pt>
                <c:pt idx="204">
                  <c:v>3106.4</c:v>
                </c:pt>
                <c:pt idx="205">
                  <c:v>3160.3</c:v>
                </c:pt>
                <c:pt idx="206">
                  <c:v>3076</c:v>
                </c:pt>
                <c:pt idx="207">
                  <c:v>3209.4</c:v>
                </c:pt>
                <c:pt idx="208">
                  <c:v>3141.5</c:v>
                </c:pt>
                <c:pt idx="209">
                  <c:v>3106.5</c:v>
                </c:pt>
                <c:pt idx="210">
                  <c:v>3144.7</c:v>
                </c:pt>
                <c:pt idx="211">
                  <c:v>3344.4</c:v>
                </c:pt>
                <c:pt idx="212">
                  <c:v>3420.7</c:v>
                </c:pt>
                <c:pt idx="213">
                  <c:v>3331.8</c:v>
                </c:pt>
                <c:pt idx="214">
                  <c:v>3488.4</c:v>
                </c:pt>
                <c:pt idx="215">
                  <c:v>3314.6</c:v>
                </c:pt>
                <c:pt idx="216">
                  <c:v>3462.1</c:v>
                </c:pt>
                <c:pt idx="217">
                  <c:v>3632.8</c:v>
                </c:pt>
                <c:pt idx="218">
                  <c:v>3598.1</c:v>
                </c:pt>
                <c:pt idx="219">
                  <c:v>3706.3</c:v>
                </c:pt>
                <c:pt idx="220">
                  <c:v>3710.1</c:v>
                </c:pt>
                <c:pt idx="221">
                  <c:v>3582.4</c:v>
                </c:pt>
                <c:pt idx="222">
                  <c:v>3604.5</c:v>
                </c:pt>
                <c:pt idx="223">
                  <c:v>3706.7</c:v>
                </c:pt>
                <c:pt idx="224">
                  <c:v>3940.1</c:v>
                </c:pt>
                <c:pt idx="225">
                  <c:v>3868.8</c:v>
                </c:pt>
                <c:pt idx="226">
                  <c:v>4000</c:v>
                </c:pt>
                <c:pt idx="227">
                  <c:v>4007.4</c:v>
                </c:pt>
                <c:pt idx="228">
                  <c:v>3842</c:v>
                </c:pt>
                <c:pt idx="229">
                  <c:v>3748</c:v>
                </c:pt>
                <c:pt idx="230">
                  <c:v>3713.5</c:v>
                </c:pt>
                <c:pt idx="231">
                  <c:v>3910.9</c:v>
                </c:pt>
                <c:pt idx="232">
                  <c:v>3918.5</c:v>
                </c:pt>
                <c:pt idx="233">
                  <c:v>3870.8</c:v>
                </c:pt>
                <c:pt idx="234">
                  <c:v>3956</c:v>
                </c:pt>
                <c:pt idx="235">
                  <c:v>3944.6</c:v>
                </c:pt>
                <c:pt idx="236">
                  <c:v>4012.2</c:v>
                </c:pt>
                <c:pt idx="237">
                  <c:v>3883.5</c:v>
                </c:pt>
                <c:pt idx="238">
                  <c:v>3701.5</c:v>
                </c:pt>
                <c:pt idx="239">
                  <c:v>3287.3</c:v>
                </c:pt>
                <c:pt idx="240">
                  <c:v>3382.8</c:v>
                </c:pt>
                <c:pt idx="241">
                  <c:v>3354</c:v>
                </c:pt>
                <c:pt idx="242">
                  <c:v>3334.8</c:v>
                </c:pt>
                <c:pt idx="243">
                  <c:v>3397.2</c:v>
                </c:pt>
                <c:pt idx="244">
                  <c:v>3320.4</c:v>
                </c:pt>
                <c:pt idx="245">
                  <c:v>3315.1</c:v>
                </c:pt>
                <c:pt idx="246">
                  <c:v>3327.5</c:v>
                </c:pt>
                <c:pt idx="247">
                  <c:v>3397.9</c:v>
                </c:pt>
                <c:pt idx="248">
                  <c:v>3341.4</c:v>
                </c:pt>
                <c:pt idx="249">
                  <c:v>3413.8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CRIPTOS!$B$3:$B$252</c:f>
              <c:numCache>
                <c:formatCode>m/d/yyyy</c:formatCode>
                <c:ptCount val="25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  <c:pt idx="229">
                  <c:v>45636</c:v>
                </c:pt>
                <c:pt idx="230">
                  <c:v>45637</c:v>
                </c:pt>
                <c:pt idx="231">
                  <c:v>45638</c:v>
                </c:pt>
                <c:pt idx="232">
                  <c:v>45639</c:v>
                </c:pt>
                <c:pt idx="233">
                  <c:v>45640</c:v>
                </c:pt>
                <c:pt idx="234">
                  <c:v>45641</c:v>
                </c:pt>
                <c:pt idx="235">
                  <c:v>45642</c:v>
                </c:pt>
                <c:pt idx="236">
                  <c:v>45643</c:v>
                </c:pt>
                <c:pt idx="237">
                  <c:v>45644</c:v>
                </c:pt>
                <c:pt idx="238">
                  <c:v>45645</c:v>
                </c:pt>
                <c:pt idx="239">
                  <c:v>45646</c:v>
                </c:pt>
                <c:pt idx="240">
                  <c:v>45647</c:v>
                </c:pt>
                <c:pt idx="241">
                  <c:v>45648</c:v>
                </c:pt>
                <c:pt idx="242">
                  <c:v>45649</c:v>
                </c:pt>
                <c:pt idx="243">
                  <c:v>45650</c:v>
                </c:pt>
                <c:pt idx="244">
                  <c:v>45651</c:v>
                </c:pt>
                <c:pt idx="245">
                  <c:v>45652</c:v>
                </c:pt>
                <c:pt idx="246">
                  <c:v>45653</c:v>
                </c:pt>
                <c:pt idx="247">
                  <c:v>45654</c:v>
                </c:pt>
                <c:pt idx="248">
                  <c:v>45655</c:v>
                </c:pt>
                <c:pt idx="249">
                  <c:v>45656</c:v>
                </c:pt>
              </c:numCache>
            </c:numRef>
          </c:cat>
          <c:val>
            <c:numRef>
              <c:f>CRIPTOS!$G$3:$G$252</c:f>
              <c:numCache>
                <c:formatCode>_-[$$-240A]\ * #,##0.00_-;\-[$$-240A]\ * #,##0.00_-;_-[$$-240A]\ * "-"??_-;_-@_-</c:formatCode>
                <c:ptCount val="250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  <c:pt idx="190">
                  <c:v>4293</c:v>
                </c:pt>
                <c:pt idx="191">
                  <c:v>4327</c:v>
                </c:pt>
                <c:pt idx="192">
                  <c:v>4328</c:v>
                </c:pt>
                <c:pt idx="193">
                  <c:v>4338</c:v>
                </c:pt>
                <c:pt idx="194">
                  <c:v>4287</c:v>
                </c:pt>
                <c:pt idx="195">
                  <c:v>4338</c:v>
                </c:pt>
                <c:pt idx="196">
                  <c:v>4331</c:v>
                </c:pt>
                <c:pt idx="197">
                  <c:v>4234</c:v>
                </c:pt>
                <c:pt idx="198">
                  <c:v>4258</c:v>
                </c:pt>
                <c:pt idx="199">
                  <c:v>4246</c:v>
                </c:pt>
                <c:pt idx="200">
                  <c:v>4267</c:v>
                </c:pt>
                <c:pt idx="201">
                  <c:v>4274</c:v>
                </c:pt>
                <c:pt idx="202">
                  <c:v>4274</c:v>
                </c:pt>
                <c:pt idx="203">
                  <c:v>4275</c:v>
                </c:pt>
                <c:pt idx="204">
                  <c:v>4324</c:v>
                </c:pt>
                <c:pt idx="205">
                  <c:v>4318</c:v>
                </c:pt>
                <c:pt idx="206">
                  <c:v>4339</c:v>
                </c:pt>
                <c:pt idx="207">
                  <c:v>4308</c:v>
                </c:pt>
                <c:pt idx="208">
                  <c:v>4314</c:v>
                </c:pt>
                <c:pt idx="209">
                  <c:v>4314</c:v>
                </c:pt>
                <c:pt idx="210">
                  <c:v>4347</c:v>
                </c:pt>
                <c:pt idx="211">
                  <c:v>4317</c:v>
                </c:pt>
                <c:pt idx="212">
                  <c:v>4345</c:v>
                </c:pt>
                <c:pt idx="213">
                  <c:v>4337</c:v>
                </c:pt>
                <c:pt idx="214">
                  <c:v>4315</c:v>
                </c:pt>
                <c:pt idx="215">
                  <c:v>4319</c:v>
                </c:pt>
                <c:pt idx="216">
                  <c:v>4332</c:v>
                </c:pt>
                <c:pt idx="217">
                  <c:v>4312</c:v>
                </c:pt>
                <c:pt idx="218">
                  <c:v>4325</c:v>
                </c:pt>
                <c:pt idx="219">
                  <c:v>4300</c:v>
                </c:pt>
                <c:pt idx="220">
                  <c:v>4338</c:v>
                </c:pt>
                <c:pt idx="221">
                  <c:v>4369</c:v>
                </c:pt>
                <c:pt idx="222">
                  <c:v>4387</c:v>
                </c:pt>
                <c:pt idx="223">
                  <c:v>4362</c:v>
                </c:pt>
                <c:pt idx="224">
                  <c:v>4350</c:v>
                </c:pt>
                <c:pt idx="225">
                  <c:v>4347</c:v>
                </c:pt>
                <c:pt idx="226">
                  <c:v>4308</c:v>
                </c:pt>
                <c:pt idx="227">
                  <c:v>4325</c:v>
                </c:pt>
                <c:pt idx="228">
                  <c:v>4333</c:v>
                </c:pt>
                <c:pt idx="229">
                  <c:v>4345</c:v>
                </c:pt>
                <c:pt idx="230">
                  <c:v>4308</c:v>
                </c:pt>
                <c:pt idx="231">
                  <c:v>4271</c:v>
                </c:pt>
                <c:pt idx="232">
                  <c:v>4223</c:v>
                </c:pt>
                <c:pt idx="233">
                  <c:v>4152</c:v>
                </c:pt>
                <c:pt idx="234">
                  <c:v>4152</c:v>
                </c:pt>
                <c:pt idx="235">
                  <c:v>4186</c:v>
                </c:pt>
                <c:pt idx="236">
                  <c:v>4226</c:v>
                </c:pt>
                <c:pt idx="237">
                  <c:v>4266</c:v>
                </c:pt>
                <c:pt idx="238">
                  <c:v>4312</c:v>
                </c:pt>
                <c:pt idx="239">
                  <c:v>4338</c:v>
                </c:pt>
                <c:pt idx="240">
                  <c:v>4312</c:v>
                </c:pt>
                <c:pt idx="241">
                  <c:v>4307</c:v>
                </c:pt>
                <c:pt idx="242">
                  <c:v>4303</c:v>
                </c:pt>
                <c:pt idx="243">
                  <c:v>4332</c:v>
                </c:pt>
                <c:pt idx="244">
                  <c:v>4329</c:v>
                </c:pt>
                <c:pt idx="245">
                  <c:v>4328</c:v>
                </c:pt>
                <c:pt idx="246">
                  <c:v>4337</c:v>
                </c:pt>
                <c:pt idx="247">
                  <c:v>4313</c:v>
                </c:pt>
                <c:pt idx="248">
                  <c:v>4321</c:v>
                </c:pt>
                <c:pt idx="249">
                  <c:v>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68272"/>
        <c:axId val="459775888"/>
      </c:lineChart>
      <c:dateAx>
        <c:axId val="45976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5888"/>
        <c:crosses val="autoZero"/>
        <c:auto val="1"/>
        <c:lblOffset val="100"/>
        <c:baseTimeUnit val="days"/>
      </c:dateAx>
      <c:valAx>
        <c:axId val="4597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Bolsa'!$C$3:$C$124</c:f>
              <c:numCache>
                <c:formatCode>_("$"* #,##0.00_);_("$"* \(#,##0.00\);_("$"* "-"??_);_(@_)</c:formatCode>
                <c:ptCount val="122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  <c:pt idx="83">
                  <c:v>4418.63</c:v>
                </c:pt>
                <c:pt idx="84">
                  <c:v>4445.3500000000004</c:v>
                </c:pt>
                <c:pt idx="85">
                  <c:v>4438.62</c:v>
                </c:pt>
                <c:pt idx="86">
                  <c:v>4439.75</c:v>
                </c:pt>
                <c:pt idx="87">
                  <c:v>4389.7299999999996</c:v>
                </c:pt>
                <c:pt idx="88">
                  <c:v>4399.58</c:v>
                </c:pt>
                <c:pt idx="89">
                  <c:v>4346.7</c:v>
                </c:pt>
                <c:pt idx="90">
                  <c:v>4376.95</c:v>
                </c:pt>
                <c:pt idx="91">
                  <c:v>4352.8</c:v>
                </c:pt>
                <c:pt idx="92">
                  <c:v>4487.51</c:v>
                </c:pt>
                <c:pt idx="93">
                  <c:v>4407.41</c:v>
                </c:pt>
                <c:pt idx="94">
                  <c:v>4421.08</c:v>
                </c:pt>
                <c:pt idx="95">
                  <c:v>4405.5600000000004</c:v>
                </c:pt>
                <c:pt idx="96">
                  <c:v>4414.34</c:v>
                </c:pt>
                <c:pt idx="97">
                  <c:v>4438.78</c:v>
                </c:pt>
                <c:pt idx="98">
                  <c:v>4362.95</c:v>
                </c:pt>
                <c:pt idx="99">
                  <c:v>4399.41</c:v>
                </c:pt>
                <c:pt idx="100">
                  <c:v>4379.28</c:v>
                </c:pt>
                <c:pt idx="101">
                  <c:v>4390.7299999999996</c:v>
                </c:pt>
                <c:pt idx="102">
                  <c:v>4378.58</c:v>
                </c:pt>
                <c:pt idx="103">
                  <c:v>4398.53</c:v>
                </c:pt>
                <c:pt idx="104">
                  <c:v>4438.1000000000004</c:v>
                </c:pt>
                <c:pt idx="105">
                  <c:v>4443.45</c:v>
                </c:pt>
                <c:pt idx="106">
                  <c:v>4427.9399999999996</c:v>
                </c:pt>
                <c:pt idx="107">
                  <c:v>4424.18</c:v>
                </c:pt>
                <c:pt idx="108">
                  <c:v>4426</c:v>
                </c:pt>
                <c:pt idx="109">
                  <c:v>4422.58</c:v>
                </c:pt>
                <c:pt idx="110">
                  <c:v>4380.03</c:v>
                </c:pt>
                <c:pt idx="111">
                  <c:v>4369.57</c:v>
                </c:pt>
                <c:pt idx="112">
                  <c:v>4349.75</c:v>
                </c:pt>
                <c:pt idx="113">
                  <c:v>4341.32</c:v>
                </c:pt>
                <c:pt idx="114">
                  <c:v>4316.46</c:v>
                </c:pt>
                <c:pt idx="115">
                  <c:v>4321.25</c:v>
                </c:pt>
                <c:pt idx="116">
                  <c:v>4385.17</c:v>
                </c:pt>
                <c:pt idx="117">
                  <c:v>4370.3</c:v>
                </c:pt>
                <c:pt idx="118">
                  <c:v>4373.33</c:v>
                </c:pt>
                <c:pt idx="119">
                  <c:v>4383.8900000000003</c:v>
                </c:pt>
                <c:pt idx="120">
                  <c:v>4408.54</c:v>
                </c:pt>
                <c:pt idx="121">
                  <c:v>4397.8900000000003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Bolsa'!$D$3:$D$124</c:f>
              <c:numCache>
                <c:formatCode>_("$"* #,##0.00_);_("$"* \(#,##0.00\);_("$"* "-"??_);_(@_)</c:formatCode>
                <c:ptCount val="122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  <c:pt idx="83">
                  <c:v>522.66999999999996</c:v>
                </c:pt>
                <c:pt idx="84">
                  <c:v>523.79999999999995</c:v>
                </c:pt>
                <c:pt idx="85">
                  <c:v>530.1</c:v>
                </c:pt>
                <c:pt idx="86">
                  <c:v>543.29999999999995</c:v>
                </c:pt>
                <c:pt idx="87">
                  <c:v>547.53</c:v>
                </c:pt>
                <c:pt idx="88">
                  <c:v>549.95000000000005</c:v>
                </c:pt>
                <c:pt idx="89">
                  <c:v>550.41999999999996</c:v>
                </c:pt>
                <c:pt idx="90">
                  <c:v>548.75</c:v>
                </c:pt>
                <c:pt idx="91">
                  <c:v>549.03</c:v>
                </c:pt>
                <c:pt idx="92">
                  <c:v>538.5</c:v>
                </c:pt>
                <c:pt idx="93">
                  <c:v>540.73</c:v>
                </c:pt>
                <c:pt idx="94">
                  <c:v>542.70000000000005</c:v>
                </c:pt>
                <c:pt idx="95">
                  <c:v>542.9</c:v>
                </c:pt>
                <c:pt idx="96">
                  <c:v>545.64</c:v>
                </c:pt>
                <c:pt idx="97">
                  <c:v>547.47</c:v>
                </c:pt>
                <c:pt idx="98">
                  <c:v>549.23</c:v>
                </c:pt>
                <c:pt idx="99">
                  <c:v>552.30999999999995</c:v>
                </c:pt>
                <c:pt idx="100">
                  <c:v>550.54999999999995</c:v>
                </c:pt>
                <c:pt idx="101">
                  <c:v>550.54999999999995</c:v>
                </c:pt>
                <c:pt idx="102">
                  <c:v>553.45000000000005</c:v>
                </c:pt>
                <c:pt idx="103">
                  <c:v>555.01</c:v>
                </c:pt>
                <c:pt idx="104">
                  <c:v>555.14</c:v>
                </c:pt>
                <c:pt idx="105">
                  <c:v>558.64</c:v>
                </c:pt>
                <c:pt idx="106">
                  <c:v>557.71</c:v>
                </c:pt>
                <c:pt idx="107">
                  <c:v>558.82000000000005</c:v>
                </c:pt>
                <c:pt idx="108">
                  <c:v>555.91</c:v>
                </c:pt>
                <c:pt idx="109">
                  <c:v>554.33000000000004</c:v>
                </c:pt>
                <c:pt idx="110">
                  <c:v>558.53</c:v>
                </c:pt>
                <c:pt idx="111">
                  <c:v>555.65</c:v>
                </c:pt>
                <c:pt idx="112">
                  <c:v>555.61</c:v>
                </c:pt>
                <c:pt idx="113">
                  <c:v>557.79</c:v>
                </c:pt>
                <c:pt idx="114">
                  <c:v>555.45000000000005</c:v>
                </c:pt>
                <c:pt idx="115">
                  <c:v>539.14</c:v>
                </c:pt>
                <c:pt idx="116">
                  <c:v>538.94000000000005</c:v>
                </c:pt>
                <c:pt idx="117">
                  <c:v>545.04</c:v>
                </c:pt>
                <c:pt idx="118">
                  <c:v>547.19000000000005</c:v>
                </c:pt>
                <c:pt idx="119">
                  <c:v>552.82000000000005</c:v>
                </c:pt>
                <c:pt idx="120">
                  <c:v>552.80999999999995</c:v>
                </c:pt>
                <c:pt idx="121">
                  <c:v>547.08000000000004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Bolsa'!$E$3:$E$124</c:f>
              <c:numCache>
                <c:formatCode>_("$"* #,##0.00_);_("$"* \(#,##0.00\);_("$"* "-"??_);_(@_)</c:formatCode>
                <c:ptCount val="122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  <c:pt idx="83">
                  <c:v>7.9341305999999996</c:v>
                </c:pt>
                <c:pt idx="84">
                  <c:v>7.9512839999999994</c:v>
                </c:pt>
                <c:pt idx="85">
                  <c:v>8.0469180000000016</c:v>
                </c:pt>
                <c:pt idx="86">
                  <c:v>8.2472940000000001</c:v>
                </c:pt>
                <c:pt idx="87">
                  <c:v>8.3115053999999997</c:v>
                </c:pt>
                <c:pt idx="88">
                  <c:v>8.3482410000000016</c:v>
                </c:pt>
                <c:pt idx="89">
                  <c:v>8.3553756000000003</c:v>
                </c:pt>
                <c:pt idx="90">
                  <c:v>8.3300250000000009</c:v>
                </c:pt>
                <c:pt idx="91">
                  <c:v>8.3342753999999992</c:v>
                </c:pt>
                <c:pt idx="92">
                  <c:v>8.174430000000001</c:v>
                </c:pt>
                <c:pt idx="93">
                  <c:v>8.2082814000000006</c:v>
                </c:pt>
                <c:pt idx="94">
                  <c:v>8.2381860000000007</c:v>
                </c:pt>
                <c:pt idx="95">
                  <c:v>8.2412220000000005</c:v>
                </c:pt>
                <c:pt idx="96">
                  <c:v>8.2828151999999999</c:v>
                </c:pt>
                <c:pt idx="97">
                  <c:v>8.3105946000000017</c:v>
                </c:pt>
                <c:pt idx="98">
                  <c:v>8.3373114000000008</c:v>
                </c:pt>
                <c:pt idx="99">
                  <c:v>8.3840658000000001</c:v>
                </c:pt>
                <c:pt idx="100">
                  <c:v>8.3573489999999993</c:v>
                </c:pt>
                <c:pt idx="101">
                  <c:v>8.3573489999999993</c:v>
                </c:pt>
                <c:pt idx="102">
                  <c:v>8.401371000000001</c:v>
                </c:pt>
                <c:pt idx="103">
                  <c:v>8.4250518000000003</c:v>
                </c:pt>
                <c:pt idx="104">
                  <c:v>8.427025200000001</c:v>
                </c:pt>
                <c:pt idx="105">
                  <c:v>8.4801552000000004</c:v>
                </c:pt>
                <c:pt idx="106">
                  <c:v>8.4660378000000005</c:v>
                </c:pt>
                <c:pt idx="107">
                  <c:v>8.4828876000000015</c:v>
                </c:pt>
                <c:pt idx="108">
                  <c:v>8.4387138000000004</c:v>
                </c:pt>
                <c:pt idx="109">
                  <c:v>8.4147294000000006</c:v>
                </c:pt>
                <c:pt idx="110">
                  <c:v>8.4784854000000003</c:v>
                </c:pt>
                <c:pt idx="111">
                  <c:v>8.4347670000000008</c:v>
                </c:pt>
                <c:pt idx="112">
                  <c:v>8.4341597999999998</c:v>
                </c:pt>
                <c:pt idx="113">
                  <c:v>8.467252199999999</c:v>
                </c:pt>
                <c:pt idx="114">
                  <c:v>8.431731000000001</c:v>
                </c:pt>
                <c:pt idx="115">
                  <c:v>8.1841451999999997</c:v>
                </c:pt>
                <c:pt idx="116">
                  <c:v>8.1811092000000016</c:v>
                </c:pt>
                <c:pt idx="117">
                  <c:v>8.2737072000000005</c:v>
                </c:pt>
                <c:pt idx="118">
                  <c:v>8.3063442000000016</c:v>
                </c:pt>
                <c:pt idx="119">
                  <c:v>8.3918076000000017</c:v>
                </c:pt>
                <c:pt idx="120">
                  <c:v>8.3916557999999988</c:v>
                </c:pt>
                <c:pt idx="121">
                  <c:v>8.3046744000000015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Bolsa'!$F$3:$F$124</c:f>
              <c:numCache>
                <c:formatCode>_("$"* #,##0.00_);_("$"* \(#,##0.00\);_("$"* "-"??_);_(@_)</c:formatCode>
                <c:ptCount val="122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  <c:pt idx="83">
                  <c:v>0.23413059999999941</c:v>
                </c:pt>
                <c:pt idx="84">
                  <c:v>0.25128399999999917</c:v>
                </c:pt>
                <c:pt idx="85">
                  <c:v>0.34691800000000139</c:v>
                </c:pt>
                <c:pt idx="86">
                  <c:v>0.54729399999999995</c:v>
                </c:pt>
                <c:pt idx="87">
                  <c:v>0.61150539999999953</c:v>
                </c:pt>
                <c:pt idx="88">
                  <c:v>0.6482410000000014</c:v>
                </c:pt>
                <c:pt idx="89">
                  <c:v>0.65537560000000017</c:v>
                </c:pt>
                <c:pt idx="90">
                  <c:v>0.63002500000000072</c:v>
                </c:pt>
                <c:pt idx="91">
                  <c:v>0.63427539999999905</c:v>
                </c:pt>
                <c:pt idx="92">
                  <c:v>0.4744300000000008</c:v>
                </c:pt>
                <c:pt idx="93">
                  <c:v>0.50828140000000044</c:v>
                </c:pt>
                <c:pt idx="94">
                  <c:v>0.5381860000000005</c:v>
                </c:pt>
                <c:pt idx="95">
                  <c:v>0.54122200000000031</c:v>
                </c:pt>
                <c:pt idx="96">
                  <c:v>0.58281519999999976</c:v>
                </c:pt>
                <c:pt idx="97">
                  <c:v>0.61059460000000154</c:v>
                </c:pt>
                <c:pt idx="98">
                  <c:v>0.63731140000000064</c:v>
                </c:pt>
                <c:pt idx="99">
                  <c:v>0.68406579999999995</c:v>
                </c:pt>
                <c:pt idx="100">
                  <c:v>0.65734899999999907</c:v>
                </c:pt>
                <c:pt idx="101">
                  <c:v>0.65734899999999907</c:v>
                </c:pt>
                <c:pt idx="102">
                  <c:v>0.70137100000000085</c:v>
                </c:pt>
                <c:pt idx="103">
                  <c:v>0.72505180000000014</c:v>
                </c:pt>
                <c:pt idx="104">
                  <c:v>0.72702520000000082</c:v>
                </c:pt>
                <c:pt idx="105">
                  <c:v>0.78015520000000027</c:v>
                </c:pt>
                <c:pt idx="106">
                  <c:v>0.76603780000000032</c:v>
                </c:pt>
                <c:pt idx="107">
                  <c:v>0.78288760000000135</c:v>
                </c:pt>
                <c:pt idx="108">
                  <c:v>0.7387138000000002</c:v>
                </c:pt>
                <c:pt idx="109">
                  <c:v>0.7147294000000004</c:v>
                </c:pt>
                <c:pt idx="110">
                  <c:v>0.77848540000000011</c:v>
                </c:pt>
                <c:pt idx="111">
                  <c:v>0.73476700000000061</c:v>
                </c:pt>
                <c:pt idx="112">
                  <c:v>0.73415979999999958</c:v>
                </c:pt>
                <c:pt idx="113">
                  <c:v>0.76725219999999883</c:v>
                </c:pt>
                <c:pt idx="114">
                  <c:v>0.7317310000000008</c:v>
                </c:pt>
                <c:pt idx="115">
                  <c:v>0.4841451999999995</c:v>
                </c:pt>
                <c:pt idx="116">
                  <c:v>0.48110920000000146</c:v>
                </c:pt>
                <c:pt idx="117">
                  <c:v>0.57370720000000031</c:v>
                </c:pt>
                <c:pt idx="118">
                  <c:v>0.60634420000000144</c:v>
                </c:pt>
                <c:pt idx="119">
                  <c:v>0.69180760000000152</c:v>
                </c:pt>
                <c:pt idx="120">
                  <c:v>0.6916557999999986</c:v>
                </c:pt>
                <c:pt idx="121">
                  <c:v>0.60467440000000128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Bolsa'!$G$3:$G$124</c:f>
              <c:numCache>
                <c:formatCode>_("$"* #,##0.00_);_("$"* \(#,##0.00\);_("$"* "-"??_);_(@_)</c:formatCode>
                <c:ptCount val="122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  <c:pt idx="83">
                  <c:v>35057.987493077999</c:v>
                </c:pt>
                <c:pt idx="84">
                  <c:v>35346.240329400003</c:v>
                </c:pt>
                <c:pt idx="85">
                  <c:v>35717.211173160009</c:v>
                </c:pt>
                <c:pt idx="86">
                  <c:v>36615.923536499999</c:v>
                </c:pt>
                <c:pt idx="87">
                  <c:v>36485.264599541995</c:v>
                </c:pt>
                <c:pt idx="88">
                  <c:v>36728.754138780008</c:v>
                </c:pt>
                <c:pt idx="89">
                  <c:v>36318.311120519997</c:v>
                </c:pt>
                <c:pt idx="90">
                  <c:v>36460.102923750004</c:v>
                </c:pt>
                <c:pt idx="91">
                  <c:v>36277.433961119998</c:v>
                </c:pt>
                <c:pt idx="92">
                  <c:v>36682.836369300006</c:v>
                </c:pt>
                <c:pt idx="93">
                  <c:v>36177.261525173999</c:v>
                </c:pt>
                <c:pt idx="94">
                  <c:v>36421.67936088</c:v>
                </c:pt>
                <c:pt idx="95">
                  <c:v>36307.197994320006</c:v>
                </c:pt>
                <c:pt idx="96">
                  <c:v>36563.162449968004</c:v>
                </c:pt>
                <c:pt idx="97">
                  <c:v>36888.901098588009</c:v>
                </c:pt>
                <c:pt idx="98">
                  <c:v>36375.27277263</c:v>
                </c:pt>
                <c:pt idx="99">
                  <c:v>36884.942921178001</c:v>
                </c:pt>
                <c:pt idx="100">
                  <c:v>36599.171328719996</c:v>
                </c:pt>
                <c:pt idx="101">
                  <c:v>36694.862974769996</c:v>
                </c:pt>
                <c:pt idx="102">
                  <c:v>36786.075033180001</c:v>
                </c:pt>
                <c:pt idx="103">
                  <c:v>37057.843093853997</c:v>
                </c:pt>
                <c:pt idx="104">
                  <c:v>37399.980540120006</c:v>
                </c:pt>
                <c:pt idx="105">
                  <c:v>37681.145623440003</c:v>
                </c:pt>
                <c:pt idx="106">
                  <c:v>37487.107416131999</c:v>
                </c:pt>
                <c:pt idx="107">
                  <c:v>37529.821662168011</c:v>
                </c:pt>
                <c:pt idx="108">
                  <c:v>37349.747278800001</c:v>
                </c:pt>
                <c:pt idx="109">
                  <c:v>37214.813949852003</c:v>
                </c:pt>
                <c:pt idx="110">
                  <c:v>37136.020406561998</c:v>
                </c:pt>
                <c:pt idx="111">
                  <c:v>36856.304840190001</c:v>
                </c:pt>
                <c:pt idx="112">
                  <c:v>36686.486590050001</c:v>
                </c:pt>
                <c:pt idx="113">
                  <c:v>36759.051320903993</c:v>
                </c:pt>
                <c:pt idx="114">
                  <c:v>36395.229592260002</c:v>
                </c:pt>
                <c:pt idx="115">
                  <c:v>35365.737445499995</c:v>
                </c:pt>
                <c:pt idx="116">
                  <c:v>35875.554630564009</c:v>
                </c:pt>
                <c:pt idx="117">
                  <c:v>36158.582576160006</c:v>
                </c:pt>
                <c:pt idx="118">
                  <c:v>36326.384280186008</c:v>
                </c:pt>
                <c:pt idx="119">
                  <c:v>36788.761419564013</c:v>
                </c:pt>
                <c:pt idx="120">
                  <c:v>36994.950260531994</c:v>
                </c:pt>
                <c:pt idx="121">
                  <c:v>36523.04449701601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Bolsa'!$H$3:$H$124</c:f>
              <c:numCache>
                <c:formatCode>_("$"* #,##0.00_);_("$"* \(#,##0.00\);_("$"* "-"??_);_(@_)</c:formatCode>
                <c:ptCount val="122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  <c:pt idx="83">
                  <c:v>7.9811708999999995</c:v>
                </c:pt>
                <c:pt idx="84">
                  <c:v>7.9984259999999994</c:v>
                </c:pt>
                <c:pt idx="85">
                  <c:v>8.0946270000000009</c:v>
                </c:pt>
                <c:pt idx="86">
                  <c:v>8.2961910000000003</c:v>
                </c:pt>
                <c:pt idx="87">
                  <c:v>8.360783099999999</c:v>
                </c:pt>
                <c:pt idx="88">
                  <c:v>8.3977365000000006</c:v>
                </c:pt>
                <c:pt idx="89">
                  <c:v>8.4049133999999999</c:v>
                </c:pt>
                <c:pt idx="90">
                  <c:v>8.3794125000000008</c:v>
                </c:pt>
                <c:pt idx="91">
                  <c:v>8.3836881000000005</c:v>
                </c:pt>
                <c:pt idx="92">
                  <c:v>8.2228950000000012</c:v>
                </c:pt>
                <c:pt idx="93">
                  <c:v>8.2569471000000014</c:v>
                </c:pt>
                <c:pt idx="94">
                  <c:v>8.2870290000000004</c:v>
                </c:pt>
                <c:pt idx="95">
                  <c:v>8.2900829999999992</c:v>
                </c:pt>
                <c:pt idx="96">
                  <c:v>8.331922800000001</c:v>
                </c:pt>
                <c:pt idx="97">
                  <c:v>8.3598669000000001</c:v>
                </c:pt>
                <c:pt idx="98">
                  <c:v>8.3867421000000011</c:v>
                </c:pt>
                <c:pt idx="99">
                  <c:v>8.4337736999999997</c:v>
                </c:pt>
                <c:pt idx="100">
                  <c:v>8.4068985000000005</c:v>
                </c:pt>
                <c:pt idx="101">
                  <c:v>8.4068985000000005</c:v>
                </c:pt>
                <c:pt idx="102">
                  <c:v>8.4511815000000006</c:v>
                </c:pt>
                <c:pt idx="103">
                  <c:v>8.475002700000001</c:v>
                </c:pt>
                <c:pt idx="104">
                  <c:v>8.4769877999999999</c:v>
                </c:pt>
                <c:pt idx="105">
                  <c:v>8.5304327999999998</c:v>
                </c:pt>
                <c:pt idx="106">
                  <c:v>8.5162317000000005</c:v>
                </c:pt>
                <c:pt idx="107">
                  <c:v>8.5331814000000019</c:v>
                </c:pt>
                <c:pt idx="108">
                  <c:v>8.4887456999999991</c:v>
                </c:pt>
                <c:pt idx="109">
                  <c:v>8.4646191000000002</c:v>
                </c:pt>
                <c:pt idx="110">
                  <c:v>8.5287530999999994</c:v>
                </c:pt>
                <c:pt idx="111">
                  <c:v>8.4847754999999996</c:v>
                </c:pt>
                <c:pt idx="112">
                  <c:v>8.4841647000000009</c:v>
                </c:pt>
                <c:pt idx="113">
                  <c:v>8.5174532999999997</c:v>
                </c:pt>
                <c:pt idx="114">
                  <c:v>8.4817215000000008</c:v>
                </c:pt>
                <c:pt idx="115">
                  <c:v>8.2326677999999998</c:v>
                </c:pt>
                <c:pt idx="116">
                  <c:v>8.229613800000001</c:v>
                </c:pt>
                <c:pt idx="117">
                  <c:v>8.3227607999999993</c:v>
                </c:pt>
                <c:pt idx="118">
                  <c:v>8.3555913000000004</c:v>
                </c:pt>
                <c:pt idx="119">
                  <c:v>8.4415614000000012</c:v>
                </c:pt>
                <c:pt idx="120">
                  <c:v>8.4414087000000002</c:v>
                </c:pt>
                <c:pt idx="121">
                  <c:v>8.3539116000000018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Bolsa'!$I$3:$I$124</c:f>
              <c:numCache>
                <c:formatCode>_("$"* #,##0.00_);_("$"* \(#,##0.00\);_("$"* "-"??_);_(@_)</c:formatCode>
                <c:ptCount val="122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  <c:pt idx="83">
                  <c:v>8.1170899999999158E-2</c:v>
                </c:pt>
                <c:pt idx="84">
                  <c:v>9.8425999999999014E-2</c:v>
                </c:pt>
                <c:pt idx="85">
                  <c:v>0.19462700000000055</c:v>
                </c:pt>
                <c:pt idx="86">
                  <c:v>0.39619099999999996</c:v>
                </c:pt>
                <c:pt idx="87">
                  <c:v>0.46078309999999867</c:v>
                </c:pt>
                <c:pt idx="88">
                  <c:v>0.49773650000000025</c:v>
                </c:pt>
                <c:pt idx="89">
                  <c:v>0.50491339999999951</c:v>
                </c:pt>
                <c:pt idx="90">
                  <c:v>0.47941250000000046</c:v>
                </c:pt>
                <c:pt idx="91">
                  <c:v>0.48368810000000018</c:v>
                </c:pt>
                <c:pt idx="92">
                  <c:v>0.32289500000000082</c:v>
                </c:pt>
                <c:pt idx="93">
                  <c:v>0.35694710000000107</c:v>
                </c:pt>
                <c:pt idx="94">
                  <c:v>0.38702900000000007</c:v>
                </c:pt>
                <c:pt idx="95">
                  <c:v>0.39008299999999885</c:v>
                </c:pt>
                <c:pt idx="96">
                  <c:v>0.43192280000000061</c:v>
                </c:pt>
                <c:pt idx="97">
                  <c:v>0.45986689999999975</c:v>
                </c:pt>
                <c:pt idx="98">
                  <c:v>0.48674210000000073</c:v>
                </c:pt>
                <c:pt idx="99">
                  <c:v>0.53377369999999935</c:v>
                </c:pt>
                <c:pt idx="100">
                  <c:v>0.50689850000000014</c:v>
                </c:pt>
                <c:pt idx="101">
                  <c:v>0.50689850000000014</c:v>
                </c:pt>
                <c:pt idx="102">
                  <c:v>0.55118150000000021</c:v>
                </c:pt>
                <c:pt idx="103">
                  <c:v>0.57500270000000064</c:v>
                </c:pt>
                <c:pt idx="104">
                  <c:v>0.5769877999999995</c:v>
                </c:pt>
                <c:pt idx="105">
                  <c:v>0.63043279999999946</c:v>
                </c:pt>
                <c:pt idx="106">
                  <c:v>0.61623170000000016</c:v>
                </c:pt>
                <c:pt idx="107">
                  <c:v>0.63318140000000156</c:v>
                </c:pt>
                <c:pt idx="108">
                  <c:v>0.58874569999999871</c:v>
                </c:pt>
                <c:pt idx="109">
                  <c:v>0.56461909999999982</c:v>
                </c:pt>
                <c:pt idx="110">
                  <c:v>0.62875309999999907</c:v>
                </c:pt>
                <c:pt idx="111">
                  <c:v>0.58477549999999923</c:v>
                </c:pt>
                <c:pt idx="112">
                  <c:v>0.58416470000000054</c:v>
                </c:pt>
                <c:pt idx="113">
                  <c:v>0.61745329999999932</c:v>
                </c:pt>
                <c:pt idx="114">
                  <c:v>0.58172150000000045</c:v>
                </c:pt>
                <c:pt idx="115">
                  <c:v>0.3326677999999994</c:v>
                </c:pt>
                <c:pt idx="116">
                  <c:v>0.32961380000000062</c:v>
                </c:pt>
                <c:pt idx="117">
                  <c:v>0.42276079999999894</c:v>
                </c:pt>
                <c:pt idx="118">
                  <c:v>0.45559130000000003</c:v>
                </c:pt>
                <c:pt idx="119">
                  <c:v>0.54156140000000086</c:v>
                </c:pt>
                <c:pt idx="120">
                  <c:v>0.54140869999999985</c:v>
                </c:pt>
                <c:pt idx="121">
                  <c:v>0.45391160000000141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Bolsa'!$J$3:$J$124</c:f>
              <c:numCache>
                <c:formatCode>_("$"* #,##0.00_);_("$"* \(#,##0.00\);_("$"* "-"??_);_(@_)</c:formatCode>
                <c:ptCount val="122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  <c:pt idx="83">
                  <c:v>35265.841173866997</c:v>
                </c:pt>
                <c:pt idx="84">
                  <c:v>35555.8030191</c:v>
                </c:pt>
                <c:pt idx="85">
                  <c:v>35928.973294740004</c:v>
                </c:pt>
                <c:pt idx="86">
                  <c:v>36833.013992250002</c:v>
                </c:pt>
                <c:pt idx="87">
                  <c:v>36701.58039756299</c:v>
                </c:pt>
                <c:pt idx="88">
                  <c:v>36946.513550670003</c:v>
                </c:pt>
                <c:pt idx="89">
                  <c:v>36533.637075779996</c:v>
                </c:pt>
                <c:pt idx="90">
                  <c:v>36676.269541875001</c:v>
                </c:pt>
                <c:pt idx="91">
                  <c:v>36492.517561680004</c:v>
                </c:pt>
                <c:pt idx="92">
                  <c:v>36900.323541450009</c:v>
                </c:pt>
                <c:pt idx="93">
                  <c:v>36391.751218011006</c:v>
                </c:pt>
                <c:pt idx="94">
                  <c:v>36637.618171319999</c:v>
                </c:pt>
                <c:pt idx="95">
                  <c:v>36522.45806148</c:v>
                </c:pt>
                <c:pt idx="96">
                  <c:v>36779.940092952005</c:v>
                </c:pt>
                <c:pt idx="97">
                  <c:v>37107.609998381995</c:v>
                </c:pt>
                <c:pt idx="98">
                  <c:v>36590.936445195002</c:v>
                </c:pt>
                <c:pt idx="99">
                  <c:v>37103.628353517001</c:v>
                </c:pt>
                <c:pt idx="100">
                  <c:v>36816.16246308</c:v>
                </c:pt>
                <c:pt idx="101">
                  <c:v>36912.421450905</c:v>
                </c:pt>
                <c:pt idx="102">
                  <c:v>37004.17429227</c:v>
                </c:pt>
                <c:pt idx="103">
                  <c:v>37277.553626031004</c:v>
                </c:pt>
                <c:pt idx="104">
                  <c:v>37621.719555180003</c:v>
                </c:pt>
                <c:pt idx="105">
                  <c:v>37904.551625159998</c:v>
                </c:pt>
                <c:pt idx="106">
                  <c:v>37709.362993698</c:v>
                </c:pt>
                <c:pt idx="107">
                  <c:v>37752.330486252009</c:v>
                </c:pt>
                <c:pt idx="108">
                  <c:v>37571.188468199995</c:v>
                </c:pt>
                <c:pt idx="109">
                  <c:v>37435.455139277998</c:v>
                </c:pt>
                <c:pt idx="110">
                  <c:v>37356.194440592997</c:v>
                </c:pt>
                <c:pt idx="111">
                  <c:v>37074.820481534996</c:v>
                </c:pt>
                <c:pt idx="112">
                  <c:v>36903.995403825007</c:v>
                </c:pt>
                <c:pt idx="113">
                  <c:v>36976.990360355994</c:v>
                </c:pt>
                <c:pt idx="114">
                  <c:v>36611.011585890003</c:v>
                </c:pt>
                <c:pt idx="115">
                  <c:v>35575.415730749999</c:v>
                </c:pt>
                <c:pt idx="116">
                  <c:v>36088.255547346002</c:v>
                </c:pt>
                <c:pt idx="117">
                  <c:v>36372.961524239996</c:v>
                </c:pt>
                <c:pt idx="118">
                  <c:v>36541.758100029001</c:v>
                </c:pt>
                <c:pt idx="119">
                  <c:v>37006.87660584601</c:v>
                </c:pt>
                <c:pt idx="120">
                  <c:v>37214.287910298</c:v>
                </c:pt>
                <c:pt idx="121">
                  <c:v>36739.584286524012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Bolsa'!$K$3:$K$124</c:f>
              <c:numCache>
                <c:formatCode>_("$"* #,##0.00_);_("$"* \(#,##0.00\);_("$"* "-"??_);_(@_)</c:formatCode>
                <c:ptCount val="122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  <c:pt idx="83">
                  <c:v>6.7110827999999998</c:v>
                </c:pt>
                <c:pt idx="84">
                  <c:v>6.7255919999999998</c:v>
                </c:pt>
                <c:pt idx="85">
                  <c:v>6.8064840000000011</c:v>
                </c:pt>
                <c:pt idx="86">
                  <c:v>6.9759719999999996</c:v>
                </c:pt>
                <c:pt idx="87">
                  <c:v>7.0302851999999998</c:v>
                </c:pt>
                <c:pt idx="88">
                  <c:v>7.0613580000000011</c:v>
                </c:pt>
                <c:pt idx="89">
                  <c:v>7.0673927999999995</c:v>
                </c:pt>
                <c:pt idx="90">
                  <c:v>7.0459500000000004</c:v>
                </c:pt>
                <c:pt idx="91">
                  <c:v>7.0495451999999998</c:v>
                </c:pt>
                <c:pt idx="92">
                  <c:v>6.9143400000000002</c:v>
                </c:pt>
                <c:pt idx="93">
                  <c:v>6.9429732000000008</c:v>
                </c:pt>
                <c:pt idx="94">
                  <c:v>6.968268000000001</c:v>
                </c:pt>
                <c:pt idx="95">
                  <c:v>6.9708360000000003</c:v>
                </c:pt>
                <c:pt idx="96">
                  <c:v>7.0060175999999998</c:v>
                </c:pt>
                <c:pt idx="97">
                  <c:v>7.0295148000000012</c:v>
                </c:pt>
                <c:pt idx="98">
                  <c:v>7.0521132000000009</c:v>
                </c:pt>
                <c:pt idx="99">
                  <c:v>7.0916603999999994</c:v>
                </c:pt>
                <c:pt idx="100">
                  <c:v>7.0690619999999997</c:v>
                </c:pt>
                <c:pt idx="101">
                  <c:v>7.0690619999999997</c:v>
                </c:pt>
                <c:pt idx="102">
                  <c:v>7.1062980000000007</c:v>
                </c:pt>
                <c:pt idx="103">
                  <c:v>7.1263284000000002</c:v>
                </c:pt>
                <c:pt idx="104">
                  <c:v>7.1279976000000005</c:v>
                </c:pt>
                <c:pt idx="105">
                  <c:v>7.1729376</c:v>
                </c:pt>
                <c:pt idx="106">
                  <c:v>7.160996400000001</c:v>
                </c:pt>
                <c:pt idx="107">
                  <c:v>7.1752488000000012</c:v>
                </c:pt>
                <c:pt idx="108">
                  <c:v>7.1378843999999999</c:v>
                </c:pt>
                <c:pt idx="109">
                  <c:v>7.1175972000000005</c:v>
                </c:pt>
                <c:pt idx="110">
                  <c:v>7.1715252000000005</c:v>
                </c:pt>
                <c:pt idx="111">
                  <c:v>7.1345460000000003</c:v>
                </c:pt>
                <c:pt idx="112">
                  <c:v>7.1340324000000006</c:v>
                </c:pt>
                <c:pt idx="113">
                  <c:v>7.1620235999999995</c:v>
                </c:pt>
                <c:pt idx="114">
                  <c:v>7.131978000000001</c:v>
                </c:pt>
                <c:pt idx="115">
                  <c:v>6.9225576000000002</c:v>
                </c:pt>
                <c:pt idx="116">
                  <c:v>6.919989600000001</c:v>
                </c:pt>
                <c:pt idx="117">
                  <c:v>6.9983136000000004</c:v>
                </c:pt>
                <c:pt idx="118">
                  <c:v>7.0259196000000008</c:v>
                </c:pt>
                <c:pt idx="119">
                  <c:v>7.098208800000001</c:v>
                </c:pt>
                <c:pt idx="120">
                  <c:v>7.0980803999999997</c:v>
                </c:pt>
                <c:pt idx="121">
                  <c:v>7.0245072000000013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Bolsa'!$L$3:$L$124</c:f>
              <c:numCache>
                <c:formatCode>_("$"* #,##0.00_);_("$"* \(#,##0.00\);_("$"* "-"??_);_(@_)</c:formatCode>
                <c:ptCount val="122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  <c:pt idx="83">
                  <c:v>-0.18891720000000056</c:v>
                </c:pt>
                <c:pt idx="84">
                  <c:v>-0.17440800000000056</c:v>
                </c:pt>
                <c:pt idx="85">
                  <c:v>-9.3515999999999266E-2</c:v>
                </c:pt>
                <c:pt idx="86">
                  <c:v>7.5971999999999262E-2</c:v>
                </c:pt>
                <c:pt idx="87">
                  <c:v>0.13028519999999943</c:v>
                </c:pt>
                <c:pt idx="88">
                  <c:v>0.16135800000000078</c:v>
                </c:pt>
                <c:pt idx="89">
                  <c:v>0.16739279999999912</c:v>
                </c:pt>
                <c:pt idx="90">
                  <c:v>0.14595000000000002</c:v>
                </c:pt>
                <c:pt idx="91">
                  <c:v>0.14954519999999949</c:v>
                </c:pt>
                <c:pt idx="92">
                  <c:v>1.4339999999999797E-2</c:v>
                </c:pt>
                <c:pt idx="93">
                  <c:v>4.2973200000000489E-2</c:v>
                </c:pt>
                <c:pt idx="94">
                  <c:v>6.8268000000000661E-2</c:v>
                </c:pt>
                <c:pt idx="95">
                  <c:v>7.0835999999999899E-2</c:v>
                </c:pt>
                <c:pt idx="96">
                  <c:v>0.10601759999999949</c:v>
                </c:pt>
                <c:pt idx="97">
                  <c:v>0.12951480000000082</c:v>
                </c:pt>
                <c:pt idx="98">
                  <c:v>0.1521132000000005</c:v>
                </c:pt>
                <c:pt idx="99">
                  <c:v>0.19166039999999906</c:v>
                </c:pt>
                <c:pt idx="100">
                  <c:v>0.16906199999999938</c:v>
                </c:pt>
                <c:pt idx="101">
                  <c:v>0.16906199999999938</c:v>
                </c:pt>
                <c:pt idx="102">
                  <c:v>0.20629800000000031</c:v>
                </c:pt>
                <c:pt idx="103">
                  <c:v>0.22632839999999987</c:v>
                </c:pt>
                <c:pt idx="104">
                  <c:v>0.22799760000000013</c:v>
                </c:pt>
                <c:pt idx="105">
                  <c:v>0.27293759999999967</c:v>
                </c:pt>
                <c:pt idx="106">
                  <c:v>0.26099640000000068</c:v>
                </c:pt>
                <c:pt idx="107">
                  <c:v>0.27524880000000085</c:v>
                </c:pt>
                <c:pt idx="108">
                  <c:v>0.23788439999999955</c:v>
                </c:pt>
                <c:pt idx="109">
                  <c:v>0.21759720000000016</c:v>
                </c:pt>
                <c:pt idx="110">
                  <c:v>0.27152520000000013</c:v>
                </c:pt>
                <c:pt idx="111">
                  <c:v>0.23454599999999992</c:v>
                </c:pt>
                <c:pt idx="112">
                  <c:v>0.23403240000000025</c:v>
                </c:pt>
                <c:pt idx="113">
                  <c:v>0.26202359999999913</c:v>
                </c:pt>
                <c:pt idx="114">
                  <c:v>0.23197800000000068</c:v>
                </c:pt>
                <c:pt idx="115">
                  <c:v>2.2557599999999844E-2</c:v>
                </c:pt>
                <c:pt idx="116">
                  <c:v>1.9989600000000607E-2</c:v>
                </c:pt>
                <c:pt idx="117">
                  <c:v>9.8313600000000001E-2</c:v>
                </c:pt>
                <c:pt idx="118">
                  <c:v>0.12591960000000046</c:v>
                </c:pt>
                <c:pt idx="119">
                  <c:v>0.19820880000000063</c:v>
                </c:pt>
                <c:pt idx="120">
                  <c:v>0.19808039999999938</c:v>
                </c:pt>
                <c:pt idx="121">
                  <c:v>0.12450720000000093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Bolsa'!$M$3:$M$124</c:f>
              <c:numCache>
                <c:formatCode>_("$"* #,##0.00_);_("$"* \(#,##0.00\);_("$"* "-"??_);_(@_)</c:formatCode>
                <c:ptCount val="122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  <c:pt idx="83">
                  <c:v>29653.791792563999</c:v>
                </c:pt>
                <c:pt idx="84">
                  <c:v>29897.610397200002</c:v>
                </c:pt>
                <c:pt idx="85">
                  <c:v>30211.396012080004</c:v>
                </c:pt>
                <c:pt idx="86">
                  <c:v>30971.571687</c:v>
                </c:pt>
                <c:pt idx="87">
                  <c:v>30861.053850995995</c:v>
                </c:pt>
                <c:pt idx="88">
                  <c:v>31067.009429640006</c:v>
                </c:pt>
                <c:pt idx="89">
                  <c:v>30719.836283759996</c:v>
                </c:pt>
                <c:pt idx="90">
                  <c:v>30839.770852500002</c:v>
                </c:pt>
                <c:pt idx="91">
                  <c:v>30685.26034656</c:v>
                </c:pt>
                <c:pt idx="92">
                  <c:v>31028.169893400001</c:v>
                </c:pt>
                <c:pt idx="93">
                  <c:v>30600.529511412002</c:v>
                </c:pt>
                <c:pt idx="94">
                  <c:v>30807.270289440003</c:v>
                </c:pt>
                <c:pt idx="95">
                  <c:v>30710.436248160004</c:v>
                </c:pt>
                <c:pt idx="96">
                  <c:v>30926.943732383999</c:v>
                </c:pt>
                <c:pt idx="97">
                  <c:v>31202.469703944003</c:v>
                </c:pt>
                <c:pt idx="98">
                  <c:v>30768.017285940001</c:v>
                </c:pt>
                <c:pt idx="99">
                  <c:v>31199.121680363998</c:v>
                </c:pt>
                <c:pt idx="100">
                  <c:v>30957.401835359997</c:v>
                </c:pt>
                <c:pt idx="101">
                  <c:v>31038.342595259997</c:v>
                </c:pt>
                <c:pt idx="102">
                  <c:v>31115.494296840003</c:v>
                </c:pt>
                <c:pt idx="103">
                  <c:v>31345.369257251998</c:v>
                </c:pt>
                <c:pt idx="104">
                  <c:v>31634.766148560004</c:v>
                </c:pt>
                <c:pt idx="105">
                  <c:v>31872.589578719999</c:v>
                </c:pt>
                <c:pt idx="106">
                  <c:v>31708.462399416003</c:v>
                </c:pt>
                <c:pt idx="107">
                  <c:v>31744.592235984008</c:v>
                </c:pt>
                <c:pt idx="108">
                  <c:v>31592.276354400001</c:v>
                </c:pt>
                <c:pt idx="109">
                  <c:v>31478.143024776</c:v>
                </c:pt>
                <c:pt idx="110">
                  <c:v>31411.495521756002</c:v>
                </c:pt>
                <c:pt idx="111">
                  <c:v>31174.898165219998</c:v>
                </c:pt>
                <c:pt idx="112">
                  <c:v>31031.257431900001</c:v>
                </c:pt>
                <c:pt idx="113">
                  <c:v>31092.636295151995</c:v>
                </c:pt>
                <c:pt idx="114">
                  <c:v>30784.897757880004</c:v>
                </c:pt>
                <c:pt idx="115">
                  <c:v>29914.102029000001</c:v>
                </c:pt>
                <c:pt idx="116">
                  <c:v>30345.330794232006</c:v>
                </c:pt>
                <c:pt idx="117">
                  <c:v>30584.729926080003</c:v>
                </c:pt>
                <c:pt idx="118">
                  <c:v>30726.664964268002</c:v>
                </c:pt>
                <c:pt idx="119">
                  <c:v>31117.766576232007</c:v>
                </c:pt>
                <c:pt idx="120">
                  <c:v>31292.171366615999</c:v>
                </c:pt>
                <c:pt idx="121">
                  <c:v>30893.009969808008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ser>
          <c:idx val="11"/>
          <c:order val="11"/>
          <c:tx>
            <c:strRef>
              <c:f>'Inv Bolsa'!$N$2</c:f>
              <c:strCache>
                <c:ptCount val="1"/>
                <c:pt idx="0">
                  <c:v>VALOR INVERSION 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Bolsa'!$N$3:$N$124</c:f>
              <c:numCache>
                <c:formatCode>_("$"* #,##0.00_);_("$"* \(#,##0.00\);_("$"* "-"??_);_(@_)</c:formatCode>
                <c:ptCount val="122"/>
                <c:pt idx="0">
                  <c:v>6.2168007999999997</c:v>
                </c:pt>
                <c:pt idx="1">
                  <c:v>6.2566458000000003</c:v>
                </c:pt>
                <c:pt idx="2">
                  <c:v>6.2635113999999996</c:v>
                </c:pt>
                <c:pt idx="3">
                  <c:v>6.3065439999999997</c:v>
                </c:pt>
                <c:pt idx="4">
                  <c:v>6.2696414000000003</c:v>
                </c:pt>
                <c:pt idx="5">
                  <c:v>6.3083829999999992</c:v>
                </c:pt>
                <c:pt idx="6">
                  <c:v>6.3275085999999998</c:v>
                </c:pt>
                <c:pt idx="7">
                  <c:v>6.3634303999999995</c:v>
                </c:pt>
                <c:pt idx="8">
                  <c:v>6.2745454000000001</c:v>
                </c:pt>
                <c:pt idx="9">
                  <c:v>6.2273443999999998</c:v>
                </c:pt>
                <c:pt idx="10">
                  <c:v>6.1857829999999998</c:v>
                </c:pt>
                <c:pt idx="11">
                  <c:v>6.2500254000000002</c:v>
                </c:pt>
                <c:pt idx="12">
                  <c:v>6.2396044000000002</c:v>
                </c:pt>
                <c:pt idx="13">
                  <c:v>6.0967754000000003</c:v>
                </c:pt>
                <c:pt idx="14">
                  <c:v>6.0660027999999997</c:v>
                </c:pt>
                <c:pt idx="15">
                  <c:v>6.1340458</c:v>
                </c:pt>
                <c:pt idx="16">
                  <c:v>6.1385819999999995</c:v>
                </c:pt>
                <c:pt idx="17">
                  <c:v>6.1064607999999998</c:v>
                </c:pt>
                <c:pt idx="18">
                  <c:v>6.2027017999999998</c:v>
                </c:pt>
                <c:pt idx="19">
                  <c:v>6.1181077999999998</c:v>
                </c:pt>
                <c:pt idx="20">
                  <c:v>6.0062966000000007</c:v>
                </c:pt>
                <c:pt idx="21">
                  <c:v>5.825952</c:v>
                </c:pt>
                <c:pt idx="22">
                  <c:v>5.8840643999999998</c:v>
                </c:pt>
                <c:pt idx="23">
                  <c:v>5.8432386000000003</c:v>
                </c:pt>
                <c:pt idx="24">
                  <c:v>5.9795698000000002</c:v>
                </c:pt>
                <c:pt idx="25">
                  <c:v>6.0051931999999999</c:v>
                </c:pt>
                <c:pt idx="26">
                  <c:v>6.0051931999999999</c:v>
                </c:pt>
                <c:pt idx="27">
                  <c:v>6.0082582000000002</c:v>
                </c:pt>
                <c:pt idx="28">
                  <c:v>6.1080546</c:v>
                </c:pt>
                <c:pt idx="29">
                  <c:v>6.127548</c:v>
                </c:pt>
                <c:pt idx="30">
                  <c:v>6.2327387999999999</c:v>
                </c:pt>
                <c:pt idx="31">
                  <c:v>6.245857</c:v>
                </c:pt>
                <c:pt idx="32">
                  <c:v>6.3059310000000002</c:v>
                </c:pt>
                <c:pt idx="33">
                  <c:v>6.2955100000000002</c:v>
                </c:pt>
                <c:pt idx="34">
                  <c:v>6.3175779999999992</c:v>
                </c:pt>
                <c:pt idx="35">
                  <c:v>6.2664537999999999</c:v>
                </c:pt>
                <c:pt idx="36">
                  <c:v>6.3342516</c:v>
                </c:pt>
                <c:pt idx="37">
                  <c:v>6.3186814</c:v>
                </c:pt>
                <c:pt idx="38">
                  <c:v>6.3271408000000005</c:v>
                </c:pt>
                <c:pt idx="39">
                  <c:v>6.2909737999999997</c:v>
                </c:pt>
                <c:pt idx="40">
                  <c:v>6.2919546000000004</c:v>
                </c:pt>
                <c:pt idx="41">
                  <c:v>6.3511704</c:v>
                </c:pt>
                <c:pt idx="42">
                  <c:v>6.2226856000000002</c:v>
                </c:pt>
                <c:pt idx="43">
                  <c:v>6.2072380000000003</c:v>
                </c:pt>
                <c:pt idx="44">
                  <c:v>6.1919130000000004</c:v>
                </c:pt>
                <c:pt idx="45">
                  <c:v>6.0888064000000002</c:v>
                </c:pt>
                <c:pt idx="46">
                  <c:v>6.1573397999999999</c:v>
                </c:pt>
                <c:pt idx="47">
                  <c:v>6.1827180000000004</c:v>
                </c:pt>
                <c:pt idx="48">
                  <c:v>6.2459796000000001</c:v>
                </c:pt>
                <c:pt idx="49">
                  <c:v>6.2996784000000003</c:v>
                </c:pt>
                <c:pt idx="50">
                  <c:v>6.3425884000000003</c:v>
                </c:pt>
                <c:pt idx="51">
                  <c:v>6.3427110000000004</c:v>
                </c:pt>
                <c:pt idx="52">
                  <c:v>6.3456534000000007</c:v>
                </c:pt>
                <c:pt idx="53">
                  <c:v>6.3250565999999999</c:v>
                </c:pt>
                <c:pt idx="54">
                  <c:v>6.4353965999999998</c:v>
                </c:pt>
                <c:pt idx="55">
                  <c:v>6.4385841999999993</c:v>
                </c:pt>
                <c:pt idx="56">
                  <c:v>6.4570967999999995</c:v>
                </c:pt>
                <c:pt idx="57">
                  <c:v>6.4439786000000003</c:v>
                </c:pt>
                <c:pt idx="58">
                  <c:v>6.469602000000001</c:v>
                </c:pt>
                <c:pt idx="59">
                  <c:v>6.4411588000000002</c:v>
                </c:pt>
                <c:pt idx="60">
                  <c:v>6.4692341999999998</c:v>
                </c:pt>
                <c:pt idx="61">
                  <c:v>6.4087924000000003</c:v>
                </c:pt>
                <c:pt idx="62">
                  <c:v>6.3993522</c:v>
                </c:pt>
                <c:pt idx="63">
                  <c:v>6.3977584000000007</c:v>
                </c:pt>
                <c:pt idx="64">
                  <c:v>6.4567290000000002</c:v>
                </c:pt>
                <c:pt idx="65">
                  <c:v>6.3986165999999995</c:v>
                </c:pt>
                <c:pt idx="66">
                  <c:v>6.4591810000000001</c:v>
                </c:pt>
                <c:pt idx="67">
                  <c:v>6.5033170000000009</c:v>
                </c:pt>
                <c:pt idx="68">
                  <c:v>6.4924055999999997</c:v>
                </c:pt>
                <c:pt idx="69">
                  <c:v>6.5844782000000004</c:v>
                </c:pt>
                <c:pt idx="70">
                  <c:v>6.5343347999999999</c:v>
                </c:pt>
                <c:pt idx="71">
                  <c:v>6.5617972</c:v>
                </c:pt>
                <c:pt idx="72">
                  <c:v>6.5880336000000002</c:v>
                </c:pt>
                <c:pt idx="73">
                  <c:v>6.5627779999999998</c:v>
                </c:pt>
                <c:pt idx="74">
                  <c:v>6.5880336000000002</c:v>
                </c:pt>
                <c:pt idx="75">
                  <c:v>6.5778577999999994</c:v>
                </c:pt>
                <c:pt idx="76">
                  <c:v>6.5733215999999999</c:v>
                </c:pt>
                <c:pt idx="77">
                  <c:v>6.5133701999999998</c:v>
                </c:pt>
                <c:pt idx="78">
                  <c:v>6.5280822000000001</c:v>
                </c:pt>
                <c:pt idx="79">
                  <c:v>6.5255076000000001</c:v>
                </c:pt>
                <c:pt idx="80">
                  <c:v>6.5458591999999998</c:v>
                </c:pt>
                <c:pt idx="81">
                  <c:v>6.5562801999999998</c:v>
                </c:pt>
                <c:pt idx="82">
                  <c:v>6.5365415999999996</c:v>
                </c:pt>
                <c:pt idx="83">
                  <c:v>6.4079341999999997</c:v>
                </c:pt>
                <c:pt idx="84">
                  <c:v>6.4217879999999994</c:v>
                </c:pt>
                <c:pt idx="85">
                  <c:v>6.4990260000000006</c:v>
                </c:pt>
                <c:pt idx="86">
                  <c:v>6.6608579999999993</c:v>
                </c:pt>
                <c:pt idx="87">
                  <c:v>6.7127178000000001</c:v>
                </c:pt>
                <c:pt idx="88">
                  <c:v>6.7423870000000008</c:v>
                </c:pt>
                <c:pt idx="89">
                  <c:v>6.7481491999999994</c:v>
                </c:pt>
                <c:pt idx="90">
                  <c:v>6.7276749999999996</c:v>
                </c:pt>
                <c:pt idx="91">
                  <c:v>6.7311077999999993</c:v>
                </c:pt>
                <c:pt idx="92">
                  <c:v>6.6020099999999999</c:v>
                </c:pt>
                <c:pt idx="93">
                  <c:v>6.6293498</c:v>
                </c:pt>
                <c:pt idx="94">
                  <c:v>6.6535020000000005</c:v>
                </c:pt>
                <c:pt idx="95">
                  <c:v>6.6559539999999995</c:v>
                </c:pt>
                <c:pt idx="96">
                  <c:v>6.6895464000000002</c:v>
                </c:pt>
                <c:pt idx="97">
                  <c:v>6.7119822000000005</c:v>
                </c:pt>
                <c:pt idx="98">
                  <c:v>6.7335598000000001</c:v>
                </c:pt>
                <c:pt idx="99">
                  <c:v>6.7713205999999992</c:v>
                </c:pt>
                <c:pt idx="100">
                  <c:v>6.7497429999999996</c:v>
                </c:pt>
                <c:pt idx="101">
                  <c:v>6.7497429999999996</c:v>
                </c:pt>
                <c:pt idx="102">
                  <c:v>6.7852970000000008</c:v>
                </c:pt>
                <c:pt idx="103">
                  <c:v>6.8044225999999997</c:v>
                </c:pt>
                <c:pt idx="104">
                  <c:v>6.8060163999999999</c:v>
                </c:pt>
                <c:pt idx="105">
                  <c:v>6.8489263999999999</c:v>
                </c:pt>
                <c:pt idx="106">
                  <c:v>6.8375246000000001</c:v>
                </c:pt>
                <c:pt idx="107">
                  <c:v>6.8511332000000005</c:v>
                </c:pt>
                <c:pt idx="108">
                  <c:v>6.8154566000000001</c:v>
                </c:pt>
                <c:pt idx="109">
                  <c:v>6.7960858000000002</c:v>
                </c:pt>
                <c:pt idx="110">
                  <c:v>6.8475777999999998</c:v>
                </c:pt>
                <c:pt idx="111">
                  <c:v>6.8122689999999997</c:v>
                </c:pt>
                <c:pt idx="112">
                  <c:v>6.8117786000000002</c:v>
                </c:pt>
                <c:pt idx="113">
                  <c:v>6.8385053999999998</c:v>
                </c:pt>
                <c:pt idx="114">
                  <c:v>6.8098170000000007</c:v>
                </c:pt>
                <c:pt idx="115">
                  <c:v>6.6098564</c:v>
                </c:pt>
                <c:pt idx="116">
                  <c:v>6.607404400000001</c:v>
                </c:pt>
                <c:pt idx="117">
                  <c:v>6.6821903999999996</c:v>
                </c:pt>
                <c:pt idx="118">
                  <c:v>6.7085494000000008</c:v>
                </c:pt>
                <c:pt idx="119">
                  <c:v>6.7775732000000009</c:v>
                </c:pt>
                <c:pt idx="120">
                  <c:v>6.777450599999999</c:v>
                </c:pt>
                <c:pt idx="121">
                  <c:v>6.7072008000000007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A-41D2-9575-D3A1831C78A0}"/>
            </c:ext>
          </c:extLst>
        </c:ser>
        <c:ser>
          <c:idx val="12"/>
          <c:order val="12"/>
          <c:tx>
            <c:strRef>
              <c:f>'Inv Bolsa'!$O$2</c:f>
              <c:strCache>
                <c:ptCount val="1"/>
                <c:pt idx="0">
                  <c:v>GAN/PER4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Bolsa'!$O$3:$O$124</c:f>
              <c:numCache>
                <c:formatCode>_("$"* #,##0.00_);_("$"* \(#,##0.00\);_("$"* "-"??_);_(@_)</c:formatCode>
                <c:ptCount val="122"/>
                <c:pt idx="0">
                  <c:v>-0.38319919999999996</c:v>
                </c:pt>
                <c:pt idx="1">
                  <c:v>-0.34335419999999939</c:v>
                </c:pt>
                <c:pt idx="2">
                  <c:v>-0.33648860000000003</c:v>
                </c:pt>
                <c:pt idx="3">
                  <c:v>-0.29345599999999994</c:v>
                </c:pt>
                <c:pt idx="4">
                  <c:v>-0.33035859999999939</c:v>
                </c:pt>
                <c:pt idx="5">
                  <c:v>-0.29161700000000046</c:v>
                </c:pt>
                <c:pt idx="6">
                  <c:v>-0.27249139999999983</c:v>
                </c:pt>
                <c:pt idx="7">
                  <c:v>-0.23656960000000016</c:v>
                </c:pt>
                <c:pt idx="8">
                  <c:v>-0.32545459999999959</c:v>
                </c:pt>
                <c:pt idx="9">
                  <c:v>-0.37265559999999986</c:v>
                </c:pt>
                <c:pt idx="10">
                  <c:v>-0.41421699999999984</c:v>
                </c:pt>
                <c:pt idx="11">
                  <c:v>-0.34997459999999947</c:v>
                </c:pt>
                <c:pt idx="12">
                  <c:v>-0.36039559999999948</c:v>
                </c:pt>
                <c:pt idx="13">
                  <c:v>-0.50322459999999936</c:v>
                </c:pt>
                <c:pt idx="14">
                  <c:v>-0.53399719999999995</c:v>
                </c:pt>
                <c:pt idx="15">
                  <c:v>-0.46595419999999965</c:v>
                </c:pt>
                <c:pt idx="16">
                  <c:v>-0.46141800000000011</c:v>
                </c:pt>
                <c:pt idx="17">
                  <c:v>-0.49353919999999984</c:v>
                </c:pt>
                <c:pt idx="18">
                  <c:v>-0.39729819999999982</c:v>
                </c:pt>
                <c:pt idx="19">
                  <c:v>-0.48189219999999988</c:v>
                </c:pt>
                <c:pt idx="20">
                  <c:v>-0.59370339999999899</c:v>
                </c:pt>
                <c:pt idx="21">
                  <c:v>-0.77404799999999963</c:v>
                </c:pt>
                <c:pt idx="22">
                  <c:v>-0.71593559999999989</c:v>
                </c:pt>
                <c:pt idx="23">
                  <c:v>-0.75676139999999936</c:v>
                </c:pt>
                <c:pt idx="24">
                  <c:v>-0.62043019999999949</c:v>
                </c:pt>
                <c:pt idx="25">
                  <c:v>-0.59480679999999975</c:v>
                </c:pt>
                <c:pt idx="26">
                  <c:v>-0.59480679999999975</c:v>
                </c:pt>
                <c:pt idx="27">
                  <c:v>-0.59174179999999943</c:v>
                </c:pt>
                <c:pt idx="28">
                  <c:v>-0.49194539999999964</c:v>
                </c:pt>
                <c:pt idx="29">
                  <c:v>-0.47245199999999965</c:v>
                </c:pt>
                <c:pt idx="30">
                  <c:v>-0.36726119999999973</c:v>
                </c:pt>
                <c:pt idx="31">
                  <c:v>-0.35414299999999965</c:v>
                </c:pt>
                <c:pt idx="32">
                  <c:v>-0.29406899999999947</c:v>
                </c:pt>
                <c:pt idx="33">
                  <c:v>-0.30448999999999948</c:v>
                </c:pt>
                <c:pt idx="34">
                  <c:v>-0.28242200000000039</c:v>
                </c:pt>
                <c:pt idx="35">
                  <c:v>-0.33354619999999979</c:v>
                </c:pt>
                <c:pt idx="36">
                  <c:v>-0.26574839999999966</c:v>
                </c:pt>
                <c:pt idx="37">
                  <c:v>-0.28131859999999964</c:v>
                </c:pt>
                <c:pt idx="38">
                  <c:v>-0.27285919999999919</c:v>
                </c:pt>
                <c:pt idx="39">
                  <c:v>-0.30902619999999992</c:v>
                </c:pt>
                <c:pt idx="40">
                  <c:v>-0.30804539999999925</c:v>
                </c:pt>
                <c:pt idx="41">
                  <c:v>-0.24882959999999965</c:v>
                </c:pt>
                <c:pt idx="42">
                  <c:v>-0.37731439999999949</c:v>
                </c:pt>
                <c:pt idx="43">
                  <c:v>-0.39276199999999939</c:v>
                </c:pt>
                <c:pt idx="44">
                  <c:v>-0.4080869999999992</c:v>
                </c:pt>
                <c:pt idx="45">
                  <c:v>-0.51119359999999947</c:v>
                </c:pt>
                <c:pt idx="46">
                  <c:v>-0.44266019999999973</c:v>
                </c:pt>
                <c:pt idx="47">
                  <c:v>-0.41728199999999926</c:v>
                </c:pt>
                <c:pt idx="48">
                  <c:v>-0.35402039999999957</c:v>
                </c:pt>
                <c:pt idx="49">
                  <c:v>-0.3003215999999993</c:v>
                </c:pt>
                <c:pt idx="50">
                  <c:v>-0.2574115999999993</c:v>
                </c:pt>
                <c:pt idx="51">
                  <c:v>-0.25728899999999921</c:v>
                </c:pt>
                <c:pt idx="52">
                  <c:v>-0.25434659999999898</c:v>
                </c:pt>
                <c:pt idx="53">
                  <c:v>-0.27494339999999973</c:v>
                </c:pt>
                <c:pt idx="54">
                  <c:v>-0.16460339999999984</c:v>
                </c:pt>
                <c:pt idx="55">
                  <c:v>-0.16141580000000033</c:v>
                </c:pt>
                <c:pt idx="56">
                  <c:v>-0.14290320000000012</c:v>
                </c:pt>
                <c:pt idx="57">
                  <c:v>-0.15602139999999931</c:v>
                </c:pt>
                <c:pt idx="58">
                  <c:v>-0.13039799999999868</c:v>
                </c:pt>
                <c:pt idx="59">
                  <c:v>-0.15884119999999946</c:v>
                </c:pt>
                <c:pt idx="60">
                  <c:v>-0.13076579999999982</c:v>
                </c:pt>
                <c:pt idx="61">
                  <c:v>-0.19120759999999937</c:v>
                </c:pt>
                <c:pt idx="62">
                  <c:v>-0.2006477999999996</c:v>
                </c:pt>
                <c:pt idx="63">
                  <c:v>-0.20224159999999891</c:v>
                </c:pt>
                <c:pt idx="64">
                  <c:v>-0.14327099999999948</c:v>
                </c:pt>
                <c:pt idx="65">
                  <c:v>-0.2013834000000001</c:v>
                </c:pt>
                <c:pt idx="66">
                  <c:v>-0.14081899999999958</c:v>
                </c:pt>
                <c:pt idx="67">
                  <c:v>-9.6682999999998742E-2</c:v>
                </c:pt>
                <c:pt idx="68">
                  <c:v>-0.10759439999999998</c:v>
                </c:pt>
                <c:pt idx="69">
                  <c:v>-1.5521799999999253E-2</c:v>
                </c:pt>
                <c:pt idx="70">
                  <c:v>-6.5665199999999757E-2</c:v>
                </c:pt>
                <c:pt idx="71">
                  <c:v>-3.8202799999999648E-2</c:v>
                </c:pt>
                <c:pt idx="72">
                  <c:v>-1.1966399999999489E-2</c:v>
                </c:pt>
                <c:pt idx="73">
                  <c:v>-3.7221999999999866E-2</c:v>
                </c:pt>
                <c:pt idx="74">
                  <c:v>-1.1966399999999489E-2</c:v>
                </c:pt>
                <c:pt idx="75">
                  <c:v>-2.2142200000000223E-2</c:v>
                </c:pt>
                <c:pt idx="76">
                  <c:v>-2.6678399999999769E-2</c:v>
                </c:pt>
                <c:pt idx="77">
                  <c:v>-8.6629799999999868E-2</c:v>
                </c:pt>
                <c:pt idx="78">
                  <c:v>-7.1917799999999588E-2</c:v>
                </c:pt>
                <c:pt idx="79">
                  <c:v>-7.449239999999957E-2</c:v>
                </c:pt>
                <c:pt idx="80">
                  <c:v>-5.4140799999999878E-2</c:v>
                </c:pt>
                <c:pt idx="81">
                  <c:v>-4.3719799999999864E-2</c:v>
                </c:pt>
                <c:pt idx="82">
                  <c:v>-6.3458400000000026E-2</c:v>
                </c:pt>
                <c:pt idx="83">
                  <c:v>-0.19206579999999995</c:v>
                </c:pt>
                <c:pt idx="84">
                  <c:v>-0.17821200000000026</c:v>
                </c:pt>
                <c:pt idx="85">
                  <c:v>-0.10097399999999901</c:v>
                </c:pt>
                <c:pt idx="86">
                  <c:v>6.0857999999999635E-2</c:v>
                </c:pt>
                <c:pt idx="87">
                  <c:v>0.11271780000000042</c:v>
                </c:pt>
                <c:pt idx="88">
                  <c:v>0.14238700000000115</c:v>
                </c:pt>
                <c:pt idx="89">
                  <c:v>0.14814919999999976</c:v>
                </c:pt>
                <c:pt idx="90">
                  <c:v>0.12767499999999998</c:v>
                </c:pt>
                <c:pt idx="91">
                  <c:v>0.13110779999999966</c:v>
                </c:pt>
                <c:pt idx="92">
                  <c:v>2.0100000000002893E-3</c:v>
                </c:pt>
                <c:pt idx="93">
                  <c:v>2.9349800000000315E-2</c:v>
                </c:pt>
                <c:pt idx="94">
                  <c:v>5.3502000000000827E-2</c:v>
                </c:pt>
                <c:pt idx="95">
                  <c:v>5.5953999999999837E-2</c:v>
                </c:pt>
                <c:pt idx="96">
                  <c:v>8.9546400000000581E-2</c:v>
                </c:pt>
                <c:pt idx="97">
                  <c:v>0.11198220000000081</c:v>
                </c:pt>
                <c:pt idx="98">
                  <c:v>0.13355980000000045</c:v>
                </c:pt>
                <c:pt idx="99">
                  <c:v>0.1713205999999996</c:v>
                </c:pt>
                <c:pt idx="100">
                  <c:v>0.14974299999999996</c:v>
                </c:pt>
                <c:pt idx="101">
                  <c:v>0.14974299999999996</c:v>
                </c:pt>
                <c:pt idx="102">
                  <c:v>0.18529700000000116</c:v>
                </c:pt>
                <c:pt idx="103">
                  <c:v>0.20442260000000001</c:v>
                </c:pt>
                <c:pt idx="104">
                  <c:v>0.20601640000000021</c:v>
                </c:pt>
                <c:pt idx="105">
                  <c:v>0.24892640000000021</c:v>
                </c:pt>
                <c:pt idx="106">
                  <c:v>0.23752460000000042</c:v>
                </c:pt>
                <c:pt idx="107">
                  <c:v>0.25113320000000083</c:v>
                </c:pt>
                <c:pt idx="108">
                  <c:v>0.21545660000000044</c:v>
                </c:pt>
                <c:pt idx="109">
                  <c:v>0.19608580000000053</c:v>
                </c:pt>
                <c:pt idx="110">
                  <c:v>0.24757780000000018</c:v>
                </c:pt>
                <c:pt idx="111">
                  <c:v>0.21226900000000004</c:v>
                </c:pt>
                <c:pt idx="112">
                  <c:v>0.21177860000000059</c:v>
                </c:pt>
                <c:pt idx="113">
                  <c:v>0.2385054000000002</c:v>
                </c:pt>
                <c:pt idx="114">
                  <c:v>0.20981700000000103</c:v>
                </c:pt>
                <c:pt idx="115">
                  <c:v>9.8564000000003205E-3</c:v>
                </c:pt>
                <c:pt idx="116">
                  <c:v>7.4044000000013099E-3</c:v>
                </c:pt>
                <c:pt idx="117">
                  <c:v>8.2190399999999997E-2</c:v>
                </c:pt>
                <c:pt idx="118">
                  <c:v>0.10854940000000113</c:v>
                </c:pt>
                <c:pt idx="119">
                  <c:v>0.17757320000000121</c:v>
                </c:pt>
                <c:pt idx="120">
                  <c:v>0.17745059999999935</c:v>
                </c:pt>
                <c:pt idx="121">
                  <c:v>0.1072008000000011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A-41D2-9575-D3A1831C78A0}"/>
            </c:ext>
          </c:extLst>
        </c:ser>
        <c:ser>
          <c:idx val="13"/>
          <c:order val="13"/>
          <c:tx>
            <c:strRef>
              <c:f>'Inv Bolsa'!$P$2</c:f>
              <c:strCache>
                <c:ptCount val="1"/>
                <c:pt idx="0">
                  <c:v>VALOR EN COP4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Bolsa'!$B$3:$B$124</c:f>
              <c:numCache>
                <c:formatCode>m/d/yyyy</c:formatCode>
                <c:ptCount val="12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  <c:pt idx="108">
                  <c:v>45635</c:v>
                </c:pt>
                <c:pt idx="109">
                  <c:v>45636</c:v>
                </c:pt>
                <c:pt idx="110">
                  <c:v>45637</c:v>
                </c:pt>
                <c:pt idx="111">
                  <c:v>45638</c:v>
                </c:pt>
                <c:pt idx="112">
                  <c:v>45639</c:v>
                </c:pt>
                <c:pt idx="113">
                  <c:v>45642</c:v>
                </c:pt>
                <c:pt idx="114">
                  <c:v>45643</c:v>
                </c:pt>
                <c:pt idx="115">
                  <c:v>45644</c:v>
                </c:pt>
                <c:pt idx="116">
                  <c:v>45645</c:v>
                </c:pt>
                <c:pt idx="117">
                  <c:v>45646</c:v>
                </c:pt>
                <c:pt idx="118">
                  <c:v>45649</c:v>
                </c:pt>
                <c:pt idx="119">
                  <c:v>45650</c:v>
                </c:pt>
                <c:pt idx="120">
                  <c:v>45652</c:v>
                </c:pt>
                <c:pt idx="121">
                  <c:v>45653</c:v>
                </c:pt>
              </c:numCache>
            </c:numRef>
          </c:cat>
          <c:val>
            <c:numRef>
              <c:f>'Inv Bolsa'!$P$3:$P$124</c:f>
              <c:numCache>
                <c:formatCode>_("$"* #,##0.00_);_("$"* \(#,##0.00\);_("$"* "-"??_);_(@_)</c:formatCode>
                <c:ptCount val="122"/>
                <c:pt idx="0">
                  <c:v>25429.823672399998</c:v>
                </c:pt>
                <c:pt idx="1">
                  <c:v>25518.668392170002</c:v>
                </c:pt>
                <c:pt idx="2">
                  <c:v>25362.648806677997</c:v>
                </c:pt>
                <c:pt idx="3">
                  <c:v>25288.673851039999</c:v>
                </c:pt>
                <c:pt idx="4">
                  <c:v>24797.748361694001</c:v>
                </c:pt>
                <c:pt idx="5">
                  <c:v>25077.399520749997</c:v>
                </c:pt>
                <c:pt idx="6">
                  <c:v>25266.311315573999</c:v>
                </c:pt>
                <c:pt idx="7">
                  <c:v>25160.240189951997</c:v>
                </c:pt>
                <c:pt idx="8">
                  <c:v>24927.953183297999</c:v>
                </c:pt>
                <c:pt idx="9">
                  <c:v>24904.707091699998</c:v>
                </c:pt>
                <c:pt idx="10">
                  <c:v>25035.22467326</c:v>
                </c:pt>
                <c:pt idx="11">
                  <c:v>25258.415149781998</c:v>
                </c:pt>
                <c:pt idx="12">
                  <c:v>24927.281974044003</c:v>
                </c:pt>
                <c:pt idx="13">
                  <c:v>24472.944197632001</c:v>
                </c:pt>
                <c:pt idx="14">
                  <c:v>24532.067863731998</c:v>
                </c:pt>
                <c:pt idx="15">
                  <c:v>24795.714677797998</c:v>
                </c:pt>
                <c:pt idx="16">
                  <c:v>24738.608231639999</c:v>
                </c:pt>
                <c:pt idx="17">
                  <c:v>24896.529198463999</c:v>
                </c:pt>
                <c:pt idx="18">
                  <c:v>25288.849427726</c:v>
                </c:pt>
                <c:pt idx="19">
                  <c:v>24750.866285978002</c:v>
                </c:pt>
                <c:pt idx="20">
                  <c:v>24410.009823162003</c:v>
                </c:pt>
                <c:pt idx="21">
                  <c:v>22870.590209279999</c:v>
                </c:pt>
                <c:pt idx="22">
                  <c:v>24450.111641964002</c:v>
                </c:pt>
                <c:pt idx="23">
                  <c:v>24191.533695474001</c:v>
                </c:pt>
                <c:pt idx="24">
                  <c:v>24804.690627151998</c:v>
                </c:pt>
                <c:pt idx="25">
                  <c:v>24401.021633423999</c:v>
                </c:pt>
                <c:pt idx="26">
                  <c:v>24366.371668660002</c:v>
                </c:pt>
                <c:pt idx="27">
                  <c:v>24476.622502906001</c:v>
                </c:pt>
                <c:pt idx="28">
                  <c:v>24719.052644015999</c:v>
                </c:pt>
                <c:pt idx="29">
                  <c:v>24745.85749608</c:v>
                </c:pt>
                <c:pt idx="30">
                  <c:v>25162.563773808</c:v>
                </c:pt>
                <c:pt idx="31">
                  <c:v>25075.866683600001</c:v>
                </c:pt>
                <c:pt idx="32">
                  <c:v>25413.91087896</c:v>
                </c:pt>
                <c:pt idx="33">
                  <c:v>25326.962640199999</c:v>
                </c:pt>
                <c:pt idx="34">
                  <c:v>25334.751295599996</c:v>
                </c:pt>
                <c:pt idx="35">
                  <c:v>25292.97415025</c:v>
                </c:pt>
                <c:pt idx="36">
                  <c:v>25777.996996391998</c:v>
                </c:pt>
                <c:pt idx="37">
                  <c:v>25462.706371650002</c:v>
                </c:pt>
                <c:pt idx="38">
                  <c:v>25459.908407936004</c:v>
                </c:pt>
                <c:pt idx="39">
                  <c:v>25451.015244232</c:v>
                </c:pt>
                <c:pt idx="40">
                  <c:v>25578.934713564002</c:v>
                </c:pt>
                <c:pt idx="41">
                  <c:v>26243.734721543999</c:v>
                </c:pt>
                <c:pt idx="42">
                  <c:v>25888.301128536004</c:v>
                </c:pt>
                <c:pt idx="43">
                  <c:v>25982.256820400002</c:v>
                </c:pt>
                <c:pt idx="44">
                  <c:v>25918.23327366</c:v>
                </c:pt>
                <c:pt idx="45">
                  <c:v>25405.544704</c:v>
                </c:pt>
                <c:pt idx="46">
                  <c:v>25551.667128641999</c:v>
                </c:pt>
                <c:pt idx="47">
                  <c:v>26238.218648400001</c:v>
                </c:pt>
                <c:pt idx="48">
                  <c:v>26727.108846564002</c:v>
                </c:pt>
                <c:pt idx="49">
                  <c:v>26903.532568608</c:v>
                </c:pt>
                <c:pt idx="50">
                  <c:v>26622.253698392004</c:v>
                </c:pt>
                <c:pt idx="51">
                  <c:v>26462.614844430002</c:v>
                </c:pt>
                <c:pt idx="52">
                  <c:v>26782.337826972001</c:v>
                </c:pt>
                <c:pt idx="53">
                  <c:v>26723.427385565999</c:v>
                </c:pt>
                <c:pt idx="54">
                  <c:v>26879.686288710003</c:v>
                </c:pt>
                <c:pt idx="55">
                  <c:v>26745.749995115995</c:v>
                </c:pt>
                <c:pt idx="56">
                  <c:v>26872.822607399998</c:v>
                </c:pt>
                <c:pt idx="57">
                  <c:v>26734.456216750001</c:v>
                </c:pt>
                <c:pt idx="58">
                  <c:v>27177.180601500004</c:v>
                </c:pt>
                <c:pt idx="59">
                  <c:v>26779.375357352001</c:v>
                </c:pt>
                <c:pt idx="60">
                  <c:v>26896.876263971997</c:v>
                </c:pt>
                <c:pt idx="61">
                  <c:v>26911.288342688</c:v>
                </c:pt>
                <c:pt idx="62">
                  <c:v>27013.393461294003</c:v>
                </c:pt>
                <c:pt idx="63">
                  <c:v>26833.862146784006</c:v>
                </c:pt>
                <c:pt idx="64">
                  <c:v>27048.335424930003</c:v>
                </c:pt>
                <c:pt idx="65">
                  <c:v>26665.658805005998</c:v>
                </c:pt>
                <c:pt idx="66">
                  <c:v>27216.082102550001</c:v>
                </c:pt>
                <c:pt idx="67">
                  <c:v>27516.054492360003</c:v>
                </c:pt>
                <c:pt idx="68">
                  <c:v>27482.677525079998</c:v>
                </c:pt>
                <c:pt idx="69">
                  <c:v>27726.908476290002</c:v>
                </c:pt>
                <c:pt idx="70">
                  <c:v>27491.318713908</c:v>
                </c:pt>
                <c:pt idx="71">
                  <c:v>27934.948657812001</c:v>
                </c:pt>
                <c:pt idx="72">
                  <c:v>28188.482885663998</c:v>
                </c:pt>
                <c:pt idx="73">
                  <c:v>27874.021371619998</c:v>
                </c:pt>
                <c:pt idx="74">
                  <c:v>27981.289228943999</c:v>
                </c:pt>
                <c:pt idx="75">
                  <c:v>28087.452805999998</c:v>
                </c:pt>
                <c:pt idx="76">
                  <c:v>28134.079380864001</c:v>
                </c:pt>
                <c:pt idx="77">
                  <c:v>27814.500700973997</c:v>
                </c:pt>
                <c:pt idx="78">
                  <c:v>28226.905186224001</c:v>
                </c:pt>
                <c:pt idx="79">
                  <c:v>28210.487160635999</c:v>
                </c:pt>
                <c:pt idx="80">
                  <c:v>28288.846953088003</c:v>
                </c:pt>
                <c:pt idx="81">
                  <c:v>28487.889785425999</c:v>
                </c:pt>
                <c:pt idx="82">
                  <c:v>28257.534702215999</c:v>
                </c:pt>
                <c:pt idx="83">
                  <c:v>28314.290294145998</c:v>
                </c:pt>
                <c:pt idx="84">
                  <c:v>28547.095285799998</c:v>
                </c:pt>
                <c:pt idx="85">
                  <c:v>28846.706784120001</c:v>
                </c:pt>
                <c:pt idx="86">
                  <c:v>29572.544305499996</c:v>
                </c:pt>
                <c:pt idx="87">
                  <c:v>29467.018708193998</c:v>
                </c:pt>
                <c:pt idx="88">
                  <c:v>29663.670997460002</c:v>
                </c:pt>
                <c:pt idx="89">
                  <c:v>29332.180127639996</c:v>
                </c:pt>
                <c:pt idx="90">
                  <c:v>29446.697091249996</c:v>
                </c:pt>
                <c:pt idx="91">
                  <c:v>29299.166031839999</c:v>
                </c:pt>
                <c:pt idx="92">
                  <c:v>29626.585895100001</c:v>
                </c:pt>
                <c:pt idx="93">
                  <c:v>29218.262602018</c:v>
                </c:pt>
                <c:pt idx="94">
                  <c:v>29415.664622160002</c:v>
                </c:pt>
                <c:pt idx="95">
                  <c:v>29323.204704240001</c:v>
                </c:pt>
                <c:pt idx="96">
                  <c:v>29529.932255376003</c:v>
                </c:pt>
                <c:pt idx="97">
                  <c:v>29793.012349716002</c:v>
                </c:pt>
                <c:pt idx="98">
                  <c:v>29378.184729410001</c:v>
                </c:pt>
                <c:pt idx="99">
                  <c:v>29789.815560845997</c:v>
                </c:pt>
                <c:pt idx="100">
                  <c:v>29559.014525039998</c:v>
                </c:pt>
                <c:pt idx="101">
                  <c:v>29636.299082389996</c:v>
                </c:pt>
                <c:pt idx="102">
                  <c:v>29709.965738260002</c:v>
                </c:pt>
                <c:pt idx="103">
                  <c:v>29929.456938777996</c:v>
                </c:pt>
                <c:pt idx="104">
                  <c:v>30205.78138484</c:v>
                </c:pt>
                <c:pt idx="105">
                  <c:v>30432.862012079997</c:v>
                </c:pt>
                <c:pt idx="106">
                  <c:v>30276.148677323996</c:v>
                </c:pt>
                <c:pt idx="107">
                  <c:v>30310.646480776006</c:v>
                </c:pt>
                <c:pt idx="108">
                  <c:v>30165.210911599999</c:v>
                </c:pt>
                <c:pt idx="109">
                  <c:v>30056.233137364001</c:v>
                </c:pt>
                <c:pt idx="110">
                  <c:v>29992.596191333996</c:v>
                </c:pt>
                <c:pt idx="111">
                  <c:v>29766.686254329998</c:v>
                </c:pt>
                <c:pt idx="112">
                  <c:v>29629.533965350001</c:v>
                </c:pt>
                <c:pt idx="113">
                  <c:v>29688.140263127996</c:v>
                </c:pt>
                <c:pt idx="114">
                  <c:v>29394.302687820003</c:v>
                </c:pt>
                <c:pt idx="115">
                  <c:v>28562.841968500001</c:v>
                </c:pt>
                <c:pt idx="116">
                  <c:v>28974.591552748003</c:v>
                </c:pt>
                <c:pt idx="117">
                  <c:v>29203.17670512</c:v>
                </c:pt>
                <c:pt idx="118">
                  <c:v>29338.700347502003</c:v>
                </c:pt>
                <c:pt idx="119">
                  <c:v>29712.135375748006</c:v>
                </c:pt>
                <c:pt idx="120">
                  <c:v>29878.662068123995</c:v>
                </c:pt>
                <c:pt idx="121">
                  <c:v>29497.531326312004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A-41D2-9575-D3A1831C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74800"/>
        <c:axId val="459768816"/>
      </c:lineChart>
      <c:dateAx>
        <c:axId val="45977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68816"/>
        <c:crosses val="autoZero"/>
        <c:auto val="1"/>
        <c:lblOffset val="100"/>
        <c:baseTimeUnit val="days"/>
      </c:dateAx>
      <c:valAx>
        <c:axId val="459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9780784"/>
        <c:axId val="459779696"/>
      </c:lineChart>
      <c:dateAx>
        <c:axId val="45978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9696"/>
        <c:crosses val="autoZero"/>
        <c:auto val="1"/>
        <c:lblOffset val="100"/>
        <c:baseTimeUnit val="days"/>
      </c:dateAx>
      <c:valAx>
        <c:axId val="45977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9772624"/>
        <c:axId val="459766640"/>
      </c:lineChart>
      <c:dateAx>
        <c:axId val="459772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66640"/>
        <c:crosses val="autoZero"/>
        <c:auto val="1"/>
        <c:lblOffset val="100"/>
        <c:baseTimeUnit val="days"/>
      </c:dateAx>
      <c:valAx>
        <c:axId val="4597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6</xdr:row>
      <xdr:rowOff>104775</xdr:rowOff>
    </xdr:from>
    <xdr:to>
      <xdr:col>24</xdr:col>
      <xdr:colOff>1181100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</xdr:colOff>
      <xdr:row>0</xdr:row>
      <xdr:rowOff>166687</xdr:rowOff>
    </xdr:from>
    <xdr:to>
      <xdr:col>37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44" totalsRowShown="0">
  <autoFilter ref="B2:I44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25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1" name="Tabla1" displayName="Tabla1" ref="B2:K52" totalsRowShown="0" headerRowDxfId="29">
  <autoFilter ref="B2:K52"/>
  <tableColumns count="10">
    <tableColumn id="1" name="FECHA"/>
    <tableColumn id="2" name="DÓLAR" dataDxfId="28">
      <calculatedColumnFormula>VLOOKUP(B3,Tabla4[],2,FALSE)</calculatedColumnFormula>
    </tableColumn>
    <tableColumn id="3" name="S&amp;P 500" dataDxfId="27"/>
    <tableColumn id="4" name="NASDAQ-100" dataDxfId="26"/>
    <tableColumn id="5" name="KO" dataDxfId="25"/>
    <tableColumn id="6" name="JNJ" dataDxfId="24"/>
    <tableColumn id="7" name="PG" dataDxfId="23"/>
    <tableColumn id="8" name="PEP" dataDxfId="22"/>
    <tableColumn id="13" name="MSFT" dataDxfId="21"/>
    <tableColumn id="9" name="MCD" dataDxfId="20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" name="Tabla3" displayName="Tabla3" ref="B2:T14" totalsRowShown="0" headerRowDxfId="19">
  <autoFilter ref="B2:T14"/>
  <tableColumns count="19">
    <tableColumn id="1" name="FECHA ACTUAL" dataDxfId="18">
      <calculatedColumnFormula>TODAY()</calculatedColumnFormula>
    </tableColumn>
    <tableColumn id="2" name="PRECIO ACT KO" dataDxfId="17" dataCellStyle="Moneda">
      <calculatedColumnFormula>VLOOKUP(B3,Tabla1[],5,FALSE)</calculatedColumnFormula>
    </tableColumn>
    <tableColumn id="3" name="PRECIO ACT JNJ" dataDxfId="16">
      <calculatedColumnFormula>VLOOKUP(B3,Tabla1[],6,FALSE)</calculatedColumnFormula>
    </tableColumn>
    <tableColumn id="4" name="PRECIO ACT PG" dataDxfId="15">
      <calculatedColumnFormula>VLOOKUP(B3,Tabla1[],7,FALSE)</calculatedColumnFormula>
    </tableColumn>
    <tableColumn id="5" name="PRECIO ACT PEP" dataDxfId="14">
      <calculatedColumnFormula>VLOOKUP(B3,Tabla1[],8,FALSE)</calculatedColumnFormula>
    </tableColumn>
    <tableColumn id="6" name="PRECIO ACT MSFT" dataDxfId="13">
      <calculatedColumnFormula>VLOOKUP(B3,Tabla1[],9,FALSE)</calculatedColumnFormula>
    </tableColumn>
    <tableColumn id="7" name="PRECIO ACT MCD" dataDxfId="12">
      <calculatedColumnFormula>VLOOKUP(B3,Tabla1[],10,FALSE)</calculatedColumnFormula>
    </tableColumn>
    <tableColumn id="20" name="PRECIO ACT VOO" dataDxfId="11">
      <calculatedColumnFormula>VLOOKUP(B3,Tabla2[],3,FALSE)</calculatedColumnFormula>
    </tableColumn>
    <tableColumn id="8" name="EMPRESA" dataDxfId="10"/>
    <tableColumn id="9" name="FECHA COMPRA" dataDxfId="9"/>
    <tableColumn id="10" name="PRECIO COMPRA" dataDxfId="8" dataCellStyle="Moneda"/>
    <tableColumn id="11" name="CAPITAL INVE" dataDxfId="7" dataCellStyle="Moneda"/>
    <tableColumn id="12" name="CANTIDAD DE ACCIONES" dataDxfId="6" dataCellStyle="Moneda">
      <calculatedColumnFormula>(M3/L3)</calculatedColumnFormula>
    </tableColumn>
    <tableColumn id="13" name="VALOR ACTUAL INVE" dataDxfId="5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4"/>
    <tableColumn id="15" name="VALOR DIVIDENDO POR ACCION" dataDxfId="3" dataCellStyle="Moneda"/>
    <tableColumn id="16" name="TOTAL DIVIDENDO RECIBIDO" dataDxfId="2" dataCellStyle="Moneda">
      <calculatedColumnFormula>ROUND(Q3*N3,2)</calculatedColumnFormula>
    </tableColumn>
    <tableColumn id="17" name="GANACIA/PERDIDA" dataDxfId="1" dataCellStyle="Moneda">
      <calculatedColumnFormula>ROUND(O3-M3,2)</calculatedColumnFormula>
    </tableColumn>
    <tableColumn id="18" name="RENTABILIDAD" dataDxfId="0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24" dataDxfId="122" headerRowBorderDxfId="123" tableBorderDxfId="121" totalsRowBorderDxfId="120" dataCellStyle="Moneda">
  <autoFilter ref="L2:Y3"/>
  <tableColumns count="14">
    <tableColumn id="1" name="MES" dataDxfId="119"/>
    <tableColumn id="2" name="ENERO" dataDxfId="118" dataCellStyle="Moneda"/>
    <tableColumn id="3" name="FEBRERO" dataDxfId="117" dataCellStyle="Moneda"/>
    <tableColumn id="4" name="MARZO" dataDxfId="116" dataCellStyle="Moneda"/>
    <tableColumn id="5" name="ABRIL" dataDxfId="115" dataCellStyle="Moneda"/>
    <tableColumn id="6" name="MAYO" dataDxfId="114" dataCellStyle="Moneda"/>
    <tableColumn id="7" name="JUNIO" dataDxfId="113" dataCellStyle="Moneda"/>
    <tableColumn id="8" name="JULIO" dataDxfId="112" dataCellStyle="Moneda">
      <calculatedColumnFormula>SUM(H3:H9)</calculatedColumnFormula>
    </tableColumn>
    <tableColumn id="9" name="AGOSTO" dataDxfId="111" dataCellStyle="Moneda">
      <calculatedColumnFormula>SUM(H10:H16)</calculatedColumnFormula>
    </tableColumn>
    <tableColumn id="10" name="SEPTIEMBRE" dataDxfId="110" dataCellStyle="Moneda">
      <calculatedColumnFormula>SUM(H17:H23)</calculatedColumnFormula>
    </tableColumn>
    <tableColumn id="11" name="OCTUBRE" dataDxfId="109" dataCellStyle="Moneda">
      <calculatedColumnFormula>SUM(H24:H30)</calculatedColumnFormula>
    </tableColumn>
    <tableColumn id="12" name="NOVIEMBRE" dataDxfId="108" dataCellStyle="Moneda">
      <calculatedColumnFormula>SUM(H31:H37)</calculatedColumnFormula>
    </tableColumn>
    <tableColumn id="13" name="DICIEMBRE" dataDxfId="107" dataCellStyle="Moneda"/>
    <tableColumn id="14" name="TOTAL ANUAL" dataDxfId="106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8" totalsRowShown="0" headerRowDxfId="105">
  <autoFilter ref="B2:J18"/>
  <tableColumns count="9">
    <tableColumn id="1" name="MES"/>
    <tableColumn id="2" name="CUENTA"/>
    <tableColumn id="3" name="CANTIDAD INICIAL" dataDxfId="104"/>
    <tableColumn id="4" name="CAPITAL INVERTIDO" dataDxfId="103"/>
    <tableColumn id="5" name="INTERES OBTENIDO" dataDxfId="102"/>
    <tableColumn id="6" name="PORCENTAJE DE INTERES" dataDxfId="101" dataCellStyle="Porcentaje">
      <calculatedColumnFormula>(F3/(D3+E3))</calculatedColumnFormula>
    </tableColumn>
    <tableColumn id="7" name="RETIROS DE CAPITAL" dataDxfId="100"/>
    <tableColumn id="8" name="TOTAL CAPITAL FIN DE MES" dataDxfId="99">
      <calculatedColumnFormula>D3+E3+F3-H3</calculatedColumnFormula>
    </tableColumn>
    <tableColumn id="9" name="RENTABILIDAD" dataDxfId="98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252" totalsRowShown="0">
  <autoFilter ref="B2:G252"/>
  <tableColumns count="6">
    <tableColumn id="1" name="FECHA" dataDxfId="97"/>
    <tableColumn id="2" name="DÓLAR" dataDxfId="96"/>
    <tableColumn id="3" name="BITCOIN" dataDxfId="95"/>
    <tableColumn id="5" name="io.net" dataDxfId="94"/>
    <tableColumn id="4" name="ETHEREUM" dataDxfId="93"/>
    <tableColumn id="6" name="USDT" dataDxfId="92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92" totalsRowShown="0">
  <autoFilter ref="B2:Z92"/>
  <sortState ref="B3:Z92">
    <sortCondition ref="H2:H92"/>
  </sortState>
  <tableColumns count="25">
    <tableColumn id="1" name="fecha act" dataDxfId="87">
      <calculatedColumnFormula>TODAY()</calculatedColumnFormula>
    </tableColumn>
    <tableColumn id="2" name="precio actual dólar" dataDxfId="86">
      <calculatedColumnFormula>VLOOKUP(B3,Tabla4[],2,FALSE)</calculatedColumnFormula>
    </tableColumn>
    <tableColumn id="3" name="precio actual btc" dataDxfId="85">
      <calculatedColumnFormula>VLOOKUP(B3,Tabla4[],3,FALSE)</calculatedColumnFormula>
    </tableColumn>
    <tableColumn id="4" name="precio actul eth" dataDxfId="84">
      <calculatedColumnFormula>VLOOKUP(B3,Tabla4[],5,FALSE)</calculatedColumnFormula>
    </tableColumn>
    <tableColumn id="5" name="precio actual io.net" dataDxfId="83">
      <calculatedColumnFormula>VLOOKUP(B3,Tabla4[],4,FALSE)</calculatedColumnFormula>
    </tableColumn>
    <tableColumn id="6" name="moneda"/>
    <tableColumn id="27" name="FECHA COMPRA"/>
    <tableColumn id="20" name="PRECIO DEL DÓLAR, DIA COMPRA" dataDxfId="82">
      <calculatedColumnFormula>VLOOKUP(H3,Tabla4[],2,FALSE)</calculatedColumnFormula>
    </tableColumn>
    <tableColumn id="7" name="precio de compra" dataDxfId="81"/>
    <tableColumn id="8" name="cantidad" dataDxfId="80" dataCellStyle="Porcentaje"/>
    <tableColumn id="18" name="COSTO DE COMPRA" dataDxfId="79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78" dataCellStyle="Porcentaje">
      <calculatedColumnFormula xml:space="preserve"> K3 * (IF(G3="BTC", D3, IF(G3="ETH", E3, IF(G3="IO.NET", F3, 0)))) * C3</calculatedColumnFormula>
    </tableColumn>
    <tableColumn id="9" name="rentabilidad" dataDxfId="77" dataCellStyle="Porcentaje">
      <calculatedColumnFormula>IF(G3 = "BTC", (D3 - J3) / J3,
 IF(G3 = "ETH", (E3 - J3) / J3,
 IF(G3 = "IO.NET", (F3 - J3) / J3,
 "Moneda no soportada")))</calculatedColumnFormula>
    </tableColumn>
    <tableColumn id="10" name="meta1" dataDxfId="76" dataCellStyle="Porcentaje"/>
    <tableColumn id="11" name="META2" dataDxfId="75" dataCellStyle="Porcentaje"/>
    <tableColumn id="12" name="ACCION" dataDxfId="74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73"/>
    <tableColumn id="23" name="INVENTARIO" dataDxfId="72">
      <calculatedColumnFormula>Tabla6[[#This Row],[cantidad]]-Tabla6[[#This Row],[CANTIDAD VENDIDA]]</calculatedColumnFormula>
    </tableColumn>
    <tableColumn id="24" name="VALOR ACTUAL" dataDxfId="71">
      <calculatedColumnFormula>IF(G3="BTC", D3 * U3 * C3, IF(G3="ETH", E3 * U3 * C3, IF(G3="IO.NET", F3 * U3 * C3, 0)))</calculatedColumnFormula>
    </tableColumn>
    <tableColumn id="15" name="GANANCIA/PERDIDA" dataDxfId="70">
      <calculatedColumnFormula>IF(G3 = "BTC", ((T3 - L3)), IF(G3 = "ETH", ((T3 - L3)), IF(G3 = "IO.NET", ((T3 - L3)), "Moneda no soportada")))</calculatedColumnFormula>
    </tableColumn>
    <tableColumn id="25" name="RENTABILIDAD TOTAL" dataDxfId="69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68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25" totalsRowShown="0">
  <autoFilter ref="B2:M25"/>
  <tableColumns count="12">
    <tableColumn id="1" name="FECHA ACT" dataDxfId="67">
      <calculatedColumnFormula>TODAY()</calculatedColumnFormula>
    </tableColumn>
    <tableColumn id="11" name="FECHA COMPRA" dataDxfId="66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65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64">
      <calculatedColumnFormula>Tabla5[[#This Row],[VALOR ACTUAL EN COP]]-Tabla5[[#This Row],[COSTO TOTAL EN COP]]</calculatedColumnFormula>
    </tableColumn>
    <tableColumn id="9" name="RENTABILIDAD" dataDxfId="63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26" totalsRowShown="0">
  <autoFilter ref="B2:O26"/>
  <tableColumns count="14">
    <tableColumn id="1" name="MES" dataDxfId="62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61">
      <calculatedColumnFormula>J3-F3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P124" totalsRowShown="0">
  <autoFilter ref="B2:P124"/>
  <tableColumns count="15">
    <tableColumn id="1" name="FECHA" dataDxfId="52"/>
    <tableColumn id="5" name="PRECIO DEL DÓLAR" dataDxfId="51">
      <calculatedColumnFormula>VLOOKUP(B3,Tabla4[],2,FALSE)</calculatedColumnFormula>
    </tableColumn>
    <tableColumn id="2" name="VOO" dataDxfId="50" dataCellStyle="Moneda"/>
    <tableColumn id="3" name="VALOR INVERSION 1" dataDxfId="49">
      <calculatedColumnFormula>0.01518 * D3</calculatedColumnFormula>
    </tableColumn>
    <tableColumn id="4" name="GAN/PER" dataDxfId="48">
      <calculatedColumnFormula>Tabla2[[#This Row],[VALOR INVERSION 1]]-7.7</calculatedColumnFormula>
    </tableColumn>
    <tableColumn id="6" name="VALOR EN COP" dataDxfId="47">
      <calculatedColumnFormula>Tabla2[[#This Row],[VALOR INVERSION 1]]*Tabla2[[#This Row],[PRECIO DEL DÓLAR]]</calculatedColumnFormula>
    </tableColumn>
    <tableColumn id="8" name="VALOR INVERSION 2" dataDxfId="46">
      <calculatedColumnFormula>Tabla2[[#This Row],[VOO]]*0.01527</calculatedColumnFormula>
    </tableColumn>
    <tableColumn id="9" name="GAN/PER2" dataDxfId="45">
      <calculatedColumnFormula>Tabla2[[#This Row],[VALOR INVERSION 2]]-7.9</calculatedColumnFormula>
    </tableColumn>
    <tableColumn id="10" name="VALOR EN COP2" dataDxfId="44">
      <calculatedColumnFormula>Tabla2[[#This Row],[VALOR INVERSION 2]]*Tabla2[[#This Row],[PRECIO DEL DÓLAR]]</calculatedColumnFormula>
    </tableColumn>
    <tableColumn id="7" name="VALOR INVERSION 3" dataDxfId="43">
      <calculatedColumnFormula>Tabla2[[#This Row],[VOO]]*0.01284</calculatedColumnFormula>
    </tableColumn>
    <tableColumn id="11" name="GAN/PER3" dataDxfId="42">
      <calculatedColumnFormula>Tabla2[[#This Row],[VALOR INVERSION 3]]-6.9</calculatedColumnFormula>
    </tableColumn>
    <tableColumn id="12" name="VALOR EN COP3" dataDxfId="41">
      <calculatedColumnFormula>Tabla2[[#This Row],[VALOR INVERSION 3]]*Tabla2[[#This Row],[PRECIO DEL DÓLAR]]</calculatedColumnFormula>
    </tableColumn>
    <tableColumn id="13" name="VALOR INVERSION 4" dataDxfId="40">
      <calculatedColumnFormula>Tabla2[[#This Row],[VOO]]*0.01226</calculatedColumnFormula>
    </tableColumn>
    <tableColumn id="14" name="GAN/PER4" dataDxfId="39">
      <calculatedColumnFormula>Tabla2[[#This Row],[VALOR INVERSION 4]]-6.6</calculatedColumnFormula>
    </tableColumn>
    <tableColumn id="16" name="VALOR EN COP4" dataDxfId="38">
      <calculatedColumnFormula>Tabla2[[#This Row],[VALOR INVERSION 4]]*Tabla2[[#This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a11" displayName="Tabla11" ref="B2:G11" totalsRowShown="0" headerRowDxfId="34">
  <autoFilter ref="B2:G11"/>
  <tableColumns count="6">
    <tableColumn id="1" name="FECHA" dataDxfId="33"/>
    <tableColumn id="2" name="PRECIO DÓLAR" dataCellStyle="Moneda">
      <calculatedColumnFormula>VLOOKUP(B3,Tabla4[],2,FALSE)</calculatedColumnFormula>
    </tableColumn>
    <tableColumn id="3" name="KO" dataCellStyle="Moneda"/>
    <tableColumn id="4" name="VALOR INV" dataDxfId="32" dataCellStyle="Moneda">
      <calculatedColumnFormula>0.1089*D3</calculatedColumnFormula>
    </tableColumn>
    <tableColumn id="5" name="VALOR COP" dataDxfId="31">
      <calculatedColumnFormula>E3*C3</calculatedColumnFormula>
    </tableColumn>
    <tableColumn id="6" name="GAN/PER" dataDxfId="30">
      <calculatedColumnFormula>E3-6.94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4"/>
  <sheetViews>
    <sheetView topLeftCell="B22" workbookViewId="0">
      <selection activeCell="F44" sqref="F44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>
        <f>SUM(H24:H30)</f>
        <v>-3958.345066650003</v>
      </c>
      <c r="W3" s="37">
        <f>SUM(H31:H37)</f>
        <v>18070.395726733324</v>
      </c>
      <c r="X3" s="37"/>
      <c r="Y3" s="38">
        <f>SUM(M3:X3)</f>
        <v>18012.602809310691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>
        <v>44138.1</v>
      </c>
      <c r="H24" s="7">
        <f>(Tabla8[[#This Row],[CAPITAL A FIN DE MES]]-(Tabla8[[#This Row],[CAPITAL A INICIO DE MES]]+Tabla8[[#This Row],[CAPITAL INVERTIDO ESTE MES]]))</f>
        <v>442.09999999999854</v>
      </c>
      <c r="I24" s="9">
        <f>(Tabla8[[#This Row],[CAPITAL A FIN DE MES]]-Tabla8[[#This Row],[CAPITAL A INICIO DE MES]])/Tabla8[[#This Row],[CAPITAL A INICIO DE MES]]</f>
        <v>0.17089611629881152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>
        <v>19138.02</v>
      </c>
      <c r="H25" s="7">
        <f>(Tabla8[[#This Row],[CAPITAL A FIN DE MES]]-(Tabla8[[#This Row],[CAPITAL A INICIO DE MES]]+Tabla8[[#This Row],[CAPITAL INVERTIDO ESTE MES]]))</f>
        <v>197.61000000000058</v>
      </c>
      <c r="I25" s="9">
        <f>(Tabla8[[#This Row],[CAPITAL A FIN DE MES]]-Tabla8[[#This Row],[CAPITAL A INICIO DE MES]])/Tabla8[[#This Row],[CAPITAL A INICIO DE MES]]</f>
        <v>0.47893459326250098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2800</v>
      </c>
      <c r="G26" s="7">
        <v>19782.494933349997</v>
      </c>
      <c r="H26" s="7">
        <f>(Tabla8[[#This Row],[CAPITAL A FIN DE MES]]-(Tabla8[[#This Row],[CAPITAL A INICIO DE MES]]+Tabla8[[#This Row],[CAPITAL INVERTIDO ESTE MES]]))</f>
        <v>2912.6349333499966</v>
      </c>
      <c r="I26" s="9">
        <f>(Tabla8[[#This Row],[CAPITAL A FIN DE MES]]-Tabla8[[#This Row],[CAPITAL A INICIO DE MES]])/Tabla8[[#This Row],[CAPITAL A INICIO DE MES]]</f>
        <v>0.40601931599532592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2800</v>
      </c>
      <c r="G27" s="7">
        <v>14770.53</v>
      </c>
      <c r="H27" s="7">
        <f>(Tabla8[[#This Row],[CAPITAL A FIN DE MES]]-(Tabla8[[#This Row],[CAPITAL A INICIO DE MES]]+Tabla8[[#This Row],[CAPITAL INVERTIDO ESTE MES]]))</f>
        <v>597.14000000000124</v>
      </c>
      <c r="I27" s="9">
        <f>(Tabla8[[#This Row],[CAPITAL A FIN DE MES]]-Tabla8[[#This Row],[CAPITAL A INICIO DE MES]])/Tabla8[[#This Row],[CAPITAL A INICIO DE MES]]</f>
        <v>0.29869194672828431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1400</v>
      </c>
      <c r="G28" s="7">
        <v>6757.24</v>
      </c>
      <c r="H28" s="7">
        <f>(Tabla8[[#This Row],[CAPITAL A FIN DE MES]]-(Tabla8[[#This Row],[CAPITAL A INICIO DE MES]]+Tabla8[[#This Row],[CAPITAL INVERTIDO ESTE MES]]))</f>
        <v>-2762.4499999999989</v>
      </c>
      <c r="I28" s="9">
        <f>(Tabla8[[#This Row],[CAPITAL A FIN DE MES]]-Tabla8[[#This Row],[CAPITAL A INICIO DE MES]])/Tabla8[[#This Row],[CAPITAL A INICIO DE MES]]</f>
        <v>-0.1677958148648532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2800</v>
      </c>
      <c r="G29" s="7">
        <v>11513.11</v>
      </c>
      <c r="H29" s="7">
        <f>(Tabla8[[#This Row],[CAPITAL A FIN DE MES]]-(Tabla8[[#This Row],[CAPITAL A INICIO DE MES]]+Tabla8[[#This Row],[CAPITAL INVERTIDO ESTE MES]]))</f>
        <v>593.42000000000189</v>
      </c>
      <c r="I29" s="9">
        <f>(Tabla8[[#This Row],[CAPITAL A FIN DE MES]]-Tabla8[[#This Row],[CAPITAL A INICIO DE MES]])/Tabla8[[#This Row],[CAPITAL A INICIO DE MES]]</f>
        <v>0.41792482225306643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>
        <v>99977.62</v>
      </c>
      <c r="H30" s="7">
        <f>(Tabla8[[#This Row],[CAPITAL A FIN DE MES]]-(Tabla8[[#This Row],[CAPITAL A INICIO DE MES]]+Tabla8[[#This Row],[CAPITAL INVERTIDO ESTE MES]]))</f>
        <v>-5938.8000000000029</v>
      </c>
      <c r="I30" s="9">
        <f>(Tabla8[[#This Row],[CAPITAL A FIN DE MES]]-Tabla8[[#This Row],[CAPITAL A INICIO DE MES]])/Tabla8[[#This Row],[CAPITAL A INICIO DE MES]]</f>
        <v>0.49659433603848424</v>
      </c>
    </row>
    <row r="31" spans="2:9">
      <c r="B31" t="s">
        <v>112</v>
      </c>
      <c r="C31" t="s">
        <v>101</v>
      </c>
      <c r="D31" t="s">
        <v>93</v>
      </c>
      <c r="E31" s="7">
        <v>44138.1</v>
      </c>
      <c r="F31" s="29">
        <v>6000</v>
      </c>
      <c r="G31" s="7">
        <v>50555.040000000001</v>
      </c>
      <c r="H31" s="7">
        <f>(Tabla8[[#This Row],[CAPITAL A FIN DE MES]]-(Tabla8[[#This Row],[CAPITAL A INICIO DE MES]]+Tabla8[[#This Row],[CAPITAL INVERTIDO ESTE MES]]))</f>
        <v>416.94000000000233</v>
      </c>
      <c r="I31" s="9">
        <f>(Tabla8[[#This Row],[CAPITAL A FIN DE MES]]-Tabla8[[#This Row],[CAPITAL A INICIO DE MES]])/Tabla8[[#This Row],[CAPITAL A INICIO DE MES]]</f>
        <v>0.14538324032978317</v>
      </c>
    </row>
    <row r="32" spans="2:9">
      <c r="B32" t="s">
        <v>112</v>
      </c>
      <c r="C32" t="s">
        <v>101</v>
      </c>
      <c r="D32" t="s">
        <v>96</v>
      </c>
      <c r="E32" s="7">
        <v>19138.02</v>
      </c>
      <c r="F32" s="29">
        <v>6000</v>
      </c>
      <c r="G32" s="7">
        <v>25391.83</v>
      </c>
      <c r="H32" s="7">
        <f>(Tabla8[[#This Row],[CAPITAL A FIN DE MES]]-(Tabla8[[#This Row],[CAPITAL A INICIO DE MES]]+Tabla8[[#This Row],[CAPITAL INVERTIDO ESTE MES]]))</f>
        <v>253.81000000000131</v>
      </c>
      <c r="I32" s="9">
        <f>(Tabla8[[#This Row],[CAPITAL A FIN DE MES]]-Tabla8[[#This Row],[CAPITAL A INICIO DE MES]])/Tabla8[[#This Row],[CAPITAL A INICIO DE MES]]</f>
        <v>0.32677413859949989</v>
      </c>
    </row>
    <row r="33" spans="2:9">
      <c r="B33" t="s">
        <v>112</v>
      </c>
      <c r="C33" t="s">
        <v>53</v>
      </c>
      <c r="D33" t="s">
        <v>14</v>
      </c>
      <c r="E33" s="7">
        <v>19782.494933349997</v>
      </c>
      <c r="F33" s="29">
        <v>2800</v>
      </c>
      <c r="G33" s="7">
        <v>30051.485614938741</v>
      </c>
      <c r="H33" s="7">
        <f>(Tabla8[[#This Row],[CAPITAL A FIN DE MES]]-(Tabla8[[#This Row],[CAPITAL A INICIO DE MES]]+Tabla8[[#This Row],[CAPITAL INVERTIDO ESTE MES]]))</f>
        <v>7468.9906815887443</v>
      </c>
      <c r="I33" s="9">
        <f>(Tabla8[[#This Row],[CAPITAL A FIN DE MES]]-Tabla8[[#This Row],[CAPITAL A INICIO DE MES]])/Tabla8[[#This Row],[CAPITAL A INICIO DE MES]]</f>
        <v>0.51909482176977251</v>
      </c>
    </row>
    <row r="34" spans="2:9">
      <c r="B34" t="s">
        <v>112</v>
      </c>
      <c r="C34" t="s">
        <v>53</v>
      </c>
      <c r="D34" t="s">
        <v>15</v>
      </c>
      <c r="E34" s="7">
        <v>14770.53</v>
      </c>
      <c r="F34" s="29">
        <v>2800</v>
      </c>
      <c r="G34" s="7">
        <v>24459.264982754161</v>
      </c>
      <c r="H34" s="7">
        <f>(Tabla8[[#This Row],[CAPITAL A FIN DE MES]]-(Tabla8[[#This Row],[CAPITAL A INICIO DE MES]]+Tabla8[[#This Row],[CAPITAL INVERTIDO ESTE MES]]))</f>
        <v>6888.734982754162</v>
      </c>
      <c r="I34" s="9">
        <f>(Tabla8[[#This Row],[CAPITAL A FIN DE MES]]-Tabla8[[#This Row],[CAPITAL A INICIO DE MES]])/Tabla8[[#This Row],[CAPITAL A INICIO DE MES]]</f>
        <v>0.65595039465436644</v>
      </c>
    </row>
    <row r="35" spans="2:9">
      <c r="B35" t="s">
        <v>112</v>
      </c>
      <c r="C35" t="s">
        <v>53</v>
      </c>
      <c r="D35" t="s">
        <v>41</v>
      </c>
      <c r="E35" s="7">
        <v>6757.24</v>
      </c>
      <c r="F35" s="29">
        <v>1400</v>
      </c>
      <c r="G35" s="7">
        <v>16390.33356135682</v>
      </c>
      <c r="H35" s="7">
        <f>(Tabla8[[#This Row],[CAPITAL A FIN DE MES]]-(Tabla8[[#This Row],[CAPITAL A INICIO DE MES]]+Tabla8[[#This Row],[CAPITAL INVERTIDO ESTE MES]]))</f>
        <v>8233.0935613568199</v>
      </c>
      <c r="I35" s="9">
        <f>(Tabla8[[#This Row],[CAPITAL A FIN DE MES]]-Tabla8[[#This Row],[CAPITAL A INICIO DE MES]])/Tabla8[[#This Row],[CAPITAL A INICIO DE MES]]</f>
        <v>1.4255958884628666</v>
      </c>
    </row>
    <row r="36" spans="2:9">
      <c r="B36" t="s">
        <v>112</v>
      </c>
      <c r="C36" t="s">
        <v>53</v>
      </c>
      <c r="D36" t="s">
        <v>63</v>
      </c>
      <c r="E36" s="7">
        <v>11513.11</v>
      </c>
      <c r="F36" s="29">
        <v>2800</v>
      </c>
      <c r="G36" s="7">
        <v>14348.8465010336</v>
      </c>
      <c r="H36" s="7">
        <f>(Tabla8[[#This Row],[CAPITAL A FIN DE MES]]-(Tabla8[[#This Row],[CAPITAL A INICIO DE MES]]+Tabla8[[#This Row],[CAPITAL INVERTIDO ESTE MES]]))</f>
        <v>35.736501033599779</v>
      </c>
      <c r="I36" s="9">
        <f>(Tabla8[[#This Row],[CAPITAL A FIN DE MES]]-Tabla8[[#This Row],[CAPITAL A INICIO DE MES]])/Tabla8[[#This Row],[CAPITAL A INICIO DE MES]]</f>
        <v>0.24630499500426903</v>
      </c>
    </row>
    <row r="37" spans="2:9">
      <c r="B37" t="s">
        <v>112</v>
      </c>
      <c r="C37" t="s">
        <v>103</v>
      </c>
      <c r="D37" t="s">
        <v>13</v>
      </c>
      <c r="E37" s="7">
        <v>99977.62</v>
      </c>
      <c r="F37" s="29">
        <v>39865</v>
      </c>
      <c r="G37" s="7">
        <v>134615.71</v>
      </c>
      <c r="H37" s="7">
        <f>(Tabla8[[#This Row],[CAPITAL A FIN DE MES]]-(Tabla8[[#This Row],[CAPITAL A INICIO DE MES]]+Tabla8[[#This Row],[CAPITAL INVERTIDO ESTE MES]]))</f>
        <v>-5226.9100000000035</v>
      </c>
      <c r="I37" s="9">
        <f>(Tabla8[[#This Row],[CAPITAL A FIN DE MES]]-Tabla8[[#This Row],[CAPITAL A INICIO DE MES]])/Tabla8[[#This Row],[CAPITAL A INICIO DE MES]]</f>
        <v>0.34645843739828974</v>
      </c>
    </row>
    <row r="38" spans="2:9">
      <c r="B38" t="s">
        <v>113</v>
      </c>
      <c r="C38" t="s">
        <v>101</v>
      </c>
      <c r="D38" t="s">
        <v>93</v>
      </c>
      <c r="E38" s="7">
        <v>50555.040000000001</v>
      </c>
      <c r="F38" s="29">
        <v>6000</v>
      </c>
      <c r="G38" s="7"/>
      <c r="H38" s="7">
        <f>(Tabla8[[#This Row],[CAPITAL A FIN DE MES]]-(Tabla8[[#This Row],[CAPITAL A INICIO DE MES]]+Tabla8[[#This Row],[CAPITAL INVERTIDO ESTE MES]]))</f>
        <v>-56555.040000000001</v>
      </c>
      <c r="I38" s="9">
        <f>(Tabla8[[#This Row],[CAPITAL A FIN DE MES]]-Tabla8[[#This Row],[CAPITAL A INICIO DE MES]])/Tabla8[[#This Row],[CAPITAL A INICIO DE MES]]</f>
        <v>-1</v>
      </c>
    </row>
    <row r="39" spans="2:9">
      <c r="B39" t="s">
        <v>113</v>
      </c>
      <c r="C39" t="s">
        <v>101</v>
      </c>
      <c r="D39" t="s">
        <v>96</v>
      </c>
      <c r="E39" s="7">
        <v>25391.83</v>
      </c>
      <c r="F39" s="29">
        <v>6000</v>
      </c>
      <c r="G39" s="7"/>
      <c r="H39" s="7">
        <f>(Tabla8[[#This Row],[CAPITAL A FIN DE MES]]-(Tabla8[[#This Row],[CAPITAL A INICIO DE MES]]+Tabla8[[#This Row],[CAPITAL INVERTIDO ESTE MES]]))</f>
        <v>-31391.83</v>
      </c>
      <c r="I39" s="9">
        <f>(Tabla8[[#This Row],[CAPITAL A FIN DE MES]]-Tabla8[[#This Row],[CAPITAL A INICIO DE MES]])/Tabla8[[#This Row],[CAPITAL A INICIO DE MES]]</f>
        <v>-1</v>
      </c>
    </row>
    <row r="40" spans="2:9">
      <c r="B40" t="s">
        <v>113</v>
      </c>
      <c r="C40" t="s">
        <v>53</v>
      </c>
      <c r="D40" t="s">
        <v>14</v>
      </c>
      <c r="E40" s="7">
        <v>30051.485614938741</v>
      </c>
      <c r="F40" s="29">
        <v>2800</v>
      </c>
      <c r="G40" s="7"/>
      <c r="H40" s="7">
        <f>(Tabla8[[#This Row],[CAPITAL A FIN DE MES]]-(Tabla8[[#This Row],[CAPITAL A INICIO DE MES]]+Tabla8[[#This Row],[CAPITAL INVERTIDO ESTE MES]]))</f>
        <v>-32851.485614938741</v>
      </c>
      <c r="I40" s="9">
        <f>(Tabla8[[#This Row],[CAPITAL A FIN DE MES]]-Tabla8[[#This Row],[CAPITAL A INICIO DE MES]])/Tabla8[[#This Row],[CAPITAL A INICIO DE MES]]</f>
        <v>-1</v>
      </c>
    </row>
    <row r="41" spans="2:9">
      <c r="B41" t="s">
        <v>113</v>
      </c>
      <c r="C41" t="s">
        <v>53</v>
      </c>
      <c r="D41" t="s">
        <v>15</v>
      </c>
      <c r="E41" s="7">
        <v>24459.264982754161</v>
      </c>
      <c r="F41" s="29">
        <v>2800</v>
      </c>
      <c r="G41" s="7"/>
      <c r="H41" s="7">
        <f>(Tabla8[[#This Row],[CAPITAL A FIN DE MES]]-(Tabla8[[#This Row],[CAPITAL A INICIO DE MES]]+Tabla8[[#This Row],[CAPITAL INVERTIDO ESTE MES]]))</f>
        <v>-27259.264982754161</v>
      </c>
      <c r="I41" s="9">
        <f>(Tabla8[[#This Row],[CAPITAL A FIN DE MES]]-Tabla8[[#This Row],[CAPITAL A INICIO DE MES]])/Tabla8[[#This Row],[CAPITAL A INICIO DE MES]]</f>
        <v>-1</v>
      </c>
    </row>
    <row r="42" spans="2:9">
      <c r="B42" t="s">
        <v>113</v>
      </c>
      <c r="C42" t="s">
        <v>53</v>
      </c>
      <c r="D42" t="s">
        <v>41</v>
      </c>
      <c r="E42" s="7">
        <v>16390.33356135682</v>
      </c>
      <c r="F42" s="29">
        <v>1400</v>
      </c>
      <c r="G42" s="7"/>
      <c r="H42" s="7">
        <f>(Tabla8[[#This Row],[CAPITAL A FIN DE MES]]-(Tabla8[[#This Row],[CAPITAL A INICIO DE MES]]+Tabla8[[#This Row],[CAPITAL INVERTIDO ESTE MES]]))</f>
        <v>-17790.33356135682</v>
      </c>
      <c r="I42" s="9">
        <f>(Tabla8[[#This Row],[CAPITAL A FIN DE MES]]-Tabla8[[#This Row],[CAPITAL A INICIO DE MES]])/Tabla8[[#This Row],[CAPITAL A INICIO DE MES]]</f>
        <v>-1</v>
      </c>
    </row>
    <row r="43" spans="2:9">
      <c r="B43" t="s">
        <v>113</v>
      </c>
      <c r="C43" t="s">
        <v>53</v>
      </c>
      <c r="D43" t="s">
        <v>63</v>
      </c>
      <c r="E43" s="7">
        <v>14348.8465010336</v>
      </c>
      <c r="F43" s="29">
        <v>2800</v>
      </c>
      <c r="G43" s="7"/>
      <c r="H43" s="7">
        <f>(Tabla8[[#This Row],[CAPITAL A FIN DE MES]]-(Tabla8[[#This Row],[CAPITAL A INICIO DE MES]]+Tabla8[[#This Row],[CAPITAL INVERTIDO ESTE MES]]))</f>
        <v>-17148.8465010336</v>
      </c>
      <c r="I43" s="9">
        <f>(Tabla8[[#This Row],[CAPITAL A FIN DE MES]]-Tabla8[[#This Row],[CAPITAL A INICIO DE MES]])/Tabla8[[#This Row],[CAPITAL A INICIO DE MES]]</f>
        <v>-1</v>
      </c>
    </row>
    <row r="44" spans="2:9">
      <c r="B44" t="s">
        <v>113</v>
      </c>
      <c r="C44" t="s">
        <v>103</v>
      </c>
      <c r="D44" t="s">
        <v>13</v>
      </c>
      <c r="E44" s="7">
        <v>134615.71</v>
      </c>
      <c r="F44" s="29"/>
      <c r="G44" s="7"/>
      <c r="H44" s="7">
        <f>(Tabla8[[#This Row],[CAPITAL A FIN DE MES]]-(Tabla8[[#This Row],[CAPITAL A INICIO DE MES]]+Tabla8[[#This Row],[CAPITAL INVERTIDO ESTE MES]]))</f>
        <v>-134615.71</v>
      </c>
      <c r="I44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29" priority="3" operator="lessThan">
      <formula>0</formula>
    </cfRule>
    <cfRule type="cellIs" dxfId="128" priority="4" operator="lessThan">
      <formula>0</formula>
    </cfRule>
  </conditionalFormatting>
  <conditionalFormatting sqref="M3:X3">
    <cfRule type="cellIs" dxfId="127" priority="2" operator="lessThan">
      <formula>0</formula>
    </cfRule>
  </conditionalFormatting>
  <conditionalFormatting sqref="M3:Y3">
    <cfRule type="cellIs" dxfId="126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45656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45656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45656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45656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45656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45656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45656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45656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45656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45656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45656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45656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C1" workbookViewId="0">
      <selection activeCell="I16" sqref="I16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 t="shared" ref="G11:G16" si="3">(F11/(D11+E11))</f>
        <v>9.3869559442866374E-3</v>
      </c>
      <c r="H11" s="2"/>
      <c r="I11" s="2">
        <f t="shared" ref="I11:I16" si="4">D11+E11+F11-H11</f>
        <v>37696</v>
      </c>
      <c r="J11" s="27">
        <f t="shared" ref="J11:J16" si="5"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 t="shared" si="3"/>
        <v>9.8602628675064728E-3</v>
      </c>
      <c r="H12" s="2"/>
      <c r="I12" s="2">
        <f t="shared" si="4"/>
        <v>12940.41</v>
      </c>
      <c r="J12" s="27">
        <f t="shared" si="5"/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>
        <v>442.1</v>
      </c>
      <c r="G13" s="27">
        <f t="shared" si="3"/>
        <v>1.0117630904430613E-2</v>
      </c>
      <c r="H13" s="2"/>
      <c r="I13" s="2">
        <f t="shared" si="4"/>
        <v>44138.1</v>
      </c>
      <c r="J13" s="27">
        <f t="shared" si="5"/>
        <v>1.0117630904430578E-2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>
        <v>197.61</v>
      </c>
      <c r="G14" s="27">
        <f t="shared" si="3"/>
        <v>1.0433248277096432E-2</v>
      </c>
      <c r="H14" s="2"/>
      <c r="I14" s="2">
        <f t="shared" si="4"/>
        <v>19138.02</v>
      </c>
      <c r="J14" s="27">
        <f t="shared" si="5"/>
        <v>1.0433248277096461E-2</v>
      </c>
    </row>
    <row r="15" spans="2:10">
      <c r="B15" t="s">
        <v>112</v>
      </c>
      <c r="C15" t="s">
        <v>93</v>
      </c>
      <c r="D15" s="2">
        <v>44138.1</v>
      </c>
      <c r="E15" s="2">
        <v>6000</v>
      </c>
      <c r="F15" s="2">
        <v>416.94</v>
      </c>
      <c r="G15" s="27">
        <f t="shared" si="3"/>
        <v>8.3158316729193965E-3</v>
      </c>
      <c r="H15" s="2"/>
      <c r="I15" s="2">
        <f t="shared" si="4"/>
        <v>50555.040000000001</v>
      </c>
      <c r="J15" s="27">
        <f t="shared" si="5"/>
        <v>8.3158316729194433E-3</v>
      </c>
    </row>
    <row r="16" spans="2:10">
      <c r="B16" t="s">
        <v>112</v>
      </c>
      <c r="C16" t="s">
        <v>96</v>
      </c>
      <c r="D16" s="2">
        <v>19138.02</v>
      </c>
      <c r="E16" s="2">
        <v>6000</v>
      </c>
      <c r="F16" s="2">
        <v>253.81</v>
      </c>
      <c r="G16" s="27">
        <f t="shared" si="3"/>
        <v>1.0096658368479299E-2</v>
      </c>
      <c r="H16" s="2"/>
      <c r="I16" s="2">
        <f t="shared" si="4"/>
        <v>25391.83</v>
      </c>
      <c r="J16" s="27">
        <f t="shared" si="5"/>
        <v>1.0096658368479351E-2</v>
      </c>
    </row>
    <row r="17" spans="2:10">
      <c r="B17" t="s">
        <v>113</v>
      </c>
      <c r="C17" t="s">
        <v>93</v>
      </c>
      <c r="D17" s="2">
        <v>50555.040000000001</v>
      </c>
      <c r="E17" s="2">
        <v>6000</v>
      </c>
      <c r="F17" s="2"/>
      <c r="G17" s="27">
        <f>(F17/(D17+E17))</f>
        <v>0</v>
      </c>
      <c r="H17" s="2"/>
      <c r="I17" s="2">
        <f>D17+E17+F17-H17</f>
        <v>56555.040000000001</v>
      </c>
      <c r="J17" s="27">
        <f>((I17-(D17+E17))/(D17+E17))</f>
        <v>0</v>
      </c>
    </row>
    <row r="18" spans="2:10">
      <c r="B18" t="s">
        <v>113</v>
      </c>
      <c r="C18" t="s">
        <v>96</v>
      </c>
      <c r="D18" s="2">
        <v>25391.83</v>
      </c>
      <c r="E18" s="2">
        <v>6000</v>
      </c>
      <c r="F18" s="2"/>
      <c r="G18" s="27">
        <f>(F18/(D18+E18))</f>
        <v>0</v>
      </c>
      <c r="H18" s="2"/>
      <c r="I18" s="2">
        <f>D18+E18+F18-H18</f>
        <v>31391.83</v>
      </c>
      <c r="J18" s="27">
        <f>((I18-(D18+E18))/(D18+E18))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2"/>
  <sheetViews>
    <sheetView topLeftCell="A243" zoomScaleNormal="100" workbookViewId="0">
      <selection activeCell="D252" sqref="D252:G252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  <row r="193" spans="2:8">
      <c r="B193" s="1">
        <v>45597</v>
      </c>
      <c r="C193" s="3">
        <v>4418.63</v>
      </c>
      <c r="D193" s="3">
        <v>69923.17</v>
      </c>
      <c r="E193" s="3">
        <v>1.61</v>
      </c>
      <c r="F193" s="3">
        <v>2517.8000000000002</v>
      </c>
      <c r="G193" s="3">
        <v>4293</v>
      </c>
    </row>
    <row r="194" spans="2:8">
      <c r="B194" s="1">
        <v>45598</v>
      </c>
      <c r="C194" s="3">
        <v>4414</v>
      </c>
      <c r="D194" s="3">
        <v>69374.740000000005</v>
      </c>
      <c r="E194" s="3">
        <v>1.54</v>
      </c>
      <c r="F194" s="3">
        <v>2493.4</v>
      </c>
      <c r="G194" s="3">
        <v>4327</v>
      </c>
    </row>
    <row r="195" spans="2:8">
      <c r="B195" s="1">
        <v>45599</v>
      </c>
      <c r="C195" s="3">
        <v>4418.12</v>
      </c>
      <c r="D195" s="3">
        <v>68306.28</v>
      </c>
      <c r="E195" s="3">
        <v>1.47</v>
      </c>
      <c r="F195" s="3">
        <v>2445.3000000000002</v>
      </c>
      <c r="G195" s="3">
        <v>4328</v>
      </c>
    </row>
    <row r="196" spans="2:8">
      <c r="B196" s="1">
        <v>45600</v>
      </c>
      <c r="C196" s="3">
        <v>4445.3500000000004</v>
      </c>
      <c r="D196" s="4">
        <v>67722.23</v>
      </c>
      <c r="E196" s="4">
        <v>1.47</v>
      </c>
      <c r="F196" s="4">
        <v>2412</v>
      </c>
      <c r="G196" s="4">
        <v>4338</v>
      </c>
      <c r="H196">
        <v>23</v>
      </c>
    </row>
    <row r="197" spans="2:8">
      <c r="B197" s="1">
        <v>45601</v>
      </c>
      <c r="C197" s="3">
        <v>4438.62</v>
      </c>
      <c r="D197" s="3">
        <v>68825.05</v>
      </c>
      <c r="E197" s="3">
        <v>1.5</v>
      </c>
      <c r="F197" s="3">
        <v>2438.6</v>
      </c>
      <c r="G197" s="3">
        <v>4287</v>
      </c>
    </row>
    <row r="198" spans="2:8">
      <c r="B198" s="1">
        <v>45602</v>
      </c>
      <c r="C198" s="3">
        <v>4439.75</v>
      </c>
      <c r="D198" s="3">
        <v>75165</v>
      </c>
      <c r="E198" s="3">
        <v>1.73</v>
      </c>
      <c r="F198" s="3">
        <v>2622.5</v>
      </c>
      <c r="G198" s="3">
        <v>4338</v>
      </c>
    </row>
    <row r="199" spans="2:8">
      <c r="B199" s="1">
        <v>45603</v>
      </c>
      <c r="C199" s="3">
        <v>4389.7299999999996</v>
      </c>
      <c r="D199" s="3">
        <v>76495</v>
      </c>
      <c r="E199" s="3">
        <v>1.83</v>
      </c>
      <c r="F199" s="3">
        <v>2819.3</v>
      </c>
      <c r="G199" s="3">
        <v>4331</v>
      </c>
    </row>
    <row r="200" spans="2:8">
      <c r="B200" s="1">
        <v>45604</v>
      </c>
      <c r="C200" s="3">
        <v>4399.58</v>
      </c>
      <c r="D200" s="3">
        <v>76116.72</v>
      </c>
      <c r="E200" s="3">
        <v>1.99</v>
      </c>
      <c r="F200" s="3">
        <v>2924.8</v>
      </c>
      <c r="G200" s="3">
        <v>4234</v>
      </c>
    </row>
    <row r="201" spans="2:8">
      <c r="B201" s="1">
        <v>45605</v>
      </c>
      <c r="C201" s="3">
        <v>4346.7</v>
      </c>
      <c r="D201" s="3">
        <v>76677.460000000006</v>
      </c>
      <c r="E201" s="3">
        <v>2.02</v>
      </c>
      <c r="F201" s="3">
        <v>3128.4</v>
      </c>
      <c r="G201" s="3">
        <v>4258</v>
      </c>
    </row>
    <row r="202" spans="2:8">
      <c r="B202" s="1">
        <v>45606</v>
      </c>
      <c r="C202" s="3">
        <v>4346.7</v>
      </c>
      <c r="D202" s="3">
        <v>80370.009999999995</v>
      </c>
      <c r="E202" s="3">
        <v>2.02</v>
      </c>
      <c r="F202" s="3">
        <v>3186.8</v>
      </c>
      <c r="G202" s="3">
        <v>4246</v>
      </c>
    </row>
    <row r="203" spans="2:8">
      <c r="B203" s="1">
        <v>45607</v>
      </c>
      <c r="C203" s="3">
        <v>4346.7</v>
      </c>
      <c r="D203" s="4">
        <v>87272.61</v>
      </c>
      <c r="E203" s="4">
        <v>2.69</v>
      </c>
      <c r="F203" s="4">
        <v>3355.6</v>
      </c>
      <c r="G203" s="4">
        <v>4267</v>
      </c>
      <c r="H203">
        <v>24</v>
      </c>
    </row>
    <row r="204" spans="2:8">
      <c r="B204" s="1">
        <v>45608</v>
      </c>
      <c r="C204" s="3">
        <v>4376.95</v>
      </c>
      <c r="D204" s="3">
        <v>87348.83</v>
      </c>
      <c r="E204" s="3">
        <v>2.4900000000000002</v>
      </c>
      <c r="F204" s="3">
        <v>3295.5</v>
      </c>
      <c r="G204" s="3">
        <v>4274</v>
      </c>
    </row>
    <row r="205" spans="2:8">
      <c r="B205" s="1">
        <v>45609</v>
      </c>
      <c r="C205" s="3">
        <v>4352.8</v>
      </c>
      <c r="D205" s="3">
        <v>87644</v>
      </c>
      <c r="E205" s="3">
        <v>2.23</v>
      </c>
      <c r="F205" s="3">
        <v>3172.4</v>
      </c>
      <c r="G205" s="3">
        <v>4274</v>
      </c>
    </row>
    <row r="206" spans="2:8">
      <c r="B206" s="1">
        <v>45610</v>
      </c>
      <c r="C206" s="3">
        <v>4500.38</v>
      </c>
      <c r="D206" s="3">
        <v>91328</v>
      </c>
      <c r="E206" s="3">
        <v>2.2400000000000002</v>
      </c>
      <c r="F206" s="3">
        <v>3186.4</v>
      </c>
      <c r="G206" s="3">
        <v>4275</v>
      </c>
    </row>
    <row r="207" spans="2:8">
      <c r="B207" s="1">
        <v>45611</v>
      </c>
      <c r="C207" s="3">
        <v>4487.51</v>
      </c>
      <c r="D207" s="3">
        <v>90301.8</v>
      </c>
      <c r="E207" s="3">
        <v>2.27</v>
      </c>
      <c r="F207" s="3">
        <v>3106.4</v>
      </c>
      <c r="G207" s="3">
        <v>4324</v>
      </c>
    </row>
    <row r="208" spans="2:8">
      <c r="B208" s="1">
        <v>45612</v>
      </c>
      <c r="C208" s="3">
        <v>4498.58</v>
      </c>
      <c r="D208" s="3">
        <v>90748.73</v>
      </c>
      <c r="E208" s="3">
        <v>2.44</v>
      </c>
      <c r="F208" s="3">
        <v>3160.3</v>
      </c>
      <c r="G208" s="3">
        <v>4318</v>
      </c>
    </row>
    <row r="209" spans="2:8">
      <c r="B209" s="1">
        <v>45613</v>
      </c>
      <c r="C209" s="3">
        <v>4498.58</v>
      </c>
      <c r="D209" s="46">
        <v>89855.99</v>
      </c>
      <c r="E209" s="46">
        <v>2.27</v>
      </c>
      <c r="F209" s="46">
        <v>3076</v>
      </c>
      <c r="G209" s="46">
        <v>4339</v>
      </c>
      <c r="H209">
        <v>25</v>
      </c>
    </row>
    <row r="210" spans="2:8">
      <c r="B210" s="1">
        <v>45614</v>
      </c>
      <c r="C210" s="3">
        <v>4407.41</v>
      </c>
      <c r="D210" s="4">
        <v>90464.08</v>
      </c>
      <c r="E210" s="4">
        <v>2.38</v>
      </c>
      <c r="F210" s="4">
        <v>3209.4</v>
      </c>
      <c r="G210" s="4">
        <v>4308</v>
      </c>
    </row>
    <row r="211" spans="2:8">
      <c r="B211" s="1">
        <v>45615</v>
      </c>
      <c r="C211" s="3">
        <v>4421.08</v>
      </c>
      <c r="D211" s="3">
        <v>92087.16</v>
      </c>
      <c r="E211" s="3">
        <v>2.2999999999999998</v>
      </c>
      <c r="F211" s="3">
        <v>3141.5</v>
      </c>
      <c r="G211" s="3">
        <v>4314</v>
      </c>
    </row>
    <row r="212" spans="2:8">
      <c r="B212" s="1">
        <v>45616</v>
      </c>
      <c r="C212" s="3">
        <v>4405.5600000000004</v>
      </c>
      <c r="D212" s="3">
        <v>93571.07</v>
      </c>
      <c r="E212" s="3">
        <v>2.39</v>
      </c>
      <c r="F212" s="3">
        <v>3106.5</v>
      </c>
      <c r="G212" s="3">
        <v>4314</v>
      </c>
    </row>
    <row r="213" spans="2:8">
      <c r="B213" s="1">
        <v>45617</v>
      </c>
      <c r="C213" s="3">
        <v>4414.34</v>
      </c>
      <c r="D213" s="3">
        <v>98020</v>
      </c>
      <c r="E213" s="3">
        <v>2.2000000000000002</v>
      </c>
      <c r="F213" s="3">
        <v>3144.7</v>
      </c>
      <c r="G213" s="3">
        <v>4347</v>
      </c>
    </row>
    <row r="214" spans="2:8">
      <c r="B214" s="1">
        <v>45618</v>
      </c>
      <c r="C214" s="3">
        <v>4438.78</v>
      </c>
      <c r="D214" s="3">
        <v>98838.75</v>
      </c>
      <c r="E214" s="3">
        <v>2.5</v>
      </c>
      <c r="F214" s="3">
        <v>3344.4</v>
      </c>
      <c r="G214" s="3">
        <v>4317</v>
      </c>
    </row>
    <row r="215" spans="2:8">
      <c r="B215" s="1">
        <v>45619</v>
      </c>
      <c r="C215" s="3">
        <v>4389.2299999999996</v>
      </c>
      <c r="D215" s="3">
        <v>97712</v>
      </c>
      <c r="E215" s="3">
        <v>2.62</v>
      </c>
      <c r="F215" s="3">
        <v>3420.7</v>
      </c>
      <c r="G215" s="3">
        <v>4345</v>
      </c>
    </row>
    <row r="216" spans="2:8">
      <c r="B216" s="1">
        <v>45620</v>
      </c>
      <c r="C216" s="3">
        <v>4389.2299999999996</v>
      </c>
      <c r="D216" s="3">
        <v>97384</v>
      </c>
      <c r="E216" s="3">
        <v>2.52</v>
      </c>
      <c r="F216" s="3">
        <v>3331.8</v>
      </c>
      <c r="G216" s="3">
        <v>4337</v>
      </c>
    </row>
    <row r="217" spans="2:8">
      <c r="B217" s="1">
        <v>45621</v>
      </c>
      <c r="C217" s="3">
        <v>4362.95</v>
      </c>
      <c r="D217" s="4">
        <v>98202.98</v>
      </c>
      <c r="E217" s="4">
        <v>2.75</v>
      </c>
      <c r="F217" s="4">
        <v>3488.4</v>
      </c>
      <c r="G217" s="4">
        <v>4315</v>
      </c>
      <c r="H217">
        <v>26</v>
      </c>
    </row>
    <row r="218" spans="2:8">
      <c r="B218" s="1">
        <v>45622</v>
      </c>
      <c r="C218" s="3">
        <v>4399.41</v>
      </c>
      <c r="D218" s="3">
        <v>91967.67</v>
      </c>
      <c r="E218" s="3">
        <v>2.4700000000000002</v>
      </c>
      <c r="F218" s="3">
        <v>3314.6</v>
      </c>
      <c r="G218" s="3">
        <v>4319</v>
      </c>
    </row>
    <row r="219" spans="2:8">
      <c r="B219" s="1">
        <v>45623</v>
      </c>
      <c r="C219" s="3">
        <v>4379.28</v>
      </c>
      <c r="D219" s="3">
        <v>93360.16</v>
      </c>
      <c r="E219" s="3">
        <v>2.6</v>
      </c>
      <c r="F219" s="3">
        <v>3462.1</v>
      </c>
      <c r="G219" s="3">
        <v>4332</v>
      </c>
    </row>
    <row r="220" spans="2:8">
      <c r="B220" s="1">
        <v>45624</v>
      </c>
      <c r="C220" s="3">
        <v>4390.7299999999996</v>
      </c>
      <c r="D220" s="3">
        <v>95743.55</v>
      </c>
      <c r="E220" s="3">
        <v>2.91</v>
      </c>
      <c r="F220" s="3">
        <v>3632.8</v>
      </c>
      <c r="G220" s="3">
        <v>4312</v>
      </c>
    </row>
    <row r="221" spans="2:8">
      <c r="B221" s="1">
        <v>45625</v>
      </c>
      <c r="C221" s="3">
        <v>4378.58</v>
      </c>
      <c r="D221" s="3">
        <v>97308.01</v>
      </c>
      <c r="E221" s="3">
        <v>3.01</v>
      </c>
      <c r="F221" s="3">
        <v>3598.1</v>
      </c>
      <c r="G221" s="3">
        <v>4325</v>
      </c>
    </row>
    <row r="222" spans="2:8">
      <c r="B222" s="1">
        <v>45626</v>
      </c>
      <c r="C222" s="3">
        <v>4419.5600000000004</v>
      </c>
      <c r="D222" s="3">
        <v>96407.99</v>
      </c>
      <c r="E222" s="3">
        <v>3.46</v>
      </c>
      <c r="F222" s="3">
        <v>3706.3</v>
      </c>
      <c r="G222" s="3">
        <v>4300</v>
      </c>
    </row>
    <row r="223" spans="2:8">
      <c r="B223" s="1">
        <v>45627</v>
      </c>
      <c r="C223" s="3">
        <v>4419.59</v>
      </c>
      <c r="D223" s="3">
        <v>97185.17</v>
      </c>
      <c r="E223" s="3">
        <v>3.3266</v>
      </c>
      <c r="F223" s="3">
        <v>3710.1</v>
      </c>
      <c r="G223" s="3">
        <v>4338</v>
      </c>
    </row>
    <row r="224" spans="2:8">
      <c r="B224" s="1">
        <v>45628</v>
      </c>
      <c r="C224" s="3">
        <v>4398.53</v>
      </c>
      <c r="D224" s="4">
        <v>95031.74</v>
      </c>
      <c r="E224" s="4">
        <v>3.18</v>
      </c>
      <c r="F224" s="4">
        <v>3582.4</v>
      </c>
      <c r="G224" s="4">
        <v>4369</v>
      </c>
      <c r="H224">
        <v>27</v>
      </c>
    </row>
    <row r="225" spans="2:8">
      <c r="B225" s="1">
        <v>45629</v>
      </c>
      <c r="C225" s="3">
        <v>4438.1000000000004</v>
      </c>
      <c r="D225" s="3">
        <v>94966.55</v>
      </c>
      <c r="E225" s="3">
        <v>3.35</v>
      </c>
      <c r="F225" s="3">
        <v>3604.5</v>
      </c>
      <c r="G225" s="3">
        <v>4387</v>
      </c>
    </row>
    <row r="226" spans="2:8">
      <c r="B226" s="1">
        <v>45630</v>
      </c>
      <c r="C226" s="3">
        <v>4443.45</v>
      </c>
      <c r="D226" s="3">
        <v>95716.12</v>
      </c>
      <c r="E226" s="3">
        <v>3.41</v>
      </c>
      <c r="F226" s="3">
        <v>3706.7</v>
      </c>
      <c r="G226" s="3">
        <v>4362</v>
      </c>
    </row>
    <row r="227" spans="2:8">
      <c r="B227" s="1">
        <v>45631</v>
      </c>
      <c r="C227" s="3">
        <v>4427.9399999999996</v>
      </c>
      <c r="D227" s="3">
        <v>102611.8</v>
      </c>
      <c r="E227" s="3">
        <v>3.24</v>
      </c>
      <c r="F227" s="3">
        <v>3940.1</v>
      </c>
      <c r="G227" s="3">
        <v>4350</v>
      </c>
    </row>
    <row r="228" spans="2:8">
      <c r="B228" s="1">
        <v>45632</v>
      </c>
      <c r="C228" s="3">
        <v>4424.18</v>
      </c>
      <c r="D228" s="3">
        <v>98080.1</v>
      </c>
      <c r="E228" s="3">
        <v>3.86</v>
      </c>
      <c r="F228" s="3">
        <v>3868.8</v>
      </c>
      <c r="G228" s="3">
        <v>4347</v>
      </c>
    </row>
    <row r="229" spans="2:8">
      <c r="B229" s="1">
        <v>45633</v>
      </c>
      <c r="C229" s="3">
        <v>4424.18</v>
      </c>
      <c r="D229" s="3">
        <v>99831.99</v>
      </c>
      <c r="E229" s="3">
        <v>3.63</v>
      </c>
      <c r="F229" s="3">
        <v>4000</v>
      </c>
      <c r="G229" s="3">
        <v>4308</v>
      </c>
    </row>
    <row r="230" spans="2:8">
      <c r="B230" s="1">
        <v>45634</v>
      </c>
      <c r="C230" s="3">
        <v>4424.18</v>
      </c>
      <c r="D230" s="3">
        <v>101109.59</v>
      </c>
      <c r="E230" s="3">
        <v>3.6</v>
      </c>
      <c r="F230" s="3">
        <v>4007.4</v>
      </c>
      <c r="G230" s="3">
        <v>4325</v>
      </c>
    </row>
    <row r="231" spans="2:8">
      <c r="B231" s="1">
        <v>45635</v>
      </c>
      <c r="C231" s="3">
        <v>4426</v>
      </c>
      <c r="D231" s="4">
        <v>98015.98</v>
      </c>
      <c r="E231" s="4">
        <v>3.23</v>
      </c>
      <c r="F231" s="4">
        <v>3842</v>
      </c>
      <c r="G231" s="4">
        <v>4333</v>
      </c>
      <c r="H231">
        <v>28</v>
      </c>
    </row>
    <row r="232" spans="2:8">
      <c r="B232" s="1">
        <v>45636</v>
      </c>
      <c r="C232" s="3">
        <v>4422.58</v>
      </c>
      <c r="D232" s="3">
        <v>97685.21</v>
      </c>
      <c r="E232" s="3">
        <v>3.44</v>
      </c>
      <c r="F232" s="3">
        <v>3748</v>
      </c>
      <c r="G232" s="3">
        <v>4345</v>
      </c>
    </row>
    <row r="233" spans="2:8">
      <c r="B233" s="1">
        <v>45637</v>
      </c>
      <c r="C233" s="3">
        <v>4380.03</v>
      </c>
      <c r="D233" s="3">
        <v>98323.53</v>
      </c>
      <c r="E233" s="3">
        <v>3.87</v>
      </c>
      <c r="F233" s="3">
        <v>3713.5</v>
      </c>
      <c r="G233" s="3">
        <v>4308</v>
      </c>
    </row>
    <row r="234" spans="2:8">
      <c r="B234" s="1">
        <v>45638</v>
      </c>
      <c r="C234" s="3">
        <v>4369.57</v>
      </c>
      <c r="D234" s="3">
        <v>100340</v>
      </c>
      <c r="E234" s="3">
        <v>4.3600000000000003</v>
      </c>
      <c r="F234" s="3">
        <v>3910.9</v>
      </c>
      <c r="G234" s="3">
        <v>4271</v>
      </c>
    </row>
    <row r="235" spans="2:8">
      <c r="B235" s="1">
        <v>45639</v>
      </c>
      <c r="C235" s="3">
        <v>4349.75</v>
      </c>
      <c r="D235" s="3">
        <v>100007.38</v>
      </c>
      <c r="E235" s="3">
        <v>4.16</v>
      </c>
      <c r="F235" s="3">
        <v>3918.5</v>
      </c>
      <c r="G235" s="3">
        <v>4223</v>
      </c>
    </row>
    <row r="236" spans="2:8">
      <c r="B236" s="1">
        <v>45640</v>
      </c>
      <c r="C236" s="3">
        <v>4341.32</v>
      </c>
      <c r="D236" s="3">
        <v>101420</v>
      </c>
      <c r="E236" s="3">
        <v>4.01</v>
      </c>
      <c r="F236" s="3">
        <v>3870.8</v>
      </c>
      <c r="G236" s="3">
        <v>4152</v>
      </c>
    </row>
    <row r="237" spans="2:8">
      <c r="B237" s="1">
        <v>45641</v>
      </c>
      <c r="C237" s="3">
        <v>4341.32</v>
      </c>
      <c r="D237" s="3">
        <v>104463.93</v>
      </c>
      <c r="E237" s="3">
        <v>4.08</v>
      </c>
      <c r="F237" s="3">
        <v>3956</v>
      </c>
      <c r="G237" s="3">
        <v>4152</v>
      </c>
    </row>
    <row r="238" spans="2:8">
      <c r="B238" s="1">
        <v>45642</v>
      </c>
      <c r="C238" s="3">
        <v>4341.32</v>
      </c>
      <c r="D238" s="4">
        <v>105492.89</v>
      </c>
      <c r="E238" s="4">
        <v>3.84</v>
      </c>
      <c r="F238" s="4">
        <v>3944.6</v>
      </c>
      <c r="G238" s="4">
        <v>4186</v>
      </c>
      <c r="H238">
        <v>29</v>
      </c>
    </row>
    <row r="239" spans="2:8">
      <c r="B239" s="1">
        <v>45643</v>
      </c>
      <c r="C239" s="3">
        <v>4316.46</v>
      </c>
      <c r="D239" s="3">
        <v>106974.13</v>
      </c>
      <c r="E239" s="3">
        <v>3.86</v>
      </c>
      <c r="F239" s="3">
        <v>4012.2</v>
      </c>
      <c r="G239" s="3">
        <v>4226</v>
      </c>
    </row>
    <row r="240" spans="2:8">
      <c r="B240" s="1">
        <v>45644</v>
      </c>
      <c r="C240" s="3">
        <v>4321.25</v>
      </c>
      <c r="D240" s="3">
        <v>104492.41</v>
      </c>
      <c r="E240" s="3">
        <v>3.64</v>
      </c>
      <c r="F240" s="3">
        <v>3883.5</v>
      </c>
      <c r="G240" s="3">
        <v>4266</v>
      </c>
    </row>
    <row r="241" spans="2:8">
      <c r="B241" s="1">
        <v>45645</v>
      </c>
      <c r="C241" s="3">
        <v>4385.17</v>
      </c>
      <c r="D241" s="3">
        <v>102400</v>
      </c>
      <c r="E241" s="3">
        <v>3.67</v>
      </c>
      <c r="F241" s="3">
        <v>3701.5</v>
      </c>
      <c r="G241" s="3">
        <v>4312</v>
      </c>
    </row>
    <row r="242" spans="2:8">
      <c r="B242" s="1">
        <v>45646</v>
      </c>
      <c r="C242" s="3">
        <v>4370.3</v>
      </c>
      <c r="D242" s="3">
        <v>95331.22</v>
      </c>
      <c r="E242" s="3">
        <v>2.93</v>
      </c>
      <c r="F242" s="3">
        <v>3287.3</v>
      </c>
      <c r="G242" s="3">
        <v>4338</v>
      </c>
    </row>
    <row r="243" spans="2:8">
      <c r="B243" s="1">
        <v>45647</v>
      </c>
      <c r="C243" s="3">
        <v>4359.18</v>
      </c>
      <c r="D243" s="3">
        <v>97174.19</v>
      </c>
      <c r="E243" s="3">
        <v>2.97</v>
      </c>
      <c r="F243" s="3">
        <v>3382.8</v>
      </c>
      <c r="G243" s="3">
        <v>4312</v>
      </c>
    </row>
    <row r="244" spans="2:8">
      <c r="B244" s="1">
        <v>45648</v>
      </c>
      <c r="C244" s="3">
        <v>4359.18</v>
      </c>
      <c r="D244" s="3">
        <v>96665</v>
      </c>
      <c r="E244" s="3">
        <v>2.93</v>
      </c>
      <c r="F244" s="3">
        <v>3354</v>
      </c>
      <c r="G244" s="3">
        <v>4307</v>
      </c>
    </row>
    <row r="245" spans="2:8">
      <c r="B245" s="1">
        <v>45649</v>
      </c>
      <c r="C245" s="3">
        <v>4373.33</v>
      </c>
      <c r="D245" s="4">
        <v>95916.43</v>
      </c>
      <c r="E245" s="4">
        <v>2.87</v>
      </c>
      <c r="F245" s="4">
        <v>3334.8</v>
      </c>
      <c r="G245" s="4">
        <v>4303</v>
      </c>
      <c r="H245">
        <v>30</v>
      </c>
    </row>
    <row r="246" spans="2:8">
      <c r="B246" s="1">
        <v>45650</v>
      </c>
      <c r="C246" s="3">
        <v>4383.8900000000003</v>
      </c>
      <c r="D246" s="3">
        <v>94195.99</v>
      </c>
      <c r="E246" s="3">
        <v>3.09</v>
      </c>
      <c r="F246" s="3">
        <v>3397.2</v>
      </c>
      <c r="G246" s="3">
        <v>4332</v>
      </c>
    </row>
    <row r="247" spans="2:8">
      <c r="B247" s="1">
        <v>45651</v>
      </c>
      <c r="C247" s="3">
        <v>4380.9399999999996</v>
      </c>
      <c r="D247" s="3">
        <v>99429.6</v>
      </c>
      <c r="E247" s="3">
        <v>2.83</v>
      </c>
      <c r="F247" s="3">
        <v>3320.4</v>
      </c>
      <c r="G247" s="3">
        <v>4329</v>
      </c>
    </row>
    <row r="248" spans="2:8">
      <c r="B248" s="1">
        <v>45652</v>
      </c>
      <c r="C248" s="3">
        <v>4408.54</v>
      </c>
      <c r="D248" s="3">
        <v>95547.46</v>
      </c>
      <c r="E248" s="3">
        <v>2.82</v>
      </c>
      <c r="F248" s="3">
        <v>3315.1</v>
      </c>
      <c r="G248" s="3">
        <v>4328</v>
      </c>
    </row>
    <row r="249" spans="2:8">
      <c r="B249" s="1">
        <v>45653</v>
      </c>
      <c r="C249" s="3">
        <v>4397.8900000000003</v>
      </c>
      <c r="D249" s="3">
        <v>94299.03</v>
      </c>
      <c r="E249" s="3">
        <v>2.96</v>
      </c>
      <c r="F249" s="3">
        <v>3327.5</v>
      </c>
      <c r="G249" s="3">
        <v>4337</v>
      </c>
    </row>
    <row r="250" spans="2:8">
      <c r="B250" s="1">
        <v>45654</v>
      </c>
      <c r="C250" s="3">
        <v>4397.8900000000003</v>
      </c>
      <c r="D250" s="3">
        <v>95203.85</v>
      </c>
      <c r="E250" s="3">
        <v>2.99</v>
      </c>
      <c r="F250" s="3">
        <v>3397.9</v>
      </c>
      <c r="G250" s="3">
        <v>4313</v>
      </c>
    </row>
    <row r="251" spans="2:8">
      <c r="B251" s="1">
        <v>45655</v>
      </c>
      <c r="C251" s="3">
        <v>4398.5200000000004</v>
      </c>
      <c r="D251" s="3">
        <v>93224.38</v>
      </c>
      <c r="E251" s="3">
        <v>2.82</v>
      </c>
      <c r="F251" s="3">
        <v>3341.4</v>
      </c>
      <c r="G251" s="3">
        <v>4321</v>
      </c>
    </row>
    <row r="252" spans="2:8">
      <c r="B252" s="1">
        <v>45656</v>
      </c>
      <c r="C252" s="3">
        <v>4388.83</v>
      </c>
      <c r="D252" s="4">
        <v>93880</v>
      </c>
      <c r="E252" s="4">
        <v>2.81</v>
      </c>
      <c r="F252" s="4">
        <v>3413.8</v>
      </c>
      <c r="G252" s="4">
        <v>4322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2"/>
  <sheetViews>
    <sheetView topLeftCell="G79" workbookViewId="0">
      <selection activeCell="I38" sqref="I38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34" ca="1" si="0">TODAY()</f>
        <v>45656</v>
      </c>
      <c r="C3" s="2">
        <f ca="1">VLOOKUP(B3,Tabla4[],2,FALSE)</f>
        <v>4388.83</v>
      </c>
      <c r="D3" s="3">
        <f ca="1">VLOOKUP(B3,Tabla4[],3,FALSE)</f>
        <v>93880</v>
      </c>
      <c r="E3" s="2">
        <f ca="1">VLOOKUP(B3,Tabla4[],5,FALSE)</f>
        <v>3413.8</v>
      </c>
      <c r="F3" s="2">
        <f ca="1">VLOOKUP(B3,Tabla4[],4,FALSE)</f>
        <v>2.81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t="shared" ref="M3:M34" ca="1" si="1" xml:space="preserve"> K3 * (IF(G3="BTC", D3, IF(G3="ETH", E3, IF(G3="IO.NET", F3, 0)))) * C3</f>
        <v>1038.2988682079999</v>
      </c>
      <c r="N3" s="32">
        <f t="shared" ref="N3:N34" ca="1" si="2">IF(G3 = "BTC", (D3 - J3) / J3,
 IF(G3 = "ETH", (E3 - J3) / J3,
 IF(G3 = "IO.NET", (F3 - J3) / J3,
 "Moneda no soportada")))</f>
        <v>0.32324129279603087</v>
      </c>
      <c r="O3" s="9">
        <v>0.25</v>
      </c>
      <c r="P3" s="9">
        <v>0.5</v>
      </c>
      <c r="Q3" t="str">
        <f t="shared" ref="Q3:Q34" ca="1" si="3">IF(N3 &lt; O3, "MANTENER", IF(N3 &lt; P3, "VENTA PARCIAL", "VENDER"))</f>
        <v>VENTA PARCIAL</v>
      </c>
      <c r="T3" s="2"/>
      <c r="U3" s="14">
        <f>Tabla6[[#This Row],[cantidad]]-Tabla6[[#This Row],[CANTIDAD VENDIDA]]</f>
        <v>2.52E-6</v>
      </c>
      <c r="V3" s="2">
        <f t="shared" ref="V3:V34" ca="1" si="4">IF(G3="BTC", D3 * U3 * C3, IF(G3="ETH", E3 * U3 * C3, IF(G3="IO.NET", F3 * U3 * C3, 0)))</f>
        <v>1038.2988682079999</v>
      </c>
      <c r="W3" s="2">
        <f t="shared" ref="W3:W34" si="5">IF(G3 = "BTC", ((T3 - L3)), IF(G3 = "ETH", ((T3 - L3)), IF(G3 = "IO.NET", ((T3 - L3)), "Moneda no soportada")))</f>
        <v>-702.89888885999994</v>
      </c>
      <c r="X3" s="9">
        <f t="shared" ref="X3:X34" ca="1" si="6">IF(G3 = "BTC", (((D3 - J3) / J3)),IF(G3 = "ETH", ((E3 - J3) / J3), IF(G3 = "IO.NET", ((F3 - J3) / J3), "Moneda no soportada")))</f>
        <v>0.32324129279603087</v>
      </c>
      <c r="Y3" s="2" t="str">
        <f t="shared" ref="Y3:Y34" si="7">IF(U3=0,"VENDIDA","ACTIVA")</f>
        <v>ACTIVA</v>
      </c>
    </row>
    <row r="4" spans="2:26">
      <c r="B4" s="1">
        <f t="shared" ca="1" si="0"/>
        <v>45656</v>
      </c>
      <c r="C4" s="2">
        <f ca="1">VLOOKUP(B4,Tabla4[],2,FALSE)</f>
        <v>4388.83</v>
      </c>
      <c r="D4" s="3">
        <f ca="1">VLOOKUP(B4,Tabla4[],3,FALSE)</f>
        <v>93880</v>
      </c>
      <c r="E4" s="2">
        <f ca="1">VLOOKUP(B4,Tabla4[],5,FALSE)</f>
        <v>3413.8</v>
      </c>
      <c r="F4" s="2">
        <f ca="1">VLOOKUP(B4,Tabla4[],4,FALSE)</f>
        <v>2.81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ca="1" si="1"/>
        <v>707.17814670880011</v>
      </c>
      <c r="N4" s="32">
        <f t="shared" ca="1" si="2"/>
        <v>-0.10194117291144363</v>
      </c>
      <c r="O4" s="9">
        <v>0.25</v>
      </c>
      <c r="P4" s="9">
        <v>0.5</v>
      </c>
      <c r="Q4" t="str">
        <f t="shared" ca="1" si="3"/>
        <v>MANTENER</v>
      </c>
      <c r="T4" s="2"/>
      <c r="U4" s="14">
        <f>Tabla6[[#This Row],[cantidad]]-Tabla6[[#This Row],[CANTIDAD VENDIDA]]</f>
        <v>4.7200000000000002E-5</v>
      </c>
      <c r="V4" s="2">
        <f t="shared" ca="1" si="4"/>
        <v>707.17814670880011</v>
      </c>
      <c r="W4" s="2">
        <f t="shared" si="5"/>
        <v>-705.39693250799996</v>
      </c>
      <c r="X4" s="9">
        <f t="shared" ca="1" si="6"/>
        <v>-0.10194117291144363</v>
      </c>
      <c r="Y4" s="2" t="str">
        <f t="shared" si="7"/>
        <v>ACTIVA</v>
      </c>
    </row>
    <row r="5" spans="2:26">
      <c r="B5" s="1">
        <f t="shared" ca="1" si="0"/>
        <v>45656</v>
      </c>
      <c r="C5" s="2">
        <f ca="1">VLOOKUP(B5,Tabla4[],2,FALSE)</f>
        <v>4388.83</v>
      </c>
      <c r="D5" s="3">
        <f ca="1">VLOOKUP(B5,Tabla4[],3,FALSE)</f>
        <v>93880</v>
      </c>
      <c r="E5" s="2">
        <f ca="1">VLOOKUP(B5,Tabla4[],5,FALSE)</f>
        <v>3413.8</v>
      </c>
      <c r="F5" s="2">
        <f ca="1">VLOOKUP(B5,Tabla4[],4,FALSE)</f>
        <v>2.81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1"/>
        <v>1058.9000362280001</v>
      </c>
      <c r="N5" s="32">
        <f t="shared" ca="1" si="2"/>
        <v>0.35515907384952944</v>
      </c>
      <c r="O5" s="9">
        <v>0.25</v>
      </c>
      <c r="P5" s="9">
        <v>0.5</v>
      </c>
      <c r="Q5" t="str">
        <f t="shared" ca="1" si="3"/>
        <v>VENTA PARCIAL</v>
      </c>
      <c r="T5" s="2"/>
      <c r="U5" s="14">
        <f>Tabla6[[#This Row],[cantidad]]-Tabla6[[#This Row],[CANTIDAD VENDIDA]]</f>
        <v>2.57E-6</v>
      </c>
      <c r="V5" s="2">
        <f t="shared" ca="1" si="4"/>
        <v>1058.9000362280001</v>
      </c>
      <c r="W5" s="2">
        <f t="shared" si="5"/>
        <v>-711.38458935120002</v>
      </c>
      <c r="X5" s="9">
        <f t="shared" ca="1" si="6"/>
        <v>0.35515907384952944</v>
      </c>
      <c r="Y5" s="2" t="str">
        <f t="shared" si="7"/>
        <v>ACTIVA</v>
      </c>
    </row>
    <row r="6" spans="2:26">
      <c r="B6" s="1">
        <f t="shared" ca="1" si="0"/>
        <v>45656</v>
      </c>
      <c r="C6" s="2">
        <f ca="1">VLOOKUP(B6,Tabla4[],2,FALSE)</f>
        <v>4388.83</v>
      </c>
      <c r="D6" s="3">
        <f ca="1">VLOOKUP(B6,Tabla4[],3,FALSE)</f>
        <v>93880</v>
      </c>
      <c r="E6" s="2">
        <f ca="1">VLOOKUP(B6,Tabla4[],5,FALSE)</f>
        <v>3413.8</v>
      </c>
      <c r="F6" s="2">
        <f ca="1">VLOOKUP(B6,Tabla4[],4,FALSE)</f>
        <v>2.81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1"/>
        <v>729.20255085418</v>
      </c>
      <c r="N6" s="32">
        <f t="shared" ca="1" si="2"/>
        <v>-6.9728150683438253E-2</v>
      </c>
      <c r="O6" s="9">
        <v>0.25</v>
      </c>
      <c r="P6" s="9">
        <v>0.5</v>
      </c>
      <c r="Q6" t="str">
        <f t="shared" ca="1" si="3"/>
        <v>MANTENER</v>
      </c>
      <c r="T6" s="2"/>
      <c r="U6" s="14">
        <f>Tabla6[[#This Row],[cantidad]]-Tabla6[[#This Row],[CANTIDAD VENDIDA]]</f>
        <v>4.867E-5</v>
      </c>
      <c r="V6" s="2">
        <f t="shared" ca="1" si="4"/>
        <v>729.20255085418</v>
      </c>
      <c r="W6" s="2">
        <f t="shared" si="5"/>
        <v>-713.63816396689595</v>
      </c>
      <c r="X6" s="9">
        <f t="shared" ca="1" si="6"/>
        <v>-6.9728150683438253E-2</v>
      </c>
      <c r="Y6" s="2" t="str">
        <f t="shared" si="7"/>
        <v>ACTIVA</v>
      </c>
    </row>
    <row r="7" spans="2:26">
      <c r="B7" s="1">
        <f t="shared" ca="1" si="0"/>
        <v>45656</v>
      </c>
      <c r="C7" s="2">
        <f ca="1">VLOOKUP(B7,Tabla4[],2,FALSE)</f>
        <v>4388.83</v>
      </c>
      <c r="D7" s="3">
        <f ca="1">VLOOKUP(B7,Tabla4[],3,FALSE)</f>
        <v>93880</v>
      </c>
      <c r="E7" s="2">
        <f ca="1">VLOOKUP(B7,Tabla4[],5,FALSE)</f>
        <v>3413.8</v>
      </c>
      <c r="F7" s="2">
        <f ca="1">VLOOKUP(B7,Tabla4[],4,FALSE)</f>
        <v>2.81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1"/>
        <v>1083.6214378519999</v>
      </c>
      <c r="N7" s="32">
        <f t="shared" ca="1" si="2"/>
        <v>0.41236860594043329</v>
      </c>
      <c r="O7" s="9">
        <v>0.25</v>
      </c>
      <c r="P7" s="9">
        <v>0.5</v>
      </c>
      <c r="Q7" t="str">
        <f t="shared" ca="1" si="3"/>
        <v>VENTA PARCIAL</v>
      </c>
      <c r="T7" s="2"/>
      <c r="U7" s="14">
        <f>Tabla6[[#This Row],[cantidad]]-Tabla6[[#This Row],[CANTIDAD VENDIDA]]</f>
        <v>2.6299999999999998E-6</v>
      </c>
      <c r="V7" s="2">
        <f t="shared" ca="1" si="4"/>
        <v>1083.6214378519999</v>
      </c>
      <c r="W7" s="2">
        <f t="shared" si="5"/>
        <v>-721.88976178291</v>
      </c>
      <c r="X7" s="9">
        <f t="shared" ca="1" si="6"/>
        <v>0.41236860594043329</v>
      </c>
      <c r="Y7" s="2" t="str">
        <f t="shared" si="7"/>
        <v>ACTIVA</v>
      </c>
    </row>
    <row r="8" spans="2:26">
      <c r="B8" s="1">
        <f t="shared" ca="1" si="0"/>
        <v>45656</v>
      </c>
      <c r="C8" s="2">
        <f ca="1">VLOOKUP(B8,Tabla4[],2,FALSE)</f>
        <v>4388.83</v>
      </c>
      <c r="D8" s="3">
        <f ca="1">VLOOKUP(B8,Tabla4[],3,FALSE)</f>
        <v>93880</v>
      </c>
      <c r="E8" s="2">
        <f ca="1">VLOOKUP(B8,Tabla4[],5,FALSE)</f>
        <v>3413.8</v>
      </c>
      <c r="F8" s="2">
        <f ca="1">VLOOKUP(B8,Tabla4[],4,FALSE)</f>
        <v>2.81</v>
      </c>
      <c r="G8" t="s">
        <v>15</v>
      </c>
      <c r="H8" s="1">
        <v>45460</v>
      </c>
      <c r="I8" s="3">
        <f>VLOOKUP(H8,Tabla4[],2,FALSE)</f>
        <v>4129.43</v>
      </c>
      <c r="J8" s="3">
        <v>3505.79</v>
      </c>
      <c r="K8" s="11">
        <v>4.9200000000000003E-5</v>
      </c>
      <c r="L8" s="7">
        <f>Tabla6[[#This Row],[precio de compra]]*Tabla6[[#This Row],[cantidad]]*Tabla6[[#This Row],[PRECIO DEL DÓLAR, DIA COMPRA]]</f>
        <v>712.26418846524007</v>
      </c>
      <c r="M8" s="13">
        <f t="shared" ca="1" si="1"/>
        <v>737.14332241680006</v>
      </c>
      <c r="N8" s="32">
        <f t="shared" ca="1" si="2"/>
        <v>-2.6239449596239302E-2</v>
      </c>
      <c r="O8" s="9">
        <v>0.25</v>
      </c>
      <c r="P8" s="9">
        <v>0.5</v>
      </c>
      <c r="Q8" t="str">
        <f t="shared" ca="1" si="3"/>
        <v>MANTENER</v>
      </c>
      <c r="T8" s="2"/>
      <c r="U8" s="14">
        <f>Tabla6[[#This Row],[cantidad]]-Tabla6[[#This Row],[CANTIDAD VENDIDA]]</f>
        <v>4.9200000000000003E-5</v>
      </c>
      <c r="V8" s="2">
        <f t="shared" ca="1" si="4"/>
        <v>737.14332241680006</v>
      </c>
      <c r="W8" s="2">
        <f t="shared" si="5"/>
        <v>-712.26418846524007</v>
      </c>
      <c r="X8" s="9">
        <f t="shared" ca="1" si="6"/>
        <v>-2.6239449596239302E-2</v>
      </c>
      <c r="Y8" s="2" t="str">
        <f t="shared" si="7"/>
        <v>ACTIVA</v>
      </c>
    </row>
    <row r="9" spans="2:26">
      <c r="B9" s="1">
        <f t="shared" ca="1" si="0"/>
        <v>45656</v>
      </c>
      <c r="C9" s="2">
        <f ca="1">VLOOKUP(B9,Tabla4[],2,FALSE)</f>
        <v>4388.83</v>
      </c>
      <c r="D9" s="3">
        <f ca="1">VLOOKUP(B9,Tabla4[],3,FALSE)</f>
        <v>93880</v>
      </c>
      <c r="E9" s="2">
        <f ca="1">VLOOKUP(B9,Tabla4[],5,FALSE)</f>
        <v>3413.8</v>
      </c>
      <c r="F9" s="2">
        <f ca="1">VLOOKUP(B9,Tabla4[],4,FALSE)</f>
        <v>2.81</v>
      </c>
      <c r="G9" t="s">
        <v>41</v>
      </c>
      <c r="H9" s="1">
        <v>45460</v>
      </c>
      <c r="I9" s="3">
        <f>VLOOKUP(H9,Tabla4[],2,FALSE)</f>
        <v>4129.43</v>
      </c>
      <c r="J9" s="3">
        <v>4.2300000000000004</v>
      </c>
      <c r="K9" s="11">
        <v>3.8710769999999999E-2</v>
      </c>
      <c r="L9" s="7">
        <f>Tabla6[[#This Row],[precio de compra]]*Tabla6[[#This Row],[cantidad]]*Tabla6[[#This Row],[PRECIO DEL DÓLAR, DIA COMPRA]]</f>
        <v>676.17994528545319</v>
      </c>
      <c r="M9" s="13">
        <f t="shared" ca="1" si="1"/>
        <v>477.40491824447099</v>
      </c>
      <c r="N9" s="32">
        <f t="shared" ca="1" si="2"/>
        <v>-0.3356973995271868</v>
      </c>
      <c r="O9" s="9">
        <v>0.25</v>
      </c>
      <c r="P9" s="9">
        <v>0.5</v>
      </c>
      <c r="Q9" t="str">
        <f t="shared" ca="1" si="3"/>
        <v>MANTENER</v>
      </c>
      <c r="T9" s="2"/>
      <c r="U9" s="14">
        <f>Tabla6[[#This Row],[cantidad]]-Tabla6[[#This Row],[CANTIDAD VENDIDA]]</f>
        <v>3.8710769999999999E-2</v>
      </c>
      <c r="V9" s="2">
        <f t="shared" ca="1" si="4"/>
        <v>477.40491824447099</v>
      </c>
      <c r="W9" s="2">
        <f t="shared" si="5"/>
        <v>-676.17994528545319</v>
      </c>
      <c r="X9" s="9">
        <f t="shared" ca="1" si="6"/>
        <v>-0.3356973995271868</v>
      </c>
      <c r="Y9" s="2" t="str">
        <f t="shared" si="7"/>
        <v>ACTIVA</v>
      </c>
    </row>
    <row r="10" spans="2:26">
      <c r="B10" s="1">
        <f t="shared" ca="1" si="0"/>
        <v>45656</v>
      </c>
      <c r="C10" s="2">
        <f ca="1">VLOOKUP(B10,Tabla4[],2,FALSE)</f>
        <v>4388.83</v>
      </c>
      <c r="D10" s="3">
        <f ca="1">VLOOKUP(B10,Tabla4[],3,FALSE)</f>
        <v>93880</v>
      </c>
      <c r="E10" s="2">
        <f ca="1">VLOOKUP(B10,Tabla4[],5,FALSE)</f>
        <v>3413.8</v>
      </c>
      <c r="F10" s="2">
        <f ca="1">VLOOKUP(B10,Tabla4[],4,FALSE)</f>
        <v>2.81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1"/>
        <v>1120.7035402879999</v>
      </c>
      <c r="N10" s="32">
        <f t="shared" ca="1" si="2"/>
        <v>0.52796494860126442</v>
      </c>
      <c r="O10" s="9">
        <v>0.25</v>
      </c>
      <c r="P10" s="9">
        <v>0.5</v>
      </c>
      <c r="Q10" t="str">
        <f t="shared" ca="1" si="3"/>
        <v>VENDER</v>
      </c>
      <c r="T10" s="2"/>
      <c r="U10" s="14">
        <f>Tabla6[[#This Row],[cantidad]]-Tabla6[[#This Row],[CANTIDAD VENDIDA]]</f>
        <v>2.7199999999999998E-6</v>
      </c>
      <c r="V10" s="2">
        <f t="shared" ca="1" si="4"/>
        <v>1120.7035402879999</v>
      </c>
      <c r="W10" s="2">
        <f t="shared" si="5"/>
        <v>-692.62576284671991</v>
      </c>
      <c r="X10" s="9">
        <f t="shared" ca="1" si="6"/>
        <v>0.52796494860126442</v>
      </c>
      <c r="Y10" s="2" t="str">
        <f t="shared" si="7"/>
        <v>ACTIVA</v>
      </c>
    </row>
    <row r="11" spans="2:26">
      <c r="B11" s="1">
        <f t="shared" ca="1" si="0"/>
        <v>45656</v>
      </c>
      <c r="C11" s="2">
        <f ca="1">VLOOKUP(B11,Tabla4[],2,FALSE)</f>
        <v>4388.83</v>
      </c>
      <c r="D11" s="3">
        <f ca="1">VLOOKUP(B11,Tabla4[],3,FALSE)</f>
        <v>93880</v>
      </c>
      <c r="E11" s="2">
        <f ca="1">VLOOKUP(B11,Tabla4[],5,FALSE)</f>
        <v>3413.8</v>
      </c>
      <c r="F11" s="2">
        <f ca="1">VLOOKUP(B11,Tabla4[],4,FALSE)</f>
        <v>2.81</v>
      </c>
      <c r="G11" t="s">
        <v>15</v>
      </c>
      <c r="H11" s="1">
        <v>45467</v>
      </c>
      <c r="I11" s="3">
        <f>VLOOKUP(H11,Tabla4[],2,FALSE)</f>
        <v>4144.4799999999996</v>
      </c>
      <c r="J11" s="3">
        <v>3377.81</v>
      </c>
      <c r="K11" s="11">
        <v>5.0609999999999998E-5</v>
      </c>
      <c r="L11" s="15">
        <f>Tabla6[[#This Row],[precio de compra]]*Tabla6[[#This Row],[cantidad]]*Tabla6[[#This Row],[PRECIO DEL DÓLAR, DIA COMPRA]]</f>
        <v>708.50285169316794</v>
      </c>
      <c r="M11" s="13">
        <f t="shared" ca="1" si="1"/>
        <v>758.26877129093998</v>
      </c>
      <c r="N11" s="32">
        <f t="shared" ca="1" si="2"/>
        <v>1.0654832569031485E-2</v>
      </c>
      <c r="O11" s="9">
        <v>0.25</v>
      </c>
      <c r="P11" s="9">
        <v>0.5</v>
      </c>
      <c r="Q11" t="str">
        <f t="shared" ca="1" si="3"/>
        <v>MANTENER</v>
      </c>
      <c r="T11" s="2"/>
      <c r="U11" s="14">
        <f>Tabla6[[#This Row],[cantidad]]-Tabla6[[#This Row],[CANTIDAD VENDIDA]]</f>
        <v>5.0609999999999998E-5</v>
      </c>
      <c r="V11" s="2">
        <f t="shared" ca="1" si="4"/>
        <v>758.26877129093998</v>
      </c>
      <c r="W11" s="2">
        <f t="shared" si="5"/>
        <v>-708.50285169316794</v>
      </c>
      <c r="X11" s="9">
        <f t="shared" ca="1" si="6"/>
        <v>1.0654832569031485E-2</v>
      </c>
      <c r="Y11" s="2" t="str">
        <f t="shared" si="7"/>
        <v>ACTIVA</v>
      </c>
    </row>
    <row r="12" spans="2:26">
      <c r="B12" s="1">
        <f t="shared" ca="1" si="0"/>
        <v>45656</v>
      </c>
      <c r="C12" s="2">
        <f ca="1">VLOOKUP(B12,Tabla4[],2,FALSE)</f>
        <v>4388.83</v>
      </c>
      <c r="D12" s="3">
        <f ca="1">VLOOKUP(B12,Tabla4[],3,FALSE)</f>
        <v>93880</v>
      </c>
      <c r="E12" s="2">
        <f ca="1">VLOOKUP(B12,Tabla4[],5,FALSE)</f>
        <v>3413.8</v>
      </c>
      <c r="F12" s="2">
        <f ca="1">VLOOKUP(B12,Tabla4[],4,FALSE)</f>
        <v>2.81</v>
      </c>
      <c r="G12" t="s">
        <v>41</v>
      </c>
      <c r="H12" s="1">
        <v>45467</v>
      </c>
      <c r="I12" s="3">
        <f>VLOOKUP(H12,Tabla4[],2,FALSE)</f>
        <v>4144.4799999999996</v>
      </c>
      <c r="J12" s="3">
        <v>3.4</v>
      </c>
      <c r="K12" s="11">
        <v>5.2726009999999997E-2</v>
      </c>
      <c r="L12" s="7">
        <f>Tabla6[[#This Row],[precio de compra]]*Tabla6[[#This Row],[cantidad]]*Tabla6[[#This Row],[PRECIO DEL DÓLAR, DIA COMPRA]]</f>
        <v>742.97443934431988</v>
      </c>
      <c r="M12" s="13">
        <f t="shared" ca="1" si="1"/>
        <v>650.24943945592304</v>
      </c>
      <c r="N12" s="32">
        <f t="shared" ca="1" si="2"/>
        <v>-0.17352941176470585</v>
      </c>
      <c r="O12" s="9">
        <v>0.1</v>
      </c>
      <c r="P12" s="9">
        <v>0.3</v>
      </c>
      <c r="Q12" t="str">
        <f t="shared" ca="1" si="3"/>
        <v>MANTENER</v>
      </c>
      <c r="T12" s="2"/>
      <c r="U12" s="14">
        <f>Tabla6[[#This Row],[cantidad]]-Tabla6[[#This Row],[CANTIDAD VENDIDA]]</f>
        <v>5.2726009999999997E-2</v>
      </c>
      <c r="V12" s="2">
        <f t="shared" ca="1" si="4"/>
        <v>650.24943945592304</v>
      </c>
      <c r="W12" s="2">
        <f t="shared" si="5"/>
        <v>-742.97443934431988</v>
      </c>
      <c r="X12" s="9">
        <f t="shared" ca="1" si="6"/>
        <v>-0.17352941176470585</v>
      </c>
      <c r="Y12" s="2" t="str">
        <f t="shared" si="7"/>
        <v>ACTIVA</v>
      </c>
    </row>
    <row r="13" spans="2:26">
      <c r="B13" s="1">
        <f t="shared" ca="1" si="0"/>
        <v>45656</v>
      </c>
      <c r="C13" s="2">
        <f ca="1">VLOOKUP(B13,Tabla4[],2,FALSE)</f>
        <v>4388.83</v>
      </c>
      <c r="D13" s="3">
        <f ca="1">VLOOKUP(B13,Tabla4[],3,FALSE)</f>
        <v>93880</v>
      </c>
      <c r="E13" s="2">
        <f ca="1">VLOOKUP(B13,Tabla4[],5,FALSE)</f>
        <v>3413.8</v>
      </c>
      <c r="F13" s="2">
        <f ca="1">VLOOKUP(B13,Tabla4[],4,FALSE)</f>
        <v>2.81</v>
      </c>
      <c r="G13" t="s">
        <v>14</v>
      </c>
      <c r="H13" s="1">
        <v>45475</v>
      </c>
      <c r="I13" s="3">
        <f>VLOOKUP(H13,Tabla4[],2,FALSE)</f>
        <v>4129.08</v>
      </c>
      <c r="J13" s="3">
        <v>60973.4</v>
      </c>
      <c r="K13" s="11">
        <v>2.7099999999999999E-6</v>
      </c>
      <c r="L13" s="7">
        <f>Tabla6[[#This Row],[precio de compra]]*Tabla6[[#This Row],[cantidad]]*Tabla6[[#This Row],[PRECIO DEL DÓLAR, DIA COMPRA]]</f>
        <v>682.28056593911992</v>
      </c>
      <c r="M13" s="13">
        <f t="shared" ca="1" si="1"/>
        <v>1116.583306684</v>
      </c>
      <c r="N13" s="32">
        <f t="shared" ca="1" si="2"/>
        <v>0.53968779828580982</v>
      </c>
      <c r="O13" s="9">
        <v>0.25</v>
      </c>
      <c r="P13" s="9">
        <v>0.5</v>
      </c>
      <c r="Q13" t="str">
        <f t="shared" ca="1" si="3"/>
        <v>VENDER</v>
      </c>
      <c r="T13" s="2"/>
      <c r="U13" s="14">
        <f>Tabla6[[#This Row],[cantidad]]-Tabla6[[#This Row],[CANTIDAD VENDIDA]]</f>
        <v>2.7099999999999999E-6</v>
      </c>
      <c r="V13" s="2">
        <f t="shared" ca="1" si="4"/>
        <v>1116.583306684</v>
      </c>
      <c r="W13" s="2">
        <f t="shared" si="5"/>
        <v>-682.28056593911992</v>
      </c>
      <c r="X13" s="9">
        <f t="shared" ca="1" si="6"/>
        <v>0.53968779828580982</v>
      </c>
      <c r="Y13" s="2" t="str">
        <f t="shared" si="7"/>
        <v>ACTIVA</v>
      </c>
    </row>
    <row r="14" spans="2:26">
      <c r="B14" s="1">
        <f t="shared" ca="1" si="0"/>
        <v>45656</v>
      </c>
      <c r="C14" s="2">
        <f ca="1">VLOOKUP(B14,Tabla4[],2,FALSE)</f>
        <v>4388.83</v>
      </c>
      <c r="D14" s="3">
        <f ca="1">VLOOKUP(B14,Tabla4[],3,FALSE)</f>
        <v>93880</v>
      </c>
      <c r="E14" s="2">
        <f ca="1">VLOOKUP(B14,Tabla4[],5,FALSE)</f>
        <v>3413.8</v>
      </c>
      <c r="F14" s="2">
        <f ca="1">VLOOKUP(B14,Tabla4[],4,FALSE)</f>
        <v>2.81</v>
      </c>
      <c r="G14" t="s">
        <v>41</v>
      </c>
      <c r="H14" s="1">
        <v>45475</v>
      </c>
      <c r="I14" s="3">
        <f>VLOOKUP(H14,Tabla4[],2,FALSE)</f>
        <v>4129.08</v>
      </c>
      <c r="J14" s="3">
        <v>2.83</v>
      </c>
      <c r="K14" s="11">
        <v>2.7487640000000001E-2</v>
      </c>
      <c r="L14" s="7">
        <f>Tabla6[[#This Row],[precio de compra]]*Tabla6[[#This Row],[cantidad]]*Tabla6[[#This Row],[PRECIO DEL DÓLAR, DIA COMPRA]]</f>
        <v>321.201220736496</v>
      </c>
      <c r="M14" s="13">
        <f t="shared" ca="1" si="1"/>
        <v>338.99440716197205</v>
      </c>
      <c r="N14" s="32">
        <f t="shared" ca="1" si="2"/>
        <v>-7.0671378091872851E-3</v>
      </c>
      <c r="O14" s="9">
        <v>0.1</v>
      </c>
      <c r="P14" s="9">
        <v>0.3</v>
      </c>
      <c r="Q14" t="str">
        <f t="shared" ca="1" si="3"/>
        <v>MANTENER</v>
      </c>
      <c r="T14" s="2"/>
      <c r="U14" s="14">
        <f>Tabla6[[#This Row],[cantidad]]-Tabla6[[#This Row],[CANTIDAD VENDIDA]]</f>
        <v>2.7487640000000001E-2</v>
      </c>
      <c r="V14" s="2">
        <f t="shared" ca="1" si="4"/>
        <v>338.99440716197205</v>
      </c>
      <c r="W14" s="2">
        <f t="shared" si="5"/>
        <v>-321.201220736496</v>
      </c>
      <c r="X14" s="9">
        <f t="shared" ca="1" si="6"/>
        <v>-7.0671378091872851E-3</v>
      </c>
      <c r="Y14" s="2" t="str">
        <f t="shared" si="7"/>
        <v>ACTIVA</v>
      </c>
    </row>
    <row r="15" spans="2:26">
      <c r="B15" s="1">
        <f t="shared" ca="1" si="0"/>
        <v>45656</v>
      </c>
      <c r="C15" s="2">
        <f ca="1">VLOOKUP(B15,Tabla4[],2,FALSE)</f>
        <v>4388.83</v>
      </c>
      <c r="D15" s="3">
        <f ca="1">VLOOKUP(B15,Tabla4[],3,FALSE)</f>
        <v>93880</v>
      </c>
      <c r="E15" s="2">
        <f ca="1">VLOOKUP(B15,Tabla4[],5,FALSE)</f>
        <v>3413.8</v>
      </c>
      <c r="F15" s="2">
        <f ca="1">VLOOKUP(B15,Tabla4[],4,FALSE)</f>
        <v>2.81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1"/>
        <v>739.24088471636003</v>
      </c>
      <c r="N15" s="32">
        <f t="shared" ca="1" si="2"/>
        <v>1.6305302423616334E-2</v>
      </c>
      <c r="O15" s="9">
        <v>0.25</v>
      </c>
      <c r="P15" s="9">
        <v>0.5</v>
      </c>
      <c r="Q15" t="str">
        <f t="shared" ca="1" si="3"/>
        <v>MANTENER</v>
      </c>
      <c r="T15" s="2"/>
      <c r="U15" s="14">
        <f>Tabla6[[#This Row],[cantidad]]-Tabla6[[#This Row],[CANTIDAD VENDIDA]]</f>
        <v>4.9339999999999999E-5</v>
      </c>
      <c r="V15" s="2">
        <f t="shared" ca="1" si="4"/>
        <v>739.24088471636003</v>
      </c>
      <c r="W15" s="2">
        <f t="shared" si="5"/>
        <v>-684.33117524901604</v>
      </c>
      <c r="X15" s="9">
        <f t="shared" ca="1" si="6"/>
        <v>1.6305302423616334E-2</v>
      </c>
      <c r="Y15" s="2" t="str">
        <f t="shared" si="7"/>
        <v>ACTIVA</v>
      </c>
    </row>
    <row r="16" spans="2:26">
      <c r="B16" s="1">
        <f t="shared" ca="1" si="0"/>
        <v>45656</v>
      </c>
      <c r="C16" s="2">
        <f ca="1">VLOOKUP(B16,Tabla4[],2,FALSE)</f>
        <v>4388.83</v>
      </c>
      <c r="D16" s="3">
        <f ca="1">VLOOKUP(B16,Tabla4[],3,FALSE)</f>
        <v>93880</v>
      </c>
      <c r="E16" s="2">
        <f ca="1">VLOOKUP(B16,Tabla4[],5,FALSE)</f>
        <v>3413.8</v>
      </c>
      <c r="F16" s="2">
        <f ca="1">VLOOKUP(B16,Tabla4[],4,FALSE)</f>
        <v>2.81</v>
      </c>
      <c r="G16" t="s">
        <v>14</v>
      </c>
      <c r="H16" s="1">
        <v>45481</v>
      </c>
      <c r="I16" s="3">
        <f>VLOOKUP(H16,Tabla4[],2,FALSE)</f>
        <v>4078.65</v>
      </c>
      <c r="J16" s="3">
        <v>57094.400000000001</v>
      </c>
      <c r="K16" s="11">
        <v>3.0299999999999998E-6</v>
      </c>
      <c r="L16" s="7">
        <f>Tabla6[[#This Row],[precio de compra]]*Tabla6[[#This Row],[cantidad]]*Tabla6[[#This Row],[PRECIO DEL DÓLAR, DIA COMPRA]]</f>
        <v>705.59026591680004</v>
      </c>
      <c r="M16" s="13">
        <f t="shared" ca="1" si="1"/>
        <v>1248.430782012</v>
      </c>
      <c r="N16" s="32">
        <f t="shared" ca="1" si="2"/>
        <v>0.64429436161865261</v>
      </c>
      <c r="O16" s="9">
        <v>0.25</v>
      </c>
      <c r="P16" s="9">
        <v>0.5</v>
      </c>
      <c r="Q16" t="str">
        <f t="shared" ca="1" si="3"/>
        <v>VENDER</v>
      </c>
      <c r="T16" s="2"/>
      <c r="U16" s="14">
        <f>Tabla6[[#This Row],[cantidad]]-Tabla6[[#This Row],[CANTIDAD VENDIDA]]</f>
        <v>3.0299999999999998E-6</v>
      </c>
      <c r="V16" s="2">
        <f t="shared" ca="1" si="4"/>
        <v>1248.430782012</v>
      </c>
      <c r="W16" s="2">
        <f t="shared" si="5"/>
        <v>-705.59026591680004</v>
      </c>
      <c r="X16" s="9">
        <f t="shared" ca="1" si="6"/>
        <v>0.64429436161865261</v>
      </c>
      <c r="Y16" s="2" t="str">
        <f t="shared" si="7"/>
        <v>ACTIVA</v>
      </c>
    </row>
    <row r="17" spans="2:25">
      <c r="B17" s="1">
        <f t="shared" ca="1" si="0"/>
        <v>45656</v>
      </c>
      <c r="C17" s="2">
        <f ca="1">VLOOKUP(B17,Tabla4[],2,FALSE)</f>
        <v>4388.83</v>
      </c>
      <c r="D17" s="3">
        <f ca="1">VLOOKUP(B17,Tabla4[],3,FALSE)</f>
        <v>93880</v>
      </c>
      <c r="E17" s="2">
        <f ca="1">VLOOKUP(B17,Tabla4[],5,FALSE)</f>
        <v>3413.8</v>
      </c>
      <c r="F17" s="2">
        <f ca="1">VLOOKUP(B17,Tabla4[],4,FALSE)</f>
        <v>2.81</v>
      </c>
      <c r="G17" t="s">
        <v>41</v>
      </c>
      <c r="H17" s="1">
        <v>45481</v>
      </c>
      <c r="I17" s="3">
        <f>VLOOKUP(H17,Tabla4[],2,FALSE)</f>
        <v>4078.65</v>
      </c>
      <c r="J17" s="3">
        <v>2.29</v>
      </c>
      <c r="K17" s="11">
        <v>3.8638079999999998E-2</v>
      </c>
      <c r="L17" s="7">
        <f>Tabla6[[#This Row],[precio de compra]]*Tabla6[[#This Row],[cantidad]]*Tabla6[[#This Row],[PRECIO DEL DÓLAR, DIA COMPRA]]</f>
        <v>360.88385943167998</v>
      </c>
      <c r="M17" s="13">
        <f t="shared" ca="1" si="1"/>
        <v>476.50846065638399</v>
      </c>
      <c r="N17" s="32">
        <f t="shared" ca="1" si="2"/>
        <v>0.22707423580786026</v>
      </c>
      <c r="O17" s="9">
        <v>0.1</v>
      </c>
      <c r="P17" s="9">
        <v>0.3</v>
      </c>
      <c r="Q17" t="str">
        <f t="shared" ca="1" si="3"/>
        <v>VENTA PARCIAL</v>
      </c>
      <c r="S17">
        <v>3.8638079999999998E-2</v>
      </c>
      <c r="T17" s="2">
        <v>415</v>
      </c>
      <c r="U17" s="14">
        <f>Tabla6[[#This Row],[cantidad]]-Tabla6[[#This Row],[CANTIDAD VENDIDA]]</f>
        <v>0</v>
      </c>
      <c r="V17" s="2">
        <f t="shared" ca="1" si="4"/>
        <v>0</v>
      </c>
      <c r="W17" s="2">
        <f t="shared" si="5"/>
        <v>54.11614056832002</v>
      </c>
      <c r="X17" s="9">
        <f t="shared" ca="1" si="6"/>
        <v>0.22707423580786026</v>
      </c>
      <c r="Y17" s="2" t="str">
        <f t="shared" si="7"/>
        <v>VENDIDA</v>
      </c>
    </row>
    <row r="18" spans="2:25">
      <c r="B18" s="1">
        <f t="shared" ca="1" si="0"/>
        <v>45656</v>
      </c>
      <c r="C18" s="2">
        <f ca="1">VLOOKUP(B18,Tabla4[],2,FALSE)</f>
        <v>4388.83</v>
      </c>
      <c r="D18" s="3">
        <f ca="1">VLOOKUP(B18,Tabla4[],3,FALSE)</f>
        <v>93880</v>
      </c>
      <c r="E18" s="2">
        <f ca="1">VLOOKUP(B18,Tabla4[],5,FALSE)</f>
        <v>3413.8</v>
      </c>
      <c r="F18" s="2">
        <f ca="1">VLOOKUP(B18,Tabla4[],4,FALSE)</f>
        <v>2.81</v>
      </c>
      <c r="G18" t="s">
        <v>15</v>
      </c>
      <c r="H18" s="1">
        <v>45481</v>
      </c>
      <c r="I18" s="3">
        <f>VLOOKUP(H18,Tabla4[],2,FALSE)</f>
        <v>4078.65</v>
      </c>
      <c r="J18" s="3">
        <v>3055</v>
      </c>
      <c r="K18" s="11">
        <v>5.6839999999999998E-5</v>
      </c>
      <c r="L18" s="7">
        <f>Tabla6[[#This Row],[precio de compra]]*Tabla6[[#This Row],[cantidad]]*Tabla6[[#This Row],[PRECIO DEL DÓLAR, DIA COMPRA]]</f>
        <v>708.24207363000005</v>
      </c>
      <c r="M18" s="13">
        <f t="shared" ca="1" si="1"/>
        <v>851.61029362136003</v>
      </c>
      <c r="N18" s="32">
        <f t="shared" ca="1" si="2"/>
        <v>0.11744680851063835</v>
      </c>
      <c r="O18" s="9">
        <v>0.25</v>
      </c>
      <c r="P18" s="9">
        <v>0.5</v>
      </c>
      <c r="Q18" t="str">
        <f t="shared" ca="1" si="3"/>
        <v>MANTENER</v>
      </c>
      <c r="T18" s="2"/>
      <c r="U18" s="14">
        <f>Tabla6[[#This Row],[cantidad]]-Tabla6[[#This Row],[CANTIDAD VENDIDA]]</f>
        <v>5.6839999999999998E-5</v>
      </c>
      <c r="V18" s="2">
        <f t="shared" ca="1" si="4"/>
        <v>851.61029362136003</v>
      </c>
      <c r="W18" s="2">
        <f t="shared" si="5"/>
        <v>-708.24207363000005</v>
      </c>
      <c r="X18" s="9">
        <f t="shared" ca="1" si="6"/>
        <v>0.11744680851063835</v>
      </c>
      <c r="Y18" s="2" t="str">
        <f t="shared" si="7"/>
        <v>ACTIVA</v>
      </c>
    </row>
    <row r="19" spans="2:25">
      <c r="B19" s="1">
        <f t="shared" ca="1" si="0"/>
        <v>45656</v>
      </c>
      <c r="C19" s="2">
        <f ca="1">VLOOKUP(B19,Tabla4[],2,FALSE)</f>
        <v>4388.83</v>
      </c>
      <c r="D19" s="3">
        <f ca="1">VLOOKUP(B19,Tabla4[],3,FALSE)</f>
        <v>93880</v>
      </c>
      <c r="E19" s="2">
        <f ca="1">VLOOKUP(B19,Tabla4[],5,FALSE)</f>
        <v>3413.8</v>
      </c>
      <c r="F19" s="2">
        <f ca="1">VLOOKUP(B19,Tabla4[],4,FALSE)</f>
        <v>2.81</v>
      </c>
      <c r="G19" t="s">
        <v>14</v>
      </c>
      <c r="H19" s="1">
        <v>45488</v>
      </c>
      <c r="I19" s="3">
        <f>VLOOKUP(H19,Tabla4[],2,FALSE)</f>
        <v>3993.09</v>
      </c>
      <c r="J19" s="3">
        <v>62959.9</v>
      </c>
      <c r="K19" s="11">
        <v>2.8100000000000002E-6</v>
      </c>
      <c r="L19" s="7">
        <f>Tabla6[[#This Row],[precio de compra]]*Tabla6[[#This Row],[cantidad]]*Tabla6[[#This Row],[PRECIO DEL DÓLAR, DIA COMPRA]]</f>
        <v>706.44677732571006</v>
      </c>
      <c r="M19" s="13">
        <f t="shared" ca="1" si="1"/>
        <v>1157.7856427239999</v>
      </c>
      <c r="N19" s="32">
        <f t="shared" ca="1" si="2"/>
        <v>0.4911078321280688</v>
      </c>
      <c r="O19" s="9">
        <v>0.25</v>
      </c>
      <c r="P19" s="9">
        <v>0.5</v>
      </c>
      <c r="Q19" t="str">
        <f t="shared" ca="1" si="3"/>
        <v>VENTA PARCIAL</v>
      </c>
      <c r="T19" s="2"/>
      <c r="U19" s="14">
        <f>Tabla6[[#This Row],[cantidad]]-Tabla6[[#This Row],[CANTIDAD VENDIDA]]</f>
        <v>2.8100000000000002E-6</v>
      </c>
      <c r="V19" s="2">
        <f t="shared" ca="1" si="4"/>
        <v>1157.7856427239999</v>
      </c>
      <c r="W19" s="2">
        <f t="shared" si="5"/>
        <v>-706.44677732571006</v>
      </c>
      <c r="X19" s="9">
        <f t="shared" ca="1" si="6"/>
        <v>0.4911078321280688</v>
      </c>
      <c r="Y19" s="2" t="str">
        <f t="shared" si="7"/>
        <v>ACTIVA</v>
      </c>
    </row>
    <row r="20" spans="2:25">
      <c r="B20" s="1">
        <f t="shared" ca="1" si="0"/>
        <v>45656</v>
      </c>
      <c r="C20" s="2">
        <f ca="1">VLOOKUP(B20,Tabla4[],2,FALSE)</f>
        <v>4388.83</v>
      </c>
      <c r="D20" s="3">
        <f ca="1">VLOOKUP(B20,Tabla4[],3,FALSE)</f>
        <v>93880</v>
      </c>
      <c r="E20" s="2">
        <f ca="1">VLOOKUP(B20,Tabla4[],5,FALSE)</f>
        <v>3413.8</v>
      </c>
      <c r="F20" s="2">
        <f ca="1">VLOOKUP(B20,Tabla4[],4,FALSE)</f>
        <v>2.81</v>
      </c>
      <c r="G20" t="s">
        <v>41</v>
      </c>
      <c r="H20" s="1">
        <v>45488</v>
      </c>
      <c r="I20" s="3">
        <f>VLOOKUP(H20,Tabla4[],2,FALSE)</f>
        <v>3993.09</v>
      </c>
      <c r="J20" s="3">
        <v>2.62</v>
      </c>
      <c r="K20" s="11">
        <v>3.7119899999999997E-2</v>
      </c>
      <c r="L20" s="7">
        <f>Tabla6[[#This Row],[precio de compra]]*Tabla6[[#This Row],[cantidad]]*Tabla6[[#This Row],[PRECIO DEL DÓLAR, DIA COMPRA]]</f>
        <v>388.34452590642002</v>
      </c>
      <c r="M20" s="13">
        <f t="shared" ca="1" si="1"/>
        <v>457.78533531477001</v>
      </c>
      <c r="N20" s="32">
        <f t="shared" ca="1" si="2"/>
        <v>7.2519083969465631E-2</v>
      </c>
      <c r="O20" s="9">
        <v>0.1</v>
      </c>
      <c r="P20" s="9">
        <v>0.3</v>
      </c>
      <c r="Q20" t="str">
        <f t="shared" ca="1" si="3"/>
        <v>MANTENER</v>
      </c>
      <c r="S20">
        <v>3.7119899999999997E-2</v>
      </c>
      <c r="T20" s="2">
        <v>425</v>
      </c>
      <c r="U20" s="14">
        <f>Tabla6[[#This Row],[cantidad]]-Tabla6[[#This Row],[CANTIDAD VENDIDA]]</f>
        <v>0</v>
      </c>
      <c r="V20" s="2">
        <f t="shared" ca="1" si="4"/>
        <v>0</v>
      </c>
      <c r="W20" s="2">
        <f t="shared" si="5"/>
        <v>36.655474093579983</v>
      </c>
      <c r="X20" s="9">
        <f t="shared" ca="1" si="6"/>
        <v>7.2519083969465631E-2</v>
      </c>
      <c r="Y20" s="2" t="str">
        <f t="shared" si="7"/>
        <v>VENDIDA</v>
      </c>
    </row>
    <row r="21" spans="2:25">
      <c r="B21" s="1">
        <f t="shared" ca="1" si="0"/>
        <v>45656</v>
      </c>
      <c r="C21" s="2">
        <f ca="1">VLOOKUP(B21,Tabla4[],2,FALSE)</f>
        <v>4388.83</v>
      </c>
      <c r="D21" s="3">
        <f ca="1">VLOOKUP(B21,Tabla4[],3,FALSE)</f>
        <v>93880</v>
      </c>
      <c r="E21" s="2">
        <f ca="1">VLOOKUP(B21,Tabla4[],5,FALSE)</f>
        <v>3413.8</v>
      </c>
      <c r="F21" s="2">
        <f ca="1">VLOOKUP(B21,Tabla4[],4,FALSE)</f>
        <v>2.81</v>
      </c>
      <c r="G21" t="s">
        <v>15</v>
      </c>
      <c r="H21" s="1">
        <v>45488</v>
      </c>
      <c r="I21" s="3">
        <f>VLOOKUP(H21,Tabla4[],2,FALSE)</f>
        <v>3993.09</v>
      </c>
      <c r="J21" s="3">
        <v>3458.1</v>
      </c>
      <c r="K21" s="11">
        <v>5.2599999999999998E-5</v>
      </c>
      <c r="L21" s="7">
        <f>Tabla6[[#This Row],[precio de compra]]*Tabla6[[#This Row],[cantidad]]*Tabla6[[#This Row],[PRECIO DEL DÓLAR, DIA COMPRA]]</f>
        <v>726.32733822540001</v>
      </c>
      <c r="M21" s="13">
        <f t="shared" ca="1" si="1"/>
        <v>788.08412112040003</v>
      </c>
      <c r="N21" s="32">
        <f t="shared" ca="1" si="2"/>
        <v>-1.2810502877302487E-2</v>
      </c>
      <c r="O21" s="9">
        <v>0.25</v>
      </c>
      <c r="P21" s="9">
        <v>0.5</v>
      </c>
      <c r="Q21" t="str">
        <f t="shared" ca="1" si="3"/>
        <v>MANTENER</v>
      </c>
      <c r="T21" s="2"/>
      <c r="U21" s="14">
        <f>Tabla6[[#This Row],[cantidad]]-Tabla6[[#This Row],[CANTIDAD VENDIDA]]</f>
        <v>5.2599999999999998E-5</v>
      </c>
      <c r="V21" s="2">
        <f t="shared" ca="1" si="4"/>
        <v>788.08412112040003</v>
      </c>
      <c r="W21" s="2">
        <f t="shared" si="5"/>
        <v>-726.32733822540001</v>
      </c>
      <c r="X21" s="9">
        <f t="shared" ca="1" si="6"/>
        <v>-1.2810502877302487E-2</v>
      </c>
      <c r="Y21" s="2" t="str">
        <f t="shared" si="7"/>
        <v>ACTIVA</v>
      </c>
    </row>
    <row r="22" spans="2:25">
      <c r="B22" s="1">
        <f t="shared" ca="1" si="0"/>
        <v>45656</v>
      </c>
      <c r="C22" s="2">
        <f ca="1">VLOOKUP(B22,Tabla4[],2,FALSE)</f>
        <v>4388.83</v>
      </c>
      <c r="D22" s="3">
        <f ca="1">VLOOKUP(B22,Tabla4[],3,FALSE)</f>
        <v>93880</v>
      </c>
      <c r="E22" s="2">
        <f ca="1">VLOOKUP(B22,Tabla4[],5,FALSE)</f>
        <v>3413.8</v>
      </c>
      <c r="F22" s="2">
        <f ca="1">VLOOKUP(B22,Tabla4[],4,FALSE)</f>
        <v>2.81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ca="1" si="1"/>
        <v>469.44520361380501</v>
      </c>
      <c r="N22" s="32">
        <f t="shared" ca="1" si="2"/>
        <v>4.4609665427509333E-2</v>
      </c>
      <c r="O22" s="9">
        <v>0.1</v>
      </c>
      <c r="P22" s="9">
        <v>0.3</v>
      </c>
      <c r="Q22" t="str">
        <f t="shared" ca="1" si="3"/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ca="1" si="4"/>
        <v>0.80593621380498448</v>
      </c>
      <c r="W22" s="2">
        <f t="shared" si="5"/>
        <v>10.139327903980018</v>
      </c>
      <c r="X22" s="9">
        <f t="shared" ca="1" si="6"/>
        <v>4.4609665427509333E-2</v>
      </c>
      <c r="Y22" s="2" t="str">
        <f t="shared" si="7"/>
        <v>ACTIVA</v>
      </c>
    </row>
    <row r="23" spans="2:25">
      <c r="B23" s="1">
        <f t="shared" ca="1" si="0"/>
        <v>45656</v>
      </c>
      <c r="C23" s="2">
        <f ca="1">VLOOKUP(B23,Tabla4[],2,FALSE)</f>
        <v>4388.83</v>
      </c>
      <c r="D23" s="3">
        <f ca="1">VLOOKUP(B23,Tabla4[],3,FALSE)</f>
        <v>93880</v>
      </c>
      <c r="E23" s="2">
        <f ca="1">VLOOKUP(B23,Tabla4[],5,FALSE)</f>
        <v>3413.8</v>
      </c>
      <c r="F23" s="2">
        <f ca="1">VLOOKUP(B23,Tabla4[],4,FALSE)</f>
        <v>2.81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"/>
        <v>472.66056229266098</v>
      </c>
      <c r="N23" s="32">
        <f t="shared" ca="1" si="2"/>
        <v>3.3088235294117592E-2</v>
      </c>
      <c r="O23" s="9">
        <v>0.1</v>
      </c>
      <c r="P23" s="9">
        <v>0.3</v>
      </c>
      <c r="Q23" t="str">
        <f t="shared" ca="1" si="3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4"/>
        <v>4.021294892660972</v>
      </c>
      <c r="W23" s="2">
        <f t="shared" si="5"/>
        <v>11.840577079152013</v>
      </c>
      <c r="X23" s="9">
        <f t="shared" ca="1" si="6"/>
        <v>3.3088235294117592E-2</v>
      </c>
      <c r="Y23" s="2" t="str">
        <f t="shared" si="7"/>
        <v>ACTIVA</v>
      </c>
    </row>
    <row r="24" spans="2:25">
      <c r="B24" s="1">
        <f t="shared" ca="1" si="0"/>
        <v>45656</v>
      </c>
      <c r="C24" s="2">
        <f ca="1">VLOOKUP(B24,Tabla4[],2,FALSE)</f>
        <v>4388.83</v>
      </c>
      <c r="D24" s="3">
        <f ca="1">VLOOKUP(B24,Tabla4[],3,FALSE)</f>
        <v>93880</v>
      </c>
      <c r="E24" s="2">
        <f ca="1">VLOOKUP(B24,Tabla4[],5,FALSE)</f>
        <v>3413.8</v>
      </c>
      <c r="F24" s="2">
        <f ca="1">VLOOKUP(B24,Tabla4[],4,FALSE)</f>
        <v>2.81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"/>
        <v>479.30919690971399</v>
      </c>
      <c r="N24" s="32">
        <f t="shared" ca="1" si="2"/>
        <v>1.8115942028985605E-2</v>
      </c>
      <c r="O24" s="9">
        <v>0.1</v>
      </c>
      <c r="P24" s="9">
        <v>0.3</v>
      </c>
      <c r="Q24" t="str">
        <f t="shared" ca="1" si="3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4"/>
        <v>13.654668338560032</v>
      </c>
      <c r="W24" s="2">
        <f t="shared" si="5"/>
        <v>8.8385908401840538</v>
      </c>
      <c r="X24" s="9">
        <f t="shared" ca="1" si="6"/>
        <v>1.8115942028985605E-2</v>
      </c>
      <c r="Y24" s="2" t="str">
        <f t="shared" si="7"/>
        <v>ACTIVA</v>
      </c>
    </row>
    <row r="25" spans="2:25">
      <c r="B25" s="1">
        <f t="shared" ca="1" si="0"/>
        <v>45656</v>
      </c>
      <c r="C25" s="2">
        <f ca="1">VLOOKUP(B25,Tabla4[],2,FALSE)</f>
        <v>4388.83</v>
      </c>
      <c r="D25" s="3">
        <f ca="1">VLOOKUP(B25,Tabla4[],3,FALSE)</f>
        <v>93880</v>
      </c>
      <c r="E25" s="2">
        <f ca="1">VLOOKUP(B25,Tabla4[],5,FALSE)</f>
        <v>3413.8</v>
      </c>
      <c r="F25" s="2">
        <f ca="1">VLOOKUP(B25,Tabla4[],4,FALSE)</f>
        <v>2.81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"/>
        <v>471.23417235404304</v>
      </c>
      <c r="N25" s="32">
        <f t="shared" ca="1" si="2"/>
        <v>0</v>
      </c>
      <c r="O25" s="9">
        <v>0.1</v>
      </c>
      <c r="P25" s="9">
        <v>0.3</v>
      </c>
      <c r="Q25" t="str">
        <f t="shared" ca="1" si="3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4"/>
        <v>2.5949049540430145</v>
      </c>
      <c r="W25" s="2">
        <f t="shared" si="5"/>
        <v>40.44492107583801</v>
      </c>
      <c r="X25" s="9">
        <f t="shared" ca="1" si="6"/>
        <v>0</v>
      </c>
      <c r="Y25" s="2" t="str">
        <f t="shared" si="7"/>
        <v>ACTIVA</v>
      </c>
    </row>
    <row r="26" spans="2:25">
      <c r="B26" s="1">
        <f t="shared" ca="1" si="0"/>
        <v>45656</v>
      </c>
      <c r="C26" s="2">
        <f ca="1">VLOOKUP(B26,Tabla4[],2,FALSE)</f>
        <v>4388.83</v>
      </c>
      <c r="D26" s="3">
        <f ca="1">VLOOKUP(B26,Tabla4[],3,FALSE)</f>
        <v>93880</v>
      </c>
      <c r="E26" s="2">
        <f ca="1">VLOOKUP(B26,Tabla4[],5,FALSE)</f>
        <v>3413.8</v>
      </c>
      <c r="F26" s="2">
        <f ca="1">VLOOKUP(B26,Tabla4[],4,FALSE)</f>
        <v>2.81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"/>
        <v>475.55083331128901</v>
      </c>
      <c r="N26" s="32">
        <f t="shared" ca="1" si="2"/>
        <v>-7.6975633470637309E-2</v>
      </c>
      <c r="O26" s="9">
        <v>0.1</v>
      </c>
      <c r="P26" s="9">
        <v>0.3</v>
      </c>
      <c r="Q26" t="str">
        <f t="shared" ca="1" si="3"/>
        <v>MANTENER</v>
      </c>
      <c r="T26" s="2"/>
      <c r="U26" s="14">
        <f>Tabla6[[#This Row],[cantidad]]-Tabla6[[#This Row],[CANTIDAD VENDIDA]]</f>
        <v>3.856043E-2</v>
      </c>
      <c r="V26" s="2">
        <f t="shared" ca="1" si="4"/>
        <v>475.55083331128901</v>
      </c>
      <c r="W26" s="2">
        <f t="shared" si="5"/>
        <v>-474.99592218630107</v>
      </c>
      <c r="X26" s="9">
        <f t="shared" ca="1" si="6"/>
        <v>-7.6975633470637309E-2</v>
      </c>
      <c r="Y26" s="2" t="str">
        <f t="shared" si="7"/>
        <v>ACTIVA</v>
      </c>
    </row>
    <row r="27" spans="2:25">
      <c r="B27" s="1">
        <f t="shared" ca="1" si="0"/>
        <v>45656</v>
      </c>
      <c r="C27" s="2">
        <f ca="1">VLOOKUP(B27,Tabla4[],2,FALSE)</f>
        <v>4388.83</v>
      </c>
      <c r="D27" s="3">
        <f ca="1">VLOOKUP(B27,Tabla4[],3,FALSE)</f>
        <v>93880</v>
      </c>
      <c r="E27" s="2">
        <f ca="1">VLOOKUP(B27,Tabla4[],5,FALSE)</f>
        <v>3413.8</v>
      </c>
      <c r="F27" s="2">
        <f ca="1">VLOOKUP(B27,Tabla4[],4,FALSE)</f>
        <v>2.81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"/>
        <v>1067.140503436</v>
      </c>
      <c r="N27" s="32">
        <f t="shared" ca="1" si="2"/>
        <v>0.40549147737395269</v>
      </c>
      <c r="O27" s="9">
        <v>0.25</v>
      </c>
      <c r="P27" s="9">
        <v>0.5</v>
      </c>
      <c r="Q27" t="str">
        <f t="shared" ca="1" si="3"/>
        <v>VENTA PARCIAL</v>
      </c>
      <c r="T27" s="2"/>
      <c r="U27" s="14">
        <f>Tabla6[[#This Row],[cantidad]]-Tabla6[[#This Row],[CANTIDAD VENDIDA]]</f>
        <v>2.5900000000000002E-6</v>
      </c>
      <c r="V27" s="2">
        <f t="shared" ca="1" si="4"/>
        <v>1067.140503436</v>
      </c>
      <c r="W27" s="2">
        <f t="shared" si="5"/>
        <v>-699.14771612275808</v>
      </c>
      <c r="X27" s="9">
        <f t="shared" ca="1" si="6"/>
        <v>0.40549147737395269</v>
      </c>
      <c r="Y27" s="2" t="str">
        <f t="shared" si="7"/>
        <v>ACTIVA</v>
      </c>
    </row>
    <row r="28" spans="2:25">
      <c r="B28" s="1">
        <f t="shared" ca="1" si="0"/>
        <v>45656</v>
      </c>
      <c r="C28" s="2">
        <f ca="1">VLOOKUP(B28,Tabla4[],2,FALSE)</f>
        <v>4388.83</v>
      </c>
      <c r="D28" s="3">
        <f ca="1">VLOOKUP(B28,Tabla4[],3,FALSE)</f>
        <v>93880</v>
      </c>
      <c r="E28" s="2">
        <f ca="1">VLOOKUP(B28,Tabla4[],5,FALSE)</f>
        <v>3413.8</v>
      </c>
      <c r="F28" s="2">
        <f ca="1">VLOOKUP(B28,Tabla4[],4,FALSE)</f>
        <v>2.81</v>
      </c>
      <c r="G28" t="s">
        <v>41</v>
      </c>
      <c r="H28" s="1">
        <v>45495</v>
      </c>
      <c r="I28" s="3">
        <f>VLOOKUP(H28,Tabla4[],2,FALSE)</f>
        <v>4041.33</v>
      </c>
      <c r="J28" s="3">
        <v>2.92</v>
      </c>
      <c r="K28" s="11">
        <v>2.970859E-2</v>
      </c>
      <c r="L28" s="7">
        <f>Tabla6[[#This Row],[precio de compra]]*Tabla6[[#This Row],[cantidad]]*Tabla6[[#This Row],[PRECIO DEL DÓLAR, DIA COMPRA]]</f>
        <v>350.58167079212399</v>
      </c>
      <c r="M28" s="13">
        <f t="shared" ca="1" si="1"/>
        <v>366.38452244965703</v>
      </c>
      <c r="N28" s="32">
        <f t="shared" ca="1" si="2"/>
        <v>-3.7671232876712285E-2</v>
      </c>
      <c r="O28" s="9">
        <v>0.1</v>
      </c>
      <c r="P28" s="9">
        <v>0.3</v>
      </c>
      <c r="Q28" t="str">
        <f t="shared" ca="1" si="3"/>
        <v>MANTENER</v>
      </c>
      <c r="T28" s="2"/>
      <c r="U28" s="14">
        <f>Tabla6[[#This Row],[cantidad]]-Tabla6[[#This Row],[CANTIDAD VENDIDA]]</f>
        <v>2.970859E-2</v>
      </c>
      <c r="V28" s="2">
        <f t="shared" ca="1" si="4"/>
        <v>366.38452244965703</v>
      </c>
      <c r="W28" s="2">
        <f t="shared" si="5"/>
        <v>-350.58167079212399</v>
      </c>
      <c r="X28" s="9">
        <f t="shared" ca="1" si="6"/>
        <v>-3.7671232876712285E-2</v>
      </c>
      <c r="Y28" s="2" t="str">
        <f t="shared" si="7"/>
        <v>ACTIVA</v>
      </c>
    </row>
    <row r="29" spans="2:25">
      <c r="B29" s="1">
        <f t="shared" ca="1" si="0"/>
        <v>45656</v>
      </c>
      <c r="C29" s="2">
        <f ca="1">VLOOKUP(B29,Tabla4[],2,FALSE)</f>
        <v>4388.83</v>
      </c>
      <c r="D29" s="3">
        <f ca="1">VLOOKUP(B29,Tabla4[],3,FALSE)</f>
        <v>93880</v>
      </c>
      <c r="E29" s="2">
        <f ca="1">VLOOKUP(B29,Tabla4[],5,FALSE)</f>
        <v>3413.8</v>
      </c>
      <c r="F29" s="2">
        <f ca="1">VLOOKUP(B29,Tabla4[],4,FALSE)</f>
        <v>2.81</v>
      </c>
      <c r="G29" t="s">
        <v>15</v>
      </c>
      <c r="H29" s="1">
        <v>45495</v>
      </c>
      <c r="I29" s="3">
        <f>VLOOKUP(H29,Tabla4[],2,FALSE)</f>
        <v>4041.33</v>
      </c>
      <c r="J29" s="3">
        <v>3457.1</v>
      </c>
      <c r="K29" s="11">
        <v>5.0149999999999999E-5</v>
      </c>
      <c r="L29" s="7">
        <f>Tabla6[[#This Row],[precio de compra]]*Tabla6[[#This Row],[cantidad]]*Tabla6[[#This Row],[PRECIO DEL DÓLAR, DIA COMPRA]]</f>
        <v>700.6597894414499</v>
      </c>
      <c r="M29" s="13">
        <f t="shared" ca="1" si="1"/>
        <v>751.37678087810002</v>
      </c>
      <c r="N29" s="32">
        <f t="shared" ca="1" si="2"/>
        <v>-1.2524948656388224E-2</v>
      </c>
      <c r="O29" s="9">
        <v>0.25</v>
      </c>
      <c r="P29" s="9">
        <v>0.5</v>
      </c>
      <c r="Q29" t="str">
        <f t="shared" ca="1" si="3"/>
        <v>MANTENER</v>
      </c>
      <c r="T29" s="2"/>
      <c r="U29" s="14">
        <f>Tabla6[[#This Row],[cantidad]]-Tabla6[[#This Row],[CANTIDAD VENDIDA]]</f>
        <v>5.0149999999999999E-5</v>
      </c>
      <c r="V29" s="2">
        <f t="shared" ca="1" si="4"/>
        <v>751.37678087810002</v>
      </c>
      <c r="W29" s="2">
        <f t="shared" si="5"/>
        <v>-700.6597894414499</v>
      </c>
      <c r="X29" s="9">
        <f t="shared" ca="1" si="6"/>
        <v>-1.2524948656388224E-2</v>
      </c>
      <c r="Y29" s="2" t="str">
        <f t="shared" si="7"/>
        <v>ACTIVA</v>
      </c>
    </row>
    <row r="30" spans="2:25">
      <c r="B30" s="1">
        <f t="shared" ca="1" si="0"/>
        <v>45656</v>
      </c>
      <c r="C30" s="2">
        <f ca="1">VLOOKUP(B30,Tabla4[],2,FALSE)</f>
        <v>4388.83</v>
      </c>
      <c r="D30" s="3">
        <f ca="1">VLOOKUP(B30,Tabla4[],3,FALSE)</f>
        <v>93880</v>
      </c>
      <c r="E30" s="2">
        <f ca="1">VLOOKUP(B30,Tabla4[],5,FALSE)</f>
        <v>3413.8</v>
      </c>
      <c r="F30" s="2">
        <f ca="1">VLOOKUP(B30,Tabla4[],4,FALSE)</f>
        <v>2.81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ca="1" si="1"/>
        <v>1042.419101812</v>
      </c>
      <c r="N30" s="32">
        <f t="shared" ca="1" si="2"/>
        <v>0.3669150643125676</v>
      </c>
      <c r="O30" s="9">
        <v>0.25</v>
      </c>
      <c r="P30" s="9">
        <v>0.5</v>
      </c>
      <c r="Q30" t="str">
        <f t="shared" ca="1" si="3"/>
        <v>VENTA PARCIAL</v>
      </c>
      <c r="T30" s="2"/>
      <c r="U30" s="14">
        <f>Tabla6[[#This Row],[cantidad]]-Tabla6[[#This Row],[CANTIDAD VENDIDA]]</f>
        <v>2.5299999999999999E-6</v>
      </c>
      <c r="V30" s="2">
        <f t="shared" ca="1" si="4"/>
        <v>1042.419101812</v>
      </c>
      <c r="W30" s="2">
        <f t="shared" si="5"/>
        <v>-700.25992639812</v>
      </c>
      <c r="X30" s="9">
        <f t="shared" ca="1" si="6"/>
        <v>0.3669150643125676</v>
      </c>
      <c r="Y30" s="2" t="str">
        <f t="shared" si="7"/>
        <v>ACTIVA</v>
      </c>
    </row>
    <row r="31" spans="2:25">
      <c r="B31" s="1">
        <f t="shared" ca="1" si="0"/>
        <v>45656</v>
      </c>
      <c r="C31" s="2">
        <f ca="1">VLOOKUP(B31,Tabla4[],2,FALSE)</f>
        <v>4388.83</v>
      </c>
      <c r="D31" s="3">
        <f ca="1">VLOOKUP(B31,Tabla4[],3,FALSE)</f>
        <v>93880</v>
      </c>
      <c r="E31" s="2">
        <f ca="1">VLOOKUP(B31,Tabla4[],5,FALSE)</f>
        <v>3413.8</v>
      </c>
      <c r="F31" s="2">
        <f ca="1">VLOOKUP(B31,Tabla4[],4,FALSE)</f>
        <v>2.81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"/>
        <v>784.93777767105996</v>
      </c>
      <c r="N31" s="32">
        <f t="shared" ca="1" si="2"/>
        <v>2.9648620117629372E-2</v>
      </c>
      <c r="O31" s="9">
        <v>0.25</v>
      </c>
      <c r="P31" s="9">
        <v>0.5</v>
      </c>
      <c r="Q31" t="str">
        <f t="shared" ca="1" si="3"/>
        <v>MANTENER</v>
      </c>
      <c r="T31" s="2"/>
      <c r="U31" s="14">
        <f>Tabla6[[#This Row],[cantidad]]-Tabla6[[#This Row],[CANTIDAD VENDIDA]]</f>
        <v>5.2389999999999998E-5</v>
      </c>
      <c r="V31" s="2">
        <f t="shared" ca="1" si="4"/>
        <v>784.93777767105996</v>
      </c>
      <c r="W31" s="2">
        <f t="shared" si="5"/>
        <v>-700.01062533089998</v>
      </c>
      <c r="X31" s="9">
        <f t="shared" ca="1" si="6"/>
        <v>2.9648620117629372E-2</v>
      </c>
      <c r="Y31" s="2" t="str">
        <f t="shared" si="7"/>
        <v>ACTIVA</v>
      </c>
    </row>
    <row r="32" spans="2:25">
      <c r="B32" s="1">
        <f t="shared" ca="1" si="0"/>
        <v>45656</v>
      </c>
      <c r="C32" s="2">
        <f ca="1">VLOOKUP(B32,Tabla4[],2,FALSE)</f>
        <v>4388.83</v>
      </c>
      <c r="D32" s="3">
        <f ca="1">VLOOKUP(B32,Tabla4[],3,FALSE)</f>
        <v>93880</v>
      </c>
      <c r="E32" s="2">
        <f ca="1">VLOOKUP(B32,Tabla4[],5,FALSE)</f>
        <v>3413.8</v>
      </c>
      <c r="F32" s="2">
        <f ca="1">VLOOKUP(B32,Tabla4[],4,FALSE)</f>
        <v>2.81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"/>
        <v>369.456822825833</v>
      </c>
      <c r="N32" s="32">
        <f t="shared" ca="1" si="2"/>
        <v>-3.1034482758620641E-2</v>
      </c>
      <c r="O32" s="9">
        <v>0.1</v>
      </c>
      <c r="P32" s="9">
        <v>0.3</v>
      </c>
      <c r="Q32" t="str">
        <f t="shared" ca="1" si="3"/>
        <v>MANTENER</v>
      </c>
      <c r="T32" s="2"/>
      <c r="U32" s="14">
        <f>Tabla6[[#This Row],[cantidad]]-Tabla6[[#This Row],[CANTIDAD VENDIDA]]</f>
        <v>2.9957709999999999E-2</v>
      </c>
      <c r="V32" s="2">
        <f t="shared" ca="1" si="4"/>
        <v>369.456822825833</v>
      </c>
      <c r="W32" s="2">
        <f t="shared" si="5"/>
        <v>-350.11749431717993</v>
      </c>
      <c r="X32" s="9">
        <f t="shared" ca="1" si="6"/>
        <v>-3.1034482758620641E-2</v>
      </c>
      <c r="Y32" s="2" t="str">
        <f t="shared" si="7"/>
        <v>ACTIVA</v>
      </c>
    </row>
    <row r="33" spans="2:25">
      <c r="B33" s="1">
        <f t="shared" ca="1" si="0"/>
        <v>45656</v>
      </c>
      <c r="C33" s="2">
        <f ca="1">VLOOKUP(B33,Tabla4[],2,FALSE)</f>
        <v>4388.83</v>
      </c>
      <c r="D33" s="3">
        <f ca="1">VLOOKUP(B33,Tabla4[],3,FALSE)</f>
        <v>93880</v>
      </c>
      <c r="E33" s="2">
        <f ca="1">VLOOKUP(B33,Tabla4[],5,FALSE)</f>
        <v>3413.8</v>
      </c>
      <c r="F33" s="2">
        <f ca="1">VLOOKUP(B33,Tabla4[],4,FALSE)</f>
        <v>2.81</v>
      </c>
      <c r="G33" t="s">
        <v>41</v>
      </c>
      <c r="H33" s="1">
        <v>45509</v>
      </c>
      <c r="I33" s="3">
        <f>VLOOKUP(H33,Tabla4[],2,FALSE)</f>
        <v>4116.91</v>
      </c>
      <c r="J33" s="3">
        <v>1.4723999999999999</v>
      </c>
      <c r="K33" s="11">
        <v>5.7740630000000001E-2</v>
      </c>
      <c r="L33" s="7">
        <f>Tabla6[[#This Row],[precio de compra]]*Tabla6[[#This Row],[cantidad]]*Tabla6[[#This Row],[PRECIO DEL DÓLAR, DIA COMPRA]]</f>
        <v>350.00858741327886</v>
      </c>
      <c r="M33" s="13">
        <f t="shared" ca="1" si="1"/>
        <v>712.09280374774903</v>
      </c>
      <c r="N33" s="32">
        <f t="shared" ca="1" si="2"/>
        <v>0.90844879108937804</v>
      </c>
      <c r="O33" s="9">
        <v>0.1</v>
      </c>
      <c r="P33" s="9">
        <v>0.3</v>
      </c>
      <c r="Q33" t="str">
        <f t="shared" ca="1" si="3"/>
        <v>VENDER</v>
      </c>
      <c r="T33" s="2"/>
      <c r="U33" s="14">
        <f>Tabla6[[#This Row],[cantidad]]-Tabla6[[#This Row],[CANTIDAD VENDIDA]]</f>
        <v>5.7740630000000001E-2</v>
      </c>
      <c r="V33" s="2">
        <f t="shared" ca="1" si="4"/>
        <v>712.09280374774903</v>
      </c>
      <c r="W33" s="2">
        <f t="shared" si="5"/>
        <v>-350.00858741327886</v>
      </c>
      <c r="X33" s="9">
        <f t="shared" ca="1" si="6"/>
        <v>0.90844879108937804</v>
      </c>
      <c r="Y33" s="2" t="str">
        <f t="shared" si="7"/>
        <v>ACTIVA</v>
      </c>
    </row>
    <row r="34" spans="2:25">
      <c r="B34" s="1">
        <f t="shared" ca="1" si="0"/>
        <v>45656</v>
      </c>
      <c r="C34" s="2">
        <f ca="1">VLOOKUP(B34,Tabla4[],2,FALSE)</f>
        <v>4388.83</v>
      </c>
      <c r="D34" s="3">
        <f ca="1">VLOOKUP(B34,Tabla4[],3,FALSE)</f>
        <v>93880</v>
      </c>
      <c r="E34" s="2">
        <f ca="1">VLOOKUP(B34,Tabla4[],5,FALSE)</f>
        <v>3413.8</v>
      </c>
      <c r="F34" s="2">
        <f ca="1">VLOOKUP(B34,Tabla4[],4,FALSE)</f>
        <v>2.81</v>
      </c>
      <c r="G34" t="s">
        <v>14</v>
      </c>
      <c r="H34" s="1">
        <v>45509</v>
      </c>
      <c r="I34" s="3">
        <f>VLOOKUP(H34,Tabla4[],2,FALSE)</f>
        <v>4116.91</v>
      </c>
      <c r="J34" s="3">
        <v>53468.49</v>
      </c>
      <c r="K34" s="11">
        <v>3.18E-6</v>
      </c>
      <c r="L34" s="7">
        <f>Tabla6[[#This Row],[precio de compra]]*Tabla6[[#This Row],[cantidad]]*Tabla6[[#This Row],[PRECIO DEL DÓLAR, DIA COMPRA]]</f>
        <v>699.99737650756197</v>
      </c>
      <c r="M34" s="7">
        <f t="shared" ca="1" si="1"/>
        <v>1310.2342860719998</v>
      </c>
      <c r="N34" s="32">
        <f t="shared" ca="1" si="2"/>
        <v>0.75580047239037429</v>
      </c>
      <c r="O34" s="9">
        <v>0.25</v>
      </c>
      <c r="P34" s="9">
        <v>0.5</v>
      </c>
      <c r="Q34" t="str">
        <f t="shared" ca="1" si="3"/>
        <v>VENDER</v>
      </c>
      <c r="T34" s="2"/>
      <c r="U34" s="14">
        <f>Tabla6[[#This Row],[cantidad]]-Tabla6[[#This Row],[CANTIDAD VENDIDA]]</f>
        <v>3.18E-6</v>
      </c>
      <c r="V34" s="2">
        <f t="shared" ca="1" si="4"/>
        <v>1310.2342860719998</v>
      </c>
      <c r="W34" s="2">
        <f t="shared" si="5"/>
        <v>-699.99737650756197</v>
      </c>
      <c r="X34" s="9">
        <f t="shared" ca="1" si="6"/>
        <v>0.75580047239037429</v>
      </c>
      <c r="Y34" s="2" t="str">
        <f t="shared" si="7"/>
        <v>ACTIVA</v>
      </c>
    </row>
    <row r="35" spans="2:25">
      <c r="B35" s="1">
        <f t="shared" ref="B35:B66" ca="1" si="8">TODAY()</f>
        <v>45656</v>
      </c>
      <c r="C35" s="2">
        <f ca="1">VLOOKUP(B35,Tabla4[],2,FALSE)</f>
        <v>4388.83</v>
      </c>
      <c r="D35" s="3">
        <f ca="1">VLOOKUP(B35,Tabla4[],3,FALSE)</f>
        <v>93880</v>
      </c>
      <c r="E35" s="2">
        <f ca="1">VLOOKUP(B35,Tabla4[],5,FALSE)</f>
        <v>3413.8</v>
      </c>
      <c r="F35" s="2">
        <f ca="1">VLOOKUP(B35,Tabla4[],4,FALSE)</f>
        <v>2.81</v>
      </c>
      <c r="G35" t="s">
        <v>15</v>
      </c>
      <c r="H35" s="1">
        <v>45509</v>
      </c>
      <c r="I35" s="3">
        <f>VLOOKUP(H35,Tabla4[],2,FALSE)</f>
        <v>4116.91</v>
      </c>
      <c r="J35" s="3">
        <v>2374.38</v>
      </c>
      <c r="K35" s="11">
        <v>7.161E-5</v>
      </c>
      <c r="L35" s="7">
        <f>Tabla6[[#This Row],[precio de compra]]*Tabla6[[#This Row],[cantidad]]*Tabla6[[#This Row],[PRECIO DEL DÓLAR, DIA COMPRA]]</f>
        <v>699.99553871893795</v>
      </c>
      <c r="M35" s="13">
        <f t="shared" ref="M35:M66" ca="1" si="9" xml:space="preserve"> K35 * (IF(G35="BTC", D35, IF(G35="ETH", E35, IF(G35="IO.NET", F35, 0)))) * C35</f>
        <v>1072.90311622494</v>
      </c>
      <c r="N35" s="32">
        <f t="shared" ref="N35:N66" ca="1" si="10">IF(G35 = "BTC", (D35 - J35) / J35,
 IF(G35 = "ETH", (E35 - J35) / J35,
 IF(G35 = "IO.NET", (F35 - J35) / J35,
 "Moneda no soportada")))</f>
        <v>0.43776480597040068</v>
      </c>
      <c r="O35" s="9">
        <v>0.25</v>
      </c>
      <c r="P35" s="9">
        <v>0.5</v>
      </c>
      <c r="Q35" t="str">
        <f t="shared" ref="Q35:Q66" ca="1" si="11">IF(N35 &lt; O35, "MANTENER", IF(N35 &lt; P35, "VENTA PARCIAL", "VENDER"))</f>
        <v>VENTA PARCIAL</v>
      </c>
      <c r="T35" s="2"/>
      <c r="U35" s="14">
        <f>Tabla6[[#This Row],[cantidad]]-Tabla6[[#This Row],[CANTIDAD VENDIDA]]</f>
        <v>7.161E-5</v>
      </c>
      <c r="V35" s="2">
        <f t="shared" ref="V35:V66" ca="1" si="12">IF(G35="BTC", D35 * U35 * C35, IF(G35="ETH", E35 * U35 * C35, IF(G35="IO.NET", F35 * U35 * C35, 0)))</f>
        <v>1072.90311622494</v>
      </c>
      <c r="W35" s="2">
        <f t="shared" ref="W35:W66" si="13">IF(G35 = "BTC", ((T35 - L35)), IF(G35 = "ETH", ((T35 - L35)), IF(G35 = "IO.NET", ((T35 - L35)), "Moneda no soportada")))</f>
        <v>-699.99553871893795</v>
      </c>
      <c r="X35" s="9">
        <f t="shared" ref="X35:X66" ca="1" si="14">IF(G35 = "BTC", (((D35 - J35) / J35)),IF(G35 = "ETH", ((E35 - J35) / J35), IF(G35 = "IO.NET", ((F35 - J35) / J35), "Moneda no soportada")))</f>
        <v>0.43776480597040068</v>
      </c>
      <c r="Y35" s="2" t="str">
        <f t="shared" ref="Y35:Y66" si="15">IF(U35=0,"VENDIDA","ACTIVA")</f>
        <v>ACTIVA</v>
      </c>
    </row>
    <row r="36" spans="2:25">
      <c r="B36" s="1">
        <f t="shared" ca="1" si="8"/>
        <v>45656</v>
      </c>
      <c r="C36" s="2">
        <f ca="1">VLOOKUP(B36,Tabla4[],2,FALSE)</f>
        <v>4388.83</v>
      </c>
      <c r="D36" s="3">
        <f ca="1">VLOOKUP(B36,Tabla4[],3,FALSE)</f>
        <v>93880</v>
      </c>
      <c r="E36" s="2">
        <f ca="1">VLOOKUP(B36,Tabla4[],5,FALSE)</f>
        <v>3413.8</v>
      </c>
      <c r="F36" s="2">
        <f ca="1">VLOOKUP(B36,Tabla4[],4,FALSE)</f>
        <v>2.81</v>
      </c>
      <c r="G36" t="s">
        <v>41</v>
      </c>
      <c r="H36" s="1">
        <v>45516</v>
      </c>
      <c r="I36" s="3">
        <f>VLOOKUP(H36,Tabla4[],2,FALSE)</f>
        <v>4073.83</v>
      </c>
      <c r="J36" s="3">
        <v>1.5723400000000001</v>
      </c>
      <c r="K36" s="25">
        <v>5.4640859999999999E-2</v>
      </c>
      <c r="L36" s="29">
        <f>Tabla6[[#This Row],[precio de compra]]*Tabla6[[#This Row],[cantidad]]*Tabla6[[#This Row],[PRECIO DEL DÓLAR, DIA COMPRA]]</f>
        <v>349.9990705940495</v>
      </c>
      <c r="M36" s="26">
        <f t="shared" ca="1" si="9"/>
        <v>673.8645421185779</v>
      </c>
      <c r="N36" s="41">
        <f t="shared" ca="1" si="10"/>
        <v>0.78714527392294287</v>
      </c>
      <c r="O36" s="28">
        <v>0.1</v>
      </c>
      <c r="P36" s="28">
        <v>0.3</v>
      </c>
      <c r="Q36" t="str">
        <f t="shared" ca="1" si="11"/>
        <v>VENDER</v>
      </c>
      <c r="T36" s="2"/>
      <c r="U36" s="14">
        <f>Tabla6[[#This Row],[cantidad]]-Tabla6[[#This Row],[CANTIDAD VENDIDA]]</f>
        <v>5.4640859999999999E-2</v>
      </c>
      <c r="V36" s="2">
        <f t="shared" ca="1" si="12"/>
        <v>673.8645421185779</v>
      </c>
      <c r="W36" s="2">
        <f t="shared" si="13"/>
        <v>-349.9990705940495</v>
      </c>
      <c r="X36" s="9">
        <f t="shared" ca="1" si="14"/>
        <v>0.78714527392294287</v>
      </c>
      <c r="Y36" s="2" t="str">
        <f t="shared" si="15"/>
        <v>ACTIVA</v>
      </c>
    </row>
    <row r="37" spans="2:25">
      <c r="B37" s="1">
        <f t="shared" ca="1" si="8"/>
        <v>45656</v>
      </c>
      <c r="C37" s="2">
        <f ca="1">VLOOKUP(B37,Tabla4[],2,FALSE)</f>
        <v>4388.83</v>
      </c>
      <c r="D37" s="3">
        <f ca="1">VLOOKUP(B37,Tabla4[],3,FALSE)</f>
        <v>93880</v>
      </c>
      <c r="E37" s="2">
        <f ca="1">VLOOKUP(B37,Tabla4[],5,FALSE)</f>
        <v>3413.8</v>
      </c>
      <c r="F37" s="2">
        <f ca="1">VLOOKUP(B37,Tabla4[],4,FALSE)</f>
        <v>2.81</v>
      </c>
      <c r="G37" t="s">
        <v>14</v>
      </c>
      <c r="H37" s="1">
        <v>45516</v>
      </c>
      <c r="I37" s="3">
        <f>VLOOKUP(H37,Tabla4[],2,FALSE)</f>
        <v>4073.83</v>
      </c>
      <c r="J37" s="3">
        <v>59047.29</v>
      </c>
      <c r="K37" s="11">
        <v>2.9100000000000001E-6</v>
      </c>
      <c r="L37" s="29">
        <f>Tabla6[[#This Row],[precio de compra]]*Tabla6[[#This Row],[cantidad]]*Tabla6[[#This Row],[PRECIO DEL DÓLAR, DIA COMPRA]]</f>
        <v>699.99648833423703</v>
      </c>
      <c r="M37" s="26">
        <f t="shared" ca="1" si="9"/>
        <v>1198.987978764</v>
      </c>
      <c r="N37" s="41">
        <f t="shared" ca="1" si="10"/>
        <v>0.58991208571976794</v>
      </c>
      <c r="O37" s="28">
        <v>0.25</v>
      </c>
      <c r="P37" s="28">
        <v>0.5</v>
      </c>
      <c r="Q37" t="str">
        <f t="shared" ca="1" si="11"/>
        <v>VENDER</v>
      </c>
      <c r="T37" s="2"/>
      <c r="U37" s="14">
        <f>Tabla6[[#This Row],[cantidad]]-Tabla6[[#This Row],[CANTIDAD VENDIDA]]</f>
        <v>2.9100000000000001E-6</v>
      </c>
      <c r="V37" s="2">
        <f t="shared" ca="1" si="12"/>
        <v>1198.987978764</v>
      </c>
      <c r="W37" s="2">
        <f t="shared" si="13"/>
        <v>-699.99648833423703</v>
      </c>
      <c r="X37" s="9">
        <f t="shared" ca="1" si="14"/>
        <v>0.58991208571976794</v>
      </c>
      <c r="Y37" s="2" t="str">
        <f t="shared" si="15"/>
        <v>ACTIVA</v>
      </c>
    </row>
    <row r="38" spans="2:25">
      <c r="B38" s="1">
        <f t="shared" ca="1" si="8"/>
        <v>45656</v>
      </c>
      <c r="C38" s="2">
        <f ca="1">VLOOKUP(B38,Tabla4[],2,FALSE)</f>
        <v>4388.83</v>
      </c>
      <c r="D38" s="3">
        <f ca="1">VLOOKUP(B38,Tabla4[],3,FALSE)</f>
        <v>93880</v>
      </c>
      <c r="E38" s="2">
        <f ca="1">VLOOKUP(B38,Tabla4[],5,FALSE)</f>
        <v>3413.8</v>
      </c>
      <c r="F38" s="2">
        <f ca="1">VLOOKUP(B38,Tabla4[],4,FALSE)</f>
        <v>2.81</v>
      </c>
      <c r="G38" t="s">
        <v>15</v>
      </c>
      <c r="H38" s="1">
        <v>45516</v>
      </c>
      <c r="I38" s="3">
        <f>VLOOKUP(H38,Tabla4[],2,FALSE)</f>
        <v>4073.83</v>
      </c>
      <c r="J38" s="3">
        <v>2645.2</v>
      </c>
      <c r="K38" s="11">
        <v>6.4960000000000001E-5</v>
      </c>
      <c r="L38" s="29">
        <f>Tabla6[[#This Row],[precio de compra]]*Tabla6[[#This Row],[cantidad]]*Tabla6[[#This Row],[PRECIO DEL DÓLAR, DIA COMPRA]]</f>
        <v>700.01513873535998</v>
      </c>
      <c r="M38" s="26">
        <f t="shared" ca="1" si="9"/>
        <v>973.2689069958401</v>
      </c>
      <c r="N38" s="41">
        <f t="shared" ca="1" si="10"/>
        <v>0.29056404052623636</v>
      </c>
      <c r="O38" s="28">
        <v>0.25</v>
      </c>
      <c r="P38" s="28">
        <v>0.5</v>
      </c>
      <c r="Q38" t="str">
        <f t="shared" ca="1" si="11"/>
        <v>VENTA PARCIAL</v>
      </c>
      <c r="T38" s="2"/>
      <c r="U38" s="14">
        <f>Tabla6[[#This Row],[cantidad]]-Tabla6[[#This Row],[CANTIDAD VENDIDA]]</f>
        <v>6.4960000000000001E-5</v>
      </c>
      <c r="V38" s="2">
        <f t="shared" ca="1" si="12"/>
        <v>973.2689069958401</v>
      </c>
      <c r="W38" s="2">
        <f t="shared" si="13"/>
        <v>-700.01513873535998</v>
      </c>
      <c r="X38" s="9">
        <f t="shared" ca="1" si="14"/>
        <v>0.29056404052623636</v>
      </c>
      <c r="Y38" s="2" t="str">
        <f t="shared" si="15"/>
        <v>ACTIVA</v>
      </c>
    </row>
    <row r="39" spans="2:25">
      <c r="B39" s="1">
        <f t="shared" ca="1" si="8"/>
        <v>45656</v>
      </c>
      <c r="C39" s="2">
        <f ca="1">VLOOKUP(B39,Tabla4[],2,FALSE)</f>
        <v>4388.83</v>
      </c>
      <c r="D39" s="3">
        <f ca="1">VLOOKUP(B39,Tabla4[],3,FALSE)</f>
        <v>93880</v>
      </c>
      <c r="E39" s="2">
        <f ca="1">VLOOKUP(B39,Tabla4[],5,FALSE)</f>
        <v>3413.8</v>
      </c>
      <c r="F39" s="2">
        <f ca="1">VLOOKUP(B39,Tabla4[],4,FALSE)</f>
        <v>2.81</v>
      </c>
      <c r="G39" t="s">
        <v>41</v>
      </c>
      <c r="H39" s="1">
        <v>45523</v>
      </c>
      <c r="I39" s="3">
        <f>VLOOKUP(H39,Tabla4[],2,FALSE)</f>
        <v>4030.16</v>
      </c>
      <c r="J39" s="3">
        <v>1.6122000000000001</v>
      </c>
      <c r="K39" s="25">
        <v>5.3867089999999999E-2</v>
      </c>
      <c r="L39" s="29">
        <f>Tabla6[[#This Row],[precio de compra]]*Tabla6[[#This Row],[cantidad]]*Tabla6[[#This Row],[PRECIO DEL DÓLAR, DIA COMPRA]]</f>
        <v>349.99732079053973</v>
      </c>
      <c r="M39" s="26">
        <f t="shared" ca="1" si="9"/>
        <v>664.32193669920696</v>
      </c>
      <c r="N39" s="41">
        <f t="shared" ca="1" si="10"/>
        <v>0.74295993052971088</v>
      </c>
      <c r="O39" s="28">
        <v>0.1</v>
      </c>
      <c r="P39" s="28">
        <v>0.3</v>
      </c>
      <c r="Q39" t="str">
        <f t="shared" ca="1" si="11"/>
        <v>VENDER</v>
      </c>
      <c r="T39" s="2"/>
      <c r="U39" s="14">
        <f>Tabla6[[#This Row],[cantidad]]-Tabla6[[#This Row],[CANTIDAD VENDIDA]]</f>
        <v>5.3867089999999999E-2</v>
      </c>
      <c r="V39" s="2">
        <f t="shared" ca="1" si="12"/>
        <v>664.32193669920696</v>
      </c>
      <c r="W39" s="2">
        <f t="shared" si="13"/>
        <v>-349.99732079053973</v>
      </c>
      <c r="X39" s="9">
        <f t="shared" ca="1" si="14"/>
        <v>0.74295993052971088</v>
      </c>
      <c r="Y39" s="2" t="str">
        <f t="shared" si="15"/>
        <v>ACTIVA</v>
      </c>
    </row>
    <row r="40" spans="2:25">
      <c r="B40" s="1">
        <f t="shared" ca="1" si="8"/>
        <v>45656</v>
      </c>
      <c r="C40" s="2">
        <f ca="1">VLOOKUP(B40,Tabla4[],2,FALSE)</f>
        <v>4388.83</v>
      </c>
      <c r="D40" s="3">
        <f ca="1">VLOOKUP(B40,Tabla4[],3,FALSE)</f>
        <v>93880</v>
      </c>
      <c r="E40" s="2">
        <f ca="1">VLOOKUP(B40,Tabla4[],5,FALSE)</f>
        <v>3413.8</v>
      </c>
      <c r="F40" s="2">
        <f ca="1">VLOOKUP(B40,Tabla4[],4,FALSE)</f>
        <v>2.81</v>
      </c>
      <c r="G40" t="s">
        <v>14</v>
      </c>
      <c r="H40" s="1">
        <v>45523</v>
      </c>
      <c r="I40" s="3">
        <f>VLOOKUP(H40,Tabla4[],2,FALSE)</f>
        <v>4030.16</v>
      </c>
      <c r="J40" s="3">
        <v>57323.8</v>
      </c>
      <c r="K40" s="25">
        <v>3.0299999999999998E-6</v>
      </c>
      <c r="L40" s="29">
        <f>Tabla6[[#This Row],[precio de compra]]*Tabla6[[#This Row],[cantidad]]*Tabla6[[#This Row],[PRECIO DEL DÓLAR, DIA COMPRA]]</f>
        <v>700.00297999823999</v>
      </c>
      <c r="M40" s="26">
        <f t="shared" ca="1" si="9"/>
        <v>1248.430782012</v>
      </c>
      <c r="N40" s="41">
        <f t="shared" ca="1" si="10"/>
        <v>0.63771417805518815</v>
      </c>
      <c r="O40" s="28">
        <v>0.25</v>
      </c>
      <c r="P40" s="28">
        <v>0.5</v>
      </c>
      <c r="Q40" t="str">
        <f t="shared" ca="1" si="11"/>
        <v>VENDER</v>
      </c>
      <c r="T40" s="2"/>
      <c r="U40" s="14">
        <f>Tabla6[[#This Row],[cantidad]]-Tabla6[[#This Row],[CANTIDAD VENDIDA]]</f>
        <v>3.0299999999999998E-6</v>
      </c>
      <c r="V40" s="2">
        <f t="shared" ca="1" si="12"/>
        <v>1248.430782012</v>
      </c>
      <c r="W40" s="2">
        <f t="shared" si="13"/>
        <v>-700.00297999823999</v>
      </c>
      <c r="X40" s="9">
        <f t="shared" ca="1" si="14"/>
        <v>0.63771417805518815</v>
      </c>
      <c r="Y40" s="2" t="str">
        <f t="shared" si="15"/>
        <v>ACTIVA</v>
      </c>
    </row>
    <row r="41" spans="2:25">
      <c r="B41" s="1">
        <f t="shared" ca="1" si="8"/>
        <v>45656</v>
      </c>
      <c r="C41" s="2">
        <f ca="1">VLOOKUP(B41,Tabla4[],2,FALSE)</f>
        <v>4388.83</v>
      </c>
      <c r="D41" s="3">
        <f ca="1">VLOOKUP(B41,Tabla4[],3,FALSE)</f>
        <v>93880</v>
      </c>
      <c r="E41" s="2">
        <f ca="1">VLOOKUP(B41,Tabla4[],5,FALSE)</f>
        <v>3413.8</v>
      </c>
      <c r="F41" s="2">
        <f ca="1">VLOOKUP(B41,Tabla4[],4,FALSE)</f>
        <v>2.81</v>
      </c>
      <c r="G41" t="s">
        <v>15</v>
      </c>
      <c r="H41" s="1">
        <v>45523</v>
      </c>
      <c r="I41" s="3">
        <f>VLOOKUP(H41,Tabla4[],2,FALSE)</f>
        <v>4030.16</v>
      </c>
      <c r="J41" s="3">
        <v>2527.15</v>
      </c>
      <c r="K41" s="25">
        <v>6.8730000000000001E-5</v>
      </c>
      <c r="L41" s="29">
        <f>Tabla6[[#This Row],[precio de compra]]*Tabla6[[#This Row],[cantidad]]*Tabla6[[#This Row],[PRECIO DEL DÓLAR, DIA COMPRA]]</f>
        <v>700.00259914812</v>
      </c>
      <c r="M41" s="26">
        <f t="shared" ca="1" si="9"/>
        <v>1029.7532632054199</v>
      </c>
      <c r="N41" s="41">
        <f t="shared" ca="1" si="10"/>
        <v>0.35084977148170865</v>
      </c>
      <c r="O41" s="28">
        <v>0.25</v>
      </c>
      <c r="P41" s="28">
        <v>0.5</v>
      </c>
      <c r="Q41" t="str">
        <f t="shared" ca="1" si="11"/>
        <v>VENTA PARCIAL</v>
      </c>
      <c r="T41" s="2"/>
      <c r="U41" s="14">
        <f>Tabla6[[#This Row],[cantidad]]-Tabla6[[#This Row],[CANTIDAD VENDIDA]]</f>
        <v>6.8730000000000001E-5</v>
      </c>
      <c r="V41" s="2">
        <f t="shared" ca="1" si="12"/>
        <v>1029.7532632054199</v>
      </c>
      <c r="W41" s="2">
        <f t="shared" si="13"/>
        <v>-700.00259914812</v>
      </c>
      <c r="X41" s="9">
        <f t="shared" ca="1" si="14"/>
        <v>0.35084977148170865</v>
      </c>
      <c r="Y41" s="2" t="str">
        <f t="shared" si="15"/>
        <v>ACTIVA</v>
      </c>
    </row>
    <row r="42" spans="2:25">
      <c r="B42" s="1">
        <f t="shared" ca="1" si="8"/>
        <v>45656</v>
      </c>
      <c r="C42" s="2">
        <f ca="1">VLOOKUP(B42,Tabla4[],2,FALSE)</f>
        <v>4388.83</v>
      </c>
      <c r="D42" s="3">
        <f ca="1">VLOOKUP(B42,Tabla4[],3,FALSE)</f>
        <v>93880</v>
      </c>
      <c r="E42" s="2">
        <f ca="1">VLOOKUP(B42,Tabla4[],5,FALSE)</f>
        <v>3413.8</v>
      </c>
      <c r="F42" s="2">
        <f ca="1">VLOOKUP(B42,Tabla4[],4,FALSE)</f>
        <v>2.81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ca="1" si="9"/>
        <v>1145.4249419120001</v>
      </c>
      <c r="N42" s="41">
        <f t="shared" ca="1" si="10"/>
        <v>0.50244058574057771</v>
      </c>
      <c r="O42" s="28">
        <v>0.25</v>
      </c>
      <c r="P42" s="28">
        <v>0.5</v>
      </c>
      <c r="Q42" t="str">
        <f t="shared" ca="1" si="11"/>
        <v>VENDER</v>
      </c>
      <c r="T42" s="2"/>
      <c r="U42" s="14">
        <f>Tabla6[[#This Row],[cantidad]]-Tabla6[[#This Row],[CANTIDAD VENDIDA]]</f>
        <v>2.7800000000000001E-6</v>
      </c>
      <c r="V42" s="2">
        <f t="shared" ca="1" si="12"/>
        <v>1145.4249419120001</v>
      </c>
      <c r="W42" s="2">
        <f t="shared" si="13"/>
        <v>-700.00102192500003</v>
      </c>
      <c r="X42" s="9">
        <f t="shared" ca="1" si="14"/>
        <v>0.50244058574057771</v>
      </c>
      <c r="Y42" s="2" t="str">
        <f t="shared" si="15"/>
        <v>ACTIVA</v>
      </c>
    </row>
    <row r="43" spans="2:25">
      <c r="B43" s="1">
        <f t="shared" ca="1" si="8"/>
        <v>45656</v>
      </c>
      <c r="C43" s="2">
        <f ca="1">VLOOKUP(B43,Tabla4[],2,FALSE)</f>
        <v>4388.83</v>
      </c>
      <c r="D43" s="3">
        <f ca="1">VLOOKUP(B43,Tabla4[],3,FALSE)</f>
        <v>93880</v>
      </c>
      <c r="E43" s="2">
        <f ca="1">VLOOKUP(B43,Tabla4[],5,FALSE)</f>
        <v>3413.8</v>
      </c>
      <c r="F43" s="2">
        <f ca="1">VLOOKUP(B43,Tabla4[],4,FALSE)</f>
        <v>2.81</v>
      </c>
      <c r="G43" t="s">
        <v>41</v>
      </c>
      <c r="H43" s="1">
        <v>45530</v>
      </c>
      <c r="I43" s="3">
        <f>VLOOKUP(H43,Tabla4[],2,FALSE)</f>
        <v>4029.75</v>
      </c>
      <c r="J43" s="3">
        <v>2.1766899999999998</v>
      </c>
      <c r="K43" s="25">
        <v>3.9902439999999997E-2</v>
      </c>
      <c r="L43" s="29">
        <f>Tabla6[[#This Row],[precio de compra]]*Tabla6[[#This Row],[cantidad]]*Tabla6[[#This Row],[PRECIO DEL DÓLAR, DIA COMPRA]]</f>
        <v>350.00491194757706</v>
      </c>
      <c r="M43" s="26">
        <f t="shared" ca="1" si="9"/>
        <v>492.10132234401198</v>
      </c>
      <c r="N43" s="41">
        <f t="shared" ca="1" si="10"/>
        <v>0.2909509392701764</v>
      </c>
      <c r="O43" s="28">
        <v>0.1</v>
      </c>
      <c r="P43" s="28">
        <v>0.3</v>
      </c>
      <c r="Q43" t="str">
        <f t="shared" ca="1" si="11"/>
        <v>VENTA PARCIAL</v>
      </c>
      <c r="T43" s="2"/>
      <c r="U43" s="14">
        <f>Tabla6[[#This Row],[cantidad]]-Tabla6[[#This Row],[CANTIDAD VENDIDA]]</f>
        <v>3.9902439999999997E-2</v>
      </c>
      <c r="V43" s="2">
        <f t="shared" ca="1" si="12"/>
        <v>492.10132234401198</v>
      </c>
      <c r="W43" s="2">
        <f t="shared" si="13"/>
        <v>-350.00491194757706</v>
      </c>
      <c r="X43" s="9">
        <f t="shared" ca="1" si="14"/>
        <v>0.2909509392701764</v>
      </c>
      <c r="Y43" s="2" t="str">
        <f t="shared" si="15"/>
        <v>ACTIVA</v>
      </c>
    </row>
    <row r="44" spans="2:25">
      <c r="B44" s="1">
        <f t="shared" ca="1" si="8"/>
        <v>45656</v>
      </c>
      <c r="C44" s="2">
        <f ca="1">VLOOKUP(B44,Tabla4[],2,FALSE)</f>
        <v>4388.83</v>
      </c>
      <c r="D44" s="3">
        <f ca="1">VLOOKUP(B44,Tabla4[],3,FALSE)</f>
        <v>93880</v>
      </c>
      <c r="E44" s="2">
        <f ca="1">VLOOKUP(B44,Tabla4[],5,FALSE)</f>
        <v>3413.8</v>
      </c>
      <c r="F44" s="2">
        <f ca="1">VLOOKUP(B44,Tabla4[],4,FALSE)</f>
        <v>2.81</v>
      </c>
      <c r="G44" t="s">
        <v>15</v>
      </c>
      <c r="H44" s="1">
        <v>45530</v>
      </c>
      <c r="I44" s="3">
        <f>VLOOKUP(H44,Tabla4[],2,FALSE)</f>
        <v>4029.75</v>
      </c>
      <c r="J44" s="3">
        <v>2670.79</v>
      </c>
      <c r="K44" s="25">
        <v>6.5040000000000001E-5</v>
      </c>
      <c r="L44" s="29">
        <f>Tabla6[[#This Row],[precio de compra]]*Tabla6[[#This Row],[cantidad]]*Tabla6[[#This Row],[PRECIO DEL DÓLAR, DIA COMPRA]]</f>
        <v>700.00054480260007</v>
      </c>
      <c r="M44" s="26">
        <f t="shared" ca="1" si="9"/>
        <v>974.4675140241601</v>
      </c>
      <c r="N44" s="41">
        <f t="shared" ca="1" si="10"/>
        <v>0.27819858543726772</v>
      </c>
      <c r="O44" s="28">
        <v>0.25</v>
      </c>
      <c r="P44" s="28">
        <v>0.5</v>
      </c>
      <c r="Q44" t="str">
        <f t="shared" ca="1" si="11"/>
        <v>VENTA PARCIAL</v>
      </c>
      <c r="T44" s="2"/>
      <c r="U44" s="14">
        <f>Tabla6[[#This Row],[cantidad]]-Tabla6[[#This Row],[CANTIDAD VENDIDA]]</f>
        <v>6.5040000000000001E-5</v>
      </c>
      <c r="V44" s="2">
        <f t="shared" ca="1" si="12"/>
        <v>974.4675140241601</v>
      </c>
      <c r="W44" s="2">
        <f t="shared" si="13"/>
        <v>-700.00054480260007</v>
      </c>
      <c r="X44" s="9">
        <f t="shared" ca="1" si="14"/>
        <v>0.27819858543726772</v>
      </c>
      <c r="Y44" s="2" t="str">
        <f t="shared" si="15"/>
        <v>ACTIVA</v>
      </c>
    </row>
    <row r="45" spans="2:25">
      <c r="B45" s="1">
        <f t="shared" ca="1" si="8"/>
        <v>45656</v>
      </c>
      <c r="C45" s="2">
        <f ca="1">VLOOKUP(B45,Tabla4[],2,FALSE)</f>
        <v>4388.83</v>
      </c>
      <c r="D45" s="3">
        <f ca="1">VLOOKUP(B45,Tabla4[],3,FALSE)</f>
        <v>93880</v>
      </c>
      <c r="E45" s="2">
        <f ca="1">VLOOKUP(B45,Tabla4[],5,FALSE)</f>
        <v>3413.8</v>
      </c>
      <c r="F45" s="2">
        <f ca="1">VLOOKUP(B45,Tabla4[],4,FALSE)</f>
        <v>2.81</v>
      </c>
      <c r="G45" t="s">
        <v>41</v>
      </c>
      <c r="H45" s="1">
        <v>45537</v>
      </c>
      <c r="I45" s="3">
        <f>VLOOKUP(H45,Tabla4[],2,FALSE)</f>
        <v>4160.3100000000004</v>
      </c>
      <c r="J45" s="3">
        <v>1.3929</v>
      </c>
      <c r="K45" s="25">
        <v>6.0397489999999998E-2</v>
      </c>
      <c r="L45" s="29">
        <f>Tabla6[[#This Row],[precio de compra]]*Tabla6[[#This Row],[cantidad]]*Tabla6[[#This Row],[PRECIO DEL DÓLAR, DIA COMPRA]]</f>
        <v>349.99716107114455</v>
      </c>
      <c r="M45" s="26">
        <f t="shared" ca="1" si="9"/>
        <v>744.85882806312702</v>
      </c>
      <c r="N45" s="41">
        <f t="shared" ca="1" si="10"/>
        <v>1.0173738243951469</v>
      </c>
      <c r="O45" s="28">
        <v>0.1</v>
      </c>
      <c r="P45" s="28">
        <v>0.3</v>
      </c>
      <c r="Q45" s="31" t="str">
        <f t="shared" ca="1" si="11"/>
        <v>VENDER</v>
      </c>
      <c r="T45" s="2"/>
      <c r="U45" s="14">
        <f>Tabla6[[#This Row],[cantidad]]-Tabla6[[#This Row],[CANTIDAD VENDIDA]]</f>
        <v>6.0397489999999998E-2</v>
      </c>
      <c r="V45" s="2">
        <f t="shared" ca="1" si="12"/>
        <v>744.85882806312702</v>
      </c>
      <c r="W45" s="2">
        <f t="shared" si="13"/>
        <v>-349.99716107114455</v>
      </c>
      <c r="X45" s="32">
        <f t="shared" ca="1" si="14"/>
        <v>1.0173738243951469</v>
      </c>
      <c r="Y45" s="2" t="str">
        <f t="shared" si="15"/>
        <v>ACTIVA</v>
      </c>
    </row>
    <row r="46" spans="2:25">
      <c r="B46" s="1">
        <f t="shared" ca="1" si="8"/>
        <v>45656</v>
      </c>
      <c r="C46" s="2">
        <f ca="1">VLOOKUP(B46,Tabla4[],2,FALSE)</f>
        <v>4388.83</v>
      </c>
      <c r="D46" s="3">
        <f ca="1">VLOOKUP(B46,Tabla4[],3,FALSE)</f>
        <v>93880</v>
      </c>
      <c r="E46" s="2">
        <f ca="1">VLOOKUP(B46,Tabla4[],5,FALSE)</f>
        <v>3413.8</v>
      </c>
      <c r="F46" s="2">
        <f ca="1">VLOOKUP(B46,Tabla4[],4,FALSE)</f>
        <v>2.81</v>
      </c>
      <c r="G46" t="s">
        <v>14</v>
      </c>
      <c r="H46" s="1">
        <v>45537</v>
      </c>
      <c r="I46" s="3">
        <f>VLOOKUP(H46,Tabla4[],2,FALSE)</f>
        <v>4160.3100000000004</v>
      </c>
      <c r="J46" s="3">
        <v>56272.800000000003</v>
      </c>
      <c r="K46" s="25">
        <v>2.9900000000000002E-6</v>
      </c>
      <c r="L46" s="29">
        <f>Tabla6[[#This Row],[precio de compra]]*Tabla6[[#This Row],[cantidad]]*Tabla6[[#This Row],[PRECIO DEL DÓLAR, DIA COMPRA]]</f>
        <v>699.99575477832013</v>
      </c>
      <c r="M46" s="26">
        <f t="shared" ca="1" si="9"/>
        <v>1231.9498475960002</v>
      </c>
      <c r="N46" s="41">
        <f t="shared" ca="1" si="10"/>
        <v>0.66830155954564185</v>
      </c>
      <c r="O46" s="28">
        <v>0.25</v>
      </c>
      <c r="P46" s="28">
        <v>0.5</v>
      </c>
      <c r="Q46" s="31" t="str">
        <f t="shared" ca="1" si="11"/>
        <v>VENDER</v>
      </c>
      <c r="T46" s="2"/>
      <c r="U46" s="14">
        <f>Tabla6[[#This Row],[cantidad]]-Tabla6[[#This Row],[CANTIDAD VENDIDA]]</f>
        <v>2.9900000000000002E-6</v>
      </c>
      <c r="V46" s="2">
        <f t="shared" ca="1" si="12"/>
        <v>1231.9498475960002</v>
      </c>
      <c r="W46" s="2">
        <f t="shared" si="13"/>
        <v>-699.99575477832013</v>
      </c>
      <c r="X46" s="32">
        <f t="shared" ca="1" si="14"/>
        <v>0.66830155954564185</v>
      </c>
      <c r="Y46" s="2" t="str">
        <f t="shared" si="15"/>
        <v>ACTIVA</v>
      </c>
    </row>
    <row r="47" spans="2:25">
      <c r="B47" s="1">
        <f t="shared" ca="1" si="8"/>
        <v>45656</v>
      </c>
      <c r="C47" s="2">
        <f ca="1">VLOOKUP(B47,Tabla4[],2,FALSE)</f>
        <v>4388.83</v>
      </c>
      <c r="D47" s="3">
        <f ca="1">VLOOKUP(B47,Tabla4[],3,FALSE)</f>
        <v>93880</v>
      </c>
      <c r="E47" s="2">
        <f ca="1">VLOOKUP(B47,Tabla4[],5,FALSE)</f>
        <v>3413.8</v>
      </c>
      <c r="F47" s="2">
        <f ca="1">VLOOKUP(B47,Tabla4[],4,FALSE)</f>
        <v>2.81</v>
      </c>
      <c r="G47" t="s">
        <v>15</v>
      </c>
      <c r="H47" s="1">
        <v>45537</v>
      </c>
      <c r="I47" s="3">
        <f>VLOOKUP(H47,Tabla4[],2,FALSE)</f>
        <v>4160.3100000000004</v>
      </c>
      <c r="J47" s="3">
        <v>2415.7600000000002</v>
      </c>
      <c r="K47" s="25">
        <v>6.9649999999999999E-5</v>
      </c>
      <c r="L47" s="29">
        <f>Tabla6[[#This Row],[precio de compra]]*Tabla6[[#This Row],[cantidad]]*Tabla6[[#This Row],[PRECIO DEL DÓLAR, DIA COMPRA]]</f>
        <v>700.00412532204018</v>
      </c>
      <c r="M47" s="26">
        <f t="shared" ca="1" si="9"/>
        <v>1043.5372440311</v>
      </c>
      <c r="N47" s="41">
        <f t="shared" ca="1" si="10"/>
        <v>0.4131370665960194</v>
      </c>
      <c r="O47" s="28">
        <v>0.25</v>
      </c>
      <c r="P47" s="28">
        <v>0.5</v>
      </c>
      <c r="Q47" s="31" t="str">
        <f t="shared" ca="1" si="11"/>
        <v>VENTA PARCIAL</v>
      </c>
      <c r="T47" s="2"/>
      <c r="U47" s="14">
        <f>Tabla6[[#This Row],[cantidad]]-Tabla6[[#This Row],[CANTIDAD VENDIDA]]</f>
        <v>6.9649999999999999E-5</v>
      </c>
      <c r="V47" s="2">
        <f t="shared" ca="1" si="12"/>
        <v>1043.5372440311</v>
      </c>
      <c r="W47" s="2">
        <f t="shared" si="13"/>
        <v>-700.00412532204018</v>
      </c>
      <c r="X47" s="32">
        <f t="shared" ca="1" si="14"/>
        <v>0.4131370665960194</v>
      </c>
      <c r="Y47" s="2" t="str">
        <f t="shared" si="15"/>
        <v>ACTIVA</v>
      </c>
    </row>
    <row r="48" spans="2:25">
      <c r="B48" s="1">
        <f t="shared" ca="1" si="8"/>
        <v>45656</v>
      </c>
      <c r="C48" s="2">
        <f ca="1">VLOOKUP(B48,Tabla4[],2,FALSE)</f>
        <v>4388.83</v>
      </c>
      <c r="D48" s="3">
        <f ca="1">VLOOKUP(B48,Tabla4[],3,FALSE)</f>
        <v>93880</v>
      </c>
      <c r="E48" s="2">
        <f ca="1">VLOOKUP(B48,Tabla4[],5,FALSE)</f>
        <v>3413.8</v>
      </c>
      <c r="F48" s="2">
        <f ca="1">VLOOKUP(B48,Tabla4[],4,FALSE)</f>
        <v>2.81</v>
      </c>
      <c r="G48" t="s">
        <v>41</v>
      </c>
      <c r="H48" s="1">
        <v>45544</v>
      </c>
      <c r="I48" s="3">
        <f>VLOOKUP(H48,Tabla4[],2,FALSE)</f>
        <v>4149.79</v>
      </c>
      <c r="J48" s="3">
        <v>1.5613999999999999</v>
      </c>
      <c r="K48" s="25">
        <v>5.4016019999999998E-2</v>
      </c>
      <c r="L48" s="29">
        <f>Tabla6[[#This Row],[precio de compra]]*Tabla6[[#This Row],[cantidad]]*Tabla6[[#This Row],[PRECIO DEL DÓLAR, DIA COMPRA]]</f>
        <v>349.9958350273381</v>
      </c>
      <c r="M48" s="26">
        <f t="shared" ca="1" si="9"/>
        <v>666.1586326490459</v>
      </c>
      <c r="N48" s="41">
        <f t="shared" ca="1" si="10"/>
        <v>0.79966696554374295</v>
      </c>
      <c r="O48" s="28">
        <v>0.1</v>
      </c>
      <c r="P48" s="28">
        <v>0.3</v>
      </c>
      <c r="Q48" s="31" t="str">
        <f t="shared" ca="1" si="11"/>
        <v>VENDER</v>
      </c>
      <c r="T48" s="2"/>
      <c r="U48" s="14">
        <f>Tabla6[[#This Row],[cantidad]]-Tabla6[[#This Row],[CANTIDAD VENDIDA]]</f>
        <v>5.4016019999999998E-2</v>
      </c>
      <c r="V48" s="2">
        <f t="shared" ca="1" si="12"/>
        <v>666.1586326490459</v>
      </c>
      <c r="W48" s="2">
        <f t="shared" si="13"/>
        <v>-349.9958350273381</v>
      </c>
      <c r="X48" s="32">
        <f t="shared" ca="1" si="14"/>
        <v>0.79966696554374295</v>
      </c>
      <c r="Y48" s="2" t="str">
        <f t="shared" si="15"/>
        <v>ACTIVA</v>
      </c>
    </row>
    <row r="49" spans="2:25">
      <c r="B49" s="1">
        <f t="shared" ca="1" si="8"/>
        <v>45656</v>
      </c>
      <c r="C49" s="2">
        <f ca="1">VLOOKUP(B49,Tabla4[],2,FALSE)</f>
        <v>4388.83</v>
      </c>
      <c r="D49" s="3">
        <f ca="1">VLOOKUP(B49,Tabla4[],3,FALSE)</f>
        <v>93880</v>
      </c>
      <c r="E49" s="2">
        <f ca="1">VLOOKUP(B49,Tabla4[],5,FALSE)</f>
        <v>3413.8</v>
      </c>
      <c r="F49" s="2">
        <f ca="1">VLOOKUP(B49,Tabla4[],4,FALSE)</f>
        <v>2.81</v>
      </c>
      <c r="G49" t="s">
        <v>14</v>
      </c>
      <c r="H49" s="1">
        <v>45544</v>
      </c>
      <c r="I49" s="3">
        <f>VLOOKUP(H49,Tabla4[],2,FALSE)</f>
        <v>4149.79</v>
      </c>
      <c r="J49" s="3">
        <v>54414</v>
      </c>
      <c r="K49" s="25">
        <v>3.1E-6</v>
      </c>
      <c r="L49" s="29">
        <f>Tabla6[[#This Row],[precio de compra]]*Tabla6[[#This Row],[cantidad]]*Tabla6[[#This Row],[PRECIO DEL DÓLAR, DIA COMPRA]]</f>
        <v>700.00068648600006</v>
      </c>
      <c r="M49" s="26">
        <f t="shared" ca="1" si="9"/>
        <v>1277.2724172400001</v>
      </c>
      <c r="N49" s="41">
        <f t="shared" ca="1" si="10"/>
        <v>0.72529128533098097</v>
      </c>
      <c r="O49" s="28">
        <v>0.25</v>
      </c>
      <c r="P49" s="28">
        <v>0.5</v>
      </c>
      <c r="Q49" s="31" t="str">
        <f t="shared" ca="1" si="11"/>
        <v>VENDER</v>
      </c>
      <c r="T49" s="2"/>
      <c r="U49" s="14">
        <f>Tabla6[[#This Row],[cantidad]]-Tabla6[[#This Row],[CANTIDAD VENDIDA]]</f>
        <v>3.1E-6</v>
      </c>
      <c r="V49" s="2">
        <f t="shared" ca="1" si="12"/>
        <v>1277.2724172400001</v>
      </c>
      <c r="W49" s="2">
        <f t="shared" si="13"/>
        <v>-700.00068648600006</v>
      </c>
      <c r="X49" s="32">
        <f t="shared" ca="1" si="14"/>
        <v>0.72529128533098097</v>
      </c>
      <c r="Y49" s="2" t="str">
        <f t="shared" si="15"/>
        <v>ACTIVA</v>
      </c>
    </row>
    <row r="50" spans="2:25">
      <c r="B50" s="1">
        <f t="shared" ca="1" si="8"/>
        <v>45656</v>
      </c>
      <c r="C50" s="2">
        <f ca="1">VLOOKUP(B50,Tabla4[],2,FALSE)</f>
        <v>4388.83</v>
      </c>
      <c r="D50" s="3">
        <f ca="1">VLOOKUP(B50,Tabla4[],3,FALSE)</f>
        <v>93880</v>
      </c>
      <c r="E50" s="2">
        <f ca="1">VLOOKUP(B50,Tabla4[],5,FALSE)</f>
        <v>3413.8</v>
      </c>
      <c r="F50" s="2">
        <f ca="1">VLOOKUP(B50,Tabla4[],4,FALSE)</f>
        <v>2.81</v>
      </c>
      <c r="G50" t="s">
        <v>15</v>
      </c>
      <c r="H50" s="1">
        <v>45544</v>
      </c>
      <c r="I50" s="3">
        <f>VLOOKUP(H50,Tabla4[],2,FALSE)</f>
        <v>4149.79</v>
      </c>
      <c r="J50" s="3">
        <v>2282.59</v>
      </c>
      <c r="K50" s="25">
        <v>7.3899999999999994E-5</v>
      </c>
      <c r="L50" s="29">
        <f>Tabla6[[#This Row],[precio de compra]]*Tabla6[[#This Row],[cantidad]]*Tabla6[[#This Row],[PRECIO DEL DÓLAR, DIA COMPRA]]</f>
        <v>700.00069063578997</v>
      </c>
      <c r="M50" s="26">
        <f t="shared" ca="1" si="9"/>
        <v>1107.2132424105998</v>
      </c>
      <c r="N50" s="41">
        <f t="shared" ca="1" si="10"/>
        <v>0.49558177333642922</v>
      </c>
      <c r="O50" s="28">
        <v>0.25</v>
      </c>
      <c r="P50" s="28">
        <v>0.5</v>
      </c>
      <c r="Q50" s="31" t="str">
        <f t="shared" ca="1" si="11"/>
        <v>VENTA PARCIAL</v>
      </c>
      <c r="T50" s="2"/>
      <c r="U50" s="14">
        <f>Tabla6[[#This Row],[cantidad]]-Tabla6[[#This Row],[CANTIDAD VENDIDA]]</f>
        <v>7.3899999999999994E-5</v>
      </c>
      <c r="V50" s="2">
        <f t="shared" ca="1" si="12"/>
        <v>1107.2132424105998</v>
      </c>
      <c r="W50" s="2">
        <f t="shared" si="13"/>
        <v>-700.00069063578997</v>
      </c>
      <c r="X50" s="32">
        <f t="shared" ca="1" si="14"/>
        <v>0.49558177333642922</v>
      </c>
      <c r="Y50" s="2" t="str">
        <f t="shared" si="15"/>
        <v>ACTIVA</v>
      </c>
    </row>
    <row r="51" spans="2:25">
      <c r="B51" s="1">
        <f t="shared" ca="1" si="8"/>
        <v>45656</v>
      </c>
      <c r="C51" s="2">
        <f ca="1">VLOOKUP(B51,Tabla4[],2,FALSE)</f>
        <v>4388.83</v>
      </c>
      <c r="D51" s="3">
        <f ca="1">VLOOKUP(B51,Tabla4[],3,FALSE)</f>
        <v>93880</v>
      </c>
      <c r="E51" s="2">
        <f ca="1">VLOOKUP(B51,Tabla4[],5,FALSE)</f>
        <v>3413.8</v>
      </c>
      <c r="F51" s="2">
        <f ca="1">VLOOKUP(B51,Tabla4[],4,FALSE)</f>
        <v>2.81</v>
      </c>
      <c r="G51" t="s">
        <v>41</v>
      </c>
      <c r="H51" s="1">
        <v>45551</v>
      </c>
      <c r="I51" s="3">
        <f>VLOOKUP(H51,Tabla4[],2,FALSE)</f>
        <v>4172.13</v>
      </c>
      <c r="J51" s="3">
        <v>1.7242</v>
      </c>
      <c r="K51" s="25">
        <v>4.8654459999999997E-2</v>
      </c>
      <c r="L51" s="29">
        <f>Tabla6[[#This Row],[precio de compra]]*Tabla6[[#This Row],[cantidad]]*Tabla6[[#This Row],[PRECIO DEL DÓLAR, DIA COMPRA]]</f>
        <v>350.00006885889513</v>
      </c>
      <c r="M51" s="26">
        <f t="shared" ca="1" si="9"/>
        <v>600.03659184585797</v>
      </c>
      <c r="N51" s="41">
        <f t="shared" ca="1" si="10"/>
        <v>0.62974132931214488</v>
      </c>
      <c r="O51" s="28">
        <v>0.1</v>
      </c>
      <c r="P51" s="28">
        <v>0.3</v>
      </c>
      <c r="Q51" s="31" t="str">
        <f t="shared" ca="1" si="11"/>
        <v>VENDER</v>
      </c>
      <c r="T51" s="2"/>
      <c r="U51" s="14">
        <f>Tabla6[[#This Row],[cantidad]]-Tabla6[[#This Row],[CANTIDAD VENDIDA]]</f>
        <v>4.8654459999999997E-2</v>
      </c>
      <c r="V51" s="2">
        <f t="shared" ca="1" si="12"/>
        <v>600.03659184585797</v>
      </c>
      <c r="W51" s="2">
        <f t="shared" si="13"/>
        <v>-350.00006885889513</v>
      </c>
      <c r="X51" s="32">
        <f t="shared" ca="1" si="14"/>
        <v>0.62974132931214488</v>
      </c>
      <c r="Y51" s="2" t="str">
        <f t="shared" si="15"/>
        <v>ACTIVA</v>
      </c>
    </row>
    <row r="52" spans="2:25">
      <c r="B52" s="1">
        <f t="shared" ca="1" si="8"/>
        <v>45656</v>
      </c>
      <c r="C52" s="2">
        <f ca="1">VLOOKUP(B52,Tabla4[],2,FALSE)</f>
        <v>4388.83</v>
      </c>
      <c r="D52" s="3">
        <f ca="1">VLOOKUP(B52,Tabla4[],3,FALSE)</f>
        <v>93880</v>
      </c>
      <c r="E52" s="2">
        <f ca="1">VLOOKUP(B52,Tabla4[],5,FALSE)</f>
        <v>3413.8</v>
      </c>
      <c r="F52" s="2">
        <f ca="1">VLOOKUP(B52,Tabla4[],4,FALSE)</f>
        <v>2.81</v>
      </c>
      <c r="G52" t="s">
        <v>14</v>
      </c>
      <c r="H52" s="1">
        <v>45551</v>
      </c>
      <c r="I52" s="3">
        <f>VLOOKUP(H52,Tabla4[],2,FALSE)</f>
        <v>4172.13</v>
      </c>
      <c r="J52" s="3">
        <v>58055.63</v>
      </c>
      <c r="K52" s="25">
        <v>2.8899999999999999E-6</v>
      </c>
      <c r="L52" s="29">
        <f>Tabla6[[#This Row],[precio de compra]]*Tabla6[[#This Row],[cantidad]]*Tabla6[[#This Row],[PRECIO DEL DÓLAR, DIA COMPRA]]</f>
        <v>700.00318686059086</v>
      </c>
      <c r="M52" s="26">
        <f t="shared" ca="1" si="9"/>
        <v>1190.7475115559998</v>
      </c>
      <c r="N52" s="41">
        <f t="shared" ca="1" si="10"/>
        <v>0.61706969677187218</v>
      </c>
      <c r="O52" s="28">
        <v>0.25</v>
      </c>
      <c r="P52" s="28">
        <v>0.5</v>
      </c>
      <c r="Q52" s="31" t="str">
        <f t="shared" ca="1" si="11"/>
        <v>VENDER</v>
      </c>
      <c r="T52" s="2"/>
      <c r="U52" s="14">
        <f>Tabla6[[#This Row],[cantidad]]-Tabla6[[#This Row],[CANTIDAD VENDIDA]]</f>
        <v>2.8899999999999999E-6</v>
      </c>
      <c r="V52" s="2">
        <f t="shared" ca="1" si="12"/>
        <v>1190.7475115559998</v>
      </c>
      <c r="W52" s="2">
        <f t="shared" si="13"/>
        <v>-700.00318686059086</v>
      </c>
      <c r="X52" s="32">
        <f t="shared" ca="1" si="14"/>
        <v>0.61706969677187218</v>
      </c>
      <c r="Y52" s="2" t="str">
        <f t="shared" si="15"/>
        <v>ACTIVA</v>
      </c>
    </row>
    <row r="53" spans="2:25">
      <c r="B53" s="1">
        <f t="shared" ca="1" si="8"/>
        <v>45656</v>
      </c>
      <c r="C53" s="2">
        <f ca="1">VLOOKUP(B53,Tabla4[],2,FALSE)</f>
        <v>4388.83</v>
      </c>
      <c r="D53" s="3">
        <f ca="1">VLOOKUP(B53,Tabla4[],3,FALSE)</f>
        <v>93880</v>
      </c>
      <c r="E53" s="2">
        <f ca="1">VLOOKUP(B53,Tabla4[],5,FALSE)</f>
        <v>3413.8</v>
      </c>
      <c r="F53" s="2">
        <f ca="1">VLOOKUP(B53,Tabla4[],4,FALSE)</f>
        <v>2.81</v>
      </c>
      <c r="G53" t="s">
        <v>15</v>
      </c>
      <c r="H53" s="1">
        <v>45551</v>
      </c>
      <c r="I53" s="3">
        <f>VLOOKUP(H53,Tabla4[],2,FALSE)</f>
        <v>4172.13</v>
      </c>
      <c r="J53" s="3">
        <v>2269.46</v>
      </c>
      <c r="K53" s="25">
        <v>7.3930000000000005E-5</v>
      </c>
      <c r="L53" s="29">
        <f>Tabla6[[#This Row],[precio de compra]]*Tabla6[[#This Row],[cantidad]]*Tabla6[[#This Row],[PRECIO DEL DÓLAR, DIA COMPRA]]</f>
        <v>700.00488533471412</v>
      </c>
      <c r="M53" s="26">
        <f t="shared" ca="1" si="9"/>
        <v>1107.6627200462201</v>
      </c>
      <c r="N53" s="41">
        <f t="shared" ca="1" si="10"/>
        <v>0.50423448749922894</v>
      </c>
      <c r="O53" s="28">
        <v>0.25</v>
      </c>
      <c r="P53" s="28">
        <v>0.5</v>
      </c>
      <c r="Q53" s="31" t="str">
        <f t="shared" ca="1" si="11"/>
        <v>VENDER</v>
      </c>
      <c r="T53" s="2"/>
      <c r="U53" s="14">
        <f>Tabla6[[#This Row],[cantidad]]-Tabla6[[#This Row],[CANTIDAD VENDIDA]]</f>
        <v>7.3930000000000005E-5</v>
      </c>
      <c r="V53" s="2">
        <f t="shared" ca="1" si="12"/>
        <v>1107.6627200462201</v>
      </c>
      <c r="W53" s="2">
        <f t="shared" si="13"/>
        <v>-700.00488533471412</v>
      </c>
      <c r="X53" s="32">
        <f t="shared" ca="1" si="14"/>
        <v>0.50423448749922894</v>
      </c>
      <c r="Y53" s="2" t="str">
        <f t="shared" si="15"/>
        <v>ACTIVA</v>
      </c>
    </row>
    <row r="54" spans="2:25">
      <c r="B54" s="1">
        <f t="shared" ca="1" si="8"/>
        <v>45656</v>
      </c>
      <c r="C54" s="2">
        <f ca="1">VLOOKUP(B54,Tabla4[],2,FALSE)</f>
        <v>4388.83</v>
      </c>
      <c r="D54" s="3">
        <f ca="1">VLOOKUP(B54,Tabla4[],3,FALSE)</f>
        <v>93880</v>
      </c>
      <c r="E54" s="2">
        <f ca="1">VLOOKUP(B54,Tabla4[],5,FALSE)</f>
        <v>3413.8</v>
      </c>
      <c r="F54" s="2">
        <f ca="1">VLOOKUP(B54,Tabla4[],4,FALSE)</f>
        <v>2.81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ca="1" si="9"/>
        <v>1108.3428394760001</v>
      </c>
      <c r="N54" s="41">
        <f t="shared" ca="1" si="10"/>
        <v>0.49862716301641019</v>
      </c>
      <c r="O54" s="28">
        <v>0.25</v>
      </c>
      <c r="P54" s="28">
        <v>0.5</v>
      </c>
      <c r="Q54" s="31" t="str">
        <f t="shared" ca="1" si="11"/>
        <v>VENTA PARCIAL</v>
      </c>
      <c r="T54" s="2"/>
      <c r="U54" s="14">
        <f>Tabla6[[#This Row],[cantidad]]-Tabla6[[#This Row],[CANTIDAD VENDIDA]]</f>
        <v>2.6900000000000001E-6</v>
      </c>
      <c r="V54" s="2">
        <f t="shared" ca="1" si="12"/>
        <v>1108.3428394760001</v>
      </c>
      <c r="W54" s="2">
        <f t="shared" si="13"/>
        <v>-699.99697319279994</v>
      </c>
      <c r="X54" s="32">
        <f t="shared" ca="1" si="14"/>
        <v>0.49862716301641019</v>
      </c>
      <c r="Y54" s="2" t="str">
        <f t="shared" si="15"/>
        <v>ACTIVA</v>
      </c>
    </row>
    <row r="55" spans="2:25">
      <c r="B55" s="1">
        <f t="shared" ca="1" si="8"/>
        <v>45656</v>
      </c>
      <c r="C55" s="2">
        <f ca="1">VLOOKUP(B55,Tabla4[],2,FALSE)</f>
        <v>4388.83</v>
      </c>
      <c r="D55" s="3">
        <f ca="1">VLOOKUP(B55,Tabla4[],3,FALSE)</f>
        <v>93880</v>
      </c>
      <c r="E55" s="2">
        <f ca="1">VLOOKUP(B55,Tabla4[],5,FALSE)</f>
        <v>3413.8</v>
      </c>
      <c r="F55" s="2">
        <f ca="1">VLOOKUP(B55,Tabla4[],4,FALSE)</f>
        <v>2.81</v>
      </c>
      <c r="G55" t="s">
        <v>41</v>
      </c>
      <c r="H55" s="1">
        <v>45558</v>
      </c>
      <c r="I55" s="3">
        <f>VLOOKUP(H55,Tabla4[],2,FALSE)</f>
        <v>4153.9799999999996</v>
      </c>
      <c r="J55" s="3">
        <v>2.0857999999999999</v>
      </c>
      <c r="K55" s="25">
        <v>4.0395279999999999E-2</v>
      </c>
      <c r="L55" s="29">
        <f>Tabla6[[#This Row],[precio de compra]]*Tabla6[[#This Row],[cantidad]]*Tabla6[[#This Row],[PRECIO DEL DÓLAR, DIA COMPRA]]</f>
        <v>349.99971212019545</v>
      </c>
      <c r="M55" s="26">
        <f t="shared" ca="1" si="9"/>
        <v>498.179326989944</v>
      </c>
      <c r="N55" s="41">
        <f t="shared" ca="1" si="10"/>
        <v>0.34720490938728554</v>
      </c>
      <c r="O55" s="28">
        <v>0.1</v>
      </c>
      <c r="P55" s="28">
        <v>0.3</v>
      </c>
      <c r="Q55" s="31" t="str">
        <f t="shared" ca="1" si="11"/>
        <v>VENDER</v>
      </c>
      <c r="T55" s="2"/>
      <c r="U55" s="14">
        <f>Tabla6[[#This Row],[cantidad]]-Tabla6[[#This Row],[CANTIDAD VENDIDA]]</f>
        <v>4.0395279999999999E-2</v>
      </c>
      <c r="V55" s="2">
        <f t="shared" ca="1" si="12"/>
        <v>498.179326989944</v>
      </c>
      <c r="W55" s="2">
        <f t="shared" si="13"/>
        <v>-349.99971212019545</v>
      </c>
      <c r="X55" s="32">
        <f t="shared" ca="1" si="14"/>
        <v>0.34720490938728554</v>
      </c>
      <c r="Y55" s="2" t="str">
        <f t="shared" si="15"/>
        <v>ACTIVA</v>
      </c>
    </row>
    <row r="56" spans="2:25">
      <c r="B56" s="1">
        <f t="shared" ca="1" si="8"/>
        <v>45656</v>
      </c>
      <c r="C56" s="2">
        <f ca="1">VLOOKUP(B56,Tabla4[],2,FALSE)</f>
        <v>4388.83</v>
      </c>
      <c r="D56" s="3">
        <f ca="1">VLOOKUP(B56,Tabla4[],3,FALSE)</f>
        <v>93880</v>
      </c>
      <c r="E56" s="2">
        <f ca="1">VLOOKUP(B56,Tabla4[],5,FALSE)</f>
        <v>3413.8</v>
      </c>
      <c r="F56" s="2">
        <f ca="1">VLOOKUP(B56,Tabla4[],4,FALSE)</f>
        <v>2.81</v>
      </c>
      <c r="G56" t="s">
        <v>15</v>
      </c>
      <c r="H56" s="1">
        <v>45558</v>
      </c>
      <c r="I56" s="3">
        <f>VLOOKUP(H56,Tabla4[],2,FALSE)</f>
        <v>4153.9799999999996</v>
      </c>
      <c r="J56" s="3">
        <v>2598.92</v>
      </c>
      <c r="K56" s="25">
        <v>6.4839999999999996E-5</v>
      </c>
      <c r="L56" s="29">
        <f>Tabla6[[#This Row],[precio de compra]]*Tabla6[[#This Row],[cantidad]]*Tabla6[[#This Row],[PRECIO DEL DÓLAR, DIA COMPRA]]</f>
        <v>700.0036727317439</v>
      </c>
      <c r="M56" s="26">
        <f t="shared" ca="1" si="9"/>
        <v>971.47099645335993</v>
      </c>
      <c r="N56" s="41">
        <f t="shared" ca="1" si="10"/>
        <v>0.31354562664491409</v>
      </c>
      <c r="O56" s="28">
        <v>0.25</v>
      </c>
      <c r="P56" s="28">
        <v>0.5</v>
      </c>
      <c r="Q56" s="31" t="str">
        <f t="shared" ca="1" si="11"/>
        <v>VENTA PARCIAL</v>
      </c>
      <c r="T56" s="2"/>
      <c r="U56" s="14">
        <f>Tabla6[[#This Row],[cantidad]]-Tabla6[[#This Row],[CANTIDAD VENDIDA]]</f>
        <v>6.4839999999999996E-5</v>
      </c>
      <c r="V56" s="2">
        <f t="shared" ca="1" si="12"/>
        <v>971.47099645335993</v>
      </c>
      <c r="W56" s="2">
        <f t="shared" si="13"/>
        <v>-700.0036727317439</v>
      </c>
      <c r="X56" s="32">
        <f t="shared" ca="1" si="14"/>
        <v>0.31354562664491409</v>
      </c>
      <c r="Y56" s="2" t="str">
        <f t="shared" si="15"/>
        <v>ACTIVA</v>
      </c>
    </row>
    <row r="57" spans="2:25">
      <c r="B57" s="1">
        <f t="shared" ca="1" si="8"/>
        <v>45656</v>
      </c>
      <c r="C57" s="2">
        <f ca="1">VLOOKUP(B57,Tabla4[],2,FALSE)</f>
        <v>4388.83</v>
      </c>
      <c r="D57" s="3">
        <f ca="1">VLOOKUP(B57,Tabla4[],3,FALSE)</f>
        <v>93880</v>
      </c>
      <c r="E57" s="2">
        <f ca="1">VLOOKUP(B57,Tabla4[],5,FALSE)</f>
        <v>3413.8</v>
      </c>
      <c r="F57" s="2">
        <f ca="1">VLOOKUP(B57,Tabla4[],4,FALSE)</f>
        <v>2.81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9"/>
        <v>1120.7035402879999</v>
      </c>
      <c r="N57" s="41">
        <f t="shared" ca="1" si="10"/>
        <v>0.4591651362115422</v>
      </c>
      <c r="O57" s="28">
        <v>0.25</v>
      </c>
      <c r="P57" s="28">
        <v>0.5</v>
      </c>
      <c r="Q57" s="31" t="str">
        <f t="shared" ca="1" si="11"/>
        <v>VENTA PARCIAL</v>
      </c>
      <c r="T57" s="2"/>
      <c r="U57" s="14">
        <f>Tabla6[[#This Row],[cantidad]]-Tabla6[[#This Row],[CANTIDAD VENDIDA]]</f>
        <v>2.7199999999999998E-6</v>
      </c>
      <c r="V57" s="2">
        <f t="shared" ca="1" si="12"/>
        <v>1120.7035402879999</v>
      </c>
      <c r="W57" s="2">
        <f t="shared" si="13"/>
        <v>-699.99918079999998</v>
      </c>
      <c r="X57" s="32">
        <f t="shared" ca="1" si="14"/>
        <v>0.4591651362115422</v>
      </c>
      <c r="Y57" s="2" t="str">
        <f t="shared" si="15"/>
        <v>ACTIVA</v>
      </c>
    </row>
    <row r="58" spans="2:25">
      <c r="B58" s="1">
        <f t="shared" ca="1" si="8"/>
        <v>45656</v>
      </c>
      <c r="C58" s="2">
        <f ca="1">VLOOKUP(B58,Tabla4[],2,FALSE)</f>
        <v>4388.83</v>
      </c>
      <c r="D58" s="3">
        <f ca="1">VLOOKUP(B58,Tabla4[],3,FALSE)</f>
        <v>93880</v>
      </c>
      <c r="E58" s="2">
        <f ca="1">VLOOKUP(B58,Tabla4[],5,FALSE)</f>
        <v>3413.8</v>
      </c>
      <c r="F58" s="2">
        <f ca="1">VLOOKUP(B58,Tabla4[],4,FALSE)</f>
        <v>2.81</v>
      </c>
      <c r="G58" t="s">
        <v>41</v>
      </c>
      <c r="H58" s="1">
        <v>45565</v>
      </c>
      <c r="I58" s="3">
        <v>4000</v>
      </c>
      <c r="J58" s="3">
        <v>2.07972</v>
      </c>
      <c r="K58" s="25">
        <v>4.2072680000000001E-2</v>
      </c>
      <c r="L58" s="29">
        <f>Tabla6[[#This Row],[precio de compra]]*Tabla6[[#This Row],[cantidad]]*Tabla6[[#This Row],[PRECIO DEL DÓLAR, DIA COMPRA]]</f>
        <v>349.9975761984</v>
      </c>
      <c r="M58" s="26">
        <f t="shared" ca="1" si="9"/>
        <v>518.86605086196403</v>
      </c>
      <c r="N58" s="41">
        <f t="shared" ca="1" si="10"/>
        <v>0.35114342315311681</v>
      </c>
      <c r="O58" s="28">
        <v>0.1</v>
      </c>
      <c r="P58" s="28">
        <v>0.3</v>
      </c>
      <c r="Q58" s="31" t="str">
        <f t="shared" ca="1" si="11"/>
        <v>VENDER</v>
      </c>
      <c r="T58" s="2"/>
      <c r="U58" s="14">
        <f>Tabla6[[#This Row],[cantidad]]-Tabla6[[#This Row],[CANTIDAD VENDIDA]]</f>
        <v>4.2072680000000001E-2</v>
      </c>
      <c r="V58" s="2">
        <f t="shared" ca="1" si="12"/>
        <v>518.86605086196403</v>
      </c>
      <c r="W58" s="2">
        <f t="shared" si="13"/>
        <v>-349.9975761984</v>
      </c>
      <c r="X58" s="32">
        <f t="shared" ca="1" si="14"/>
        <v>0.35114342315311681</v>
      </c>
      <c r="Y58" s="2" t="str">
        <f t="shared" si="15"/>
        <v>ACTIVA</v>
      </c>
    </row>
    <row r="59" spans="2:25">
      <c r="B59" s="1">
        <f t="shared" ca="1" si="8"/>
        <v>45656</v>
      </c>
      <c r="C59" s="2">
        <f ca="1">VLOOKUP(B59,Tabla4[],2,FALSE)</f>
        <v>4388.83</v>
      </c>
      <c r="D59" s="3">
        <f ca="1">VLOOKUP(B59,Tabla4[],3,FALSE)</f>
        <v>93880</v>
      </c>
      <c r="E59" s="2">
        <f ca="1">VLOOKUP(B59,Tabla4[],5,FALSE)</f>
        <v>3413.8</v>
      </c>
      <c r="F59" s="2">
        <f ca="1">VLOOKUP(B59,Tabla4[],4,FALSE)</f>
        <v>2.81</v>
      </c>
      <c r="G59" t="s">
        <v>15</v>
      </c>
      <c r="H59" s="1">
        <v>45565</v>
      </c>
      <c r="I59" s="3">
        <v>4000</v>
      </c>
      <c r="J59" s="3">
        <v>2622.5</v>
      </c>
      <c r="K59" s="25">
        <v>6.6730000000000007E-5</v>
      </c>
      <c r="L59" s="29">
        <f>Tabla6[[#This Row],[precio de compra]]*Tabla6[[#This Row],[cantidad]]*Tabla6[[#This Row],[PRECIO DEL DÓLAR, DIA COMPRA]]</f>
        <v>699.99770000000001</v>
      </c>
      <c r="M59" s="26">
        <f t="shared" ca="1" si="9"/>
        <v>999.78808749742018</v>
      </c>
      <c r="N59" s="41">
        <f t="shared" ca="1" si="10"/>
        <v>0.30173498570066737</v>
      </c>
      <c r="O59" s="28">
        <v>0.25</v>
      </c>
      <c r="P59" s="28">
        <v>0.5</v>
      </c>
      <c r="Q59" s="31" t="str">
        <f t="shared" ca="1" si="11"/>
        <v>VENTA PARCIAL</v>
      </c>
      <c r="T59" s="2"/>
      <c r="U59" s="14">
        <f>Tabla6[[#This Row],[cantidad]]-Tabla6[[#This Row],[CANTIDAD VENDIDA]]</f>
        <v>6.6730000000000007E-5</v>
      </c>
      <c r="V59" s="2">
        <f t="shared" ca="1" si="12"/>
        <v>999.78808749742018</v>
      </c>
      <c r="W59" s="2">
        <f t="shared" si="13"/>
        <v>-699.99770000000001</v>
      </c>
      <c r="X59" s="32">
        <f t="shared" ca="1" si="14"/>
        <v>0.30173498570066737</v>
      </c>
      <c r="Y59" s="2" t="str">
        <f t="shared" si="15"/>
        <v>ACTIVA</v>
      </c>
    </row>
    <row r="60" spans="2:25">
      <c r="B60" s="1">
        <f t="shared" ca="1" si="8"/>
        <v>45656</v>
      </c>
      <c r="C60" s="2">
        <f ca="1">VLOOKUP(B60,Tabla4[],2,FALSE)</f>
        <v>4388.83</v>
      </c>
      <c r="D60" s="3">
        <f ca="1">VLOOKUP(B60,Tabla4[],3,FALSE)</f>
        <v>93880</v>
      </c>
      <c r="E60" s="2">
        <f ca="1">VLOOKUP(B60,Tabla4[],5,FALSE)</f>
        <v>3413.8</v>
      </c>
      <c r="F60" s="2">
        <f ca="1">VLOOKUP(B60,Tabla4[],4,FALSE)</f>
        <v>2.81</v>
      </c>
      <c r="G60" t="s">
        <v>41</v>
      </c>
      <c r="H60" s="1">
        <v>45572</v>
      </c>
      <c r="I60" s="3">
        <v>4036.67</v>
      </c>
      <c r="J60" s="3">
        <v>1.841</v>
      </c>
      <c r="K60" s="25">
        <v>4.7097090000000001E-2</v>
      </c>
      <c r="L60" s="29">
        <f>Tabla6[[#This Row],[precio de compra]]*Tabla6[[#This Row],[cantidad]]*Tabla6[[#This Row],[PRECIO DEL DÓLAR, DIA COMPRA]]</f>
        <v>350.00247034444232</v>
      </c>
      <c r="M60" s="26">
        <f t="shared" ca="1" si="9"/>
        <v>580.83015142820705</v>
      </c>
      <c r="N60" s="41">
        <f t="shared" ca="1" si="10"/>
        <v>0.52634437805540468</v>
      </c>
      <c r="O60" s="28">
        <v>0.1</v>
      </c>
      <c r="P60" s="28">
        <v>0.3</v>
      </c>
      <c r="Q60" s="31" t="str">
        <f t="shared" ca="1" si="11"/>
        <v>VENDER</v>
      </c>
      <c r="T60" s="2"/>
      <c r="U60" s="14">
        <f>Tabla6[[#This Row],[cantidad]]-Tabla6[[#This Row],[CANTIDAD VENDIDA]]</f>
        <v>4.7097090000000001E-2</v>
      </c>
      <c r="V60" s="2">
        <f t="shared" ca="1" si="12"/>
        <v>580.83015142820705</v>
      </c>
      <c r="W60" s="2">
        <f t="shared" si="13"/>
        <v>-350.00247034444232</v>
      </c>
      <c r="X60" s="32">
        <f t="shared" ca="1" si="14"/>
        <v>0.52634437805540468</v>
      </c>
      <c r="Y60" s="2" t="str">
        <f t="shared" si="15"/>
        <v>ACTIVA</v>
      </c>
    </row>
    <row r="61" spans="2:25">
      <c r="B61" s="1">
        <f t="shared" ca="1" si="8"/>
        <v>45656</v>
      </c>
      <c r="C61" s="2">
        <f ca="1">VLOOKUP(B61,Tabla4[],2,FALSE)</f>
        <v>4388.83</v>
      </c>
      <c r="D61" s="3">
        <f ca="1">VLOOKUP(B61,Tabla4[],3,FALSE)</f>
        <v>93880</v>
      </c>
      <c r="E61" s="2">
        <f ca="1">VLOOKUP(B61,Tabla4[],5,FALSE)</f>
        <v>3413.8</v>
      </c>
      <c r="F61" s="2">
        <f ca="1">VLOOKUP(B61,Tabla4[],4,FALSE)</f>
        <v>2.81</v>
      </c>
      <c r="G61" t="s">
        <v>14</v>
      </c>
      <c r="H61" s="1">
        <v>45572</v>
      </c>
      <c r="I61" s="3">
        <v>4036.67</v>
      </c>
      <c r="J61" s="3">
        <v>63058</v>
      </c>
      <c r="K61" s="25">
        <v>2.7499999999999999E-6</v>
      </c>
      <c r="L61" s="29">
        <f>Tabla6[[#This Row],[precio de compra]]*Tabla6[[#This Row],[cantidad]]*Tabla6[[#This Row],[PRECIO DEL DÓLAR, DIA COMPRA]]</f>
        <v>699.99692636500004</v>
      </c>
      <c r="M61" s="26">
        <f t="shared" ca="1" si="9"/>
        <v>1133.0642411000001</v>
      </c>
      <c r="N61" s="41">
        <f t="shared" ca="1" si="10"/>
        <v>0.48878809984458754</v>
      </c>
      <c r="O61" s="28">
        <v>0.25</v>
      </c>
      <c r="P61" s="28">
        <v>0.5</v>
      </c>
      <c r="Q61" s="31" t="str">
        <f t="shared" ca="1" si="11"/>
        <v>VENTA PARCIAL</v>
      </c>
      <c r="T61" s="2"/>
      <c r="U61" s="14">
        <f>Tabla6[[#This Row],[cantidad]]-Tabla6[[#This Row],[CANTIDAD VENDIDA]]</f>
        <v>2.7499999999999999E-6</v>
      </c>
      <c r="V61" s="2">
        <f t="shared" ca="1" si="12"/>
        <v>1133.0642411000001</v>
      </c>
      <c r="W61" s="2">
        <f t="shared" si="13"/>
        <v>-699.99692636500004</v>
      </c>
      <c r="X61" s="32">
        <f t="shared" ca="1" si="14"/>
        <v>0.48878809984458754</v>
      </c>
      <c r="Y61" s="2" t="str">
        <f t="shared" si="15"/>
        <v>ACTIVA</v>
      </c>
    </row>
    <row r="62" spans="2:25">
      <c r="B62" s="1">
        <f t="shared" ca="1" si="8"/>
        <v>45656</v>
      </c>
      <c r="C62" s="2">
        <f ca="1">VLOOKUP(B62,Tabla4[],2,FALSE)</f>
        <v>4388.83</v>
      </c>
      <c r="D62" s="3">
        <f ca="1">VLOOKUP(B62,Tabla4[],3,FALSE)</f>
        <v>93880</v>
      </c>
      <c r="E62" s="2">
        <f ca="1">VLOOKUP(B62,Tabla4[],5,FALSE)</f>
        <v>3413.8</v>
      </c>
      <c r="F62" s="2">
        <f ca="1">VLOOKUP(B62,Tabla4[],4,FALSE)</f>
        <v>2.81</v>
      </c>
      <c r="G62" t="s">
        <v>15</v>
      </c>
      <c r="H62" s="1">
        <v>45572</v>
      </c>
      <c r="I62" s="3">
        <v>4036.67</v>
      </c>
      <c r="J62" s="3">
        <v>2441.6999999999998</v>
      </c>
      <c r="K62" s="25">
        <v>7.1019999999999994E-5</v>
      </c>
      <c r="L62" s="29">
        <f>Tabla6[[#This Row],[precio de compra]]*Tabla6[[#This Row],[cantidad]]*Tabla6[[#This Row],[PRECIO DEL DÓLAR, DIA COMPRA]]</f>
        <v>699.99706361177994</v>
      </c>
      <c r="M62" s="26">
        <f t="shared" ca="1" si="9"/>
        <v>1064.0633893910799</v>
      </c>
      <c r="N62" s="41">
        <f t="shared" ca="1" si="10"/>
        <v>0.39812425768931498</v>
      </c>
      <c r="O62" s="28">
        <v>0.25</v>
      </c>
      <c r="P62" s="28">
        <v>0.5</v>
      </c>
      <c r="Q62" s="31" t="str">
        <f t="shared" ca="1" si="11"/>
        <v>VENTA PARCIAL</v>
      </c>
      <c r="T62" s="2"/>
      <c r="U62" s="14">
        <f>Tabla6[[#This Row],[cantidad]]-Tabla6[[#This Row],[CANTIDAD VENDIDA]]</f>
        <v>7.1019999999999994E-5</v>
      </c>
      <c r="V62" s="2">
        <f t="shared" ca="1" si="12"/>
        <v>1064.0633893910799</v>
      </c>
      <c r="W62" s="2">
        <f t="shared" si="13"/>
        <v>-699.99706361177994</v>
      </c>
      <c r="X62" s="32">
        <f t="shared" ca="1" si="14"/>
        <v>0.39812425768931498</v>
      </c>
      <c r="Y62" s="2" t="str">
        <f t="shared" si="15"/>
        <v>ACTIVA</v>
      </c>
    </row>
    <row r="63" spans="2:25">
      <c r="B63" s="1">
        <f t="shared" ca="1" si="8"/>
        <v>45656</v>
      </c>
      <c r="C63" s="2">
        <f ca="1">VLOOKUP(B63,Tabla4[],2,FALSE)</f>
        <v>4388.83</v>
      </c>
      <c r="D63" s="3">
        <f ca="1">VLOOKUP(B63,Tabla4[],3,FALSE)</f>
        <v>93880</v>
      </c>
      <c r="E63" s="2">
        <f ca="1">VLOOKUP(B63,Tabla4[],5,FALSE)</f>
        <v>3413.8</v>
      </c>
      <c r="F63" s="2">
        <f ca="1">VLOOKUP(B63,Tabla4[],4,FALSE)</f>
        <v>2.81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9"/>
        <v>1075.3809706439999</v>
      </c>
      <c r="N63" s="41">
        <f t="shared" ca="1" si="10"/>
        <v>0.47399161576988902</v>
      </c>
      <c r="O63" s="28">
        <v>0.25</v>
      </c>
      <c r="P63" s="28">
        <v>0.5</v>
      </c>
      <c r="Q63" s="31" t="str">
        <f t="shared" ca="1" si="11"/>
        <v>VENTA PARCIAL</v>
      </c>
      <c r="T63" s="2"/>
      <c r="U63" s="14">
        <f>Tabla6[[#This Row],[cantidad]]-Tabla6[[#This Row],[CANTIDAD VENDIDA]]</f>
        <v>2.61E-6</v>
      </c>
      <c r="V63" s="2">
        <f t="shared" ca="1" si="12"/>
        <v>1075.3809706439999</v>
      </c>
      <c r="W63" s="2">
        <f t="shared" si="13"/>
        <v>-700.00099893449999</v>
      </c>
      <c r="X63" s="32">
        <f t="shared" ca="1" si="14"/>
        <v>0.47399161576988902</v>
      </c>
      <c r="Y63" s="2" t="str">
        <f t="shared" si="15"/>
        <v>ACTIVA</v>
      </c>
    </row>
    <row r="64" spans="2:25">
      <c r="B64" s="1">
        <f t="shared" ca="1" si="8"/>
        <v>45656</v>
      </c>
      <c r="C64" s="2">
        <f ca="1">VLOOKUP(B64,Tabla4[],2,FALSE)</f>
        <v>4388.83</v>
      </c>
      <c r="D64" s="3">
        <f ca="1">VLOOKUP(B64,Tabla4[],3,FALSE)</f>
        <v>93880</v>
      </c>
      <c r="E64" s="2">
        <f ca="1">VLOOKUP(B64,Tabla4[],5,FALSE)</f>
        <v>3413.8</v>
      </c>
      <c r="F64" s="2">
        <f ca="1">VLOOKUP(B64,Tabla4[],4,FALSE)</f>
        <v>2.81</v>
      </c>
      <c r="G64" t="s">
        <v>41</v>
      </c>
      <c r="H64" s="1">
        <v>45579</v>
      </c>
      <c r="I64" s="3">
        <f>VLOOKUP(H64,Tabla4[],2,FALSE)</f>
        <v>4210.95</v>
      </c>
      <c r="J64" s="3">
        <v>1.9345000000000001</v>
      </c>
      <c r="K64" s="25">
        <v>4.2965499999999997E-2</v>
      </c>
      <c r="L64" s="29">
        <f>Tabla6[[#This Row],[precio de compra]]*Tabla6[[#This Row],[cantidad]]*Tabla6[[#This Row],[PRECIO DEL DÓLAR, DIA COMPRA]]</f>
        <v>350.00051946926249</v>
      </c>
      <c r="M64" s="26">
        <f t="shared" ca="1" si="9"/>
        <v>529.87685377564992</v>
      </c>
      <c r="N64" s="41">
        <f t="shared" ca="1" si="10"/>
        <v>0.45257172395967943</v>
      </c>
      <c r="O64" s="28">
        <v>0.1</v>
      </c>
      <c r="P64" s="28">
        <v>0.3</v>
      </c>
      <c r="Q64" s="31" t="str">
        <f t="shared" ca="1" si="11"/>
        <v>VENDER</v>
      </c>
      <c r="T64" s="2"/>
      <c r="U64" s="14">
        <f>Tabla6[[#This Row],[cantidad]]-Tabla6[[#This Row],[CANTIDAD VENDIDA]]</f>
        <v>4.2965499999999997E-2</v>
      </c>
      <c r="V64" s="2">
        <f t="shared" ca="1" si="12"/>
        <v>529.87685377564992</v>
      </c>
      <c r="W64" s="2">
        <f t="shared" si="13"/>
        <v>-350.00051946926249</v>
      </c>
      <c r="X64" s="32">
        <f t="shared" ca="1" si="14"/>
        <v>0.45257172395967943</v>
      </c>
      <c r="Y64" s="2" t="str">
        <f t="shared" si="15"/>
        <v>ACTIVA</v>
      </c>
    </row>
    <row r="65" spans="2:25">
      <c r="B65" s="1">
        <f t="shared" ca="1" si="8"/>
        <v>45656</v>
      </c>
      <c r="C65" s="2">
        <f ca="1">VLOOKUP(B65,Tabla4[],2,FALSE)</f>
        <v>4388.83</v>
      </c>
      <c r="D65" s="3">
        <f ca="1">VLOOKUP(B65,Tabla4[],3,FALSE)</f>
        <v>93880</v>
      </c>
      <c r="E65" s="2">
        <f ca="1">VLOOKUP(B65,Tabla4[],5,FALSE)</f>
        <v>3413.8</v>
      </c>
      <c r="F65" s="2">
        <f ca="1">VLOOKUP(B65,Tabla4[],4,FALSE)</f>
        <v>2.81</v>
      </c>
      <c r="G65" t="s">
        <v>15</v>
      </c>
      <c r="H65" s="1">
        <v>45579</v>
      </c>
      <c r="I65" s="3">
        <f>VLOOKUP(H65,Tabla4[],2,FALSE)</f>
        <v>4210.95</v>
      </c>
      <c r="J65" s="3">
        <v>2502.4</v>
      </c>
      <c r="K65" s="25">
        <v>6.6429999999999999E-5</v>
      </c>
      <c r="L65" s="29">
        <f>Tabla6[[#This Row],[precio de compra]]*Tabla6[[#This Row],[cantidad]]*Tabla6[[#This Row],[PRECIO DEL DÓLAR, DIA COMPRA]]</f>
        <v>700.00488143040002</v>
      </c>
      <c r="M65" s="26">
        <f t="shared" ca="1" si="9"/>
        <v>995.29331114121999</v>
      </c>
      <c r="N65" s="41">
        <f t="shared" ca="1" si="10"/>
        <v>0.364210358056266</v>
      </c>
      <c r="O65" s="28">
        <v>0.25</v>
      </c>
      <c r="P65" s="28">
        <v>0.5</v>
      </c>
      <c r="Q65" s="31" t="str">
        <f t="shared" ca="1" si="11"/>
        <v>VENTA PARCIAL</v>
      </c>
      <c r="T65" s="2"/>
      <c r="U65" s="14">
        <f>Tabla6[[#This Row],[cantidad]]-Tabla6[[#This Row],[CANTIDAD VENDIDA]]</f>
        <v>6.6429999999999999E-5</v>
      </c>
      <c r="V65" s="2">
        <f t="shared" ca="1" si="12"/>
        <v>995.29331114121999</v>
      </c>
      <c r="W65" s="2">
        <f t="shared" si="13"/>
        <v>-700.00488143040002</v>
      </c>
      <c r="X65" s="32">
        <f t="shared" ca="1" si="14"/>
        <v>0.364210358056266</v>
      </c>
      <c r="Y65" s="2" t="str">
        <f t="shared" si="15"/>
        <v>ACTIVA</v>
      </c>
    </row>
    <row r="66" spans="2:25">
      <c r="B66" s="1">
        <f t="shared" ca="1" si="8"/>
        <v>45656</v>
      </c>
      <c r="C66" s="2">
        <f ca="1">VLOOKUP(B66,Tabla4[],2,FALSE)</f>
        <v>4388.83</v>
      </c>
      <c r="D66" s="3">
        <f ca="1">VLOOKUP(B66,Tabla4[],3,FALSE)</f>
        <v>93880</v>
      </c>
      <c r="E66" s="2">
        <f ca="1">VLOOKUP(B66,Tabla4[],5,FALSE)</f>
        <v>3413.8</v>
      </c>
      <c r="F66" s="2">
        <f ca="1">VLOOKUP(B66,Tabla4[],4,FALSE)</f>
        <v>2.81</v>
      </c>
      <c r="G66" t="s">
        <v>41</v>
      </c>
      <c r="H66" s="1">
        <v>45586</v>
      </c>
      <c r="I66" s="3">
        <f>VLOOKUP(H66,Tabla4[],2,FALSE)</f>
        <v>4270</v>
      </c>
      <c r="J66" s="3">
        <v>1.87052</v>
      </c>
      <c r="K66" s="25">
        <v>4.3820940000000003E-2</v>
      </c>
      <c r="L66" s="29">
        <f>Tabla6[[#This Row],[precio de compra]]*Tabla6[[#This Row],[cantidad]]*Tabla6[[#This Row],[PRECIO DEL DÓLAR, DIA COMPRA]]</f>
        <v>350.00312382117602</v>
      </c>
      <c r="M66" s="26">
        <f t="shared" ca="1" si="9"/>
        <v>540.42666364156207</v>
      </c>
      <c r="N66" s="41">
        <f t="shared" ca="1" si="10"/>
        <v>0.5022560571391913</v>
      </c>
      <c r="O66" s="28">
        <v>0.1</v>
      </c>
      <c r="P66" s="28">
        <v>0.3</v>
      </c>
      <c r="Q66" s="31" t="str">
        <f t="shared" ca="1" si="11"/>
        <v>VENDER</v>
      </c>
      <c r="T66" s="2"/>
      <c r="U66" s="14">
        <f>Tabla6[[#This Row],[cantidad]]-Tabla6[[#This Row],[CANTIDAD VENDIDA]]</f>
        <v>4.3820940000000003E-2</v>
      </c>
      <c r="V66" s="2">
        <f t="shared" ca="1" si="12"/>
        <v>540.42666364156207</v>
      </c>
      <c r="W66" s="2">
        <f t="shared" si="13"/>
        <v>-350.00312382117602</v>
      </c>
      <c r="X66" s="32">
        <f t="shared" ca="1" si="14"/>
        <v>0.5022560571391913</v>
      </c>
      <c r="Y66" s="2" t="str">
        <f t="shared" si="15"/>
        <v>ACTIVA</v>
      </c>
    </row>
    <row r="67" spans="2:25">
      <c r="B67" s="1">
        <f t="shared" ref="B67:B92" ca="1" si="16">TODAY()</f>
        <v>45656</v>
      </c>
      <c r="C67" s="2">
        <f ca="1">VLOOKUP(B67,Tabla4[],2,FALSE)</f>
        <v>4388.83</v>
      </c>
      <c r="D67" s="3">
        <f ca="1">VLOOKUP(B67,Tabla4[],3,FALSE)</f>
        <v>93880</v>
      </c>
      <c r="E67" s="2">
        <f ca="1">VLOOKUP(B67,Tabla4[],5,FALSE)</f>
        <v>3413.8</v>
      </c>
      <c r="F67" s="2">
        <f ca="1">VLOOKUP(B67,Tabla4[],4,FALSE)</f>
        <v>2.81</v>
      </c>
      <c r="G67" t="s">
        <v>14</v>
      </c>
      <c r="H67" s="1">
        <v>45586</v>
      </c>
      <c r="I67" s="3">
        <f>VLOOKUP(H67,Tabla4[],2,FALSE)</f>
        <v>4270</v>
      </c>
      <c r="J67" s="3">
        <v>67463</v>
      </c>
      <c r="K67" s="25">
        <v>2.43E-6</v>
      </c>
      <c r="L67" s="29">
        <f>Tabla6[[#This Row],[precio de compra]]*Tabla6[[#This Row],[cantidad]]*Tabla6[[#This Row],[PRECIO DEL DÓLAR, DIA COMPRA]]</f>
        <v>700.00283430000002</v>
      </c>
      <c r="M67" s="26">
        <f t="shared" ref="M67:M92" ca="1" si="17" xml:space="preserve"> K67 * (IF(G67="BTC", D67, IF(G67="ETH", E67, IF(G67="IO.NET", F67, 0)))) * C67</f>
        <v>1001.216765772</v>
      </c>
      <c r="N67" s="41">
        <f t="shared" ref="N67:N92" ca="1" si="18">IF(G67 = "BTC", (D67 - J67) / J67,
 IF(G67 = "ETH", (E67 - J67) / J67,
 IF(G67 = "IO.NET", (F67 - J67) / J67,
 "Moneda no soportada")))</f>
        <v>0.39157760550227533</v>
      </c>
      <c r="O67" s="28">
        <v>0.25</v>
      </c>
      <c r="P67" s="28">
        <v>0.5</v>
      </c>
      <c r="Q67" s="31" t="str">
        <f t="shared" ref="Q67:Q92" ca="1" si="19">IF(N67 &lt; O67, "MANTENER", IF(N67 &lt; P67, "VENTA PARCIAL", "VENDER"))</f>
        <v>VENTA PARCIAL</v>
      </c>
      <c r="T67" s="2"/>
      <c r="U67" s="14">
        <f>Tabla6[[#This Row],[cantidad]]-Tabla6[[#This Row],[CANTIDAD VENDIDA]]</f>
        <v>2.43E-6</v>
      </c>
      <c r="V67" s="2">
        <f t="shared" ref="V67:V92" ca="1" si="20">IF(G67="BTC", D67 * U67 * C67, IF(G67="ETH", E67 * U67 * C67, IF(G67="IO.NET", F67 * U67 * C67, 0)))</f>
        <v>1001.216765772</v>
      </c>
      <c r="W67" s="2">
        <f t="shared" ref="W67:W92" si="21">IF(G67 = "BTC", ((T67 - L67)), IF(G67 = "ETH", ((T67 - L67)), IF(G67 = "IO.NET", ((T67 - L67)), "Moneda no soportada")))</f>
        <v>-700.00283430000002</v>
      </c>
      <c r="X67" s="32">
        <f t="shared" ref="X67:X92" ca="1" si="22">IF(G67 = "BTC", (((D67 - J67) / J67)),IF(G67 = "ETH", ((E67 - J67) / J67), IF(G67 = "IO.NET", ((F67 - J67) / J67), "Moneda no soportada")))</f>
        <v>0.39157760550227533</v>
      </c>
      <c r="Y67" s="2" t="str">
        <f t="shared" ref="Y67:Y92" si="23">IF(U67=0,"VENDIDA","ACTIVA")</f>
        <v>ACTIVA</v>
      </c>
    </row>
    <row r="68" spans="2:25">
      <c r="B68" s="1">
        <f t="shared" ca="1" si="16"/>
        <v>45656</v>
      </c>
      <c r="C68" s="2">
        <f ca="1">VLOOKUP(B68,Tabla4[],2,FALSE)</f>
        <v>4388.83</v>
      </c>
      <c r="D68" s="3">
        <f ca="1">VLOOKUP(B68,Tabla4[],3,FALSE)</f>
        <v>93880</v>
      </c>
      <c r="E68" s="2">
        <f ca="1">VLOOKUP(B68,Tabla4[],5,FALSE)</f>
        <v>3413.8</v>
      </c>
      <c r="F68" s="2">
        <f ca="1">VLOOKUP(B68,Tabla4[],4,FALSE)</f>
        <v>2.81</v>
      </c>
      <c r="G68" t="s">
        <v>15</v>
      </c>
      <c r="H68" s="1">
        <v>45586</v>
      </c>
      <c r="I68" s="3">
        <f>VLOOKUP(H68,Tabla4[],2,FALSE)</f>
        <v>4270</v>
      </c>
      <c r="J68" s="3">
        <v>2663</v>
      </c>
      <c r="K68" s="25">
        <v>6.156E-5</v>
      </c>
      <c r="L68" s="29">
        <f>Tabla6[[#This Row],[precio de compra]]*Tabla6[[#This Row],[cantidad]]*Tabla6[[#This Row],[PRECIO DEL DÓLAR, DIA COMPRA]]</f>
        <v>699.99937559999989</v>
      </c>
      <c r="M68" s="26">
        <f t="shared" ca="1" si="17"/>
        <v>922.32810829224002</v>
      </c>
      <c r="N68" s="41">
        <f t="shared" ca="1" si="18"/>
        <v>0.28193766428839662</v>
      </c>
      <c r="O68" s="28">
        <v>0.25</v>
      </c>
      <c r="P68" s="28">
        <v>0.5</v>
      </c>
      <c r="Q68" s="31" t="str">
        <f t="shared" ca="1" si="19"/>
        <v>VENTA PARCIAL</v>
      </c>
      <c r="T68" s="2"/>
      <c r="U68" s="14">
        <f>Tabla6[[#This Row],[cantidad]]-Tabla6[[#This Row],[CANTIDAD VENDIDA]]</f>
        <v>6.156E-5</v>
      </c>
      <c r="V68" s="2">
        <f t="shared" ca="1" si="20"/>
        <v>922.32810829224002</v>
      </c>
      <c r="W68" s="2">
        <f t="shared" si="21"/>
        <v>-699.99937559999989</v>
      </c>
      <c r="X68" s="32">
        <f t="shared" ca="1" si="22"/>
        <v>0.28193766428839662</v>
      </c>
      <c r="Y68" s="2" t="str">
        <f t="shared" si="23"/>
        <v>ACTIVA</v>
      </c>
    </row>
    <row r="69" spans="2:25">
      <c r="B69" s="1">
        <f t="shared" ca="1" si="16"/>
        <v>45656</v>
      </c>
      <c r="C69" s="2">
        <f ca="1">VLOOKUP(B69,Tabla4[],2,FALSE)</f>
        <v>4388.83</v>
      </c>
      <c r="D69" s="3">
        <f ca="1">VLOOKUP(B69,Tabla4[],3,FALSE)</f>
        <v>93880</v>
      </c>
      <c r="E69" s="2">
        <f ca="1">VLOOKUP(B69,Tabla4[],5,FALSE)</f>
        <v>3413.8</v>
      </c>
      <c r="F69" s="2">
        <f ca="1">VLOOKUP(B69,Tabla4[],4,FALSE)</f>
        <v>2.81</v>
      </c>
      <c r="G69" t="s">
        <v>41</v>
      </c>
      <c r="H69" s="1">
        <v>45593</v>
      </c>
      <c r="I69" s="3">
        <v>4241.6000000000004</v>
      </c>
      <c r="J69" s="3">
        <v>1.7296899999999999</v>
      </c>
      <c r="K69" s="25">
        <v>4.7706220000000001E-2</v>
      </c>
      <c r="L69" s="29">
        <f>Tabla6[[#This Row],[precio de compra]]*Tabla6[[#This Row],[cantidad]]*Tabla6[[#This Row],[PRECIO DEL DÓLAR, DIA COMPRA]]</f>
        <v>350.00398704310692</v>
      </c>
      <c r="M69" s="26">
        <f t="shared" ca="1" si="17"/>
        <v>588.34231555850602</v>
      </c>
      <c r="N69" s="41">
        <f t="shared" ca="1" si="18"/>
        <v>0.62456856430921159</v>
      </c>
      <c r="O69" s="28">
        <v>0.1</v>
      </c>
      <c r="P69" s="28">
        <v>0.3</v>
      </c>
      <c r="Q69" s="31" t="str">
        <f t="shared" ca="1" si="19"/>
        <v>VENDER</v>
      </c>
      <c r="T69" s="2"/>
      <c r="U69" s="14">
        <f>Tabla6[[#This Row],[cantidad]]-Tabla6[[#This Row],[CANTIDAD VENDIDA]]</f>
        <v>4.7706220000000001E-2</v>
      </c>
      <c r="V69" s="2">
        <f t="shared" ca="1" si="20"/>
        <v>588.34231555850602</v>
      </c>
      <c r="W69" s="2">
        <f t="shared" si="21"/>
        <v>-350.00398704310692</v>
      </c>
      <c r="X69" s="32">
        <f t="shared" ca="1" si="22"/>
        <v>0.62456856430921159</v>
      </c>
      <c r="Y69" s="2" t="str">
        <f t="shared" si="23"/>
        <v>ACTIVA</v>
      </c>
    </row>
    <row r="70" spans="2:25">
      <c r="B70" s="1">
        <f t="shared" ca="1" si="16"/>
        <v>45656</v>
      </c>
      <c r="C70" s="2">
        <f ca="1">VLOOKUP(B70,Tabla4[],2,FALSE)</f>
        <v>4388.83</v>
      </c>
      <c r="D70" s="3">
        <f ca="1">VLOOKUP(B70,Tabla4[],3,FALSE)</f>
        <v>93880</v>
      </c>
      <c r="E70" s="2">
        <f ca="1">VLOOKUP(B70,Tabla4[],5,FALSE)</f>
        <v>3413.8</v>
      </c>
      <c r="F70" s="2">
        <f ca="1">VLOOKUP(B70,Tabla4[],4,FALSE)</f>
        <v>2.81</v>
      </c>
      <c r="G70" t="s">
        <v>14</v>
      </c>
      <c r="H70" s="1">
        <v>45593</v>
      </c>
      <c r="I70" s="3">
        <v>4241.6000000000004</v>
      </c>
      <c r="J70" s="3">
        <v>68763</v>
      </c>
      <c r="K70" s="25">
        <v>2.3999999999999999E-6</v>
      </c>
      <c r="L70" s="29">
        <f>Tabla6[[#This Row],[precio de compra]]*Tabla6[[#This Row],[cantidad]]*Tabla6[[#This Row],[PRECIO DEL DÓLAR, DIA COMPRA]]</f>
        <v>699.99633791999997</v>
      </c>
      <c r="M70" s="26">
        <f t="shared" ca="1" si="17"/>
        <v>988.85606495999991</v>
      </c>
      <c r="N70" s="41">
        <f t="shared" ca="1" si="18"/>
        <v>0.36526911274958918</v>
      </c>
      <c r="O70" s="28">
        <v>0.25</v>
      </c>
      <c r="P70" s="28">
        <v>0.5</v>
      </c>
      <c r="Q70" s="31" t="str">
        <f t="shared" ca="1" si="19"/>
        <v>VENTA PARCIAL</v>
      </c>
      <c r="T70" s="2"/>
      <c r="U70" s="14">
        <f>Tabla6[[#This Row],[cantidad]]-Tabla6[[#This Row],[CANTIDAD VENDIDA]]</f>
        <v>2.3999999999999999E-6</v>
      </c>
      <c r="V70" s="2">
        <f t="shared" ca="1" si="20"/>
        <v>988.85606495999991</v>
      </c>
      <c r="W70" s="2">
        <f t="shared" si="21"/>
        <v>-699.99633791999997</v>
      </c>
      <c r="X70" s="32">
        <f t="shared" ca="1" si="22"/>
        <v>0.36526911274958918</v>
      </c>
      <c r="Y70" s="2" t="str">
        <f t="shared" si="23"/>
        <v>ACTIVA</v>
      </c>
    </row>
    <row r="71" spans="2:25">
      <c r="B71" s="1">
        <f t="shared" ca="1" si="16"/>
        <v>45656</v>
      </c>
      <c r="C71" s="2">
        <f ca="1">VLOOKUP(B71,Tabla4[],2,FALSE)</f>
        <v>4388.83</v>
      </c>
      <c r="D71" s="3">
        <f ca="1">VLOOKUP(B71,Tabla4[],3,FALSE)</f>
        <v>93880</v>
      </c>
      <c r="E71" s="2">
        <f ca="1">VLOOKUP(B71,Tabla4[],5,FALSE)</f>
        <v>3413.8</v>
      </c>
      <c r="F71" s="2">
        <f ca="1">VLOOKUP(B71,Tabla4[],4,FALSE)</f>
        <v>2.81</v>
      </c>
      <c r="G71" t="s">
        <v>15</v>
      </c>
      <c r="H71" s="1">
        <v>45593</v>
      </c>
      <c r="I71" s="3">
        <v>4241.6000000000004</v>
      </c>
      <c r="J71" s="3">
        <v>2529.6</v>
      </c>
      <c r="K71" s="25">
        <v>6.5240000000000006E-5</v>
      </c>
      <c r="L71" s="29">
        <f>Tabla6[[#This Row],[precio de compra]]*Tabla6[[#This Row],[cantidad]]*Tabla6[[#This Row],[PRECIO DEL DÓLAR, DIA COMPRA]]</f>
        <v>699.99593072640016</v>
      </c>
      <c r="M71" s="26">
        <f t="shared" ca="1" si="17"/>
        <v>977.46403159496015</v>
      </c>
      <c r="N71" s="41">
        <f t="shared" ca="1" si="18"/>
        <v>0.34954142947501593</v>
      </c>
      <c r="O71" s="28">
        <v>0.25</v>
      </c>
      <c r="P71" s="28">
        <v>0.5</v>
      </c>
      <c r="Q71" s="31" t="str">
        <f t="shared" ca="1" si="19"/>
        <v>VENTA PARCIAL</v>
      </c>
      <c r="T71" s="2"/>
      <c r="U71" s="14">
        <f>Tabla6[[#This Row],[cantidad]]-Tabla6[[#This Row],[CANTIDAD VENDIDA]]</f>
        <v>6.5240000000000006E-5</v>
      </c>
      <c r="V71" s="2">
        <f t="shared" ca="1" si="20"/>
        <v>977.46403159496015</v>
      </c>
      <c r="W71" s="2">
        <f t="shared" si="21"/>
        <v>-699.99593072640016</v>
      </c>
      <c r="X71" s="32">
        <f t="shared" ca="1" si="22"/>
        <v>0.34954142947501593</v>
      </c>
      <c r="Y71" s="2" t="str">
        <f t="shared" si="23"/>
        <v>ACTIVA</v>
      </c>
    </row>
    <row r="72" spans="2:25">
      <c r="B72" s="1">
        <f t="shared" ca="1" si="16"/>
        <v>45656</v>
      </c>
      <c r="C72" s="2">
        <f ca="1">VLOOKUP(B72,Tabla4[],2,FALSE)</f>
        <v>4388.83</v>
      </c>
      <c r="D72" s="3">
        <f ca="1">VLOOKUP(B72,Tabla4[],3,FALSE)</f>
        <v>93880</v>
      </c>
      <c r="E72" s="2">
        <f ca="1">VLOOKUP(B72,Tabla4[],5,FALSE)</f>
        <v>3413.8</v>
      </c>
      <c r="F72" s="2">
        <f ca="1">VLOOKUP(B72,Tabla4[],4,FALSE)</f>
        <v>2.81</v>
      </c>
      <c r="G72" t="s">
        <v>41</v>
      </c>
      <c r="H72" s="1">
        <v>45600</v>
      </c>
      <c r="I72" s="3">
        <v>4370.66</v>
      </c>
      <c r="J72" s="3">
        <v>1.4944500000000001</v>
      </c>
      <c r="K72" s="25">
        <v>5.3584970000000003E-2</v>
      </c>
      <c r="L72" s="29">
        <f>Tabla6[[#This Row],[precio de compra]]*Tabla6[[#This Row],[cantidad]]*Tabla6[[#This Row],[PRECIO DEL DÓLAR, DIA COMPRA]]</f>
        <v>350.00270811865994</v>
      </c>
      <c r="M72" s="26">
        <f t="shared" ca="1" si="17"/>
        <v>660.842660117131</v>
      </c>
      <c r="N72" s="41">
        <f t="shared" ca="1" si="18"/>
        <v>0.88029040784235002</v>
      </c>
      <c r="O72" s="28">
        <v>0.1</v>
      </c>
      <c r="P72" s="28">
        <v>0.3</v>
      </c>
      <c r="Q72" s="31" t="str">
        <f t="shared" ca="1" si="19"/>
        <v>VENDER</v>
      </c>
      <c r="T72" s="2"/>
      <c r="U72" s="14">
        <f>Tabla6[[#This Row],[cantidad]]-Tabla6[[#This Row],[CANTIDAD VENDIDA]]</f>
        <v>5.3584970000000003E-2</v>
      </c>
      <c r="V72" s="2">
        <f t="shared" ca="1" si="20"/>
        <v>660.842660117131</v>
      </c>
      <c r="W72" s="2">
        <f t="shared" si="21"/>
        <v>-350.00270811865994</v>
      </c>
      <c r="X72" s="32">
        <f t="shared" ca="1" si="22"/>
        <v>0.88029040784235002</v>
      </c>
      <c r="Y72" s="2" t="str">
        <f t="shared" si="23"/>
        <v>ACTIVA</v>
      </c>
    </row>
    <row r="73" spans="2:25">
      <c r="B73" s="1">
        <f t="shared" ca="1" si="16"/>
        <v>45656</v>
      </c>
      <c r="C73" s="2">
        <f ca="1">VLOOKUP(B73,Tabla4[],2,FALSE)</f>
        <v>4388.83</v>
      </c>
      <c r="D73" s="3">
        <f ca="1">VLOOKUP(B73,Tabla4[],3,FALSE)</f>
        <v>93880</v>
      </c>
      <c r="E73" s="2">
        <f ca="1">VLOOKUP(B73,Tabla4[],5,FALSE)</f>
        <v>3413.8</v>
      </c>
      <c r="F73" s="2">
        <f ca="1">VLOOKUP(B73,Tabla4[],4,FALSE)</f>
        <v>2.81</v>
      </c>
      <c r="G73" t="s">
        <v>14</v>
      </c>
      <c r="H73" s="1">
        <v>45600</v>
      </c>
      <c r="I73" s="3">
        <v>4370.66</v>
      </c>
      <c r="J73" s="3">
        <v>68738</v>
      </c>
      <c r="K73" s="25">
        <v>2.3300000000000001E-6</v>
      </c>
      <c r="L73" s="29">
        <f>Tabla6[[#This Row],[precio de compra]]*Tabla6[[#This Row],[cantidad]]*Tabla6[[#This Row],[PRECIO DEL DÓLAR, DIA COMPRA]]</f>
        <v>700.00289509640004</v>
      </c>
      <c r="M73" s="26">
        <f t="shared" ca="1" si="17"/>
        <v>960.01442973199994</v>
      </c>
      <c r="N73" s="41">
        <f t="shared" ca="1" si="18"/>
        <v>0.36576566091535978</v>
      </c>
      <c r="O73" s="28">
        <v>0.25</v>
      </c>
      <c r="P73" s="28">
        <v>0.5</v>
      </c>
      <c r="Q73" s="31" t="str">
        <f t="shared" ca="1" si="19"/>
        <v>VENTA PARCIAL</v>
      </c>
      <c r="T73" s="2"/>
      <c r="U73" s="14">
        <f>Tabla6[[#This Row],[cantidad]]-Tabla6[[#This Row],[CANTIDAD VENDIDA]]</f>
        <v>2.3300000000000001E-6</v>
      </c>
      <c r="V73" s="2">
        <f t="shared" ca="1" si="20"/>
        <v>960.01442973199994</v>
      </c>
      <c r="W73" s="2">
        <f t="shared" si="21"/>
        <v>-700.00289509640004</v>
      </c>
      <c r="X73" s="32">
        <f t="shared" ca="1" si="22"/>
        <v>0.36576566091535978</v>
      </c>
      <c r="Y73" s="2" t="str">
        <f t="shared" si="23"/>
        <v>ACTIVA</v>
      </c>
    </row>
    <row r="74" spans="2:25">
      <c r="B74" s="1">
        <f t="shared" ca="1" si="16"/>
        <v>45656</v>
      </c>
      <c r="C74" s="2">
        <f ca="1">VLOOKUP(B74,Tabla4[],2,FALSE)</f>
        <v>4388.83</v>
      </c>
      <c r="D74" s="3">
        <f ca="1">VLOOKUP(B74,Tabla4[],3,FALSE)</f>
        <v>93880</v>
      </c>
      <c r="E74" s="2">
        <f ca="1">VLOOKUP(B74,Tabla4[],5,FALSE)</f>
        <v>3413.8</v>
      </c>
      <c r="F74" s="2">
        <f ca="1">VLOOKUP(B74,Tabla4[],4,FALSE)</f>
        <v>2.81</v>
      </c>
      <c r="G74" t="s">
        <v>15</v>
      </c>
      <c r="H74" s="1">
        <v>45600</v>
      </c>
      <c r="I74" s="3">
        <v>4370.66</v>
      </c>
      <c r="J74" s="3">
        <v>2439.6</v>
      </c>
      <c r="K74" s="25">
        <v>6.5649999999999997E-5</v>
      </c>
      <c r="L74" s="29">
        <f>Tabla6[[#This Row],[precio de compra]]*Tabla6[[#This Row],[cantidad]]*Tabla6[[#This Row],[PRECIO DEL DÓLAR, DIA COMPRA]]</f>
        <v>700.00376922839996</v>
      </c>
      <c r="M74" s="26">
        <f t="shared" ca="1" si="17"/>
        <v>983.60689261509992</v>
      </c>
      <c r="N74" s="41">
        <f t="shared" ca="1" si="18"/>
        <v>0.39932775864895897</v>
      </c>
      <c r="O74" s="28">
        <v>0.25</v>
      </c>
      <c r="P74" s="28">
        <v>0.5</v>
      </c>
      <c r="Q74" s="31" t="str">
        <f t="shared" ca="1" si="19"/>
        <v>VENTA PARCIAL</v>
      </c>
      <c r="T74" s="2"/>
      <c r="U74" s="14">
        <f>Tabla6[[#This Row],[cantidad]]-Tabla6[[#This Row],[CANTIDAD VENDIDA]]</f>
        <v>6.5649999999999997E-5</v>
      </c>
      <c r="V74" s="2">
        <f t="shared" ca="1" si="20"/>
        <v>983.60689261509992</v>
      </c>
      <c r="W74" s="2">
        <f t="shared" si="21"/>
        <v>-700.00376922839996</v>
      </c>
      <c r="X74" s="32">
        <f t="shared" ca="1" si="22"/>
        <v>0.39932775864895897</v>
      </c>
      <c r="Y74" s="2" t="str">
        <f t="shared" si="23"/>
        <v>ACTIVA</v>
      </c>
    </row>
    <row r="75" spans="2:25">
      <c r="B75" s="1">
        <f t="shared" ca="1" si="16"/>
        <v>45656</v>
      </c>
      <c r="C75" s="2">
        <f ca="1">VLOOKUP(B75,Tabla4[],2,FALSE)</f>
        <v>4388.83</v>
      </c>
      <c r="D75" s="3">
        <f ca="1">VLOOKUP(B75,Tabla4[],3,FALSE)</f>
        <v>93880</v>
      </c>
      <c r="E75" s="2">
        <f ca="1">VLOOKUP(B75,Tabla4[],5,FALSE)</f>
        <v>3413.8</v>
      </c>
      <c r="F75" s="2">
        <f ca="1">VLOOKUP(B75,Tabla4[],4,FALSE)</f>
        <v>2.81</v>
      </c>
      <c r="G75" t="s">
        <v>41</v>
      </c>
      <c r="H75" s="1">
        <v>45607</v>
      </c>
      <c r="I75" s="3">
        <v>4314.76</v>
      </c>
      <c r="J75" s="3">
        <v>2.3915999999999999</v>
      </c>
      <c r="K75" s="25">
        <v>3.3917910000000003E-2</v>
      </c>
      <c r="L75" s="44">
        <f>Tabla6[[#This Row],[precio de compra]]*Tabla6[[#This Row],[cantidad]]*Tabla6[[#This Row],[PRECIO DEL DÓLAR, DIA COMPRA]]</f>
        <v>350.00501905648662</v>
      </c>
      <c r="M75" s="26">
        <f t="shared" ca="1" si="17"/>
        <v>418.29643405629304</v>
      </c>
      <c r="N75" s="41">
        <f t="shared" ca="1" si="18"/>
        <v>0.17494564308412783</v>
      </c>
      <c r="O75" s="28">
        <v>0.1</v>
      </c>
      <c r="P75" s="28">
        <v>0.3</v>
      </c>
      <c r="Q75" s="31" t="str">
        <f t="shared" ca="1" si="19"/>
        <v>VENTA PARCIAL</v>
      </c>
      <c r="T75" s="2"/>
      <c r="U75" s="14">
        <f>Tabla6[[#This Row],[cantidad]]-Tabla6[[#This Row],[CANTIDAD VENDIDA]]</f>
        <v>3.3917910000000003E-2</v>
      </c>
      <c r="V75" s="2">
        <f t="shared" ca="1" si="20"/>
        <v>418.29643405629304</v>
      </c>
      <c r="W75" s="2">
        <f t="shared" si="21"/>
        <v>-350.00501905648662</v>
      </c>
      <c r="X75" s="32">
        <f t="shared" ca="1" si="22"/>
        <v>0.17494564308412783</v>
      </c>
      <c r="Y75" s="2" t="str">
        <f t="shared" si="23"/>
        <v>ACTIVA</v>
      </c>
    </row>
    <row r="76" spans="2:25">
      <c r="B76" s="1">
        <f t="shared" ca="1" si="16"/>
        <v>45656</v>
      </c>
      <c r="C76" s="2">
        <f ca="1">VLOOKUP(B76,Tabla4[],2,FALSE)</f>
        <v>4388.83</v>
      </c>
      <c r="D76" s="3">
        <f ca="1">VLOOKUP(B76,Tabla4[],3,FALSE)</f>
        <v>93880</v>
      </c>
      <c r="E76" s="2">
        <f ca="1">VLOOKUP(B76,Tabla4[],5,FALSE)</f>
        <v>3413.8</v>
      </c>
      <c r="F76" s="2">
        <f ca="1">VLOOKUP(B76,Tabla4[],4,FALSE)</f>
        <v>2.81</v>
      </c>
      <c r="G76" t="s">
        <v>14</v>
      </c>
      <c r="H76" s="1">
        <v>45607</v>
      </c>
      <c r="I76" s="42">
        <v>4314.76</v>
      </c>
      <c r="J76" s="3">
        <v>82352</v>
      </c>
      <c r="K76" s="25">
        <v>1.9700000000000002E-6</v>
      </c>
      <c r="L76" s="43">
        <f>Tabla6[[#This Row],[precio de compra]]*Tabla6[[#This Row],[cantidad]]*Tabla6[[#This Row],[PRECIO DEL DÓLAR, DIA COMPRA]]</f>
        <v>699.99835757440007</v>
      </c>
      <c r="M76" s="26">
        <f t="shared" ca="1" si="17"/>
        <v>811.686019988</v>
      </c>
      <c r="N76" s="41">
        <f t="shared" ca="1" si="18"/>
        <v>0.13998445696522246</v>
      </c>
      <c r="O76" s="28">
        <v>0.25</v>
      </c>
      <c r="P76" s="28">
        <v>0.5</v>
      </c>
      <c r="Q76" s="31" t="str">
        <f t="shared" ca="1" si="19"/>
        <v>MANTENER</v>
      </c>
      <c r="T76" s="2"/>
      <c r="U76" s="14">
        <f>Tabla6[[#This Row],[cantidad]]-Tabla6[[#This Row],[CANTIDAD VENDIDA]]</f>
        <v>1.9700000000000002E-6</v>
      </c>
      <c r="V76" s="2">
        <f t="shared" ca="1" si="20"/>
        <v>811.686019988</v>
      </c>
      <c r="W76" s="2">
        <f t="shared" si="21"/>
        <v>-699.99835757440007</v>
      </c>
      <c r="X76" s="32">
        <f t="shared" ca="1" si="22"/>
        <v>0.13998445696522246</v>
      </c>
      <c r="Y76" s="2" t="str">
        <f t="shared" si="23"/>
        <v>ACTIVA</v>
      </c>
    </row>
    <row r="77" spans="2:25">
      <c r="B77" s="1">
        <f t="shared" ca="1" si="16"/>
        <v>45656</v>
      </c>
      <c r="C77" s="2">
        <f ca="1">VLOOKUP(B77,Tabla4[],2,FALSE)</f>
        <v>4388.83</v>
      </c>
      <c r="D77" s="3">
        <f ca="1">VLOOKUP(B77,Tabla4[],3,FALSE)</f>
        <v>93880</v>
      </c>
      <c r="E77" s="2">
        <f ca="1">VLOOKUP(B77,Tabla4[],5,FALSE)</f>
        <v>3413.8</v>
      </c>
      <c r="F77" s="2">
        <f ca="1">VLOOKUP(B77,Tabla4[],4,FALSE)</f>
        <v>2.81</v>
      </c>
      <c r="G77" t="s">
        <v>15</v>
      </c>
      <c r="H77" s="1">
        <v>45607</v>
      </c>
      <c r="I77" s="3">
        <v>4314.76</v>
      </c>
      <c r="J77" s="3">
        <v>3146.5</v>
      </c>
      <c r="K77" s="25">
        <v>5.1560000000000001E-5</v>
      </c>
      <c r="L77" s="44">
        <f>Tabla6[[#This Row],[precio de compra]]*Tabla6[[#This Row],[cantidad]]*Tabla6[[#This Row],[PRECIO DEL DÓLAR, DIA COMPRA]]</f>
        <v>699.99878905040009</v>
      </c>
      <c r="M77" s="26">
        <f t="shared" ca="1" si="17"/>
        <v>772.50222975224005</v>
      </c>
      <c r="N77" s="41">
        <f t="shared" ca="1" si="18"/>
        <v>8.4951533449864988E-2</v>
      </c>
      <c r="O77" s="28">
        <v>0.25</v>
      </c>
      <c r="P77" s="28">
        <v>0.5</v>
      </c>
      <c r="Q77" s="31" t="str">
        <f t="shared" ca="1" si="19"/>
        <v>MANTENER</v>
      </c>
      <c r="T77" s="2"/>
      <c r="U77" s="14">
        <f>Tabla6[[#This Row],[cantidad]]-Tabla6[[#This Row],[CANTIDAD VENDIDA]]</f>
        <v>5.1560000000000001E-5</v>
      </c>
      <c r="V77" s="2">
        <f t="shared" ca="1" si="20"/>
        <v>772.50222975224005</v>
      </c>
      <c r="W77" s="2">
        <f t="shared" si="21"/>
        <v>-699.99878905040009</v>
      </c>
      <c r="X77" s="32">
        <f t="shared" ca="1" si="22"/>
        <v>8.4951533449864988E-2</v>
      </c>
      <c r="Y77" s="2" t="str">
        <f t="shared" si="23"/>
        <v>ACTIVA</v>
      </c>
    </row>
    <row r="78" spans="2:25">
      <c r="B78" s="1">
        <f t="shared" ca="1" si="16"/>
        <v>45656</v>
      </c>
      <c r="C78" s="2">
        <f ca="1">VLOOKUP(B78,Tabla4[],2,FALSE)</f>
        <v>4388.83</v>
      </c>
      <c r="D78" s="3">
        <f ca="1">VLOOKUP(B78,Tabla4[],3,FALSE)</f>
        <v>93880</v>
      </c>
      <c r="E78" s="2">
        <f ca="1">VLOOKUP(B78,Tabla4[],5,FALSE)</f>
        <v>3413.8</v>
      </c>
      <c r="F78" s="2">
        <f ca="1">VLOOKUP(B78,Tabla4[],4,FALSE)</f>
        <v>2.81</v>
      </c>
      <c r="G78" t="s">
        <v>41</v>
      </c>
      <c r="H78" s="1">
        <v>45614</v>
      </c>
      <c r="I78" s="3">
        <v>4378.71</v>
      </c>
      <c r="J78" s="3">
        <v>2.26328</v>
      </c>
      <c r="K78" s="25">
        <v>3.5317420000000002E-2</v>
      </c>
      <c r="L78" s="29">
        <f>Tabla6[[#This Row],[precio de compra]]*Tabla6[[#This Row],[cantidad]]*Tabla6[[#This Row],[PRECIO DEL DÓLAR, DIA COMPRA]]</f>
        <v>350.00434743735252</v>
      </c>
      <c r="M78" s="26">
        <f t="shared" ca="1" si="17"/>
        <v>435.55604829626606</v>
      </c>
      <c r="N78" s="41">
        <f t="shared" ca="1" si="18"/>
        <v>0.24156092043406036</v>
      </c>
      <c r="O78" s="28">
        <v>0.1</v>
      </c>
      <c r="P78" s="28">
        <v>0.3</v>
      </c>
      <c r="Q78" s="31" t="str">
        <f t="shared" ca="1" si="19"/>
        <v>VENTA PARCIAL</v>
      </c>
      <c r="T78" s="2"/>
      <c r="U78" s="14">
        <f>Tabla6[[#This Row],[cantidad]]-Tabla6[[#This Row],[CANTIDAD VENDIDA]]</f>
        <v>3.5317420000000002E-2</v>
      </c>
      <c r="V78" s="2">
        <f t="shared" ca="1" si="20"/>
        <v>435.55604829626606</v>
      </c>
      <c r="W78" s="2">
        <f t="shared" si="21"/>
        <v>-350.00434743735252</v>
      </c>
      <c r="X78" s="32">
        <f t="shared" ca="1" si="22"/>
        <v>0.24156092043406036</v>
      </c>
      <c r="Y78" s="2" t="str">
        <f t="shared" si="23"/>
        <v>ACTIVA</v>
      </c>
    </row>
    <row r="79" spans="2:25">
      <c r="B79" s="1">
        <f t="shared" ca="1" si="16"/>
        <v>45656</v>
      </c>
      <c r="C79" s="2">
        <f ca="1">VLOOKUP(B79,Tabla4[],2,FALSE)</f>
        <v>4388.83</v>
      </c>
      <c r="D79" s="3">
        <f ca="1">VLOOKUP(B79,Tabla4[],3,FALSE)</f>
        <v>93880</v>
      </c>
      <c r="E79" s="2">
        <f ca="1">VLOOKUP(B79,Tabla4[],5,FALSE)</f>
        <v>3413.8</v>
      </c>
      <c r="F79" s="2">
        <f ca="1">VLOOKUP(B79,Tabla4[],4,FALSE)</f>
        <v>2.81</v>
      </c>
      <c r="G79" t="s">
        <v>15</v>
      </c>
      <c r="H79" s="1">
        <v>45614</v>
      </c>
      <c r="I79" s="3">
        <v>4378.71</v>
      </c>
      <c r="J79" s="3">
        <v>3056.7</v>
      </c>
      <c r="K79" s="25">
        <v>5.2299999999999997E-5</v>
      </c>
      <c r="L79" s="29">
        <f>Tabla6[[#This Row],[precio de compra]]*Tabla6[[#This Row],[cantidad]]*Tabla6[[#This Row],[PRECIO DEL DÓLAR, DIA COMPRA]]</f>
        <v>700.00426942109993</v>
      </c>
      <c r="M79" s="26">
        <f t="shared" ca="1" si="17"/>
        <v>783.58934476419995</v>
      </c>
      <c r="N79" s="41">
        <f t="shared" ca="1" si="18"/>
        <v>0.11682533451107416</v>
      </c>
      <c r="O79" s="28">
        <v>0.25</v>
      </c>
      <c r="P79" s="28">
        <v>0.5</v>
      </c>
      <c r="Q79" s="31" t="str">
        <f t="shared" ca="1" si="19"/>
        <v>MANTENER</v>
      </c>
      <c r="T79" s="2"/>
      <c r="U79" s="14">
        <f>Tabla6[[#This Row],[cantidad]]-Tabla6[[#This Row],[CANTIDAD VENDIDA]]</f>
        <v>5.2299999999999997E-5</v>
      </c>
      <c r="V79" s="2">
        <f t="shared" ca="1" si="20"/>
        <v>783.58934476419995</v>
      </c>
      <c r="W79" s="2">
        <f t="shared" si="21"/>
        <v>-700.00426942109993</v>
      </c>
      <c r="X79" s="32">
        <f t="shared" ca="1" si="22"/>
        <v>0.11682533451107416</v>
      </c>
      <c r="Y79" s="2" t="str">
        <f t="shared" si="23"/>
        <v>ACTIVA</v>
      </c>
    </row>
    <row r="80" spans="2:25">
      <c r="B80" s="1">
        <f t="shared" ca="1" si="16"/>
        <v>45656</v>
      </c>
      <c r="C80" s="2">
        <f ca="1">VLOOKUP(B80,Tabla4[],2,FALSE)</f>
        <v>4388.83</v>
      </c>
      <c r="D80" s="3">
        <f ca="1">VLOOKUP(B80,Tabla4[],3,FALSE)</f>
        <v>93880</v>
      </c>
      <c r="E80" s="2">
        <f ca="1">VLOOKUP(B80,Tabla4[],5,FALSE)</f>
        <v>3413.8</v>
      </c>
      <c r="F80" s="2">
        <f ca="1">VLOOKUP(B80,Tabla4[],4,FALSE)</f>
        <v>2.81</v>
      </c>
      <c r="G80" t="s">
        <v>14</v>
      </c>
      <c r="H80" s="1">
        <v>45614</v>
      </c>
      <c r="I80" s="3">
        <v>4378.71</v>
      </c>
      <c r="J80" s="3">
        <v>90319</v>
      </c>
      <c r="K80" s="25">
        <v>1.77E-6</v>
      </c>
      <c r="L80" s="29">
        <f>Tabla6[[#This Row],[precio de compra]]*Tabla6[[#This Row],[cantidad]]*Tabla6[[#This Row],[PRECIO DEL DÓLAR, DIA COMPRA]]</f>
        <v>700.00085402730008</v>
      </c>
      <c r="M80" s="26">
        <f t="shared" ca="1" si="17"/>
        <v>729.28134790799993</v>
      </c>
      <c r="N80" s="41">
        <f t="shared" ca="1" si="18"/>
        <v>3.942692013861978E-2</v>
      </c>
      <c r="O80" s="28">
        <v>0.25</v>
      </c>
      <c r="P80" s="28">
        <v>0.5</v>
      </c>
      <c r="Q80" s="31" t="str">
        <f t="shared" ca="1" si="19"/>
        <v>MANTENER</v>
      </c>
      <c r="T80" s="2"/>
      <c r="U80" s="14">
        <f>Tabla6[[#This Row],[cantidad]]-Tabla6[[#This Row],[CANTIDAD VENDIDA]]</f>
        <v>1.77E-6</v>
      </c>
      <c r="V80" s="2">
        <f t="shared" ca="1" si="20"/>
        <v>729.28134790799993</v>
      </c>
      <c r="W80" s="2">
        <f t="shared" si="21"/>
        <v>-700.00085402730008</v>
      </c>
      <c r="X80" s="32">
        <f t="shared" ca="1" si="22"/>
        <v>3.942692013861978E-2</v>
      </c>
      <c r="Y80" s="2" t="str">
        <f t="shared" si="23"/>
        <v>ACTIVA</v>
      </c>
    </row>
    <row r="81" spans="2:25">
      <c r="B81" s="1">
        <f t="shared" ca="1" si="16"/>
        <v>45656</v>
      </c>
      <c r="C81" s="2">
        <f ca="1">VLOOKUP(B81,Tabla4[],2,FALSE)</f>
        <v>4388.83</v>
      </c>
      <c r="D81" s="3">
        <f ca="1">VLOOKUP(B81,Tabla4[],3,FALSE)</f>
        <v>93880</v>
      </c>
      <c r="E81" s="2">
        <f ca="1">VLOOKUP(B81,Tabla4[],5,FALSE)</f>
        <v>3413.8</v>
      </c>
      <c r="F81" s="2">
        <f ca="1">VLOOKUP(B81,Tabla4[],4,FALSE)</f>
        <v>2.81</v>
      </c>
      <c r="G81" t="s">
        <v>41</v>
      </c>
      <c r="H81" s="1">
        <v>45621</v>
      </c>
      <c r="I81" s="3">
        <v>4366.6499999999996</v>
      </c>
      <c r="J81" s="3">
        <v>2.7389999999999999</v>
      </c>
      <c r="K81" s="25">
        <v>2.9263239999999999E-2</v>
      </c>
      <c r="L81" s="29">
        <f>Tabla6[[#This Row],[precio de compra]]*Tabla6[[#This Row],[cantidad]]*Tabla6[[#This Row],[PRECIO DEL DÓLAR, DIA COMPRA]]</f>
        <v>349.99579350509396</v>
      </c>
      <c r="M81" s="26">
        <f t="shared" ca="1" si="17"/>
        <v>360.89219356185203</v>
      </c>
      <c r="N81" s="41">
        <f t="shared" ca="1" si="18"/>
        <v>2.5921869295363335E-2</v>
      </c>
      <c r="O81" s="28">
        <v>0.1</v>
      </c>
      <c r="P81" s="28">
        <v>0.3</v>
      </c>
      <c r="Q81" s="31" t="str">
        <f t="shared" ca="1" si="19"/>
        <v>MANTENER</v>
      </c>
      <c r="T81" s="2"/>
      <c r="U81" s="14">
        <f>Tabla6[[#This Row],[cantidad]]-Tabla6[[#This Row],[CANTIDAD VENDIDA]]</f>
        <v>2.9263239999999999E-2</v>
      </c>
      <c r="V81" s="2">
        <f t="shared" ca="1" si="20"/>
        <v>360.89219356185203</v>
      </c>
      <c r="W81" s="2">
        <f t="shared" si="21"/>
        <v>-349.99579350509396</v>
      </c>
      <c r="X81" s="32">
        <f t="shared" ca="1" si="22"/>
        <v>2.5921869295363335E-2</v>
      </c>
      <c r="Y81" s="2" t="str">
        <f t="shared" si="23"/>
        <v>ACTIVA</v>
      </c>
    </row>
    <row r="82" spans="2:25">
      <c r="B82" s="1">
        <f t="shared" ca="1" si="16"/>
        <v>45656</v>
      </c>
      <c r="C82" s="2">
        <f ca="1">VLOOKUP(B82,Tabla4[],2,FALSE)</f>
        <v>4388.83</v>
      </c>
      <c r="D82" s="3">
        <f ca="1">VLOOKUP(B82,Tabla4[],3,FALSE)</f>
        <v>93880</v>
      </c>
      <c r="E82" s="2">
        <f ca="1">VLOOKUP(B82,Tabla4[],5,FALSE)</f>
        <v>3413.8</v>
      </c>
      <c r="F82" s="2">
        <f ca="1">VLOOKUP(B82,Tabla4[],4,FALSE)</f>
        <v>2.81</v>
      </c>
      <c r="G82" t="s">
        <v>14</v>
      </c>
      <c r="H82" s="1">
        <v>45621</v>
      </c>
      <c r="I82" s="3">
        <v>4366.6499999999996</v>
      </c>
      <c r="J82" s="3">
        <v>95420</v>
      </c>
      <c r="K82" s="25">
        <v>1.68E-6</v>
      </c>
      <c r="L82" s="29">
        <f>Tabla6[[#This Row],[precio de compra]]*Tabla6[[#This Row],[cantidad]]*Tabla6[[#This Row],[PRECIO DEL DÓLAR, DIA COMPRA]]</f>
        <v>699.9984482399999</v>
      </c>
      <c r="M82" s="26">
        <f t="shared" ca="1" si="17"/>
        <v>692.19924547200003</v>
      </c>
      <c r="N82" s="41">
        <f t="shared" ca="1" si="18"/>
        <v>-1.6139174177321317E-2</v>
      </c>
      <c r="O82" s="28">
        <v>0.25</v>
      </c>
      <c r="P82" s="28">
        <v>0.5</v>
      </c>
      <c r="Q82" s="31" t="str">
        <f t="shared" ca="1" si="19"/>
        <v>MANTENER</v>
      </c>
      <c r="T82" s="2"/>
      <c r="U82" s="14">
        <f>Tabla6[[#This Row],[cantidad]]-Tabla6[[#This Row],[CANTIDAD VENDIDA]]</f>
        <v>1.68E-6</v>
      </c>
      <c r="V82" s="2">
        <f t="shared" ca="1" si="20"/>
        <v>692.19924547200003</v>
      </c>
      <c r="W82" s="2">
        <f t="shared" si="21"/>
        <v>-699.9984482399999</v>
      </c>
      <c r="X82" s="32">
        <f t="shared" ca="1" si="22"/>
        <v>-1.6139174177321317E-2</v>
      </c>
      <c r="Y82" s="2" t="str">
        <f t="shared" si="23"/>
        <v>ACTIVA</v>
      </c>
    </row>
    <row r="83" spans="2:25">
      <c r="B83" s="1">
        <f t="shared" ca="1" si="16"/>
        <v>45656</v>
      </c>
      <c r="C83" s="2">
        <f ca="1">VLOOKUP(B83,Tabla4[],2,FALSE)</f>
        <v>4388.83</v>
      </c>
      <c r="D83" s="3">
        <f ca="1">VLOOKUP(B83,Tabla4[],3,FALSE)</f>
        <v>93880</v>
      </c>
      <c r="E83" s="2">
        <f ca="1">VLOOKUP(B83,Tabla4[],5,FALSE)</f>
        <v>3413.8</v>
      </c>
      <c r="F83" s="2">
        <f ca="1">VLOOKUP(B83,Tabla4[],4,FALSE)</f>
        <v>2.81</v>
      </c>
      <c r="G83" t="s">
        <v>15</v>
      </c>
      <c r="H83" s="1">
        <v>45621</v>
      </c>
      <c r="I83" s="3">
        <v>4366.6499999999996</v>
      </c>
      <c r="J83" s="47">
        <v>3463.1</v>
      </c>
      <c r="K83" s="25">
        <v>4.6289999999999999E-5</v>
      </c>
      <c r="L83" s="29">
        <f>Tabla6[[#This Row],[precio de compra]]*Tabla6[[#This Row],[cantidad]]*Tabla6[[#This Row],[PRECIO DEL DÓLAR, DIA COMPRA]]</f>
        <v>700.00412051834996</v>
      </c>
      <c r="M83" s="26">
        <f t="shared" ca="1" si="17"/>
        <v>693.54399176165998</v>
      </c>
      <c r="N83" s="41">
        <f t="shared" ca="1" si="18"/>
        <v>-1.423580029453372E-2</v>
      </c>
      <c r="O83" s="28">
        <v>0.25</v>
      </c>
      <c r="P83" s="28">
        <v>0.5</v>
      </c>
      <c r="Q83" s="31" t="str">
        <f t="shared" ca="1" si="19"/>
        <v>MANTENER</v>
      </c>
      <c r="T83" s="2"/>
      <c r="U83" s="14">
        <f>Tabla6[[#This Row],[cantidad]]-Tabla6[[#This Row],[CANTIDAD VENDIDA]]</f>
        <v>4.6289999999999999E-5</v>
      </c>
      <c r="V83" s="2">
        <f t="shared" ca="1" si="20"/>
        <v>693.54399176165998</v>
      </c>
      <c r="W83" s="2">
        <f t="shared" si="21"/>
        <v>-700.00412051834996</v>
      </c>
      <c r="X83" s="32">
        <f t="shared" ca="1" si="22"/>
        <v>-1.423580029453372E-2</v>
      </c>
      <c r="Y83" s="2" t="str">
        <f t="shared" si="23"/>
        <v>ACTIVA</v>
      </c>
    </row>
    <row r="84" spans="2:25">
      <c r="B84" s="1">
        <f t="shared" ca="1" si="16"/>
        <v>45656</v>
      </c>
      <c r="C84" s="2">
        <f ca="1">VLOOKUP(B84,Tabla4[],2,FALSE)</f>
        <v>4388.83</v>
      </c>
      <c r="D84" s="3">
        <f ca="1">VLOOKUP(B84,Tabla4[],3,FALSE)</f>
        <v>93880</v>
      </c>
      <c r="E84" s="2">
        <f ca="1">VLOOKUP(B84,Tabla4[],5,FALSE)</f>
        <v>3413.8</v>
      </c>
      <c r="F84" s="2">
        <f ca="1">VLOOKUP(B84,Tabla4[],4,FALSE)</f>
        <v>2.81</v>
      </c>
      <c r="G84" t="s">
        <v>14</v>
      </c>
      <c r="H84" s="1">
        <v>45628</v>
      </c>
      <c r="I84" s="3">
        <v>4403.26</v>
      </c>
      <c r="J84" s="3">
        <v>94627</v>
      </c>
      <c r="K84" s="25">
        <v>1.68E-6</v>
      </c>
      <c r="L84" s="29">
        <f>Tabla6[[#This Row],[precio de compra]]*Tabla6[[#This Row],[cantidad]]*Tabla6[[#This Row],[PRECIO DEL DÓLAR, DIA COMPRA]]</f>
        <v>700.00103715360012</v>
      </c>
      <c r="M84" s="26">
        <f t="shared" ca="1" si="17"/>
        <v>692.19924547200003</v>
      </c>
      <c r="N84" s="41">
        <f t="shared" ca="1" si="18"/>
        <v>-7.8941528316442446E-3</v>
      </c>
      <c r="O84" s="28">
        <v>0.25</v>
      </c>
      <c r="P84" s="28">
        <v>0.5</v>
      </c>
      <c r="Q84" s="31" t="str">
        <f t="shared" ca="1" si="19"/>
        <v>MANTENER</v>
      </c>
      <c r="T84" s="2"/>
      <c r="U84" s="14">
        <f>Tabla6[[#This Row],[cantidad]]-Tabla6[[#This Row],[CANTIDAD VENDIDA]]</f>
        <v>1.68E-6</v>
      </c>
      <c r="V84" s="2">
        <f t="shared" ca="1" si="20"/>
        <v>692.19924547200003</v>
      </c>
      <c r="W84" s="2">
        <f t="shared" si="21"/>
        <v>-700.00103715360012</v>
      </c>
      <c r="X84" s="32">
        <f t="shared" ca="1" si="22"/>
        <v>-7.8941528316442446E-3</v>
      </c>
      <c r="Y84" s="2" t="str">
        <f t="shared" si="23"/>
        <v>ACTIVA</v>
      </c>
    </row>
    <row r="85" spans="2:25">
      <c r="B85" s="1">
        <f t="shared" ca="1" si="16"/>
        <v>45656</v>
      </c>
      <c r="C85" s="2">
        <f ca="1">VLOOKUP(B85,Tabla4[],2,FALSE)</f>
        <v>4388.83</v>
      </c>
      <c r="D85" s="3">
        <f ca="1">VLOOKUP(B85,Tabla4[],3,FALSE)</f>
        <v>93880</v>
      </c>
      <c r="E85" s="2">
        <f ca="1">VLOOKUP(B85,Tabla4[],5,FALSE)</f>
        <v>3413.8</v>
      </c>
      <c r="F85" s="2">
        <f ca="1">VLOOKUP(B85,Tabla4[],4,FALSE)</f>
        <v>2.81</v>
      </c>
      <c r="G85" t="s">
        <v>15</v>
      </c>
      <c r="H85" s="1">
        <v>45628</v>
      </c>
      <c r="I85" s="3">
        <v>4403.26</v>
      </c>
      <c r="J85" s="3">
        <v>3558.82</v>
      </c>
      <c r="K85" s="25">
        <v>4.4669999999999998E-5</v>
      </c>
      <c r="L85" s="29">
        <f>Tabla6[[#This Row],[precio de compra]]*Tabla6[[#This Row],[cantidad]]*Tabla6[[#This Row],[PRECIO DEL DÓLAR, DIA COMPRA]]</f>
        <v>699.99720367544398</v>
      </c>
      <c r="M85" s="26">
        <f t="shared" ca="1" si="17"/>
        <v>669.27219943818</v>
      </c>
      <c r="N85" s="41">
        <f t="shared" ca="1" si="18"/>
        <v>-4.0749461900292785E-2</v>
      </c>
      <c r="O85" s="28">
        <v>0.25</v>
      </c>
      <c r="P85" s="28">
        <v>0.5</v>
      </c>
      <c r="Q85" s="31" t="str">
        <f t="shared" ca="1" si="19"/>
        <v>MANTENER</v>
      </c>
      <c r="T85" s="2"/>
      <c r="U85" s="14">
        <f>Tabla6[[#This Row],[cantidad]]-Tabla6[[#This Row],[CANTIDAD VENDIDA]]</f>
        <v>4.4669999999999998E-5</v>
      </c>
      <c r="V85" s="2">
        <f t="shared" ca="1" si="20"/>
        <v>669.27219943818</v>
      </c>
      <c r="W85" s="2">
        <f t="shared" si="21"/>
        <v>-699.99720367544398</v>
      </c>
      <c r="X85" s="32">
        <f t="shared" ca="1" si="22"/>
        <v>-4.0749461900292785E-2</v>
      </c>
      <c r="Y85" s="2" t="str">
        <f t="shared" si="23"/>
        <v>ACTIVA</v>
      </c>
    </row>
    <row r="86" spans="2:25">
      <c r="B86" s="1">
        <f t="shared" ca="1" si="16"/>
        <v>45656</v>
      </c>
      <c r="C86" s="2">
        <f ca="1">VLOOKUP(B86,Tabla4[],2,FALSE)</f>
        <v>4388.83</v>
      </c>
      <c r="D86" s="3">
        <f ca="1">VLOOKUP(B86,Tabla4[],3,FALSE)</f>
        <v>93880</v>
      </c>
      <c r="E86" s="2">
        <f ca="1">VLOOKUP(B86,Tabla4[],5,FALSE)</f>
        <v>3413.8</v>
      </c>
      <c r="F86" s="2">
        <f ca="1">VLOOKUP(B86,Tabla4[],4,FALSE)</f>
        <v>2.81</v>
      </c>
      <c r="G86" t="s">
        <v>41</v>
      </c>
      <c r="H86" s="1">
        <v>45628</v>
      </c>
      <c r="I86" s="3">
        <v>4403.26</v>
      </c>
      <c r="J86" s="3">
        <v>3.1627999999999998</v>
      </c>
      <c r="K86" s="25">
        <v>2.5131379999999998E-2</v>
      </c>
      <c r="L86" s="29">
        <f>Tabla6[[#This Row],[precio de compra]]*Tabla6[[#This Row],[cantidad]]*Tabla6[[#This Row],[PRECIO DEL DÓLAR, DIA COMPRA]]</f>
        <v>349.99544894504464</v>
      </c>
      <c r="M86" s="26">
        <f t="shared" ca="1" si="17"/>
        <v>309.935566103974</v>
      </c>
      <c r="N86" s="41">
        <f t="shared" ca="1" si="18"/>
        <v>-0.11154673074490951</v>
      </c>
      <c r="O86" s="28">
        <v>0.1</v>
      </c>
      <c r="P86" s="28">
        <v>0.3</v>
      </c>
      <c r="Q86" s="31" t="str">
        <f t="shared" ca="1" si="19"/>
        <v>MANTENER</v>
      </c>
      <c r="T86" s="2"/>
      <c r="U86" s="14">
        <f>Tabla6[[#This Row],[cantidad]]-Tabla6[[#This Row],[CANTIDAD VENDIDA]]</f>
        <v>2.5131379999999998E-2</v>
      </c>
      <c r="V86" s="2">
        <f t="shared" ca="1" si="20"/>
        <v>309.935566103974</v>
      </c>
      <c r="W86" s="2">
        <f t="shared" si="21"/>
        <v>-349.99544894504464</v>
      </c>
      <c r="X86" s="32">
        <f t="shared" ca="1" si="22"/>
        <v>-0.11154673074490951</v>
      </c>
      <c r="Y86" s="2" t="str">
        <f t="shared" si="23"/>
        <v>ACTIVA</v>
      </c>
    </row>
    <row r="87" spans="2:25">
      <c r="B87" s="1">
        <f t="shared" ca="1" si="16"/>
        <v>45656</v>
      </c>
      <c r="C87" s="2">
        <f ca="1">VLOOKUP(B87,Tabla4[],2,FALSE)</f>
        <v>4388.83</v>
      </c>
      <c r="D87" s="3">
        <f ca="1">VLOOKUP(B87,Tabla4[],3,FALSE)</f>
        <v>93880</v>
      </c>
      <c r="E87" s="2">
        <f ca="1">VLOOKUP(B87,Tabla4[],5,FALSE)</f>
        <v>3413.8</v>
      </c>
      <c r="F87" s="2">
        <f ca="1">VLOOKUP(B87,Tabla4[],4,FALSE)</f>
        <v>2.81</v>
      </c>
      <c r="G87" t="s">
        <v>14</v>
      </c>
      <c r="H87" s="1">
        <v>45635</v>
      </c>
      <c r="I87" s="3">
        <v>4376.6899999999996</v>
      </c>
      <c r="J87" s="3">
        <v>98728</v>
      </c>
      <c r="K87" s="25">
        <v>1.6199999999999999E-6</v>
      </c>
      <c r="L87" s="29">
        <f>Tabla6[[#This Row],[precio de compra]]*Tabla6[[#This Row],[cantidad]]*Tabla6[[#This Row],[PRECIO DEL DÓLAR, DIA COMPRA]]</f>
        <v>700.00499751839993</v>
      </c>
      <c r="M87" s="26">
        <f t="shared" ca="1" si="17"/>
        <v>667.47784384799991</v>
      </c>
      <c r="N87" s="41">
        <f t="shared" ca="1" si="18"/>
        <v>-4.9104610647435376E-2</v>
      </c>
      <c r="O87" s="28">
        <v>0.25</v>
      </c>
      <c r="P87" s="28">
        <v>0.5</v>
      </c>
      <c r="Q87" s="31" t="str">
        <f t="shared" ca="1" si="19"/>
        <v>MANTENER</v>
      </c>
      <c r="T87" s="2"/>
      <c r="U87" s="14">
        <f>Tabla6[[#This Row],[cantidad]]-Tabla6[[#This Row],[CANTIDAD VENDIDA]]</f>
        <v>1.6199999999999999E-6</v>
      </c>
      <c r="V87" s="2">
        <f t="shared" ca="1" si="20"/>
        <v>667.47784384799991</v>
      </c>
      <c r="W87" s="2">
        <f t="shared" si="21"/>
        <v>-700.00499751839993</v>
      </c>
      <c r="X87" s="32">
        <f t="shared" ca="1" si="22"/>
        <v>-4.9104610647435376E-2</v>
      </c>
      <c r="Y87" s="2" t="str">
        <f t="shared" si="23"/>
        <v>ACTIVA</v>
      </c>
    </row>
    <row r="88" spans="2:25">
      <c r="B88" s="1">
        <f t="shared" ca="1" si="16"/>
        <v>45656</v>
      </c>
      <c r="C88" s="2">
        <f ca="1">VLOOKUP(B88,Tabla4[],2,FALSE)</f>
        <v>4388.83</v>
      </c>
      <c r="D88" s="3">
        <f ca="1">VLOOKUP(B88,Tabla4[],3,FALSE)</f>
        <v>93880</v>
      </c>
      <c r="E88" s="2">
        <f ca="1">VLOOKUP(B88,Tabla4[],5,FALSE)</f>
        <v>3413.8</v>
      </c>
      <c r="F88" s="2">
        <f ca="1">VLOOKUP(B88,Tabla4[],4,FALSE)</f>
        <v>2.81</v>
      </c>
      <c r="G88" t="s">
        <v>41</v>
      </c>
      <c r="H88" s="1">
        <v>45635</v>
      </c>
      <c r="I88" s="3">
        <v>4437.6899999999996</v>
      </c>
      <c r="J88" s="3">
        <v>3.2555000000000001</v>
      </c>
      <c r="K88" s="25">
        <v>2.422641E-2</v>
      </c>
      <c r="L88" s="29">
        <f>Tabla6[[#This Row],[precio de compra]]*Tabla6[[#This Row],[cantidad]]*Tabla6[[#This Row],[PRECIO DEL DÓLAR, DIA COMPRA]]</f>
        <v>349.99651766258592</v>
      </c>
      <c r="M88" s="26">
        <f t="shared" ca="1" si="17"/>
        <v>298.77492195084301</v>
      </c>
      <c r="N88" s="41">
        <f t="shared" ca="1" si="18"/>
        <v>-0.13684533865765627</v>
      </c>
      <c r="O88" s="28">
        <v>0.1</v>
      </c>
      <c r="P88" s="28">
        <v>0.3</v>
      </c>
      <c r="Q88" s="31" t="str">
        <f t="shared" ca="1" si="19"/>
        <v>MANTENER</v>
      </c>
      <c r="T88" s="2"/>
      <c r="U88" s="14">
        <f>Tabla6[[#This Row],[cantidad]]-Tabla6[[#This Row],[CANTIDAD VENDIDA]]</f>
        <v>2.422641E-2</v>
      </c>
      <c r="V88" s="2">
        <f t="shared" ca="1" si="20"/>
        <v>298.77492195084301</v>
      </c>
      <c r="W88" s="2">
        <f t="shared" si="21"/>
        <v>-349.99651766258592</v>
      </c>
      <c r="X88" s="32">
        <f t="shared" ca="1" si="22"/>
        <v>-0.13684533865765627</v>
      </c>
      <c r="Y88" s="2" t="str">
        <f t="shared" si="23"/>
        <v>ACTIVA</v>
      </c>
    </row>
    <row r="89" spans="2:25">
      <c r="B89" s="1">
        <f t="shared" ca="1" si="16"/>
        <v>45656</v>
      </c>
      <c r="C89" s="2">
        <f ca="1">VLOOKUP(B89,Tabla4[],2,FALSE)</f>
        <v>4388.83</v>
      </c>
      <c r="D89" s="3">
        <f ca="1">VLOOKUP(B89,Tabla4[],3,FALSE)</f>
        <v>93880</v>
      </c>
      <c r="E89" s="2">
        <f ca="1">VLOOKUP(B89,Tabla4[],5,FALSE)</f>
        <v>3413.8</v>
      </c>
      <c r="F89" s="2">
        <f ca="1">VLOOKUP(B89,Tabla4[],4,FALSE)</f>
        <v>2.81</v>
      </c>
      <c r="G89" t="s">
        <v>15</v>
      </c>
      <c r="H89" s="1">
        <v>45635</v>
      </c>
      <c r="I89" s="3">
        <v>4437.6899999999996</v>
      </c>
      <c r="J89" s="3">
        <v>3824.9</v>
      </c>
      <c r="K89" s="25">
        <v>4.1239999999999998E-5</v>
      </c>
      <c r="L89" s="29">
        <f>Tabla6[[#This Row],[precio de compra]]*Tabla6[[#This Row],[cantidad]]*Tabla6[[#This Row],[PRECIO DEL DÓLAR, DIA COMPRA]]</f>
        <v>699.99623263643991</v>
      </c>
      <c r="M89" s="26">
        <f t="shared" ca="1" si="17"/>
        <v>617.88192309895999</v>
      </c>
      <c r="N89" s="41">
        <f t="shared" ca="1" si="18"/>
        <v>-0.10747993411592457</v>
      </c>
      <c r="O89" s="28">
        <v>0.25</v>
      </c>
      <c r="P89" s="28">
        <v>0.5</v>
      </c>
      <c r="Q89" s="31" t="str">
        <f t="shared" ca="1" si="19"/>
        <v>MANTENER</v>
      </c>
      <c r="T89" s="2"/>
      <c r="U89" s="14">
        <f>Tabla6[[#This Row],[cantidad]]-Tabla6[[#This Row],[CANTIDAD VENDIDA]]</f>
        <v>4.1239999999999998E-5</v>
      </c>
      <c r="V89" s="2">
        <f t="shared" ca="1" si="20"/>
        <v>617.88192309895999</v>
      </c>
      <c r="W89" s="2">
        <f t="shared" si="21"/>
        <v>-699.99623263643991</v>
      </c>
      <c r="X89" s="32">
        <f t="shared" ca="1" si="22"/>
        <v>-0.10747993411592457</v>
      </c>
      <c r="Y89" s="2" t="str">
        <f t="shared" si="23"/>
        <v>ACTIVA</v>
      </c>
    </row>
    <row r="90" spans="2:25">
      <c r="B90" s="1">
        <f t="shared" ca="1" si="16"/>
        <v>45656</v>
      </c>
      <c r="C90" s="2">
        <f ca="1">VLOOKUP(B90,Tabla4[],2,FALSE)</f>
        <v>4388.83</v>
      </c>
      <c r="D90" s="3">
        <f ca="1">VLOOKUP(B90,Tabla4[],3,FALSE)</f>
        <v>93880</v>
      </c>
      <c r="E90" s="2">
        <f ca="1">VLOOKUP(B90,Tabla4[],5,FALSE)</f>
        <v>3413.8</v>
      </c>
      <c r="F90" s="2">
        <f ca="1">VLOOKUP(B90,Tabla4[],4,FALSE)</f>
        <v>2.81</v>
      </c>
      <c r="G90" t="s">
        <v>14</v>
      </c>
      <c r="H90" s="1">
        <v>45642</v>
      </c>
      <c r="I90" s="3">
        <v>4215.3999999999996</v>
      </c>
      <c r="J90" s="3">
        <v>103786</v>
      </c>
      <c r="K90" s="25">
        <v>1.5999999999999999E-6</v>
      </c>
      <c r="L90" s="29">
        <f>Tabla6[[#This Row],[precio de compra]]*Tabla6[[#This Row],[cantidad]]*Tabla6[[#This Row],[PRECIO DEL DÓLAR, DIA COMPRA]]</f>
        <v>699.99920703999999</v>
      </c>
      <c r="M90" s="26">
        <f t="shared" ca="1" si="17"/>
        <v>659.23737663999987</v>
      </c>
      <c r="N90" s="41">
        <f t="shared" ca="1" si="18"/>
        <v>-9.5446399321681155E-2</v>
      </c>
      <c r="O90" s="28">
        <v>0.25</v>
      </c>
      <c r="P90" s="28">
        <v>0.5</v>
      </c>
      <c r="Q90" s="31" t="str">
        <f t="shared" ca="1" si="19"/>
        <v>MANTENER</v>
      </c>
      <c r="T90" s="2"/>
      <c r="U90" s="14">
        <f>Tabla6[[#This Row],[cantidad]]-Tabla6[[#This Row],[CANTIDAD VENDIDA]]</f>
        <v>1.5999999999999999E-6</v>
      </c>
      <c r="V90" s="2">
        <f t="shared" ca="1" si="20"/>
        <v>659.23737663999987</v>
      </c>
      <c r="W90" s="2">
        <f t="shared" si="21"/>
        <v>-699.99920703999999</v>
      </c>
      <c r="X90" s="32">
        <f t="shared" ca="1" si="22"/>
        <v>-9.5446399321681155E-2</v>
      </c>
      <c r="Y90" s="2" t="str">
        <f t="shared" si="23"/>
        <v>ACTIVA</v>
      </c>
    </row>
    <row r="91" spans="2:25">
      <c r="B91" s="1">
        <f t="shared" ca="1" si="16"/>
        <v>45656</v>
      </c>
      <c r="C91" s="2">
        <f ca="1">VLOOKUP(B91,Tabla4[],2,FALSE)</f>
        <v>4388.83</v>
      </c>
      <c r="D91" s="3">
        <f ca="1">VLOOKUP(B91,Tabla4[],3,FALSE)</f>
        <v>93880</v>
      </c>
      <c r="E91" s="2">
        <f ca="1">VLOOKUP(B91,Tabla4[],5,FALSE)</f>
        <v>3413.8</v>
      </c>
      <c r="F91" s="2">
        <f ca="1">VLOOKUP(B91,Tabla4[],4,FALSE)</f>
        <v>2.81</v>
      </c>
      <c r="G91" t="s">
        <v>15</v>
      </c>
      <c r="H91" s="1">
        <v>45642</v>
      </c>
      <c r="I91" s="3">
        <v>4215.3999999999996</v>
      </c>
      <c r="J91" s="3">
        <v>3905.4</v>
      </c>
      <c r="K91" s="25">
        <v>4.2519999999999999E-5</v>
      </c>
      <c r="L91" s="29">
        <f>Tabla6[[#This Row],[precio de compra]]*Tabla6[[#This Row],[cantidad]]*Tabla6[[#This Row],[PRECIO DEL DÓLAR, DIA COMPRA]]</f>
        <v>699.99924076319996</v>
      </c>
      <c r="M91" s="26">
        <f t="shared" ca="1" si="17"/>
        <v>637.05963555208007</v>
      </c>
      <c r="N91" s="41">
        <f t="shared" ca="1" si="18"/>
        <v>-0.12587699083320528</v>
      </c>
      <c r="O91" s="28">
        <v>0.25</v>
      </c>
      <c r="P91" s="28">
        <v>0.5</v>
      </c>
      <c r="Q91" s="31" t="str">
        <f t="shared" ca="1" si="19"/>
        <v>MANTENER</v>
      </c>
      <c r="T91" s="2"/>
      <c r="U91" s="14">
        <f>Tabla6[[#This Row],[cantidad]]-Tabla6[[#This Row],[CANTIDAD VENDIDA]]</f>
        <v>4.2519999999999999E-5</v>
      </c>
      <c r="V91" s="2">
        <f t="shared" ca="1" si="20"/>
        <v>637.05963555208007</v>
      </c>
      <c r="W91" s="2">
        <f t="shared" si="21"/>
        <v>-699.99924076319996</v>
      </c>
      <c r="X91" s="32">
        <f t="shared" ca="1" si="22"/>
        <v>-0.12587699083320528</v>
      </c>
      <c r="Y91" s="2" t="str">
        <f t="shared" si="23"/>
        <v>ACTIVA</v>
      </c>
    </row>
    <row r="92" spans="2:25">
      <c r="B92" s="1">
        <f t="shared" ca="1" si="16"/>
        <v>45656</v>
      </c>
      <c r="C92" s="2">
        <f ca="1">VLOOKUP(B92,Tabla4[],2,FALSE)</f>
        <v>4388.83</v>
      </c>
      <c r="D92" s="3">
        <f ca="1">VLOOKUP(B92,Tabla4[],3,FALSE)</f>
        <v>93880</v>
      </c>
      <c r="E92" s="2">
        <f ca="1">VLOOKUP(B92,Tabla4[],5,FALSE)</f>
        <v>3413.8</v>
      </c>
      <c r="F92" s="2">
        <f ca="1">VLOOKUP(B92,Tabla4[],4,FALSE)</f>
        <v>2.81</v>
      </c>
      <c r="G92" t="s">
        <v>41</v>
      </c>
      <c r="H92" s="1">
        <v>45642</v>
      </c>
      <c r="I92" s="3">
        <v>4215.3999999999996</v>
      </c>
      <c r="J92" s="3">
        <v>3.7824</v>
      </c>
      <c r="K92" s="25">
        <v>2.1951499999999999E-2</v>
      </c>
      <c r="L92" s="29">
        <f>Tabla6[[#This Row],[precio de compra]]*Tabla6[[#This Row],[cantidad]]*Tabla6[[#This Row],[PRECIO DEL DÓLAR, DIA COMPRA]]</f>
        <v>350.00193716543993</v>
      </c>
      <c r="M92" s="26">
        <f t="shared" ca="1" si="17"/>
        <v>270.71933890345002</v>
      </c>
      <c r="N92" s="41">
        <f t="shared" ca="1" si="18"/>
        <v>-0.25708544839255498</v>
      </c>
      <c r="O92" s="28">
        <v>0.1</v>
      </c>
      <c r="P92" s="28">
        <v>0.3</v>
      </c>
      <c r="Q92" s="31" t="str">
        <f t="shared" ca="1" si="19"/>
        <v>MANTENER</v>
      </c>
      <c r="T92" s="2"/>
      <c r="U92" s="14">
        <f>Tabla6[[#This Row],[cantidad]]-Tabla6[[#This Row],[CANTIDAD VENDIDA]]</f>
        <v>2.1951499999999999E-2</v>
      </c>
      <c r="V92" s="2">
        <f t="shared" ca="1" si="20"/>
        <v>270.71933890345002</v>
      </c>
      <c r="W92" s="2">
        <f t="shared" si="21"/>
        <v>-350.00193716543993</v>
      </c>
      <c r="X92" s="32">
        <f t="shared" ca="1" si="22"/>
        <v>-0.25708544839255498</v>
      </c>
      <c r="Y92" s="2" t="str">
        <f t="shared" si="23"/>
        <v>ACTIVA</v>
      </c>
    </row>
  </sheetData>
  <conditionalFormatting sqref="B3:Z92">
    <cfRule type="expression" dxfId="91" priority="1">
      <formula>$Y:$Y="VENDIDA"</formula>
    </cfRule>
  </conditionalFormatting>
  <conditionalFormatting sqref="Q1:Q1048576">
    <cfRule type="containsText" dxfId="90" priority="9" operator="containsText" text="VENTA PARCIAL">
      <formula>NOT(ISERROR(SEARCH("VENTA PARCIAL",Q1)))</formula>
    </cfRule>
    <cfRule type="containsText" dxfId="89" priority="10" operator="containsText" text="MANTENER">
      <formula>NOT(ISERROR(SEARCH("MANTENER",Q1)))</formula>
    </cfRule>
  </conditionalFormatting>
  <conditionalFormatting sqref="Q3:Q92">
    <cfRule type="containsText" dxfId="88" priority="8" operator="containsText" text="VENDER">
      <formula>NOT(ISERROR(SEARCH("VENDER",Q3)))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opLeftCell="A4" workbookViewId="0">
      <selection activeCell="D25" sqref="D25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ca="1">TODAY()</f>
        <v>45656</v>
      </c>
      <c r="C3" s="1">
        <v>45495</v>
      </c>
      <c r="D3" s="7">
        <v>3983.46</v>
      </c>
      <c r="E3" s="14">
        <v>0.17572713000000001</v>
      </c>
      <c r="F3" s="7">
        <f t="shared" ref="F3:F8" si="0">D3*E3</f>
        <v>700.0019932698001</v>
      </c>
      <c r="G3" s="14">
        <f>E3</f>
        <v>0.17572713000000001</v>
      </c>
      <c r="H3" s="7">
        <f ca="1">VLOOKUP(B3,Tabla4[],6,FALSE)</f>
        <v>4322</v>
      </c>
      <c r="I3" s="7">
        <f t="shared" ref="I3:I8" ca="1" si="1">G3*H3</f>
        <v>759.49265586000001</v>
      </c>
      <c r="J3" s="7">
        <f>F3</f>
        <v>700.0019932698001</v>
      </c>
      <c r="K3" s="7">
        <f ca="1">Tabla5[[#This Row],[VALOR ACTUAL EN COP]]-Tabla5[[#This Row],[COSTO TOTAL EN COP]]</f>
        <v>59.490662590199918</v>
      </c>
      <c r="L3" s="10">
        <f t="shared" ref="L3:L8" ca="1" si="2">((I3-J3)/J3)</f>
        <v>8.4986418841911174E-2</v>
      </c>
      <c r="M3" s="7">
        <f>D3*1.1</f>
        <v>4381.8060000000005</v>
      </c>
    </row>
    <row r="4" spans="2:13">
      <c r="B4" s="1">
        <f ca="1">TODAY()</f>
        <v>45656</v>
      </c>
      <c r="C4" s="1">
        <v>45496</v>
      </c>
      <c r="D4" s="7">
        <v>3969.77</v>
      </c>
      <c r="E4">
        <v>2.5190379999999998E-2</v>
      </c>
      <c r="F4" s="7">
        <f t="shared" si="0"/>
        <v>100.0000148126</v>
      </c>
      <c r="G4" s="14">
        <f t="shared" ref="G4:G9" si="3">G3+E4</f>
        <v>0.20091751000000002</v>
      </c>
      <c r="H4" s="7">
        <f ca="1">VLOOKUP(B4,Tabla4[],6,FALSE)</f>
        <v>4322</v>
      </c>
      <c r="I4" s="7">
        <f t="shared" ca="1" si="1"/>
        <v>868.36547822000011</v>
      </c>
      <c r="J4" s="7">
        <f t="shared" ref="J4:J9" si="4">F4+J3</f>
        <v>800.00200808240015</v>
      </c>
      <c r="K4" s="7">
        <f ca="1">Tabla5[[#This Row],[VALOR ACTUAL EN COP]]-Tabla5[[#This Row],[COSTO TOTAL EN COP]]</f>
        <v>68.363470137599961</v>
      </c>
      <c r="L4" s="10">
        <f t="shared" ca="1" si="2"/>
        <v>8.5454123173348995E-2</v>
      </c>
      <c r="M4" s="7">
        <f>D4*1.1</f>
        <v>4366.7470000000003</v>
      </c>
    </row>
    <row r="5" spans="2:13">
      <c r="B5" s="1">
        <f t="shared" ref="B5:B10" ca="1" si="5">TODAY()</f>
        <v>45656</v>
      </c>
      <c r="C5" s="1">
        <v>45502</v>
      </c>
      <c r="D5" s="7">
        <v>4013.7</v>
      </c>
      <c r="E5">
        <v>0.17440263</v>
      </c>
      <c r="F5" s="7">
        <f t="shared" si="0"/>
        <v>699.99983603099997</v>
      </c>
      <c r="G5" s="14">
        <f t="shared" si="3"/>
        <v>0.37532014000000002</v>
      </c>
      <c r="H5" s="7">
        <f ca="1">VLOOKUP(B5,Tabla4[],6,FALSE)</f>
        <v>4322</v>
      </c>
      <c r="I5" s="22">
        <f t="shared" ca="1" si="1"/>
        <v>1622.1336450800002</v>
      </c>
      <c r="J5" s="8">
        <f t="shared" si="4"/>
        <v>1500.0018441134002</v>
      </c>
      <c r="K5" s="8">
        <f ca="1">Tabla5[[#This Row],[VALOR ACTUAL EN COP]]-Tabla5[[#This Row],[COSTO TOTAL EN COP]]</f>
        <v>122.13180096659994</v>
      </c>
      <c r="L5" s="10">
        <f t="shared" ca="1" si="2"/>
        <v>8.1421100544571579E-2</v>
      </c>
      <c r="M5" s="7">
        <f>D5*1.1</f>
        <v>4415.07</v>
      </c>
    </row>
    <row r="6" spans="2:13">
      <c r="B6" s="1">
        <f t="shared" ca="1" si="5"/>
        <v>45656</v>
      </c>
      <c r="C6" s="1">
        <v>45509</v>
      </c>
      <c r="D6" s="7">
        <v>4203.8900000000003</v>
      </c>
      <c r="E6" s="14">
        <v>0.16651260000000001</v>
      </c>
      <c r="F6" s="22">
        <f t="shared" si="0"/>
        <v>700.00065401400013</v>
      </c>
      <c r="G6" s="14">
        <f t="shared" si="3"/>
        <v>0.54183274000000003</v>
      </c>
      <c r="H6" s="7">
        <f ca="1">VLOOKUP(B6,Tabla4[],6,FALSE)</f>
        <v>4322</v>
      </c>
      <c r="I6" s="22">
        <f t="shared" ca="1" si="1"/>
        <v>2341.8011022800001</v>
      </c>
      <c r="J6" s="8">
        <f t="shared" si="4"/>
        <v>2200.0024981274005</v>
      </c>
      <c r="K6" s="8">
        <f ca="1">Tabla5[[#This Row],[VALOR ACTUAL EN COP]]-Tabla5[[#This Row],[COSTO TOTAL EN COP]]</f>
        <v>141.79860415259964</v>
      </c>
      <c r="L6" s="10">
        <f t="shared" ca="1" si="2"/>
        <v>6.445383779031881E-2</v>
      </c>
      <c r="M6" s="7">
        <f>D6*1.1</f>
        <v>4624.2790000000005</v>
      </c>
    </row>
    <row r="7" spans="2:13">
      <c r="B7" s="1">
        <f t="shared" ca="1" si="5"/>
        <v>45656</v>
      </c>
      <c r="C7" s="1">
        <v>45516</v>
      </c>
      <c r="D7" s="7">
        <v>4043.31</v>
      </c>
      <c r="E7">
        <v>0.17312537</v>
      </c>
      <c r="F7" s="7">
        <f t="shared" si="0"/>
        <v>699.9995397747</v>
      </c>
      <c r="G7" s="14">
        <f t="shared" si="3"/>
        <v>0.71495810999999998</v>
      </c>
      <c r="H7" s="7">
        <f ca="1">VLOOKUP(B7,Tabla4[],6,FALSE)</f>
        <v>4322</v>
      </c>
      <c r="I7" s="22">
        <f t="shared" ca="1" si="1"/>
        <v>3090.0489514199999</v>
      </c>
      <c r="J7" s="8">
        <f t="shared" si="4"/>
        <v>2900.0020379021007</v>
      </c>
      <c r="K7" s="8">
        <f ca="1">Tabla5[[#This Row],[VALOR ACTUAL EN COP]]-Tabla5[[#This Row],[COSTO TOTAL EN COP]]</f>
        <v>190.04691351789916</v>
      </c>
      <c r="L7" s="30">
        <f t="shared" ca="1" si="2"/>
        <v>6.5533372402517887E-2</v>
      </c>
      <c r="M7" s="8">
        <f t="shared" ref="M7:M12" si="6">D7*1.1</f>
        <v>4447.6410000000005</v>
      </c>
    </row>
    <row r="8" spans="2:13">
      <c r="B8" s="1">
        <f t="shared" ca="1" si="5"/>
        <v>45656</v>
      </c>
      <c r="C8" s="1">
        <v>45523</v>
      </c>
      <c r="D8" s="7">
        <v>3958.06</v>
      </c>
      <c r="E8">
        <v>0.17685443000000001</v>
      </c>
      <c r="F8" s="7">
        <f t="shared" si="0"/>
        <v>700.00044520580002</v>
      </c>
      <c r="G8" s="14">
        <f t="shared" si="3"/>
        <v>0.89181253999999999</v>
      </c>
      <c r="H8" s="7">
        <f ca="1">VLOOKUP(B8,Tabla4[],6,FALSE)</f>
        <v>4322</v>
      </c>
      <c r="I8" s="22">
        <f t="shared" ca="1" si="1"/>
        <v>3854.4137978799999</v>
      </c>
      <c r="J8" s="8">
        <f t="shared" si="4"/>
        <v>3600.0024831079008</v>
      </c>
      <c r="K8" s="8">
        <f ca="1">Tabla5[[#This Row],[VALOR ACTUAL EN COP]]-Tabla5[[#This Row],[COSTO TOTAL EN COP]]</f>
        <v>254.4113147720991</v>
      </c>
      <c r="L8" s="30">
        <f t="shared" ca="1" si="2"/>
        <v>7.0669760914293736E-2</v>
      </c>
      <c r="M8" s="8">
        <f t="shared" si="6"/>
        <v>4353.866</v>
      </c>
    </row>
    <row r="9" spans="2:13">
      <c r="B9" s="1">
        <f t="shared" ca="1" si="5"/>
        <v>45656</v>
      </c>
      <c r="C9" s="1">
        <v>45530</v>
      </c>
      <c r="D9" s="7">
        <v>3966.68</v>
      </c>
      <c r="E9">
        <v>0.17646977</v>
      </c>
      <c r="F9" s="7">
        <f t="shared" ref="F9:F14" si="7">D9*E9</f>
        <v>699.99910726359997</v>
      </c>
      <c r="G9" s="14">
        <f t="shared" si="3"/>
        <v>1.0682823100000001</v>
      </c>
      <c r="H9" s="7">
        <f ca="1">VLOOKUP(B9,Tabla4[],6,FALSE)</f>
        <v>4322</v>
      </c>
      <c r="I9" s="22">
        <f t="shared" ref="I9:I14" ca="1" si="8">G9*H9</f>
        <v>4617.1161438200006</v>
      </c>
      <c r="J9" s="8">
        <f t="shared" si="4"/>
        <v>4300.0015903715012</v>
      </c>
      <c r="K9" s="8">
        <f ca="1">Tabla5[[#This Row],[VALOR ACTUAL EN COP]]-Tabla5[[#This Row],[COSTO TOTAL EN COP]]</f>
        <v>317.11455344849946</v>
      </c>
      <c r="L9" s="30">
        <f t="shared" ref="L9:L14" ca="1" si="9">((I9-J9)/J9)</f>
        <v>7.3747543293606582E-2</v>
      </c>
      <c r="M9" s="8">
        <f t="shared" si="6"/>
        <v>4363.348</v>
      </c>
    </row>
    <row r="10" spans="2:13">
      <c r="B10" s="1">
        <f t="shared" ca="1" si="5"/>
        <v>45656</v>
      </c>
      <c r="C10" s="1">
        <v>45537</v>
      </c>
      <c r="D10" s="7">
        <v>3995.06</v>
      </c>
      <c r="E10">
        <v>0.17521656999999999</v>
      </c>
      <c r="F10" s="7">
        <f t="shared" si="7"/>
        <v>700.00071014419996</v>
      </c>
      <c r="G10" s="14">
        <f t="shared" ref="G10:G15" si="10">G9+E10</f>
        <v>1.24349888</v>
      </c>
      <c r="H10" s="7">
        <f ca="1">VLOOKUP(B10,Tabla4[],6,FALSE)</f>
        <v>4322</v>
      </c>
      <c r="I10" s="22">
        <f t="shared" ca="1" si="8"/>
        <v>5374.40215936</v>
      </c>
      <c r="J10" s="8">
        <f t="shared" ref="J10:J15" si="11">F10+J9</f>
        <v>5000.0023005157009</v>
      </c>
      <c r="K10" s="8">
        <f ca="1">Tabla5[[#This Row],[VALOR ACTUAL EN COP]]-Tabla5[[#This Row],[COSTO TOTAL EN COP]]</f>
        <v>374.39985884429916</v>
      </c>
      <c r="L10" s="30">
        <f t="shared" ca="1" si="9"/>
        <v>7.4879937316365539E-2</v>
      </c>
      <c r="M10" s="8">
        <f t="shared" si="6"/>
        <v>4394.5660000000007</v>
      </c>
    </row>
    <row r="11" spans="2:13">
      <c r="B11" s="1">
        <f t="shared" ref="B11:B16" ca="1" si="12">TODAY()</f>
        <v>45656</v>
      </c>
      <c r="C11" s="1">
        <v>45544</v>
      </c>
      <c r="D11" s="7">
        <v>4082.04</v>
      </c>
      <c r="E11" s="14">
        <v>0.17148269999999999</v>
      </c>
      <c r="F11" s="7">
        <f t="shared" si="7"/>
        <v>699.99924070799989</v>
      </c>
      <c r="G11" s="14">
        <f t="shared" si="10"/>
        <v>1.4149815800000001</v>
      </c>
      <c r="H11" s="7">
        <f ca="1">VLOOKUP(B11,Tabla4[],6,FALSE)</f>
        <v>4322</v>
      </c>
      <c r="I11" s="22">
        <f t="shared" ca="1" si="8"/>
        <v>6115.5503887600007</v>
      </c>
      <c r="J11" s="8">
        <f t="shared" si="11"/>
        <v>5700.0015412237008</v>
      </c>
      <c r="K11" s="8">
        <f ca="1">Tabla5[[#This Row],[VALOR ACTUAL EN COP]]-Tabla5[[#This Row],[COSTO TOTAL EN COP]]</f>
        <v>415.54884753629995</v>
      </c>
      <c r="L11" s="30">
        <f t="shared" ca="1" si="9"/>
        <v>7.2903286872987083E-2</v>
      </c>
      <c r="M11" s="8">
        <f t="shared" si="6"/>
        <v>4490.2440000000006</v>
      </c>
    </row>
    <row r="12" spans="2:13">
      <c r="B12" s="1">
        <f t="shared" ca="1" si="12"/>
        <v>45656</v>
      </c>
      <c r="C12" s="1">
        <v>45551</v>
      </c>
      <c r="D12" s="7">
        <v>4134.71</v>
      </c>
      <c r="E12" s="14">
        <v>0.16929839999999999</v>
      </c>
      <c r="F12" s="22">
        <f t="shared" si="7"/>
        <v>699.99978746399995</v>
      </c>
      <c r="G12" s="14">
        <f t="shared" si="10"/>
        <v>1.58427998</v>
      </c>
      <c r="H12" s="8">
        <f ca="1">VLOOKUP(B12,Tabla4[],6,FALSE)</f>
        <v>4322</v>
      </c>
      <c r="I12" s="22">
        <f t="shared" ca="1" si="8"/>
        <v>6847.2580735600004</v>
      </c>
      <c r="J12" s="8">
        <f t="shared" si="11"/>
        <v>6400.0013286877011</v>
      </c>
      <c r="K12" s="8">
        <f ca="1">Tabla5[[#This Row],[VALOR ACTUAL EN COP]]-Tabla5[[#This Row],[COSTO TOTAL EN COP]]</f>
        <v>447.25674487229935</v>
      </c>
      <c r="L12" s="30">
        <f t="shared" ca="1" si="9"/>
        <v>6.9883851877888259E-2</v>
      </c>
      <c r="M12" s="8">
        <f t="shared" si="6"/>
        <v>4548.1810000000005</v>
      </c>
    </row>
    <row r="13" spans="2:13">
      <c r="B13" s="1">
        <f t="shared" ca="1" si="12"/>
        <v>45656</v>
      </c>
      <c r="C13" s="1">
        <v>45558</v>
      </c>
      <c r="D13" s="7">
        <v>4086.07</v>
      </c>
      <c r="E13" s="14">
        <v>0.17131356</v>
      </c>
      <c r="F13" s="7">
        <f t="shared" si="7"/>
        <v>699.99919810920005</v>
      </c>
      <c r="G13" s="14">
        <f t="shared" si="10"/>
        <v>1.75559354</v>
      </c>
      <c r="H13" s="7">
        <f ca="1">VLOOKUP(B13,Tabla4[],6,FALSE)</f>
        <v>4322</v>
      </c>
      <c r="I13" s="22">
        <f t="shared" ca="1" si="8"/>
        <v>7587.6752798799998</v>
      </c>
      <c r="J13" s="8">
        <f t="shared" si="11"/>
        <v>7100.0005267969009</v>
      </c>
      <c r="K13" s="8">
        <f ca="1">Tabla5[[#This Row],[VALOR ACTUAL EN COP]]-Tabla5[[#This Row],[COSTO TOTAL EN COP]]</f>
        <v>487.67475308309895</v>
      </c>
      <c r="L13" s="30">
        <f t="shared" ca="1" si="9"/>
        <v>6.868657984496078E-2</v>
      </c>
      <c r="M13" s="8">
        <f t="shared" ref="M13:M18" si="13">D13*1.1</f>
        <v>4494.6770000000006</v>
      </c>
    </row>
    <row r="14" spans="2:13">
      <c r="B14" s="1">
        <f t="shared" ca="1" si="12"/>
        <v>45656</v>
      </c>
      <c r="C14" s="1">
        <v>45565</v>
      </c>
      <c r="D14" s="7">
        <v>4044.33</v>
      </c>
      <c r="E14">
        <v>0.17308166</v>
      </c>
      <c r="F14" s="22">
        <f t="shared" si="7"/>
        <v>699.99934998779997</v>
      </c>
      <c r="G14" s="14">
        <f t="shared" si="10"/>
        <v>1.9286752</v>
      </c>
      <c r="H14" s="7">
        <f ca="1">VLOOKUP(B14,Tabla4[],6,FALSE)</f>
        <v>4322</v>
      </c>
      <c r="I14" s="22">
        <f t="shared" ca="1" si="8"/>
        <v>8335.7342143999995</v>
      </c>
      <c r="J14" s="8">
        <f t="shared" si="11"/>
        <v>7799.999876784701</v>
      </c>
      <c r="K14" s="8">
        <f ca="1">Tabla5[[#This Row],[VALOR ACTUAL EN COP]]-Tabla5[[#This Row],[COSTO TOTAL EN COP]]</f>
        <v>535.7343376152985</v>
      </c>
      <c r="L14" s="30">
        <f t="shared" ca="1" si="9"/>
        <v>6.8683890522846749E-2</v>
      </c>
      <c r="M14" s="8">
        <f t="shared" si="13"/>
        <v>4448.7629999999999</v>
      </c>
    </row>
    <row r="15" spans="2:13">
      <c r="B15" s="1">
        <f t="shared" ca="1" si="12"/>
        <v>45656</v>
      </c>
      <c r="C15" s="1">
        <v>45572</v>
      </c>
      <c r="D15" s="7">
        <v>4036.67</v>
      </c>
      <c r="E15">
        <v>0.17341017</v>
      </c>
      <c r="F15" s="7">
        <f t="shared" ref="F15:F20" si="14">D15*E15</f>
        <v>699.99963093389999</v>
      </c>
      <c r="G15" s="14">
        <f t="shared" si="10"/>
        <v>2.1020853700000002</v>
      </c>
      <c r="H15" s="7">
        <f ca="1">VLOOKUP(B15,Tabla4[],6,FALSE)</f>
        <v>4322</v>
      </c>
      <c r="I15" s="22">
        <f t="shared" ref="I15:I20" ca="1" si="15">G15*H15</f>
        <v>9085.2129691400005</v>
      </c>
      <c r="J15" s="8">
        <f t="shared" si="11"/>
        <v>8499.9995077186013</v>
      </c>
      <c r="K15" s="8">
        <f ca="1">Tabla5[[#This Row],[VALOR ACTUAL EN COP]]-Tabla5[[#This Row],[COSTO TOTAL EN COP]]</f>
        <v>585.21346142139919</v>
      </c>
      <c r="L15" s="30">
        <f t="shared" ref="L15:L20" ca="1" si="16">((I15-J15)/J15)</f>
        <v>6.8848646507565558E-2</v>
      </c>
      <c r="M15" s="8">
        <f t="shared" si="13"/>
        <v>4440.3370000000004</v>
      </c>
    </row>
    <row r="16" spans="2:13">
      <c r="B16" s="1">
        <f t="shared" ca="1" si="12"/>
        <v>45656</v>
      </c>
      <c r="C16" s="1">
        <v>45580</v>
      </c>
      <c r="D16" s="7">
        <v>4101.22</v>
      </c>
      <c r="E16">
        <v>0.17068098000000001</v>
      </c>
      <c r="F16" s="7">
        <f t="shared" si="14"/>
        <v>700.0002487956001</v>
      </c>
      <c r="G16" s="14">
        <f t="shared" ref="G16:G21" si="17">G15+E16</f>
        <v>2.2727663500000004</v>
      </c>
      <c r="H16" s="7">
        <f ca="1">VLOOKUP(B16,Tabla4[],6,FALSE)</f>
        <v>4322</v>
      </c>
      <c r="I16" s="22">
        <f t="shared" ca="1" si="15"/>
        <v>9822.8961647000015</v>
      </c>
      <c r="J16" s="8">
        <f t="shared" ref="J16:J21" si="18">F16+J15</f>
        <v>9199.9997565142021</v>
      </c>
      <c r="K16" s="8">
        <f ca="1">Tabla5[[#This Row],[VALOR ACTUAL EN COP]]-Tabla5[[#This Row],[COSTO TOTAL EN COP]]</f>
        <v>622.89640818579937</v>
      </c>
      <c r="L16" s="30">
        <f t="shared" ca="1" si="16"/>
        <v>6.7706133116443606E-2</v>
      </c>
      <c r="M16" s="8">
        <f t="shared" si="13"/>
        <v>4511.3420000000006</v>
      </c>
    </row>
    <row r="17" spans="2:13">
      <c r="B17" s="1">
        <f t="shared" ref="B17:B22" ca="1" si="19">TODAY()</f>
        <v>45656</v>
      </c>
      <c r="C17" s="1">
        <v>45586</v>
      </c>
      <c r="D17" s="7">
        <v>4209.08</v>
      </c>
      <c r="E17">
        <v>0.16630713</v>
      </c>
      <c r="F17" s="22">
        <f t="shared" si="14"/>
        <v>700.00001474039993</v>
      </c>
      <c r="G17" s="14">
        <f t="shared" si="17"/>
        <v>2.4390734800000002</v>
      </c>
      <c r="H17" s="7">
        <f ca="1">VLOOKUP(B17,Tabla4[],6,FALSE)</f>
        <v>4322</v>
      </c>
      <c r="I17" s="22">
        <f t="shared" ca="1" si="15"/>
        <v>10541.675580560001</v>
      </c>
      <c r="J17" s="8">
        <f t="shared" si="18"/>
        <v>9899.9997712546028</v>
      </c>
      <c r="K17" s="8">
        <f ca="1">Tabla5[[#This Row],[VALOR ACTUAL EN COP]]-Tabla5[[#This Row],[COSTO TOTAL EN COP]]</f>
        <v>641.67580930539771</v>
      </c>
      <c r="L17" s="30">
        <f t="shared" ca="1" si="16"/>
        <v>6.4815739811282816E-2</v>
      </c>
      <c r="M17" s="8">
        <f t="shared" si="13"/>
        <v>4629.9880000000003</v>
      </c>
    </row>
    <row r="18" spans="2:13">
      <c r="B18" s="1">
        <f t="shared" ca="1" si="19"/>
        <v>45656</v>
      </c>
      <c r="C18" s="1">
        <v>45593</v>
      </c>
      <c r="D18" s="7">
        <v>4241.6000000000004</v>
      </c>
      <c r="E18">
        <v>0.16503193999999999</v>
      </c>
      <c r="F18" s="22">
        <f t="shared" si="14"/>
        <v>699.99947670400002</v>
      </c>
      <c r="G18" s="14">
        <f t="shared" si="17"/>
        <v>2.6041054200000002</v>
      </c>
      <c r="H18" s="7">
        <f ca="1">VLOOKUP(B18,Tabla4[],6,FALSE)</f>
        <v>4322</v>
      </c>
      <c r="I18" s="22">
        <f t="shared" ca="1" si="15"/>
        <v>11254.943625240001</v>
      </c>
      <c r="J18" s="8">
        <f t="shared" si="18"/>
        <v>10599.999247958604</v>
      </c>
      <c r="K18" s="8">
        <f ca="1">Tabla5[[#This Row],[VALOR ACTUAL EN COP]]-Tabla5[[#This Row],[COSTO TOTAL EN COP]]</f>
        <v>654.94437728139746</v>
      </c>
      <c r="L18" s="30">
        <f t="shared" ca="1" si="16"/>
        <v>6.1787209787541229E-2</v>
      </c>
      <c r="M18" s="8">
        <f t="shared" si="13"/>
        <v>4665.7600000000011</v>
      </c>
    </row>
    <row r="19" spans="2:13">
      <c r="B19" s="1">
        <f t="shared" ca="1" si="19"/>
        <v>45656</v>
      </c>
      <c r="C19" s="1">
        <v>45600</v>
      </c>
      <c r="D19" s="7">
        <v>4370.66</v>
      </c>
      <c r="E19">
        <v>0.16015905999999999</v>
      </c>
      <c r="F19" s="22">
        <f t="shared" si="14"/>
        <v>700.00079717959989</v>
      </c>
      <c r="G19" s="14">
        <f t="shared" si="17"/>
        <v>2.76426448</v>
      </c>
      <c r="H19" s="7">
        <f ca="1">VLOOKUP(B19,Tabla4[],6,FALSE)</f>
        <v>4322</v>
      </c>
      <c r="I19" s="22">
        <f t="shared" ca="1" si="15"/>
        <v>11947.15108256</v>
      </c>
      <c r="J19" s="8">
        <f t="shared" si="18"/>
        <v>11300.000045138204</v>
      </c>
      <c r="K19" s="8">
        <f ca="1">Tabla5[[#This Row],[VALOR ACTUAL EN COP]]-Tabla5[[#This Row],[COSTO TOTAL EN COP]]</f>
        <v>647.15103742179599</v>
      </c>
      <c r="L19" s="30">
        <f t="shared" ca="1" si="16"/>
        <v>5.7270003082896544E-2</v>
      </c>
      <c r="M19" s="8">
        <f t="shared" ref="M19:M24" si="20">D19*1.1</f>
        <v>4807.7260000000006</v>
      </c>
    </row>
    <row r="20" spans="2:13">
      <c r="B20" s="1">
        <f t="shared" ca="1" si="19"/>
        <v>45656</v>
      </c>
      <c r="C20" s="1">
        <v>45607</v>
      </c>
      <c r="D20" s="42">
        <v>4314.76</v>
      </c>
      <c r="E20">
        <v>0.16223373999999999</v>
      </c>
      <c r="F20" s="22">
        <f t="shared" si="14"/>
        <v>699.99965200240001</v>
      </c>
      <c r="G20" s="14">
        <f t="shared" si="17"/>
        <v>2.92649822</v>
      </c>
      <c r="H20" s="42">
        <f ca="1">VLOOKUP(B20,Tabla4[],6,FALSE)</f>
        <v>4322</v>
      </c>
      <c r="I20" s="22">
        <f t="shared" ca="1" si="15"/>
        <v>12648.325306840001</v>
      </c>
      <c r="J20" s="8">
        <f t="shared" si="18"/>
        <v>11999.999697140604</v>
      </c>
      <c r="K20" s="8">
        <f ca="1">Tabla5[[#This Row],[VALOR ACTUAL EN COP]]-Tabla5[[#This Row],[COSTO TOTAL EN COP]]</f>
        <v>648.32560969939732</v>
      </c>
      <c r="L20" s="30">
        <f t="shared" ca="1" si="16"/>
        <v>5.4027135505168578E-2</v>
      </c>
      <c r="M20" s="8">
        <f t="shared" si="20"/>
        <v>4746.2360000000008</v>
      </c>
    </row>
    <row r="21" spans="2:13">
      <c r="B21" s="1">
        <f t="shared" ca="1" si="19"/>
        <v>45656</v>
      </c>
      <c r="C21" s="1">
        <v>45614</v>
      </c>
      <c r="D21" s="7">
        <v>4378.71</v>
      </c>
      <c r="E21">
        <v>0.15986450999999999</v>
      </c>
      <c r="F21" s="22">
        <f>D21*E21</f>
        <v>700.0003285821</v>
      </c>
      <c r="G21" s="14">
        <f t="shared" si="17"/>
        <v>3.0863627299999998</v>
      </c>
      <c r="H21" s="7">
        <f ca="1">VLOOKUP(B21,Tabla4[],6,FALSE)</f>
        <v>4322</v>
      </c>
      <c r="I21" s="22">
        <f ca="1">G21*H21</f>
        <v>13339.259719059999</v>
      </c>
      <c r="J21" s="8">
        <f t="shared" si="18"/>
        <v>12700.000025722704</v>
      </c>
      <c r="K21" s="8">
        <f ca="1">Tabla5[[#This Row],[VALOR ACTUAL EN COP]]-Tabla5[[#This Row],[COSTO TOTAL EN COP]]</f>
        <v>639.25969333729518</v>
      </c>
      <c r="L21" s="30">
        <f ca="1">((I21-J21)/J21)</f>
        <v>5.0335408822246644E-2</v>
      </c>
      <c r="M21" s="8">
        <f t="shared" si="20"/>
        <v>4816.5810000000001</v>
      </c>
    </row>
    <row r="22" spans="2:13">
      <c r="B22" s="1">
        <f t="shared" ca="1" si="19"/>
        <v>45656</v>
      </c>
      <c r="C22" s="1">
        <v>45621</v>
      </c>
      <c r="D22" s="7">
        <v>4366.6499999999996</v>
      </c>
      <c r="E22">
        <v>0.16030583000000001</v>
      </c>
      <c r="F22" s="22">
        <f>D22*E22</f>
        <v>699.99945256950002</v>
      </c>
      <c r="G22" s="14">
        <f>G21+E22</f>
        <v>3.2466685599999998</v>
      </c>
      <c r="H22" s="7">
        <f ca="1">VLOOKUP(B22,Tabla4[],6,FALSE)</f>
        <v>4322</v>
      </c>
      <c r="I22" s="22">
        <f ca="1">G22*H22</f>
        <v>14032.101516319999</v>
      </c>
      <c r="J22" s="8">
        <f>F22+J21</f>
        <v>13399.999478292204</v>
      </c>
      <c r="K22" s="8">
        <f ca="1">Tabla5[[#This Row],[VALOR ACTUAL EN COP]]-Tabla5[[#This Row],[COSTO TOTAL EN COP]]</f>
        <v>632.10203802779506</v>
      </c>
      <c r="L22" s="30">
        <f ca="1">((I22-J22)/J22)</f>
        <v>4.7171795719230497E-2</v>
      </c>
      <c r="M22" s="8">
        <f t="shared" si="20"/>
        <v>4803.3149999999996</v>
      </c>
    </row>
    <row r="23" spans="2:13">
      <c r="B23" s="1">
        <f ca="1">TODAY()</f>
        <v>45656</v>
      </c>
      <c r="C23" s="1">
        <v>45628</v>
      </c>
      <c r="D23" s="7">
        <v>4403.26</v>
      </c>
      <c r="E23">
        <v>0.15897328999999999</v>
      </c>
      <c r="F23" s="22">
        <f>D23*E23</f>
        <v>700.00072892540004</v>
      </c>
      <c r="G23" s="14">
        <f>G22+E23</f>
        <v>3.4056418499999999</v>
      </c>
      <c r="H23" s="7">
        <f ca="1">VLOOKUP(B23,Tabla4[],6,FALSE)</f>
        <v>4322</v>
      </c>
      <c r="I23" s="22">
        <f ca="1">G23*H23</f>
        <v>14719.184075699999</v>
      </c>
      <c r="J23" s="8">
        <f>F23+J22</f>
        <v>14100.000207217605</v>
      </c>
      <c r="K23" s="8">
        <f ca="1">Tabla5[[#This Row],[VALOR ACTUAL EN COP]]-Tabla5[[#This Row],[COSTO TOTAL EN COP]]</f>
        <v>619.18386848239425</v>
      </c>
      <c r="L23" s="30">
        <f ca="1">((I23-J23)/J23)</f>
        <v>4.3913748892389533E-2</v>
      </c>
      <c r="M23" s="8">
        <f t="shared" si="20"/>
        <v>4843.5860000000002</v>
      </c>
    </row>
    <row r="24" spans="2:13">
      <c r="B24" s="1">
        <f ca="1">TODAY()</f>
        <v>45656</v>
      </c>
      <c r="C24" s="1">
        <v>45635</v>
      </c>
      <c r="D24" s="7">
        <v>4376.6899999999996</v>
      </c>
      <c r="E24">
        <v>0.15993824000000001</v>
      </c>
      <c r="F24" s="22">
        <f>D24*E24</f>
        <v>700.00009562560001</v>
      </c>
      <c r="G24" s="14">
        <f>G23+E24</f>
        <v>3.5655800900000001</v>
      </c>
      <c r="H24" s="7">
        <f ca="1">VLOOKUP(B24,Tabla4[],6,FALSE)</f>
        <v>4322</v>
      </c>
      <c r="I24" s="22">
        <f ca="1">G24*H24</f>
        <v>15410.43714898</v>
      </c>
      <c r="J24" s="8">
        <f>F24+J23</f>
        <v>14800.000302843206</v>
      </c>
      <c r="K24" s="8">
        <f ca="1">Tabla5[[#This Row],[VALOR ACTUAL EN COP]]-Tabla5[[#This Row],[COSTO TOTAL EN COP]]</f>
        <v>610.43684613679397</v>
      </c>
      <c r="L24" s="30">
        <f ca="1">((I24-J24)/J24)</f>
        <v>4.1245732003094886E-2</v>
      </c>
      <c r="M24" s="8">
        <f t="shared" si="20"/>
        <v>4814.3590000000004</v>
      </c>
    </row>
    <row r="25" spans="2:13">
      <c r="B25" s="1">
        <f ca="1">TODAY()</f>
        <v>45656</v>
      </c>
      <c r="C25" s="1">
        <v>45642</v>
      </c>
      <c r="D25" s="7">
        <v>4215.3999999999996</v>
      </c>
      <c r="E25">
        <v>0.16605784000000001</v>
      </c>
      <c r="F25" s="22">
        <f>D25*E25</f>
        <v>700.00021873599997</v>
      </c>
      <c r="G25" s="14">
        <f>G24+E25</f>
        <v>3.7316379300000002</v>
      </c>
      <c r="H25" s="7">
        <f ca="1">VLOOKUP(B25,Tabla4[],6,FALSE)</f>
        <v>4322</v>
      </c>
      <c r="I25" s="22">
        <f ca="1">G25*H25</f>
        <v>16128.139133460001</v>
      </c>
      <c r="J25" s="8">
        <f>F25+J24</f>
        <v>15500.000521579206</v>
      </c>
      <c r="K25" s="8">
        <f ca="1">Tabla5[[#This Row],[VALOR ACTUAL EN COP]]-Tabla5[[#This Row],[COSTO TOTAL EN COP]]</f>
        <v>628.138611880795</v>
      </c>
      <c r="L25" s="30">
        <f ca="1">((I25-J25)/J25)</f>
        <v>4.0525070370565221E-2</v>
      </c>
      <c r="M25" s="8">
        <f>D25*1.1</f>
        <v>4636.9399999999996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opLeftCell="E12" workbookViewId="0">
      <selection activeCell="G26" sqref="G26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22" si="0">J3-F3</f>
        <v>-3261.1900000000023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>D4*F4*E4</f>
        <v>2943.48993193859</v>
      </c>
      <c r="H4">
        <v>3.0967000000000001E-4</v>
      </c>
      <c r="I4" s="7">
        <v>4045.51</v>
      </c>
      <c r="J4" s="7">
        <v>3150.45</v>
      </c>
      <c r="K4" s="7">
        <f>H4*J4*I4</f>
        <v>3946.7989552417648</v>
      </c>
      <c r="L4">
        <f>H4-D4</f>
        <v>1.026E-4</v>
      </c>
      <c r="M4" s="7">
        <f t="shared" si="0"/>
        <v>-362.65000000000009</v>
      </c>
      <c r="N4" s="7">
        <f>L4*J4*I4</f>
        <v>1307.6551580967</v>
      </c>
      <c r="O4" s="9">
        <f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>D5*F5*E5</f>
        <v>2728.7716509004417</v>
      </c>
      <c r="H5">
        <v>0.28387364999999998</v>
      </c>
      <c r="I5" s="7">
        <v>4045.51</v>
      </c>
      <c r="J5" s="7">
        <v>2.21</v>
      </c>
      <c r="K5" s="7">
        <f>H5*J5*I5</f>
        <v>2537.9942544834148</v>
      </c>
      <c r="L5">
        <f>H5-D5</f>
        <v>5.9823189999999971E-2</v>
      </c>
      <c r="M5" s="7">
        <f t="shared" si="0"/>
        <v>-0.79999999999999982</v>
      </c>
      <c r="N5" s="7">
        <f>L5*J5*I5</f>
        <v>534.85384256294878</v>
      </c>
      <c r="O5" s="9">
        <f>(K5-G5)/G5</f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1">D6*F6*E6</f>
        <v>700.00023599849999</v>
      </c>
      <c r="H6">
        <v>0.37613443000000002</v>
      </c>
      <c r="I6" s="7">
        <v>4004</v>
      </c>
      <c r="J6" s="7">
        <v>1</v>
      </c>
      <c r="K6" s="7">
        <f>H6*J6*I6</f>
        <v>1506.0422577200002</v>
      </c>
      <c r="L6" s="14">
        <f>H6-D6</f>
        <v>0.20040730000000001</v>
      </c>
      <c r="M6" s="7">
        <f t="shared" si="0"/>
        <v>0</v>
      </c>
      <c r="N6" s="7">
        <f>L6*J6*I6</f>
        <v>802.43082920000006</v>
      </c>
      <c r="O6" s="9">
        <f>(K6-G6)/G6</f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1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2">H7*J7*I7</f>
        <v>9798.3388142640015</v>
      </c>
      <c r="L7" s="14">
        <f t="shared" ref="L7:L13" si="3">H7-D7</f>
        <v>1.4920000000000003E-5</v>
      </c>
      <c r="M7" s="8">
        <f t="shared" si="0"/>
        <v>-6776</v>
      </c>
      <c r="N7" s="7">
        <f t="shared" ref="N7:N14" si="4">L7*J7*I7</f>
        <v>3556.9638712608007</v>
      </c>
      <c r="O7" s="9">
        <f t="shared" ref="O7:O14" si="5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1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2"/>
        <v>6569.6093651172605</v>
      </c>
      <c r="L8" s="14">
        <f t="shared" si="3"/>
        <v>3.4127000000000002E-4</v>
      </c>
      <c r="M8" s="8">
        <f t="shared" si="0"/>
        <v>-724.54999999999973</v>
      </c>
      <c r="N8" s="7">
        <f t="shared" si="4"/>
        <v>3444.2661198168307</v>
      </c>
      <c r="O8" s="9">
        <f t="shared" si="5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1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2"/>
        <v>3187.7403697156706</v>
      </c>
      <c r="L9" s="14">
        <f t="shared" si="3"/>
        <v>0.26736853999999999</v>
      </c>
      <c r="M9" s="8">
        <f t="shared" si="0"/>
        <v>-0.82000000000000006</v>
      </c>
      <c r="N9" s="7">
        <f t="shared" si="4"/>
        <v>1546.1470547998858</v>
      </c>
      <c r="O9" s="9">
        <f t="shared" si="5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1"/>
        <v>1506.0422577200002</v>
      </c>
      <c r="H10">
        <v>1.24686349</v>
      </c>
      <c r="I10" s="7">
        <v>4005</v>
      </c>
      <c r="J10" s="7">
        <v>1</v>
      </c>
      <c r="K10" s="7">
        <f t="shared" si="2"/>
        <v>4993.68827745</v>
      </c>
      <c r="L10" s="14">
        <f t="shared" si="3"/>
        <v>0.87072905999999994</v>
      </c>
      <c r="M10" s="8">
        <f t="shared" si="0"/>
        <v>0</v>
      </c>
      <c r="N10" s="7">
        <f t="shared" si="4"/>
        <v>3487.2698852999997</v>
      </c>
      <c r="O10" s="9">
        <f t="shared" si="5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1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3"/>
        <v>1.1429999999999997E-5</v>
      </c>
      <c r="M11" s="8">
        <f t="shared" si="0"/>
        <v>6481.8000000000029</v>
      </c>
      <c r="N11" s="7">
        <f t="shared" si="4"/>
        <v>3061.459531709279</v>
      </c>
      <c r="O11" s="8">
        <f t="shared" si="5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1"/>
        <v>6569.6093651172605</v>
      </c>
      <c r="H12">
        <v>1.02962E-3</v>
      </c>
      <c r="I12" s="7">
        <v>4199.12</v>
      </c>
      <c r="J12" s="3">
        <v>2630.6</v>
      </c>
      <c r="K12" s="7">
        <f t="shared" si="2"/>
        <v>11373.39366623264</v>
      </c>
      <c r="L12" s="14">
        <f t="shared" si="3"/>
        <v>3.7867999999999995E-4</v>
      </c>
      <c r="M12" s="8">
        <f t="shared" si="0"/>
        <v>204.69999999999982</v>
      </c>
      <c r="N12" s="7">
        <f t="shared" si="4"/>
        <v>4182.9769366649589</v>
      </c>
      <c r="O12" s="8">
        <f t="shared" si="5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1"/>
        <v>3187.7403697156706</v>
      </c>
      <c r="H13">
        <v>0.73703222999999995</v>
      </c>
      <c r="I13" s="7">
        <v>4199.12</v>
      </c>
      <c r="J13" s="3">
        <v>2.06</v>
      </c>
      <c r="K13" s="7">
        <f t="shared" si="2"/>
        <v>6375.4667619334559</v>
      </c>
      <c r="L13" s="14">
        <f t="shared" si="3"/>
        <v>0.18579003999999999</v>
      </c>
      <c r="M13" s="8">
        <f t="shared" si="0"/>
        <v>0.67000000000000015</v>
      </c>
      <c r="N13" s="7">
        <f t="shared" si="4"/>
        <v>1607.1186258954879</v>
      </c>
      <c r="O13" s="8">
        <f t="shared" si="5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1"/>
        <v>4993.68827745</v>
      </c>
      <c r="H14">
        <v>1.93366572</v>
      </c>
      <c r="I14" s="7">
        <v>4199.12</v>
      </c>
      <c r="J14" s="7">
        <v>1</v>
      </c>
      <c r="K14" s="7">
        <f t="shared" si="2"/>
        <v>8119.6943981663999</v>
      </c>
      <c r="L14" s="14">
        <f t="shared" ref="L14:L22" si="6">H14-D14</f>
        <v>0.68680223000000007</v>
      </c>
      <c r="M14" s="8">
        <f t="shared" si="0"/>
        <v>0</v>
      </c>
      <c r="N14" s="7">
        <f t="shared" si="4"/>
        <v>2883.9649800376001</v>
      </c>
      <c r="O14" s="8">
        <f t="shared" si="5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 t="shared" ref="G15:G22" si="7">D15*F15*E15</f>
        <v>14069.857322894881</v>
      </c>
      <c r="H15">
        <v>6.2749999999999994E-5</v>
      </c>
      <c r="I15" s="7">
        <v>4374.1000000000004</v>
      </c>
      <c r="J15" s="7">
        <v>72074</v>
      </c>
      <c r="K15" s="7">
        <f t="shared" ref="K15:K22" si="8">H15*J15*I15</f>
        <v>19782.494933349997</v>
      </c>
      <c r="L15" s="14">
        <f t="shared" si="6"/>
        <v>1.0219999999999994E-5</v>
      </c>
      <c r="M15" s="8">
        <f t="shared" si="0"/>
        <v>8288.1999999999971</v>
      </c>
      <c r="N15" s="7">
        <f t="shared" ref="N15:N22" si="9">L15*J15*I15</f>
        <v>3221.9457883479981</v>
      </c>
      <c r="O15" s="8">
        <f t="shared" ref="O15:O22" si="10">(K15-G15)/G15</f>
        <v>0.40601958352195555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 t="shared" si="7"/>
        <v>11373.39366623264</v>
      </c>
      <c r="H16">
        <v>1.28396E-3</v>
      </c>
      <c r="I16" s="7">
        <v>4374.1000000000004</v>
      </c>
      <c r="J16" s="7">
        <v>2630</v>
      </c>
      <c r="K16" s="7">
        <f t="shared" si="8"/>
        <v>14770.525616680001</v>
      </c>
      <c r="L16" s="14">
        <f t="shared" si="6"/>
        <v>2.5434000000000003E-4</v>
      </c>
      <c r="M16" s="8">
        <f t="shared" si="0"/>
        <v>-0.59999999999990905</v>
      </c>
      <c r="N16" s="7">
        <f t="shared" si="9"/>
        <v>2925.8976022200009</v>
      </c>
      <c r="O16" s="8">
        <f t="shared" si="10"/>
        <v>0.29869114269150576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 t="shared" si="7"/>
        <v>6375.4667619334559</v>
      </c>
      <c r="H17">
        <v>0.91954166000000004</v>
      </c>
      <c r="I17" s="7">
        <v>4374.1000000000004</v>
      </c>
      <c r="J17" s="7">
        <v>1.68</v>
      </c>
      <c r="K17" s="7">
        <f t="shared" si="8"/>
        <v>6757.2408540100814</v>
      </c>
      <c r="L17" s="14">
        <f t="shared" si="6"/>
        <v>0.18250943000000008</v>
      </c>
      <c r="M17" s="8">
        <f t="shared" si="0"/>
        <v>-0.38000000000000012</v>
      </c>
      <c r="N17" s="7">
        <f t="shared" si="9"/>
        <v>1341.1683562418407</v>
      </c>
      <c r="O17" s="8">
        <f t="shared" si="10"/>
        <v>5.9881747695104723E-2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 t="shared" si="7"/>
        <v>8119.6943981663999</v>
      </c>
      <c r="H18">
        <v>2.63210867</v>
      </c>
      <c r="I18" s="7">
        <v>4374.1000000000004</v>
      </c>
      <c r="J18" s="7">
        <v>1</v>
      </c>
      <c r="K18" s="7">
        <f t="shared" si="8"/>
        <v>11513.106533447</v>
      </c>
      <c r="L18" s="14">
        <f t="shared" si="6"/>
        <v>0.69844295000000001</v>
      </c>
      <c r="M18" s="8">
        <f t="shared" si="0"/>
        <v>0</v>
      </c>
      <c r="N18" s="7">
        <f t="shared" si="9"/>
        <v>3055.0593075950001</v>
      </c>
      <c r="O18" s="8">
        <f t="shared" si="10"/>
        <v>0.41792362727923671</v>
      </c>
    </row>
    <row r="19" spans="2:15">
      <c r="B19" s="17" t="s">
        <v>112</v>
      </c>
      <c r="C19" t="s">
        <v>14</v>
      </c>
      <c r="D19">
        <v>6.2749999999999994E-5</v>
      </c>
      <c r="E19" s="7">
        <v>4418.63</v>
      </c>
      <c r="F19" s="7">
        <v>69923.17</v>
      </c>
      <c r="G19" s="7">
        <f t="shared" si="7"/>
        <v>19387.529695233025</v>
      </c>
      <c r="H19">
        <v>7.0530000000000004E-5</v>
      </c>
      <c r="I19" s="7">
        <v>4419.5600000000004</v>
      </c>
      <c r="J19" s="7">
        <v>96407.99</v>
      </c>
      <c r="K19" s="7">
        <f t="shared" si="8"/>
        <v>30051.485614938741</v>
      </c>
      <c r="L19" s="14">
        <f t="shared" si="6"/>
        <v>7.7800000000000102E-6</v>
      </c>
      <c r="M19" s="8">
        <f t="shared" si="0"/>
        <v>26484.820000000007</v>
      </c>
      <c r="N19" s="7">
        <f t="shared" si="9"/>
        <v>3314.9093730926365</v>
      </c>
      <c r="O19" s="8">
        <f t="shared" si="10"/>
        <v>0.55004201604538372</v>
      </c>
    </row>
    <row r="20" spans="2:15">
      <c r="B20" s="17" t="s">
        <v>112</v>
      </c>
      <c r="C20" t="s">
        <v>15</v>
      </c>
      <c r="D20">
        <v>1.28396E-3</v>
      </c>
      <c r="E20" s="7">
        <v>4418.63</v>
      </c>
      <c r="F20" s="7">
        <v>2517.8000000000002</v>
      </c>
      <c r="G20" s="7">
        <f t="shared" si="7"/>
        <v>14284.345963311442</v>
      </c>
      <c r="H20">
        <v>1.49322E-3</v>
      </c>
      <c r="I20" s="7">
        <v>4419.5600000000004</v>
      </c>
      <c r="J20" s="7">
        <v>3706.3</v>
      </c>
      <c r="K20" s="7">
        <f t="shared" si="8"/>
        <v>24459.264982754161</v>
      </c>
      <c r="L20" s="14">
        <f t="shared" si="6"/>
        <v>2.0925999999999996E-4</v>
      </c>
      <c r="M20" s="8">
        <f t="shared" si="0"/>
        <v>1188.5</v>
      </c>
      <c r="N20" s="7">
        <f t="shared" si="9"/>
        <v>3427.7238386112799</v>
      </c>
      <c r="O20" s="8">
        <f t="shared" si="10"/>
        <v>0.71231255848720276</v>
      </c>
    </row>
    <row r="21" spans="2:15">
      <c r="B21" s="17" t="s">
        <v>112</v>
      </c>
      <c r="C21" t="s">
        <v>41</v>
      </c>
      <c r="D21">
        <v>0.91954166000000004</v>
      </c>
      <c r="E21" s="7">
        <v>4418.63</v>
      </c>
      <c r="F21" s="7">
        <v>1.61</v>
      </c>
      <c r="G21" s="7">
        <f t="shared" si="7"/>
        <v>6541.6141278525392</v>
      </c>
      <c r="H21">
        <v>1.0718466600000001</v>
      </c>
      <c r="I21" s="7">
        <v>4419.5600000000004</v>
      </c>
      <c r="J21" s="7">
        <v>3.46</v>
      </c>
      <c r="K21" s="7">
        <f t="shared" si="8"/>
        <v>16390.33356135682</v>
      </c>
      <c r="L21" s="14">
        <f t="shared" si="6"/>
        <v>0.15230500000000002</v>
      </c>
      <c r="M21" s="8">
        <f t="shared" si="0"/>
        <v>1.8499999999999999</v>
      </c>
      <c r="N21" s="7">
        <f t="shared" si="9"/>
        <v>2328.9989568680003</v>
      </c>
      <c r="O21" s="8">
        <f t="shared" si="10"/>
        <v>1.5055488203700249</v>
      </c>
    </row>
    <row r="22" spans="2:15">
      <c r="B22" s="17" t="s">
        <v>112</v>
      </c>
      <c r="C22" t="s">
        <v>63</v>
      </c>
      <c r="D22">
        <v>2.63210867</v>
      </c>
      <c r="E22" s="7">
        <v>4418.63</v>
      </c>
      <c r="F22" s="7">
        <v>1</v>
      </c>
      <c r="G22" s="7">
        <f t="shared" si="7"/>
        <v>11630.314332522101</v>
      </c>
      <c r="H22">
        <v>3.2466685599999998</v>
      </c>
      <c r="I22" s="7">
        <v>4419.5600000000004</v>
      </c>
      <c r="J22" s="7">
        <v>1</v>
      </c>
      <c r="K22" s="7">
        <f t="shared" si="8"/>
        <v>14348.8465010336</v>
      </c>
      <c r="L22" s="14">
        <f t="shared" si="6"/>
        <v>0.61455988999999978</v>
      </c>
      <c r="M22" s="8">
        <f t="shared" si="0"/>
        <v>0</v>
      </c>
      <c r="N22" s="7">
        <f t="shared" si="9"/>
        <v>2716.0843074483992</v>
      </c>
      <c r="O22" s="8">
        <f t="shared" si="10"/>
        <v>0.23374537358028311</v>
      </c>
    </row>
    <row r="23" spans="2:15">
      <c r="B23" s="17" t="s">
        <v>113</v>
      </c>
      <c r="C23" t="s">
        <v>14</v>
      </c>
      <c r="D23">
        <v>7.0530000000000004E-5</v>
      </c>
      <c r="E23" s="7">
        <v>4419.5600000000004</v>
      </c>
      <c r="F23" s="7">
        <v>96407.99</v>
      </c>
      <c r="G23" s="7">
        <f>D23*F23*E23</f>
        <v>30051.485614938741</v>
      </c>
      <c r="K23">
        <f>H23*J23*I23</f>
        <v>0</v>
      </c>
      <c r="L23" s="14">
        <f>H23-D23</f>
        <v>-7.0530000000000004E-5</v>
      </c>
      <c r="M23" s="8">
        <f>J23-F23</f>
        <v>-96407.99</v>
      </c>
      <c r="N23">
        <f>L23*J23*I23</f>
        <v>0</v>
      </c>
      <c r="O23" s="8">
        <f>(K23-G23)/G23</f>
        <v>-1</v>
      </c>
    </row>
    <row r="24" spans="2:15">
      <c r="B24" s="17" t="s">
        <v>113</v>
      </c>
      <c r="C24" t="s">
        <v>15</v>
      </c>
      <c r="D24">
        <v>1.49322E-3</v>
      </c>
      <c r="E24" s="7">
        <v>4419.5600000000004</v>
      </c>
      <c r="F24" s="7">
        <v>3706.3</v>
      </c>
      <c r="G24" s="7">
        <f>D24*F24*E24</f>
        <v>24459.264982754161</v>
      </c>
      <c r="K24">
        <f>H24*J24*I24</f>
        <v>0</v>
      </c>
      <c r="L24" s="14">
        <f>H24-D24</f>
        <v>-1.49322E-3</v>
      </c>
      <c r="M24" s="8">
        <f>J24-F24</f>
        <v>-3706.3</v>
      </c>
      <c r="N24">
        <f>L24*J24*I24</f>
        <v>0</v>
      </c>
      <c r="O24" s="8">
        <f>(K24-G24)/G24</f>
        <v>-1</v>
      </c>
    </row>
    <row r="25" spans="2:15">
      <c r="B25" s="17" t="s">
        <v>113</v>
      </c>
      <c r="C25" t="s">
        <v>41</v>
      </c>
      <c r="D25">
        <v>1.0718466600000001</v>
      </c>
      <c r="E25" s="7">
        <v>4419.5600000000004</v>
      </c>
      <c r="F25" s="7">
        <v>3.46</v>
      </c>
      <c r="G25" s="7">
        <f>D25*F25*E25</f>
        <v>16390.33356135682</v>
      </c>
      <c r="K25">
        <f>H25*J25*I25</f>
        <v>0</v>
      </c>
      <c r="L25" s="14">
        <f>H25-D25</f>
        <v>-1.0718466600000001</v>
      </c>
      <c r="M25" s="8">
        <f>J25-F25</f>
        <v>-3.46</v>
      </c>
      <c r="N25">
        <f>L25*J25*I25</f>
        <v>0</v>
      </c>
      <c r="O25" s="8">
        <f>(K25-G25)/G25</f>
        <v>-1</v>
      </c>
    </row>
    <row r="26" spans="2:15">
      <c r="B26" s="17"/>
      <c r="C26" t="s">
        <v>63</v>
      </c>
      <c r="D26">
        <v>3.2466685599999998</v>
      </c>
      <c r="E26">
        <v>4419.5600000000004</v>
      </c>
      <c r="F26" s="7">
        <v>1</v>
      </c>
      <c r="G26" s="7">
        <f>D26*F26*E26</f>
        <v>14348.8465010336</v>
      </c>
      <c r="K26">
        <f>H26*J26*I26</f>
        <v>0</v>
      </c>
      <c r="L26" s="14">
        <f>H26-D26</f>
        <v>-3.2466685599999998</v>
      </c>
      <c r="M26" s="8">
        <f>J26-F26</f>
        <v>-1</v>
      </c>
      <c r="N26">
        <f>L26*J26*I26</f>
        <v>0</v>
      </c>
      <c r="O26" s="8">
        <f>(K26-G26)/G26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4"/>
  <sheetViews>
    <sheetView tabSelected="1" topLeftCell="A106" workbookViewId="0">
      <selection activeCell="B125" sqref="B125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8" width="22.375" customWidth="1"/>
    <col min="9" max="9" width="12.25" bestFit="1" customWidth="1"/>
    <col min="10" max="10" width="18" bestFit="1" customWidth="1"/>
    <col min="11" max="11" width="21.5" bestFit="1" customWidth="1"/>
    <col min="12" max="12" width="12.25" bestFit="1" customWidth="1"/>
    <col min="13" max="13" width="18" bestFit="1" customWidth="1"/>
    <col min="14" max="14" width="18" customWidth="1"/>
    <col min="15" max="15" width="12.25" bestFit="1" customWidth="1"/>
    <col min="16" max="16" width="18" bestFit="1" customWidth="1"/>
  </cols>
  <sheetData>
    <row r="2" spans="2:16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  <c r="N2" t="s">
        <v>124</v>
      </c>
      <c r="O2" t="s">
        <v>125</v>
      </c>
      <c r="P2" t="s">
        <v>126</v>
      </c>
    </row>
    <row r="3" spans="2:16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  <c r="N3" s="8">
        <f>Tabla2[[#This Row],[VOO]]*0.01226</f>
        <v>6.2168007999999997</v>
      </c>
      <c r="O3" s="8">
        <f>Tabla2[[#This Row],[VALOR INVERSION 4]]-6.6</f>
        <v>-0.38319919999999996</v>
      </c>
      <c r="P3" s="8">
        <f>Tabla2[[#This Row],[VALOR INVERSION 4]]*Tabla2[[#This Row],[PRECIO DEL DÓLAR]]</f>
        <v>25429.823672399998</v>
      </c>
    </row>
    <row r="4" spans="2:16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  <c r="N4" s="8">
        <f>Tabla2[[#This Row],[VOO]]*0.01226</f>
        <v>6.2566458000000003</v>
      </c>
      <c r="O4" s="8">
        <f>Tabla2[[#This Row],[VALOR INVERSION 4]]-6.6</f>
        <v>-0.34335419999999939</v>
      </c>
      <c r="P4" s="8">
        <f>Tabla2[[#This Row],[VALOR INVERSION 4]]*Tabla2[[#This Row],[PRECIO DEL DÓLAR]]</f>
        <v>25518.668392170002</v>
      </c>
    </row>
    <row r="5" spans="2:16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  <c r="N5" s="8">
        <f>Tabla2[[#This Row],[VOO]]*0.01226</f>
        <v>6.2635113999999996</v>
      </c>
      <c r="O5" s="8">
        <f>Tabla2[[#This Row],[VALOR INVERSION 4]]-6.6</f>
        <v>-0.33648860000000003</v>
      </c>
      <c r="P5" s="8">
        <f>Tabla2[[#This Row],[VALOR INVERSION 4]]*Tabla2[[#This Row],[PRECIO DEL DÓLAR]]</f>
        <v>25362.648806677997</v>
      </c>
    </row>
    <row r="6" spans="2:16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  <c r="N6" s="8">
        <f>Tabla2[[#This Row],[VOO]]*0.01226</f>
        <v>6.3065439999999997</v>
      </c>
      <c r="O6" s="8">
        <f>Tabla2[[#This Row],[VALOR INVERSION 4]]-6.6</f>
        <v>-0.29345599999999994</v>
      </c>
      <c r="P6" s="8">
        <f>Tabla2[[#This Row],[VALOR INVERSION 4]]*Tabla2[[#This Row],[PRECIO DEL DÓLAR]]</f>
        <v>25288.673851039999</v>
      </c>
    </row>
    <row r="7" spans="2:16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  <c r="N7" s="8">
        <f>Tabla2[[#This Row],[VOO]]*0.01226</f>
        <v>6.2696414000000003</v>
      </c>
      <c r="O7" s="8">
        <f>Tabla2[[#This Row],[VALOR INVERSION 4]]-6.6</f>
        <v>-0.33035859999999939</v>
      </c>
      <c r="P7" s="8">
        <f>Tabla2[[#This Row],[VALOR INVERSION 4]]*Tabla2[[#This Row],[PRECIO DEL DÓLAR]]</f>
        <v>24797.748361694001</v>
      </c>
    </row>
    <row r="8" spans="2:16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  <c r="N8" s="8">
        <f>Tabla2[[#This Row],[VOO]]*0.01226</f>
        <v>6.3083829999999992</v>
      </c>
      <c r="O8" s="8">
        <f>Tabla2[[#This Row],[VALOR INVERSION 4]]-6.6</f>
        <v>-0.29161700000000046</v>
      </c>
      <c r="P8" s="8">
        <f>Tabla2[[#This Row],[VALOR INVERSION 4]]*Tabla2[[#This Row],[PRECIO DEL DÓLAR]]</f>
        <v>25077.399520749997</v>
      </c>
    </row>
    <row r="9" spans="2:16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  <c r="N9" s="8">
        <f>Tabla2[[#This Row],[VOO]]*0.01226</f>
        <v>6.3275085999999998</v>
      </c>
      <c r="O9" s="8">
        <f>Tabla2[[#This Row],[VALOR INVERSION 4]]-6.6</f>
        <v>-0.27249139999999983</v>
      </c>
      <c r="P9" s="8">
        <f>Tabla2[[#This Row],[VALOR INVERSION 4]]*Tabla2[[#This Row],[PRECIO DEL DÓLAR]]</f>
        <v>25266.311315573999</v>
      </c>
    </row>
    <row r="10" spans="2:16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  <c r="N10" s="8">
        <f>Tabla2[[#This Row],[VOO]]*0.01226</f>
        <v>6.3634303999999995</v>
      </c>
      <c r="O10" s="8">
        <f>Tabla2[[#This Row],[VALOR INVERSION 4]]-6.6</f>
        <v>-0.23656960000000016</v>
      </c>
      <c r="P10" s="8">
        <f>Tabla2[[#This Row],[VALOR INVERSION 4]]*Tabla2[[#This Row],[PRECIO DEL DÓLAR]]</f>
        <v>25160.240189951997</v>
      </c>
    </row>
    <row r="11" spans="2:16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  <c r="N11" s="8">
        <f>Tabla2[[#This Row],[VOO]]*0.01226</f>
        <v>6.2745454000000001</v>
      </c>
      <c r="O11" s="8">
        <f>Tabla2[[#This Row],[VALOR INVERSION 4]]-6.6</f>
        <v>-0.32545459999999959</v>
      </c>
      <c r="P11" s="8">
        <f>Tabla2[[#This Row],[VALOR INVERSION 4]]*Tabla2[[#This Row],[PRECIO DEL DÓLAR]]</f>
        <v>24927.953183297999</v>
      </c>
    </row>
    <row r="12" spans="2:16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  <c r="N12" s="8">
        <f>Tabla2[[#This Row],[VOO]]*0.01226</f>
        <v>6.2273443999999998</v>
      </c>
      <c r="O12" s="8">
        <f>Tabla2[[#This Row],[VALOR INVERSION 4]]-6.6</f>
        <v>-0.37265559999999986</v>
      </c>
      <c r="P12" s="8">
        <f>Tabla2[[#This Row],[VALOR INVERSION 4]]*Tabla2[[#This Row],[PRECIO DEL DÓLAR]]</f>
        <v>24904.707091699998</v>
      </c>
    </row>
    <row r="13" spans="2:16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  <c r="N13" s="8">
        <f>Tabla2[[#This Row],[VOO]]*0.01226</f>
        <v>6.1857829999999998</v>
      </c>
      <c r="O13" s="8">
        <f>Tabla2[[#This Row],[VALOR INVERSION 4]]-6.6</f>
        <v>-0.41421699999999984</v>
      </c>
      <c r="P13" s="8">
        <f>Tabla2[[#This Row],[VALOR INVERSION 4]]*Tabla2[[#This Row],[PRECIO DEL DÓLAR]]</f>
        <v>25035.22467326</v>
      </c>
    </row>
    <row r="14" spans="2:16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  <c r="N14" s="8">
        <f>Tabla2[[#This Row],[VOO]]*0.01226</f>
        <v>6.2500254000000002</v>
      </c>
      <c r="O14" s="8">
        <f>Tabla2[[#This Row],[VALOR INVERSION 4]]-6.6</f>
        <v>-0.34997459999999947</v>
      </c>
      <c r="P14" s="8">
        <f>Tabla2[[#This Row],[VALOR INVERSION 4]]*Tabla2[[#This Row],[PRECIO DEL DÓLAR]]</f>
        <v>25258.415149781998</v>
      </c>
    </row>
    <row r="15" spans="2:16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  <c r="N15" s="8">
        <f>Tabla2[[#This Row],[VOO]]*0.01226</f>
        <v>6.2396044000000002</v>
      </c>
      <c r="O15" s="8">
        <f>Tabla2[[#This Row],[VALOR INVERSION 4]]-6.6</f>
        <v>-0.36039559999999948</v>
      </c>
      <c r="P15" s="8">
        <f>Tabla2[[#This Row],[VALOR INVERSION 4]]*Tabla2[[#This Row],[PRECIO DEL DÓLAR]]</f>
        <v>24927.281974044003</v>
      </c>
    </row>
    <row r="16" spans="2:16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  <c r="N16" s="8">
        <f>Tabla2[[#This Row],[VOO]]*0.01226</f>
        <v>6.0967754000000003</v>
      </c>
      <c r="O16" s="8">
        <f>Tabla2[[#This Row],[VALOR INVERSION 4]]-6.6</f>
        <v>-0.50322459999999936</v>
      </c>
      <c r="P16" s="8">
        <f>Tabla2[[#This Row],[VALOR INVERSION 4]]*Tabla2[[#This Row],[PRECIO DEL DÓLAR]]</f>
        <v>24472.944197632001</v>
      </c>
    </row>
    <row r="17" spans="2:16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  <c r="N17" s="8">
        <f>Tabla2[[#This Row],[VOO]]*0.01226</f>
        <v>6.0660027999999997</v>
      </c>
      <c r="O17" s="8">
        <f>Tabla2[[#This Row],[VALOR INVERSION 4]]-6.6</f>
        <v>-0.53399719999999995</v>
      </c>
      <c r="P17" s="8">
        <f>Tabla2[[#This Row],[VALOR INVERSION 4]]*Tabla2[[#This Row],[PRECIO DEL DÓLAR]]</f>
        <v>24532.067863731998</v>
      </c>
    </row>
    <row r="18" spans="2:16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  <c r="N18" s="8">
        <f>Tabla2[[#This Row],[VOO]]*0.01226</f>
        <v>6.1340458</v>
      </c>
      <c r="O18" s="8">
        <f>Tabla2[[#This Row],[VALOR INVERSION 4]]-6.6</f>
        <v>-0.46595419999999965</v>
      </c>
      <c r="P18" s="8">
        <f>Tabla2[[#This Row],[VALOR INVERSION 4]]*Tabla2[[#This Row],[PRECIO DEL DÓLAR]]</f>
        <v>24795.714677797998</v>
      </c>
    </row>
    <row r="19" spans="2:16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  <c r="N19" s="8">
        <f>Tabla2[[#This Row],[VOO]]*0.01226</f>
        <v>6.1385819999999995</v>
      </c>
      <c r="O19" s="8">
        <f>Tabla2[[#This Row],[VALOR INVERSION 4]]-6.6</f>
        <v>-0.46141800000000011</v>
      </c>
      <c r="P19" s="8">
        <f>Tabla2[[#This Row],[VALOR INVERSION 4]]*Tabla2[[#This Row],[PRECIO DEL DÓLAR]]</f>
        <v>24738.608231639999</v>
      </c>
    </row>
    <row r="20" spans="2:16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  <c r="N20" s="8">
        <f>Tabla2[[#This Row],[VOO]]*0.01226</f>
        <v>6.1064607999999998</v>
      </c>
      <c r="O20" s="8">
        <f>Tabla2[[#This Row],[VALOR INVERSION 4]]-6.6</f>
        <v>-0.49353919999999984</v>
      </c>
      <c r="P20" s="8">
        <f>Tabla2[[#This Row],[VALOR INVERSION 4]]*Tabla2[[#This Row],[PRECIO DEL DÓLAR]]</f>
        <v>24896.529198463999</v>
      </c>
    </row>
    <row r="21" spans="2:16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  <c r="N21" s="8">
        <f>Tabla2[[#This Row],[VOO]]*0.01226</f>
        <v>6.2027017999999998</v>
      </c>
      <c r="O21" s="8">
        <f>Tabla2[[#This Row],[VALOR INVERSION 4]]-6.6</f>
        <v>-0.39729819999999982</v>
      </c>
      <c r="P21" s="8">
        <f>Tabla2[[#This Row],[VALOR INVERSION 4]]*Tabla2[[#This Row],[PRECIO DEL DÓLAR]]</f>
        <v>25288.849427726</v>
      </c>
    </row>
    <row r="22" spans="2:16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  <c r="N22" s="8">
        <f>Tabla2[[#This Row],[VOO]]*0.01226</f>
        <v>6.1181077999999998</v>
      </c>
      <c r="O22" s="8">
        <f>Tabla2[[#This Row],[VALOR INVERSION 4]]-6.6</f>
        <v>-0.48189219999999988</v>
      </c>
      <c r="P22" s="8">
        <f>Tabla2[[#This Row],[VALOR INVERSION 4]]*Tabla2[[#This Row],[PRECIO DEL DÓLAR]]</f>
        <v>24750.866285978002</v>
      </c>
    </row>
    <row r="23" spans="2:16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  <c r="N23" s="8">
        <f>Tabla2[[#This Row],[VOO]]*0.01226</f>
        <v>6.0062966000000007</v>
      </c>
      <c r="O23" s="8">
        <f>Tabla2[[#This Row],[VALOR INVERSION 4]]-6.6</f>
        <v>-0.59370339999999899</v>
      </c>
      <c r="P23" s="8">
        <f>Tabla2[[#This Row],[VALOR INVERSION 4]]*Tabla2[[#This Row],[PRECIO DEL DÓLAR]]</f>
        <v>24410.009823162003</v>
      </c>
    </row>
    <row r="24" spans="2:16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  <c r="N24" s="8">
        <f>Tabla2[[#This Row],[VOO]]*0.01226</f>
        <v>5.825952</v>
      </c>
      <c r="O24" s="8">
        <f>Tabla2[[#This Row],[VALOR INVERSION 4]]-6.6</f>
        <v>-0.77404799999999963</v>
      </c>
      <c r="P24" s="8">
        <f>Tabla2[[#This Row],[VALOR INVERSION 4]]*Tabla2[[#This Row],[PRECIO DEL DÓLAR]]</f>
        <v>22870.590209279999</v>
      </c>
    </row>
    <row r="25" spans="2:16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  <c r="N25" s="8">
        <f>Tabla2[[#This Row],[VOO]]*0.01226</f>
        <v>5.8840643999999998</v>
      </c>
      <c r="O25" s="8">
        <f>Tabla2[[#This Row],[VALOR INVERSION 4]]-6.6</f>
        <v>-0.71593559999999989</v>
      </c>
      <c r="P25" s="8">
        <f>Tabla2[[#This Row],[VALOR INVERSION 4]]*Tabla2[[#This Row],[PRECIO DEL DÓLAR]]</f>
        <v>24450.111641964002</v>
      </c>
    </row>
    <row r="26" spans="2:16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  <c r="N26" s="8">
        <f>Tabla2[[#This Row],[VOO]]*0.01226</f>
        <v>5.8432386000000003</v>
      </c>
      <c r="O26" s="8">
        <f>Tabla2[[#This Row],[VALOR INVERSION 4]]-6.6</f>
        <v>-0.75676139999999936</v>
      </c>
      <c r="P26" s="8">
        <f>Tabla2[[#This Row],[VALOR INVERSION 4]]*Tabla2[[#This Row],[PRECIO DEL DÓLAR]]</f>
        <v>24191.533695474001</v>
      </c>
    </row>
    <row r="27" spans="2:16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  <c r="N27" s="8">
        <f>Tabla2[[#This Row],[VOO]]*0.01226</f>
        <v>5.9795698000000002</v>
      </c>
      <c r="O27" s="8">
        <f>Tabla2[[#This Row],[VALOR INVERSION 4]]-6.6</f>
        <v>-0.62043019999999949</v>
      </c>
      <c r="P27" s="8">
        <f>Tabla2[[#This Row],[VALOR INVERSION 4]]*Tabla2[[#This Row],[PRECIO DEL DÓLAR]]</f>
        <v>24804.690627151998</v>
      </c>
    </row>
    <row r="28" spans="2:16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  <c r="N28" s="8">
        <f>Tabla2[[#This Row],[VOO]]*0.01226</f>
        <v>6.0051931999999999</v>
      </c>
      <c r="O28" s="8">
        <f>Tabla2[[#This Row],[VALOR INVERSION 4]]-6.6</f>
        <v>-0.59480679999999975</v>
      </c>
      <c r="P28" s="8">
        <f>Tabla2[[#This Row],[VALOR INVERSION 4]]*Tabla2[[#This Row],[PRECIO DEL DÓLAR]]</f>
        <v>24401.021633423999</v>
      </c>
    </row>
    <row r="29" spans="2:16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  <c r="N29" s="8">
        <f>Tabla2[[#This Row],[VOO]]*0.01226</f>
        <v>6.0051931999999999</v>
      </c>
      <c r="O29" s="8">
        <f>Tabla2[[#This Row],[VALOR INVERSION 4]]-6.6</f>
        <v>-0.59480679999999975</v>
      </c>
      <c r="P29" s="8">
        <f>Tabla2[[#This Row],[VALOR INVERSION 4]]*Tabla2[[#This Row],[PRECIO DEL DÓLAR]]</f>
        <v>24366.371668660002</v>
      </c>
    </row>
    <row r="30" spans="2:16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  <c r="N30" s="8">
        <f>Tabla2[[#This Row],[VOO]]*0.01226</f>
        <v>6.0082582000000002</v>
      </c>
      <c r="O30" s="8">
        <f>Tabla2[[#This Row],[VALOR INVERSION 4]]-6.6</f>
        <v>-0.59174179999999943</v>
      </c>
      <c r="P30" s="8">
        <f>Tabla2[[#This Row],[VALOR INVERSION 4]]*Tabla2[[#This Row],[PRECIO DEL DÓLAR]]</f>
        <v>24476.622502906001</v>
      </c>
    </row>
    <row r="31" spans="2:16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  <c r="N31" s="8">
        <f>Tabla2[[#This Row],[VOO]]*0.01226</f>
        <v>6.1080546</v>
      </c>
      <c r="O31" s="8">
        <f>Tabla2[[#This Row],[VALOR INVERSION 4]]-6.6</f>
        <v>-0.49194539999999964</v>
      </c>
      <c r="P31" s="8">
        <f>Tabla2[[#This Row],[VALOR INVERSION 4]]*Tabla2[[#This Row],[PRECIO DEL DÓLAR]]</f>
        <v>24719.052644015999</v>
      </c>
    </row>
    <row r="32" spans="2:16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  <c r="N32" s="8">
        <f>Tabla2[[#This Row],[VOO]]*0.01226</f>
        <v>6.127548</v>
      </c>
      <c r="O32" s="8">
        <f>Tabla2[[#This Row],[VALOR INVERSION 4]]-6.6</f>
        <v>-0.47245199999999965</v>
      </c>
      <c r="P32" s="8">
        <f>Tabla2[[#This Row],[VALOR INVERSION 4]]*Tabla2[[#This Row],[PRECIO DEL DÓLAR]]</f>
        <v>24745.85749608</v>
      </c>
    </row>
    <row r="33" spans="2:16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  <c r="N33" s="8">
        <f>Tabla2[[#This Row],[VOO]]*0.01226</f>
        <v>6.2327387999999999</v>
      </c>
      <c r="O33" s="8">
        <f>Tabla2[[#This Row],[VALOR INVERSION 4]]-6.6</f>
        <v>-0.36726119999999973</v>
      </c>
      <c r="P33" s="8">
        <f>Tabla2[[#This Row],[VALOR INVERSION 4]]*Tabla2[[#This Row],[PRECIO DEL DÓLAR]]</f>
        <v>25162.563773808</v>
      </c>
    </row>
    <row r="34" spans="2:16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  <c r="N34" s="8">
        <f>Tabla2[[#This Row],[VOO]]*0.01226</f>
        <v>6.245857</v>
      </c>
      <c r="O34" s="8">
        <f>Tabla2[[#This Row],[VALOR INVERSION 4]]-6.6</f>
        <v>-0.35414299999999965</v>
      </c>
      <c r="P34" s="8">
        <f>Tabla2[[#This Row],[VALOR INVERSION 4]]*Tabla2[[#This Row],[PRECIO DEL DÓLAR]]</f>
        <v>25075.866683600001</v>
      </c>
    </row>
    <row r="35" spans="2:16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  <c r="N35" s="8">
        <f>Tabla2[[#This Row],[VOO]]*0.01226</f>
        <v>6.3059310000000002</v>
      </c>
      <c r="O35" s="8">
        <f>Tabla2[[#This Row],[VALOR INVERSION 4]]-6.6</f>
        <v>-0.29406899999999947</v>
      </c>
      <c r="P35" s="8">
        <f>Tabla2[[#This Row],[VALOR INVERSION 4]]*Tabla2[[#This Row],[PRECIO DEL DÓLAR]]</f>
        <v>25413.91087896</v>
      </c>
    </row>
    <row r="36" spans="2:16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  <c r="N36" s="8">
        <f>Tabla2[[#This Row],[VOO]]*0.01226</f>
        <v>6.2955100000000002</v>
      </c>
      <c r="O36" s="8">
        <f>Tabla2[[#This Row],[VALOR INVERSION 4]]-6.6</f>
        <v>-0.30448999999999948</v>
      </c>
      <c r="P36" s="8">
        <f>Tabla2[[#This Row],[VALOR INVERSION 4]]*Tabla2[[#This Row],[PRECIO DEL DÓLAR]]</f>
        <v>25326.962640199999</v>
      </c>
    </row>
    <row r="37" spans="2:16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  <c r="N37" s="8">
        <f>Tabla2[[#This Row],[VOO]]*0.01226</f>
        <v>6.3175779999999992</v>
      </c>
      <c r="O37" s="8">
        <f>Tabla2[[#This Row],[VALOR INVERSION 4]]-6.6</f>
        <v>-0.28242200000000039</v>
      </c>
      <c r="P37" s="8">
        <f>Tabla2[[#This Row],[VALOR INVERSION 4]]*Tabla2[[#This Row],[PRECIO DEL DÓLAR]]</f>
        <v>25334.751295599996</v>
      </c>
    </row>
    <row r="38" spans="2:16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  <c r="N38" s="8">
        <f>Tabla2[[#This Row],[VOO]]*0.01226</f>
        <v>6.2664537999999999</v>
      </c>
      <c r="O38" s="8">
        <f>Tabla2[[#This Row],[VALOR INVERSION 4]]-6.6</f>
        <v>-0.33354619999999979</v>
      </c>
      <c r="P38" s="8">
        <f>Tabla2[[#This Row],[VALOR INVERSION 4]]*Tabla2[[#This Row],[PRECIO DEL DÓLAR]]</f>
        <v>25292.97415025</v>
      </c>
    </row>
    <row r="39" spans="2:16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  <c r="N39" s="8">
        <f>Tabla2[[#This Row],[VOO]]*0.01226</f>
        <v>6.3342516</v>
      </c>
      <c r="O39" s="8">
        <f>Tabla2[[#This Row],[VALOR INVERSION 4]]-6.6</f>
        <v>-0.26574839999999966</v>
      </c>
      <c r="P39" s="8">
        <f>Tabla2[[#This Row],[VALOR INVERSION 4]]*Tabla2[[#This Row],[PRECIO DEL DÓLAR]]</f>
        <v>25777.996996391998</v>
      </c>
    </row>
    <row r="40" spans="2:16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  <c r="N40" s="8">
        <f>Tabla2[[#This Row],[VOO]]*0.01226</f>
        <v>6.3186814</v>
      </c>
      <c r="O40" s="8">
        <f>Tabla2[[#This Row],[VALOR INVERSION 4]]-6.6</f>
        <v>-0.28131859999999964</v>
      </c>
      <c r="P40" s="8">
        <f>Tabla2[[#This Row],[VALOR INVERSION 4]]*Tabla2[[#This Row],[PRECIO DEL DÓLAR]]</f>
        <v>25462.706371650002</v>
      </c>
    </row>
    <row r="41" spans="2:16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  <c r="N41" s="8">
        <f>Tabla2[[#This Row],[VOO]]*0.01226</f>
        <v>6.3271408000000005</v>
      </c>
      <c r="O41" s="8">
        <f>Tabla2[[#This Row],[VALOR INVERSION 4]]-6.6</f>
        <v>-0.27285919999999919</v>
      </c>
      <c r="P41" s="8">
        <f>Tabla2[[#This Row],[VALOR INVERSION 4]]*Tabla2[[#This Row],[PRECIO DEL DÓLAR]]</f>
        <v>25459.908407936004</v>
      </c>
    </row>
    <row r="42" spans="2:16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  <c r="N42" s="8">
        <f>Tabla2[[#This Row],[VOO]]*0.01226</f>
        <v>6.2909737999999997</v>
      </c>
      <c r="O42" s="8">
        <f>Tabla2[[#This Row],[VALOR INVERSION 4]]-6.6</f>
        <v>-0.30902619999999992</v>
      </c>
      <c r="P42" s="8">
        <f>Tabla2[[#This Row],[VALOR INVERSION 4]]*Tabla2[[#This Row],[PRECIO DEL DÓLAR]]</f>
        <v>25451.015244232</v>
      </c>
    </row>
    <row r="43" spans="2:16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  <c r="N43" s="8">
        <f>Tabla2[[#This Row],[VOO]]*0.01226</f>
        <v>6.2919546000000004</v>
      </c>
      <c r="O43" s="8">
        <f>Tabla2[[#This Row],[VALOR INVERSION 4]]-6.6</f>
        <v>-0.30804539999999925</v>
      </c>
      <c r="P43" s="8">
        <f>Tabla2[[#This Row],[VALOR INVERSION 4]]*Tabla2[[#This Row],[PRECIO DEL DÓLAR]]</f>
        <v>25578.934713564002</v>
      </c>
    </row>
    <row r="44" spans="2:16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  <c r="N44" s="8">
        <f>Tabla2[[#This Row],[VOO]]*0.01226</f>
        <v>6.3511704</v>
      </c>
      <c r="O44" s="8">
        <f>Tabla2[[#This Row],[VALOR INVERSION 4]]-6.6</f>
        <v>-0.24882959999999965</v>
      </c>
      <c r="P44" s="8">
        <f>Tabla2[[#This Row],[VALOR INVERSION 4]]*Tabla2[[#This Row],[PRECIO DEL DÓLAR]]</f>
        <v>26243.734721543999</v>
      </c>
    </row>
    <row r="45" spans="2:16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  <c r="N45" s="8">
        <f>Tabla2[[#This Row],[VOO]]*0.01226</f>
        <v>6.2226856000000002</v>
      </c>
      <c r="O45" s="8">
        <f>Tabla2[[#This Row],[VALOR INVERSION 4]]-6.6</f>
        <v>-0.37731439999999949</v>
      </c>
      <c r="P45" s="8">
        <f>Tabla2[[#This Row],[VALOR INVERSION 4]]*Tabla2[[#This Row],[PRECIO DEL DÓLAR]]</f>
        <v>25888.301128536004</v>
      </c>
    </row>
    <row r="46" spans="2:16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  <c r="N46" s="8">
        <f>Tabla2[[#This Row],[VOO]]*0.01226</f>
        <v>6.2072380000000003</v>
      </c>
      <c r="O46" s="8">
        <f>Tabla2[[#This Row],[VALOR INVERSION 4]]-6.6</f>
        <v>-0.39276199999999939</v>
      </c>
      <c r="P46" s="8">
        <f>Tabla2[[#This Row],[VALOR INVERSION 4]]*Tabla2[[#This Row],[PRECIO DEL DÓLAR]]</f>
        <v>25982.256820400002</v>
      </c>
    </row>
    <row r="47" spans="2:16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  <c r="N47" s="8">
        <f>Tabla2[[#This Row],[VOO]]*0.01226</f>
        <v>6.1919130000000004</v>
      </c>
      <c r="O47" s="8">
        <f>Tabla2[[#This Row],[VALOR INVERSION 4]]-6.6</f>
        <v>-0.4080869999999992</v>
      </c>
      <c r="P47" s="8">
        <f>Tabla2[[#This Row],[VALOR INVERSION 4]]*Tabla2[[#This Row],[PRECIO DEL DÓLAR]]</f>
        <v>25918.23327366</v>
      </c>
    </row>
    <row r="48" spans="2:16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  <c r="N48" s="8">
        <f>Tabla2[[#This Row],[VOO]]*0.01226</f>
        <v>6.0888064000000002</v>
      </c>
      <c r="O48" s="8">
        <f>Tabla2[[#This Row],[VALOR INVERSION 4]]-6.6</f>
        <v>-0.51119359999999947</v>
      </c>
      <c r="P48" s="8">
        <f>Tabla2[[#This Row],[VALOR INVERSION 4]]*Tabla2[[#This Row],[PRECIO DEL DÓLAR]]</f>
        <v>25405.544704</v>
      </c>
    </row>
    <row r="49" spans="2:16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  <c r="N49" s="8">
        <f>Tabla2[[#This Row],[VOO]]*0.01226</f>
        <v>6.1573397999999999</v>
      </c>
      <c r="O49" s="8">
        <f>Tabla2[[#This Row],[VALOR INVERSION 4]]-6.6</f>
        <v>-0.44266019999999973</v>
      </c>
      <c r="P49" s="8">
        <f>Tabla2[[#This Row],[VALOR INVERSION 4]]*Tabla2[[#This Row],[PRECIO DEL DÓLAR]]</f>
        <v>25551.667128641999</v>
      </c>
    </row>
    <row r="50" spans="2:16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  <c r="N50" s="8">
        <f>Tabla2[[#This Row],[VOO]]*0.01226</f>
        <v>6.1827180000000004</v>
      </c>
      <c r="O50" s="8">
        <f>Tabla2[[#This Row],[VALOR INVERSION 4]]-6.6</f>
        <v>-0.41728199999999926</v>
      </c>
      <c r="P50" s="8">
        <f>Tabla2[[#This Row],[VALOR INVERSION 4]]*Tabla2[[#This Row],[PRECIO DEL DÓLAR]]</f>
        <v>26238.218648400001</v>
      </c>
    </row>
    <row r="51" spans="2:16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  <c r="N51" s="8">
        <f>Tabla2[[#This Row],[VOO]]*0.01226</f>
        <v>6.2459796000000001</v>
      </c>
      <c r="O51" s="8">
        <f>Tabla2[[#This Row],[VALOR INVERSION 4]]-6.6</f>
        <v>-0.35402039999999957</v>
      </c>
      <c r="P51" s="8">
        <f>Tabla2[[#This Row],[VALOR INVERSION 4]]*Tabla2[[#This Row],[PRECIO DEL DÓLAR]]</f>
        <v>26727.108846564002</v>
      </c>
    </row>
    <row r="52" spans="2:16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  <c r="N52" s="8">
        <f>Tabla2[[#This Row],[VOO]]*0.01226</f>
        <v>6.2996784000000003</v>
      </c>
      <c r="O52" s="8">
        <f>Tabla2[[#This Row],[VALOR INVERSION 4]]-6.6</f>
        <v>-0.3003215999999993</v>
      </c>
      <c r="P52" s="8">
        <f>Tabla2[[#This Row],[VALOR INVERSION 4]]*Tabla2[[#This Row],[PRECIO DEL DÓLAR]]</f>
        <v>26903.532568608</v>
      </c>
    </row>
    <row r="53" spans="2:16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  <c r="N53" s="39">
        <f>Tabla2[[#This Row],[VOO]]*0.01226</f>
        <v>6.3425884000000003</v>
      </c>
      <c r="O53" s="39">
        <f>Tabla2[[#This Row],[VALOR INVERSION 4]]-6.6</f>
        <v>-0.2574115999999993</v>
      </c>
      <c r="P53" s="39">
        <f>Tabla2[[#This Row],[VALOR INVERSION 4]]*Tabla2[[#This Row],[PRECIO DEL DÓLAR]]</f>
        <v>26622.253698392004</v>
      </c>
    </row>
    <row r="54" spans="2:16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  <c r="N54" s="8">
        <f>Tabla2[[#This Row],[VOO]]*0.01226</f>
        <v>6.3427110000000004</v>
      </c>
      <c r="O54" s="8">
        <f>Tabla2[[#This Row],[VALOR INVERSION 4]]-6.6</f>
        <v>-0.25728899999999921</v>
      </c>
      <c r="P54" s="8">
        <f>Tabla2[[#This Row],[VALOR INVERSION 4]]*Tabla2[[#This Row],[PRECIO DEL DÓLAR]]</f>
        <v>26462.614844430002</v>
      </c>
    </row>
    <row r="55" spans="2:16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  <c r="N55" s="8">
        <f>Tabla2[[#This Row],[VOO]]*0.01226</f>
        <v>6.3456534000000007</v>
      </c>
      <c r="O55" s="8">
        <f>Tabla2[[#This Row],[VALOR INVERSION 4]]-6.6</f>
        <v>-0.25434659999999898</v>
      </c>
      <c r="P55" s="8">
        <f>Tabla2[[#This Row],[VALOR INVERSION 4]]*Tabla2[[#This Row],[PRECIO DEL DÓLAR]]</f>
        <v>26782.337826972001</v>
      </c>
    </row>
    <row r="56" spans="2:16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  <c r="N56" s="8">
        <f>Tabla2[[#This Row],[VOO]]*0.01226</f>
        <v>6.3250565999999999</v>
      </c>
      <c r="O56" s="8">
        <f>Tabla2[[#This Row],[VALOR INVERSION 4]]-6.6</f>
        <v>-0.27494339999999973</v>
      </c>
      <c r="P56" s="8">
        <f>Tabla2[[#This Row],[VALOR INVERSION 4]]*Tabla2[[#This Row],[PRECIO DEL DÓLAR]]</f>
        <v>26723.427385565999</v>
      </c>
    </row>
    <row r="57" spans="2:16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  <c r="N57" s="8">
        <f>Tabla2[[#This Row],[VOO]]*0.01226</f>
        <v>6.4353965999999998</v>
      </c>
      <c r="O57" s="8">
        <f>Tabla2[[#This Row],[VALOR INVERSION 4]]-6.6</f>
        <v>-0.16460339999999984</v>
      </c>
      <c r="P57" s="8">
        <f>Tabla2[[#This Row],[VALOR INVERSION 4]]*Tabla2[[#This Row],[PRECIO DEL DÓLAR]]</f>
        <v>26879.686288710003</v>
      </c>
    </row>
    <row r="58" spans="2:16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  <c r="N58" s="8">
        <f>Tabla2[[#This Row],[VOO]]*0.01226</f>
        <v>6.4385841999999993</v>
      </c>
      <c r="O58" s="8">
        <f>Tabla2[[#This Row],[VALOR INVERSION 4]]-6.6</f>
        <v>-0.16141580000000033</v>
      </c>
      <c r="P58" s="8">
        <f>Tabla2[[#This Row],[VALOR INVERSION 4]]*Tabla2[[#This Row],[PRECIO DEL DÓLAR]]</f>
        <v>26745.749995115995</v>
      </c>
    </row>
    <row r="59" spans="2:16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  <c r="N59" s="8">
        <f>Tabla2[[#This Row],[VOO]]*0.01226</f>
        <v>6.4570967999999995</v>
      </c>
      <c r="O59" s="8">
        <f>Tabla2[[#This Row],[VALOR INVERSION 4]]-6.6</f>
        <v>-0.14290320000000012</v>
      </c>
      <c r="P59" s="8">
        <f>Tabla2[[#This Row],[VALOR INVERSION 4]]*Tabla2[[#This Row],[PRECIO DEL DÓLAR]]</f>
        <v>26872.822607399998</v>
      </c>
    </row>
    <row r="60" spans="2:16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  <c r="N60" s="8">
        <f>Tabla2[[#This Row],[VOO]]*0.01226</f>
        <v>6.4439786000000003</v>
      </c>
      <c r="O60" s="8">
        <f>Tabla2[[#This Row],[VALOR INVERSION 4]]-6.6</f>
        <v>-0.15602139999999931</v>
      </c>
      <c r="P60" s="8">
        <f>Tabla2[[#This Row],[VALOR INVERSION 4]]*Tabla2[[#This Row],[PRECIO DEL DÓLAR]]</f>
        <v>26734.456216750001</v>
      </c>
    </row>
    <row r="61" spans="2:16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  <c r="N61" s="8">
        <f>Tabla2[[#This Row],[VOO]]*0.01226</f>
        <v>6.469602000000001</v>
      </c>
      <c r="O61" s="8">
        <f>Tabla2[[#This Row],[VALOR INVERSION 4]]-6.6</f>
        <v>-0.13039799999999868</v>
      </c>
      <c r="P61" s="8">
        <f>Tabla2[[#This Row],[VALOR INVERSION 4]]*Tabla2[[#This Row],[PRECIO DEL DÓLAR]]</f>
        <v>27177.180601500004</v>
      </c>
    </row>
    <row r="62" spans="2:16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  <c r="N62" s="8">
        <f>Tabla2[[#This Row],[VOO]]*0.01226</f>
        <v>6.4411588000000002</v>
      </c>
      <c r="O62" s="8">
        <f>Tabla2[[#This Row],[VALOR INVERSION 4]]-6.6</f>
        <v>-0.15884119999999946</v>
      </c>
      <c r="P62" s="8">
        <f>Tabla2[[#This Row],[VALOR INVERSION 4]]*Tabla2[[#This Row],[PRECIO DEL DÓLAR]]</f>
        <v>26779.375357352001</v>
      </c>
    </row>
    <row r="63" spans="2:16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  <c r="N63" s="8">
        <f>Tabla2[[#This Row],[VOO]]*0.01226</f>
        <v>6.4692341999999998</v>
      </c>
      <c r="O63" s="8">
        <f>Tabla2[[#This Row],[VALOR INVERSION 4]]-6.6</f>
        <v>-0.13076579999999982</v>
      </c>
      <c r="P63" s="8">
        <f>Tabla2[[#This Row],[VALOR INVERSION 4]]*Tabla2[[#This Row],[PRECIO DEL DÓLAR]]</f>
        <v>26896.876263971997</v>
      </c>
    </row>
    <row r="64" spans="2:16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  <c r="N64" s="8">
        <f>Tabla2[[#This Row],[VOO]]*0.01226</f>
        <v>6.4087924000000003</v>
      </c>
      <c r="O64" s="8">
        <f>Tabla2[[#This Row],[VALOR INVERSION 4]]-6.6</f>
        <v>-0.19120759999999937</v>
      </c>
      <c r="P64" s="8">
        <f>Tabla2[[#This Row],[VALOR INVERSION 4]]*Tabla2[[#This Row],[PRECIO DEL DÓLAR]]</f>
        <v>26911.288342688</v>
      </c>
    </row>
    <row r="65" spans="2:16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  <c r="N65" s="8">
        <f>Tabla2[[#This Row],[VOO]]*0.01226</f>
        <v>6.3993522</v>
      </c>
      <c r="O65" s="8">
        <f>Tabla2[[#This Row],[VALOR INVERSION 4]]-6.6</f>
        <v>-0.2006477999999996</v>
      </c>
      <c r="P65" s="8">
        <f>Tabla2[[#This Row],[VALOR INVERSION 4]]*Tabla2[[#This Row],[PRECIO DEL DÓLAR]]</f>
        <v>27013.393461294003</v>
      </c>
    </row>
    <row r="66" spans="2:16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  <c r="N66" s="8">
        <f>Tabla2[[#This Row],[VOO]]*0.01226</f>
        <v>6.3977584000000007</v>
      </c>
      <c r="O66" s="8">
        <f>Tabla2[[#This Row],[VALOR INVERSION 4]]-6.6</f>
        <v>-0.20224159999999891</v>
      </c>
      <c r="P66" s="8">
        <f>Tabla2[[#This Row],[VALOR INVERSION 4]]*Tabla2[[#This Row],[PRECIO DEL DÓLAR]]</f>
        <v>26833.862146784006</v>
      </c>
    </row>
    <row r="67" spans="2:16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  <c r="N67" s="8">
        <f>Tabla2[[#This Row],[VOO]]*0.01226</f>
        <v>6.4567290000000002</v>
      </c>
      <c r="O67" s="8">
        <f>Tabla2[[#This Row],[VALOR INVERSION 4]]-6.6</f>
        <v>-0.14327099999999948</v>
      </c>
      <c r="P67" s="8">
        <f>Tabla2[[#This Row],[VALOR INVERSION 4]]*Tabla2[[#This Row],[PRECIO DEL DÓLAR]]</f>
        <v>27048.335424930003</v>
      </c>
    </row>
    <row r="68" spans="2:16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  <c r="N68" s="8">
        <f>Tabla2[[#This Row],[VOO]]*0.01226</f>
        <v>6.3986165999999995</v>
      </c>
      <c r="O68" s="8">
        <f>Tabla2[[#This Row],[VALOR INVERSION 4]]-6.6</f>
        <v>-0.2013834000000001</v>
      </c>
      <c r="P68" s="8">
        <f>Tabla2[[#This Row],[VALOR INVERSION 4]]*Tabla2[[#This Row],[PRECIO DEL DÓLAR]]</f>
        <v>26665.658805005998</v>
      </c>
    </row>
    <row r="69" spans="2:16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  <c r="N69" s="8">
        <f>Tabla2[[#This Row],[VOO]]*0.01226</f>
        <v>6.4591810000000001</v>
      </c>
      <c r="O69" s="8">
        <f>Tabla2[[#This Row],[VALOR INVERSION 4]]-6.6</f>
        <v>-0.14081899999999958</v>
      </c>
      <c r="P69" s="8">
        <f>Tabla2[[#This Row],[VALOR INVERSION 4]]*Tabla2[[#This Row],[PRECIO DEL DÓLAR]]</f>
        <v>27216.082102550001</v>
      </c>
    </row>
    <row r="70" spans="2:16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  <c r="N70" s="8">
        <f>Tabla2[[#This Row],[VOO]]*0.01226</f>
        <v>6.5033170000000009</v>
      </c>
      <c r="O70" s="8">
        <f>Tabla2[[#This Row],[VALOR INVERSION 4]]-6.6</f>
        <v>-9.6682999999998742E-2</v>
      </c>
      <c r="P70" s="8">
        <f>Tabla2[[#This Row],[VALOR INVERSION 4]]*Tabla2[[#This Row],[PRECIO DEL DÓLAR]]</f>
        <v>27516.054492360003</v>
      </c>
    </row>
    <row r="71" spans="2:16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  <c r="N71" s="8">
        <f>Tabla2[[#This Row],[VOO]]*0.01226</f>
        <v>6.4924055999999997</v>
      </c>
      <c r="O71" s="8">
        <f>Tabla2[[#This Row],[VALOR INVERSION 4]]-6.6</f>
        <v>-0.10759439999999998</v>
      </c>
      <c r="P71" s="8">
        <f>Tabla2[[#This Row],[VALOR INVERSION 4]]*Tabla2[[#This Row],[PRECIO DEL DÓLAR]]</f>
        <v>27482.677525079998</v>
      </c>
    </row>
    <row r="72" spans="2:16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  <c r="N72" s="8">
        <f>Tabla2[[#This Row],[VOO]]*0.01226</f>
        <v>6.5844782000000004</v>
      </c>
      <c r="O72" s="8">
        <f>Tabla2[[#This Row],[VALOR INVERSION 4]]-6.6</f>
        <v>-1.5521799999999253E-2</v>
      </c>
      <c r="P72" s="8">
        <f>Tabla2[[#This Row],[VALOR INVERSION 4]]*Tabla2[[#This Row],[PRECIO DEL DÓLAR]]</f>
        <v>27726.908476290002</v>
      </c>
    </row>
    <row r="73" spans="2:16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  <c r="N73" s="8">
        <f>Tabla2[[#This Row],[VOO]]*0.01226</f>
        <v>6.5343347999999999</v>
      </c>
      <c r="O73" s="8">
        <f>Tabla2[[#This Row],[VALOR INVERSION 4]]-6.6</f>
        <v>-6.5665199999999757E-2</v>
      </c>
      <c r="P73" s="8">
        <f>Tabla2[[#This Row],[VALOR INVERSION 4]]*Tabla2[[#This Row],[PRECIO DEL DÓLAR]]</f>
        <v>27491.318713908</v>
      </c>
    </row>
    <row r="74" spans="2:16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  <c r="N74" s="8">
        <f>Tabla2[[#This Row],[VOO]]*0.01226</f>
        <v>6.5617972</v>
      </c>
      <c r="O74" s="8">
        <f>Tabla2[[#This Row],[VALOR INVERSION 4]]-6.6</f>
        <v>-3.8202799999999648E-2</v>
      </c>
      <c r="P74" s="8">
        <f>Tabla2[[#This Row],[VALOR INVERSION 4]]*Tabla2[[#This Row],[PRECIO DEL DÓLAR]]</f>
        <v>27934.948657812001</v>
      </c>
    </row>
    <row r="75" spans="2:16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  <c r="N75" s="45">
        <f>Tabla2[[#This Row],[VOO]]*0.01226</f>
        <v>6.5880336000000002</v>
      </c>
      <c r="O75" s="45">
        <f>Tabla2[[#This Row],[VALOR INVERSION 4]]-6.6</f>
        <v>-1.1966399999999489E-2</v>
      </c>
      <c r="P75" s="45">
        <f>Tabla2[[#This Row],[VALOR INVERSION 4]]*Tabla2[[#This Row],[PRECIO DEL DÓLAR]]</f>
        <v>28188.482885663998</v>
      </c>
    </row>
    <row r="76" spans="2:16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  <c r="N76" s="8">
        <f>Tabla2[[#This Row],[VOO]]*0.01226</f>
        <v>6.5627779999999998</v>
      </c>
      <c r="O76" s="8">
        <f>Tabla2[[#This Row],[VALOR INVERSION 4]]-6.6</f>
        <v>-3.7221999999999866E-2</v>
      </c>
      <c r="P76" s="8">
        <f>Tabla2[[#This Row],[VALOR INVERSION 4]]*Tabla2[[#This Row],[PRECIO DEL DÓLAR]]</f>
        <v>27874.021371619998</v>
      </c>
    </row>
    <row r="77" spans="2:16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  <c r="N77" s="8">
        <f>Tabla2[[#This Row],[VOO]]*0.01226</f>
        <v>6.5880336000000002</v>
      </c>
      <c r="O77" s="8">
        <f>Tabla2[[#This Row],[VALOR INVERSION 4]]-6.6</f>
        <v>-1.1966399999999489E-2</v>
      </c>
      <c r="P77" s="8">
        <f>Tabla2[[#This Row],[VALOR INVERSION 4]]*Tabla2[[#This Row],[PRECIO DEL DÓLAR]]</f>
        <v>27981.289228943999</v>
      </c>
    </row>
    <row r="78" spans="2:16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  <c r="N78" s="8">
        <f>Tabla2[[#This Row],[VOO]]*0.01226</f>
        <v>6.5778577999999994</v>
      </c>
      <c r="O78" s="8">
        <f>Tabla2[[#This Row],[VALOR INVERSION 4]]-6.6</f>
        <v>-2.2142200000000223E-2</v>
      </c>
      <c r="P78" s="8">
        <f>Tabla2[[#This Row],[VALOR INVERSION 4]]*Tabla2[[#This Row],[PRECIO DEL DÓLAR]]</f>
        <v>28087.452805999998</v>
      </c>
    </row>
    <row r="79" spans="2:16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  <c r="N79" s="8">
        <f>Tabla2[[#This Row],[VOO]]*0.01226</f>
        <v>6.5733215999999999</v>
      </c>
      <c r="O79" s="8">
        <f>Tabla2[[#This Row],[VALOR INVERSION 4]]-6.6</f>
        <v>-2.6678399999999769E-2</v>
      </c>
      <c r="P79" s="8">
        <f>Tabla2[[#This Row],[VALOR INVERSION 4]]*Tabla2[[#This Row],[PRECIO DEL DÓLAR]]</f>
        <v>28134.079380864001</v>
      </c>
    </row>
    <row r="80" spans="2:16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  <c r="N80" s="8">
        <f>Tabla2[[#This Row],[VOO]]*0.01226</f>
        <v>6.5133701999999998</v>
      </c>
      <c r="O80" s="8">
        <f>Tabla2[[#This Row],[VALOR INVERSION 4]]-6.6</f>
        <v>-8.6629799999999868E-2</v>
      </c>
      <c r="P80" s="8">
        <f>Tabla2[[#This Row],[VALOR INVERSION 4]]*Tabla2[[#This Row],[PRECIO DEL DÓLAR]]</f>
        <v>27814.500700973997</v>
      </c>
    </row>
    <row r="81" spans="2:16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  <c r="N81" s="8">
        <f>Tabla2[[#This Row],[VOO]]*0.01226</f>
        <v>6.5280822000000001</v>
      </c>
      <c r="O81" s="8">
        <f>Tabla2[[#This Row],[VALOR INVERSION 4]]-6.6</f>
        <v>-7.1917799999999588E-2</v>
      </c>
      <c r="P81" s="8">
        <f>Tabla2[[#This Row],[VALOR INVERSION 4]]*Tabla2[[#This Row],[PRECIO DEL DÓLAR]]</f>
        <v>28226.905186224001</v>
      </c>
    </row>
    <row r="82" spans="2:16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  <c r="N82" s="8">
        <f>Tabla2[[#This Row],[VOO]]*0.01226</f>
        <v>6.5255076000000001</v>
      </c>
      <c r="O82" s="8">
        <f>Tabla2[[#This Row],[VALOR INVERSION 4]]-6.6</f>
        <v>-7.449239999999957E-2</v>
      </c>
      <c r="P82" s="8">
        <f>Tabla2[[#This Row],[VALOR INVERSION 4]]*Tabla2[[#This Row],[PRECIO DEL DÓLAR]]</f>
        <v>28210.487160635999</v>
      </c>
    </row>
    <row r="83" spans="2:16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  <c r="N83" s="8">
        <f>Tabla2[[#This Row],[VOO]]*0.01226</f>
        <v>6.5458591999999998</v>
      </c>
      <c r="O83" s="8">
        <f>Tabla2[[#This Row],[VALOR INVERSION 4]]-6.6</f>
        <v>-5.4140799999999878E-2</v>
      </c>
      <c r="P83" s="8">
        <f>Tabla2[[#This Row],[VALOR INVERSION 4]]*Tabla2[[#This Row],[PRECIO DEL DÓLAR]]</f>
        <v>28288.846953088003</v>
      </c>
    </row>
    <row r="84" spans="2:16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  <c r="N84" s="8">
        <f>Tabla2[[#This Row],[VOO]]*0.01226</f>
        <v>6.5562801999999998</v>
      </c>
      <c r="O84" s="8">
        <f>Tabla2[[#This Row],[VALOR INVERSION 4]]-6.6</f>
        <v>-4.3719799999999864E-2</v>
      </c>
      <c r="P84" s="8">
        <f>Tabla2[[#This Row],[VALOR INVERSION 4]]*Tabla2[[#This Row],[PRECIO DEL DÓLAR]]</f>
        <v>28487.889785425999</v>
      </c>
    </row>
    <row r="85" spans="2:16">
      <c r="B85" s="1">
        <v>45595</v>
      </c>
      <c r="C85" s="8">
        <f>VLOOKUP(B85,Tabla4[],2,FALSE)</f>
        <v>4323.01</v>
      </c>
      <c r="D85" s="24">
        <v>533.16</v>
      </c>
      <c r="E85" s="8">
        <f t="shared" ref="E85:E90" si="12"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  <c r="N85" s="8">
        <f>Tabla2[[#This Row],[VOO]]*0.01226</f>
        <v>6.5365415999999996</v>
      </c>
      <c r="O85" s="8">
        <f>Tabla2[[#This Row],[VALOR INVERSION 4]]-6.6</f>
        <v>-6.3458400000000026E-2</v>
      </c>
      <c r="P85" s="8">
        <f>Tabla2[[#This Row],[VALOR INVERSION 4]]*Tabla2[[#This Row],[PRECIO DEL DÓLAR]]</f>
        <v>28257.534702215999</v>
      </c>
    </row>
    <row r="86" spans="2:16">
      <c r="B86" s="1">
        <v>45597</v>
      </c>
      <c r="C86" s="8">
        <f>VLOOKUP(B86,Tabla4[],2,FALSE)</f>
        <v>4418.63</v>
      </c>
      <c r="D86" s="24">
        <v>522.66999999999996</v>
      </c>
      <c r="E86" s="8">
        <f t="shared" si="12"/>
        <v>7.9341305999999996</v>
      </c>
      <c r="F86" s="8">
        <f>Tabla2[[#This Row],[VALOR INVERSION 1]]-7.7</f>
        <v>0.23413059999999941</v>
      </c>
      <c r="G86" s="8">
        <f>Tabla2[[#This Row],[VALOR INVERSION 1]]*Tabla2[[#This Row],[PRECIO DEL DÓLAR]]</f>
        <v>35057.987493077999</v>
      </c>
      <c r="H86" s="8">
        <f>Tabla2[[#This Row],[VOO]]*0.01527</f>
        <v>7.9811708999999995</v>
      </c>
      <c r="I86" s="8">
        <f>Tabla2[[#This Row],[VALOR INVERSION 2]]-7.9</f>
        <v>8.1170899999999158E-2</v>
      </c>
      <c r="J86" s="8">
        <f>Tabla2[[#This Row],[VALOR INVERSION 2]]*Tabla2[[#This Row],[PRECIO DEL DÓLAR]]</f>
        <v>35265.841173866997</v>
      </c>
      <c r="K86" s="8">
        <f>Tabla2[[#This Row],[VOO]]*0.01284</f>
        <v>6.7110827999999998</v>
      </c>
      <c r="L86" s="8">
        <f>Tabla2[[#This Row],[VALOR INVERSION 3]]-6.9</f>
        <v>-0.18891720000000056</v>
      </c>
      <c r="M86" s="8">
        <f>Tabla2[[#This Row],[VALOR INVERSION 3]]*Tabla2[[#This Row],[PRECIO DEL DÓLAR]]</f>
        <v>29653.791792563999</v>
      </c>
      <c r="N86" s="8">
        <f>Tabla2[[#This Row],[VOO]]*0.01226</f>
        <v>6.4079341999999997</v>
      </c>
      <c r="O86" s="8">
        <f>Tabla2[[#This Row],[VALOR INVERSION 4]]-6.6</f>
        <v>-0.19206579999999995</v>
      </c>
      <c r="P86" s="8">
        <f>Tabla2[[#This Row],[VALOR INVERSION 4]]*Tabla2[[#This Row],[PRECIO DEL DÓLAR]]</f>
        <v>28314.290294145998</v>
      </c>
    </row>
    <row r="87" spans="2:16">
      <c r="B87" s="1">
        <v>45600</v>
      </c>
      <c r="C87" s="8">
        <f>VLOOKUP(B87,Tabla4[],2,FALSE)</f>
        <v>4445.3500000000004</v>
      </c>
      <c r="D87" s="24">
        <v>523.79999999999995</v>
      </c>
      <c r="E87" s="8">
        <f t="shared" si="12"/>
        <v>7.9512839999999994</v>
      </c>
      <c r="F87" s="8">
        <f>Tabla2[[#This Row],[VALOR INVERSION 1]]-7.7</f>
        <v>0.25128399999999917</v>
      </c>
      <c r="G87" s="8">
        <f>Tabla2[[#This Row],[VALOR INVERSION 1]]*Tabla2[[#This Row],[PRECIO DEL DÓLAR]]</f>
        <v>35346.240329400003</v>
      </c>
      <c r="H87" s="8">
        <f>Tabla2[[#This Row],[VOO]]*0.01527</f>
        <v>7.9984259999999994</v>
      </c>
      <c r="I87" s="8">
        <f>Tabla2[[#This Row],[VALOR INVERSION 2]]-7.9</f>
        <v>9.8425999999999014E-2</v>
      </c>
      <c r="J87" s="8">
        <f>Tabla2[[#This Row],[VALOR INVERSION 2]]*Tabla2[[#This Row],[PRECIO DEL DÓLAR]]</f>
        <v>35555.8030191</v>
      </c>
      <c r="K87" s="8">
        <f>Tabla2[[#This Row],[VOO]]*0.01284</f>
        <v>6.7255919999999998</v>
      </c>
      <c r="L87" s="8">
        <f>Tabla2[[#This Row],[VALOR INVERSION 3]]-6.9</f>
        <v>-0.17440800000000056</v>
      </c>
      <c r="M87" s="8">
        <f>Tabla2[[#This Row],[VALOR INVERSION 3]]*Tabla2[[#This Row],[PRECIO DEL DÓLAR]]</f>
        <v>29897.610397200002</v>
      </c>
      <c r="N87" s="8">
        <f>Tabla2[[#This Row],[VOO]]*0.01226</f>
        <v>6.4217879999999994</v>
      </c>
      <c r="O87" s="8">
        <f>Tabla2[[#This Row],[VALOR INVERSION 4]]-6.6</f>
        <v>-0.17821200000000026</v>
      </c>
      <c r="P87" s="8">
        <f>Tabla2[[#This Row],[VALOR INVERSION 4]]*Tabla2[[#This Row],[PRECIO DEL DÓLAR]]</f>
        <v>28547.095285799998</v>
      </c>
    </row>
    <row r="88" spans="2:16">
      <c r="B88" s="1">
        <v>45601</v>
      </c>
      <c r="C88" s="8">
        <f>VLOOKUP(B88,Tabla4[],2,FALSE)</f>
        <v>4438.62</v>
      </c>
      <c r="D88" s="24">
        <v>530.1</v>
      </c>
      <c r="E88" s="8">
        <f t="shared" si="12"/>
        <v>8.0469180000000016</v>
      </c>
      <c r="F88" s="8">
        <f>Tabla2[[#This Row],[VALOR INVERSION 1]]-7.7</f>
        <v>0.34691800000000139</v>
      </c>
      <c r="G88" s="8">
        <f>Tabla2[[#This Row],[VALOR INVERSION 1]]*Tabla2[[#This Row],[PRECIO DEL DÓLAR]]</f>
        <v>35717.211173160009</v>
      </c>
      <c r="H88" s="8">
        <f>Tabla2[[#This Row],[VOO]]*0.01527</f>
        <v>8.0946270000000009</v>
      </c>
      <c r="I88" s="8">
        <f>Tabla2[[#This Row],[VALOR INVERSION 2]]-7.9</f>
        <v>0.19462700000000055</v>
      </c>
      <c r="J88" s="8">
        <f>Tabla2[[#This Row],[VALOR INVERSION 2]]*Tabla2[[#This Row],[PRECIO DEL DÓLAR]]</f>
        <v>35928.973294740004</v>
      </c>
      <c r="K88" s="8">
        <f>Tabla2[[#This Row],[VOO]]*0.01284</f>
        <v>6.8064840000000011</v>
      </c>
      <c r="L88" s="8">
        <f>Tabla2[[#This Row],[VALOR INVERSION 3]]-6.9</f>
        <v>-9.3515999999999266E-2</v>
      </c>
      <c r="M88" s="8">
        <f>Tabla2[[#This Row],[VALOR INVERSION 3]]*Tabla2[[#This Row],[PRECIO DEL DÓLAR]]</f>
        <v>30211.396012080004</v>
      </c>
      <c r="N88" s="8">
        <f>Tabla2[[#This Row],[VOO]]*0.01226</f>
        <v>6.4990260000000006</v>
      </c>
      <c r="O88" s="8">
        <f>Tabla2[[#This Row],[VALOR INVERSION 4]]-6.6</f>
        <v>-0.10097399999999901</v>
      </c>
      <c r="P88" s="8">
        <f>Tabla2[[#This Row],[VALOR INVERSION 4]]*Tabla2[[#This Row],[PRECIO DEL DÓLAR]]</f>
        <v>28846.706784120001</v>
      </c>
    </row>
    <row r="89" spans="2:16">
      <c r="B89" s="1">
        <v>45602</v>
      </c>
      <c r="C89" s="8">
        <f>VLOOKUP(B89,Tabla4[],2,FALSE)</f>
        <v>4439.75</v>
      </c>
      <c r="D89" s="24">
        <v>543.29999999999995</v>
      </c>
      <c r="E89" s="8">
        <f t="shared" si="12"/>
        <v>8.2472940000000001</v>
      </c>
      <c r="F89" s="8">
        <f>Tabla2[[#This Row],[VALOR INVERSION 1]]-7.7</f>
        <v>0.54729399999999995</v>
      </c>
      <c r="G89" s="8">
        <f>Tabla2[[#This Row],[VALOR INVERSION 1]]*Tabla2[[#This Row],[PRECIO DEL DÓLAR]]</f>
        <v>36615.923536499999</v>
      </c>
      <c r="H89" s="8">
        <f>Tabla2[[#This Row],[VOO]]*0.01527</f>
        <v>8.2961910000000003</v>
      </c>
      <c r="I89" s="8">
        <f>Tabla2[[#This Row],[VALOR INVERSION 2]]-7.9</f>
        <v>0.39619099999999996</v>
      </c>
      <c r="J89" s="8">
        <f>Tabla2[[#This Row],[VALOR INVERSION 2]]*Tabla2[[#This Row],[PRECIO DEL DÓLAR]]</f>
        <v>36833.013992250002</v>
      </c>
      <c r="K89" s="8">
        <f>Tabla2[[#This Row],[VOO]]*0.01284</f>
        <v>6.9759719999999996</v>
      </c>
      <c r="L89" s="8">
        <f>Tabla2[[#This Row],[VALOR INVERSION 3]]-6.9</f>
        <v>7.5971999999999262E-2</v>
      </c>
      <c r="M89" s="8">
        <f>Tabla2[[#This Row],[VALOR INVERSION 3]]*Tabla2[[#This Row],[PRECIO DEL DÓLAR]]</f>
        <v>30971.571687</v>
      </c>
      <c r="N89" s="8">
        <f>Tabla2[[#This Row],[VOO]]*0.01226</f>
        <v>6.6608579999999993</v>
      </c>
      <c r="O89" s="8">
        <f>Tabla2[[#This Row],[VALOR INVERSION 4]]-6.6</f>
        <v>6.0857999999999635E-2</v>
      </c>
      <c r="P89" s="8">
        <f>Tabla2[[#This Row],[VALOR INVERSION 4]]*Tabla2[[#This Row],[PRECIO DEL DÓLAR]]</f>
        <v>29572.544305499996</v>
      </c>
    </row>
    <row r="90" spans="2:16">
      <c r="B90" s="1">
        <v>45603</v>
      </c>
      <c r="C90" s="8">
        <f>VLOOKUP(B90,Tabla4[],2,FALSE)</f>
        <v>4389.7299999999996</v>
      </c>
      <c r="D90" s="24">
        <v>547.53</v>
      </c>
      <c r="E90" s="8">
        <f t="shared" si="12"/>
        <v>8.3115053999999997</v>
      </c>
      <c r="F90" s="8">
        <f>Tabla2[[#This Row],[VALOR INVERSION 1]]-7.7</f>
        <v>0.61150539999999953</v>
      </c>
      <c r="G90" s="8">
        <f>Tabla2[[#This Row],[VALOR INVERSION 1]]*Tabla2[[#This Row],[PRECIO DEL DÓLAR]]</f>
        <v>36485.264599541995</v>
      </c>
      <c r="H90" s="8">
        <f>Tabla2[[#This Row],[VOO]]*0.01527</f>
        <v>8.360783099999999</v>
      </c>
      <c r="I90" s="8">
        <f>Tabla2[[#This Row],[VALOR INVERSION 2]]-7.9</f>
        <v>0.46078309999999867</v>
      </c>
      <c r="J90" s="8">
        <f>Tabla2[[#This Row],[VALOR INVERSION 2]]*Tabla2[[#This Row],[PRECIO DEL DÓLAR]]</f>
        <v>36701.58039756299</v>
      </c>
      <c r="K90" s="8">
        <f>Tabla2[[#This Row],[VOO]]*0.01284</f>
        <v>7.0302851999999998</v>
      </c>
      <c r="L90" s="8">
        <f>Tabla2[[#This Row],[VALOR INVERSION 3]]-6.9</f>
        <v>0.13028519999999943</v>
      </c>
      <c r="M90" s="8">
        <f>Tabla2[[#This Row],[VALOR INVERSION 3]]*Tabla2[[#This Row],[PRECIO DEL DÓLAR]]</f>
        <v>30861.053850995995</v>
      </c>
      <c r="N90" s="8">
        <f>Tabla2[[#This Row],[VOO]]*0.01226</f>
        <v>6.7127178000000001</v>
      </c>
      <c r="O90" s="8">
        <f>Tabla2[[#This Row],[VALOR INVERSION 4]]-6.6</f>
        <v>0.11271780000000042</v>
      </c>
      <c r="P90" s="8">
        <f>Tabla2[[#This Row],[VALOR INVERSION 4]]*Tabla2[[#This Row],[PRECIO DEL DÓLAR]]</f>
        <v>29467.018708193998</v>
      </c>
    </row>
    <row r="91" spans="2:16">
      <c r="B91" s="1">
        <v>45604</v>
      </c>
      <c r="C91" s="8">
        <f>VLOOKUP(B91,Tabla4[],2,FALSE)</f>
        <v>4399.58</v>
      </c>
      <c r="D91" s="24">
        <v>549.95000000000005</v>
      </c>
      <c r="E91" s="8">
        <f t="shared" ref="E91:E96" si="13">0.01518 * D91</f>
        <v>8.3482410000000016</v>
      </c>
      <c r="F91" s="8">
        <f>Tabla2[[#This Row],[VALOR INVERSION 1]]-7.7</f>
        <v>0.6482410000000014</v>
      </c>
      <c r="G91" s="8">
        <f>Tabla2[[#This Row],[VALOR INVERSION 1]]*Tabla2[[#This Row],[PRECIO DEL DÓLAR]]</f>
        <v>36728.754138780008</v>
      </c>
      <c r="H91" s="8">
        <f>Tabla2[[#This Row],[VOO]]*0.01527</f>
        <v>8.3977365000000006</v>
      </c>
      <c r="I91" s="8">
        <f>Tabla2[[#This Row],[VALOR INVERSION 2]]-7.9</f>
        <v>0.49773650000000025</v>
      </c>
      <c r="J91" s="8">
        <f>Tabla2[[#This Row],[VALOR INVERSION 2]]*Tabla2[[#This Row],[PRECIO DEL DÓLAR]]</f>
        <v>36946.513550670003</v>
      </c>
      <c r="K91" s="8">
        <f>Tabla2[[#This Row],[VOO]]*0.01284</f>
        <v>7.0613580000000011</v>
      </c>
      <c r="L91" s="8">
        <f>Tabla2[[#This Row],[VALOR INVERSION 3]]-6.9</f>
        <v>0.16135800000000078</v>
      </c>
      <c r="M91" s="8">
        <f>Tabla2[[#This Row],[VALOR INVERSION 3]]*Tabla2[[#This Row],[PRECIO DEL DÓLAR]]</f>
        <v>31067.009429640006</v>
      </c>
      <c r="N91" s="8">
        <f>Tabla2[[#This Row],[VOO]]*0.01226</f>
        <v>6.7423870000000008</v>
      </c>
      <c r="O91" s="8">
        <f>Tabla2[[#This Row],[VALOR INVERSION 4]]-6.6</f>
        <v>0.14238700000000115</v>
      </c>
      <c r="P91" s="8">
        <f>Tabla2[[#This Row],[VALOR INVERSION 4]]*Tabla2[[#This Row],[PRECIO DEL DÓLAR]]</f>
        <v>29663.670997460002</v>
      </c>
    </row>
    <row r="92" spans="2:16">
      <c r="B92" s="1">
        <v>45607</v>
      </c>
      <c r="C92" s="8">
        <f>VLOOKUP(B92,Tabla4[],2,FALSE)</f>
        <v>4346.7</v>
      </c>
      <c r="D92" s="24">
        <v>550.41999999999996</v>
      </c>
      <c r="E92" s="8">
        <f t="shared" si="13"/>
        <v>8.3553756000000003</v>
      </c>
      <c r="F92" s="8">
        <f>Tabla2[[#This Row],[VALOR INVERSION 1]]-7.7</f>
        <v>0.65537560000000017</v>
      </c>
      <c r="G92" s="8">
        <f>Tabla2[[#This Row],[VALOR INVERSION 1]]*Tabla2[[#This Row],[PRECIO DEL DÓLAR]]</f>
        <v>36318.311120519997</v>
      </c>
      <c r="H92" s="8">
        <f>Tabla2[[#This Row],[VOO]]*0.01527</f>
        <v>8.4049133999999999</v>
      </c>
      <c r="I92" s="8">
        <f>Tabla2[[#This Row],[VALOR INVERSION 2]]-7.9</f>
        <v>0.50491339999999951</v>
      </c>
      <c r="J92" s="8">
        <f>Tabla2[[#This Row],[VALOR INVERSION 2]]*Tabla2[[#This Row],[PRECIO DEL DÓLAR]]</f>
        <v>36533.637075779996</v>
      </c>
      <c r="K92" s="8">
        <f>Tabla2[[#This Row],[VOO]]*0.01284</f>
        <v>7.0673927999999995</v>
      </c>
      <c r="L92" s="8">
        <f>Tabla2[[#This Row],[VALOR INVERSION 3]]-6.9</f>
        <v>0.16739279999999912</v>
      </c>
      <c r="M92" s="8">
        <f>Tabla2[[#This Row],[VALOR INVERSION 3]]*Tabla2[[#This Row],[PRECIO DEL DÓLAR]]</f>
        <v>30719.836283759996</v>
      </c>
      <c r="N92" s="8">
        <f>Tabla2[[#This Row],[VOO]]*0.01226</f>
        <v>6.7481491999999994</v>
      </c>
      <c r="O92" s="8">
        <f>Tabla2[[#This Row],[VALOR INVERSION 4]]-6.6</f>
        <v>0.14814919999999976</v>
      </c>
      <c r="P92" s="8">
        <f>Tabla2[[#This Row],[VALOR INVERSION 4]]*Tabla2[[#This Row],[PRECIO DEL DÓLAR]]</f>
        <v>29332.180127639996</v>
      </c>
    </row>
    <row r="93" spans="2:16">
      <c r="B93" s="1">
        <v>45608</v>
      </c>
      <c r="C93" s="8">
        <f>VLOOKUP(B93,Tabla4[],2,FALSE)</f>
        <v>4376.95</v>
      </c>
      <c r="D93" s="24">
        <v>548.75</v>
      </c>
      <c r="E93" s="8">
        <f t="shared" si="13"/>
        <v>8.3300250000000009</v>
      </c>
      <c r="F93" s="8">
        <f>Tabla2[[#This Row],[VALOR INVERSION 1]]-7.7</f>
        <v>0.63002500000000072</v>
      </c>
      <c r="G93" s="8">
        <f>Tabla2[[#This Row],[VALOR INVERSION 1]]*Tabla2[[#This Row],[PRECIO DEL DÓLAR]]</f>
        <v>36460.102923750004</v>
      </c>
      <c r="H93" s="8">
        <f>Tabla2[[#This Row],[VOO]]*0.01527</f>
        <v>8.3794125000000008</v>
      </c>
      <c r="I93" s="8">
        <f>Tabla2[[#This Row],[VALOR INVERSION 2]]-7.9</f>
        <v>0.47941250000000046</v>
      </c>
      <c r="J93" s="8">
        <f>Tabla2[[#This Row],[VALOR INVERSION 2]]*Tabla2[[#This Row],[PRECIO DEL DÓLAR]]</f>
        <v>36676.269541875001</v>
      </c>
      <c r="K93" s="8">
        <f>Tabla2[[#This Row],[VOO]]*0.01284</f>
        <v>7.0459500000000004</v>
      </c>
      <c r="L93" s="8">
        <f>Tabla2[[#This Row],[VALOR INVERSION 3]]-6.9</f>
        <v>0.14595000000000002</v>
      </c>
      <c r="M93" s="8">
        <f>Tabla2[[#This Row],[VALOR INVERSION 3]]*Tabla2[[#This Row],[PRECIO DEL DÓLAR]]</f>
        <v>30839.770852500002</v>
      </c>
      <c r="N93" s="8">
        <f>Tabla2[[#This Row],[VOO]]*0.01226</f>
        <v>6.7276749999999996</v>
      </c>
      <c r="O93" s="8">
        <f>Tabla2[[#This Row],[VALOR INVERSION 4]]-6.6</f>
        <v>0.12767499999999998</v>
      </c>
      <c r="P93" s="8">
        <f>Tabla2[[#This Row],[VALOR INVERSION 4]]*Tabla2[[#This Row],[PRECIO DEL DÓLAR]]</f>
        <v>29446.697091249996</v>
      </c>
    </row>
    <row r="94" spans="2:16">
      <c r="B94" s="1">
        <v>45609</v>
      </c>
      <c r="C94" s="8">
        <f>VLOOKUP(B94,Tabla4[],2,FALSE)</f>
        <v>4352.8</v>
      </c>
      <c r="D94" s="24">
        <v>549.03</v>
      </c>
      <c r="E94" s="8">
        <f t="shared" si="13"/>
        <v>8.3342753999999992</v>
      </c>
      <c r="F94" s="8">
        <f>Tabla2[[#This Row],[VALOR INVERSION 1]]-7.7</f>
        <v>0.63427539999999905</v>
      </c>
      <c r="G94" s="8">
        <f>Tabla2[[#This Row],[VALOR INVERSION 1]]*Tabla2[[#This Row],[PRECIO DEL DÓLAR]]</f>
        <v>36277.433961119998</v>
      </c>
      <c r="H94" s="8">
        <f>Tabla2[[#This Row],[VOO]]*0.01527</f>
        <v>8.3836881000000005</v>
      </c>
      <c r="I94" s="8">
        <f>Tabla2[[#This Row],[VALOR INVERSION 2]]-7.9</f>
        <v>0.48368810000000018</v>
      </c>
      <c r="J94" s="8">
        <f>Tabla2[[#This Row],[VALOR INVERSION 2]]*Tabla2[[#This Row],[PRECIO DEL DÓLAR]]</f>
        <v>36492.517561680004</v>
      </c>
      <c r="K94" s="8">
        <f>Tabla2[[#This Row],[VOO]]*0.01284</f>
        <v>7.0495451999999998</v>
      </c>
      <c r="L94" s="8">
        <f>Tabla2[[#This Row],[VALOR INVERSION 3]]-6.9</f>
        <v>0.14954519999999949</v>
      </c>
      <c r="M94" s="8">
        <f>Tabla2[[#This Row],[VALOR INVERSION 3]]*Tabla2[[#This Row],[PRECIO DEL DÓLAR]]</f>
        <v>30685.26034656</v>
      </c>
      <c r="N94" s="8">
        <f>Tabla2[[#This Row],[VOO]]*0.01226</f>
        <v>6.7311077999999993</v>
      </c>
      <c r="O94" s="8">
        <f>Tabla2[[#This Row],[VALOR INVERSION 4]]-6.6</f>
        <v>0.13110779999999966</v>
      </c>
      <c r="P94" s="8">
        <f>Tabla2[[#This Row],[VALOR INVERSION 4]]*Tabla2[[#This Row],[PRECIO DEL DÓLAR]]</f>
        <v>29299.166031839999</v>
      </c>
    </row>
    <row r="95" spans="2:16">
      <c r="B95" s="1">
        <v>45611</v>
      </c>
      <c r="C95" s="8">
        <f>VLOOKUP(B95,Tabla4[],2,FALSE)</f>
        <v>4487.51</v>
      </c>
      <c r="D95" s="24">
        <v>538.5</v>
      </c>
      <c r="E95" s="8">
        <f t="shared" si="13"/>
        <v>8.174430000000001</v>
      </c>
      <c r="F95" s="8">
        <f>Tabla2[[#This Row],[VALOR INVERSION 1]]-7.7</f>
        <v>0.4744300000000008</v>
      </c>
      <c r="G95" s="8">
        <f>Tabla2[[#This Row],[VALOR INVERSION 1]]*Tabla2[[#This Row],[PRECIO DEL DÓLAR]]</f>
        <v>36682.836369300006</v>
      </c>
      <c r="H95" s="8">
        <f>Tabla2[[#This Row],[VOO]]*0.01527</f>
        <v>8.2228950000000012</v>
      </c>
      <c r="I95" s="8">
        <f>Tabla2[[#This Row],[VALOR INVERSION 2]]-7.9</f>
        <v>0.32289500000000082</v>
      </c>
      <c r="J95" s="8">
        <f>Tabla2[[#This Row],[VALOR INVERSION 2]]*Tabla2[[#This Row],[PRECIO DEL DÓLAR]]</f>
        <v>36900.323541450009</v>
      </c>
      <c r="K95" s="8">
        <f>Tabla2[[#This Row],[VOO]]*0.01284</f>
        <v>6.9143400000000002</v>
      </c>
      <c r="L95" s="8">
        <f>Tabla2[[#This Row],[VALOR INVERSION 3]]-6.9</f>
        <v>1.4339999999999797E-2</v>
      </c>
      <c r="M95" s="8">
        <f>Tabla2[[#This Row],[VALOR INVERSION 3]]*Tabla2[[#This Row],[PRECIO DEL DÓLAR]]</f>
        <v>31028.169893400001</v>
      </c>
      <c r="N95" s="40">
        <f>Tabla2[[#This Row],[VOO]]*0.01226</f>
        <v>6.6020099999999999</v>
      </c>
      <c r="O95" s="40">
        <f>Tabla2[[#This Row],[VALOR INVERSION 4]]-6.6</f>
        <v>2.0100000000002893E-3</v>
      </c>
      <c r="P95" s="40">
        <f>Tabla2[[#This Row],[VALOR INVERSION 4]]*Tabla2[[#This Row],[PRECIO DEL DÓLAR]]</f>
        <v>29626.585895100001</v>
      </c>
    </row>
    <row r="96" spans="2:16">
      <c r="B96" s="1">
        <v>45614</v>
      </c>
      <c r="C96" s="8">
        <f>VLOOKUP(B96,Tabla4[],2,FALSE)</f>
        <v>4407.41</v>
      </c>
      <c r="D96" s="24">
        <v>540.73</v>
      </c>
      <c r="E96" s="8">
        <f t="shared" si="13"/>
        <v>8.2082814000000006</v>
      </c>
      <c r="F96" s="8">
        <f>Tabla2[[#This Row],[VALOR INVERSION 1]]-7.7</f>
        <v>0.50828140000000044</v>
      </c>
      <c r="G96" s="8">
        <f>Tabla2[[#This Row],[VALOR INVERSION 1]]*Tabla2[[#This Row],[PRECIO DEL DÓLAR]]</f>
        <v>36177.261525173999</v>
      </c>
      <c r="H96" s="8">
        <f>Tabla2[[#This Row],[VOO]]*0.01527</f>
        <v>8.2569471000000014</v>
      </c>
      <c r="I96" s="8">
        <f>Tabla2[[#This Row],[VALOR INVERSION 2]]-7.9</f>
        <v>0.35694710000000107</v>
      </c>
      <c r="J96" s="8">
        <f>Tabla2[[#This Row],[VALOR INVERSION 2]]*Tabla2[[#This Row],[PRECIO DEL DÓLAR]]</f>
        <v>36391.751218011006</v>
      </c>
      <c r="K96" s="8">
        <f>Tabla2[[#This Row],[VOO]]*0.01284</f>
        <v>6.9429732000000008</v>
      </c>
      <c r="L96" s="8">
        <f>Tabla2[[#This Row],[VALOR INVERSION 3]]-6.9</f>
        <v>4.2973200000000489E-2</v>
      </c>
      <c r="M96" s="8">
        <f>Tabla2[[#This Row],[VALOR INVERSION 3]]*Tabla2[[#This Row],[PRECIO DEL DÓLAR]]</f>
        <v>30600.529511412002</v>
      </c>
      <c r="N96" s="8">
        <f>Tabla2[[#This Row],[VOO]]*0.01226</f>
        <v>6.6293498</v>
      </c>
      <c r="O96" s="8">
        <f>Tabla2[[#This Row],[VALOR INVERSION 4]]-6.6</f>
        <v>2.9349800000000315E-2</v>
      </c>
      <c r="P96" s="8">
        <f>Tabla2[[#This Row],[VALOR INVERSION 4]]*Tabla2[[#This Row],[PRECIO DEL DÓLAR]]</f>
        <v>29218.262602018</v>
      </c>
    </row>
    <row r="97" spans="2:16">
      <c r="B97" s="1">
        <v>45615</v>
      </c>
      <c r="C97" s="8">
        <f>VLOOKUP(B97,Tabla4[],2,FALSE)</f>
        <v>4421.08</v>
      </c>
      <c r="D97" s="24">
        <v>542.70000000000005</v>
      </c>
      <c r="E97" s="8">
        <f t="shared" ref="E97:E102" si="14">0.01518 * D97</f>
        <v>8.2381860000000007</v>
      </c>
      <c r="F97" s="8">
        <f>Tabla2[[#This Row],[VALOR INVERSION 1]]-7.7</f>
        <v>0.5381860000000005</v>
      </c>
      <c r="G97" s="8">
        <f>Tabla2[[#This Row],[VALOR INVERSION 1]]*Tabla2[[#This Row],[PRECIO DEL DÓLAR]]</f>
        <v>36421.67936088</v>
      </c>
      <c r="H97" s="8">
        <f>Tabla2[[#This Row],[VOO]]*0.01527</f>
        <v>8.2870290000000004</v>
      </c>
      <c r="I97" s="8">
        <f>Tabla2[[#This Row],[VALOR INVERSION 2]]-7.9</f>
        <v>0.38702900000000007</v>
      </c>
      <c r="J97" s="8">
        <f>Tabla2[[#This Row],[VALOR INVERSION 2]]*Tabla2[[#This Row],[PRECIO DEL DÓLAR]]</f>
        <v>36637.618171319999</v>
      </c>
      <c r="K97" s="8">
        <f>Tabla2[[#This Row],[VOO]]*0.01284</f>
        <v>6.968268000000001</v>
      </c>
      <c r="L97" s="8">
        <f>Tabla2[[#This Row],[VALOR INVERSION 3]]-6.9</f>
        <v>6.8268000000000661E-2</v>
      </c>
      <c r="M97" s="8">
        <f>Tabla2[[#This Row],[VALOR INVERSION 3]]*Tabla2[[#This Row],[PRECIO DEL DÓLAR]]</f>
        <v>30807.270289440003</v>
      </c>
      <c r="N97" s="8">
        <f>Tabla2[[#This Row],[VOO]]*0.01226</f>
        <v>6.6535020000000005</v>
      </c>
      <c r="O97" s="8">
        <f>Tabla2[[#This Row],[VALOR INVERSION 4]]-6.6</f>
        <v>5.3502000000000827E-2</v>
      </c>
      <c r="P97" s="8">
        <f>Tabla2[[#This Row],[VALOR INVERSION 4]]*Tabla2[[#This Row],[PRECIO DEL DÓLAR]]</f>
        <v>29415.664622160002</v>
      </c>
    </row>
    <row r="98" spans="2:16">
      <c r="B98" s="1">
        <v>45616</v>
      </c>
      <c r="C98" s="8">
        <f>VLOOKUP(B98,Tabla4[],2,FALSE)</f>
        <v>4405.5600000000004</v>
      </c>
      <c r="D98" s="24">
        <v>542.9</v>
      </c>
      <c r="E98" s="8">
        <f t="shared" si="14"/>
        <v>8.2412220000000005</v>
      </c>
      <c r="F98" s="8">
        <f>Tabla2[[#This Row],[VALOR INVERSION 1]]-7.7</f>
        <v>0.54122200000000031</v>
      </c>
      <c r="G98" s="8">
        <f>Tabla2[[#This Row],[VALOR INVERSION 1]]*Tabla2[[#This Row],[PRECIO DEL DÓLAR]]</f>
        <v>36307.197994320006</v>
      </c>
      <c r="H98" s="8">
        <f>Tabla2[[#This Row],[VOO]]*0.01527</f>
        <v>8.2900829999999992</v>
      </c>
      <c r="I98" s="8">
        <f>Tabla2[[#This Row],[VALOR INVERSION 2]]-7.9</f>
        <v>0.39008299999999885</v>
      </c>
      <c r="J98" s="8">
        <f>Tabla2[[#This Row],[VALOR INVERSION 2]]*Tabla2[[#This Row],[PRECIO DEL DÓLAR]]</f>
        <v>36522.45806148</v>
      </c>
      <c r="K98" s="8">
        <f>Tabla2[[#This Row],[VOO]]*0.01284</f>
        <v>6.9708360000000003</v>
      </c>
      <c r="L98" s="8">
        <f>Tabla2[[#This Row],[VALOR INVERSION 3]]-6.9</f>
        <v>7.0835999999999899E-2</v>
      </c>
      <c r="M98" s="8">
        <f>Tabla2[[#This Row],[VALOR INVERSION 3]]*Tabla2[[#This Row],[PRECIO DEL DÓLAR]]</f>
        <v>30710.436248160004</v>
      </c>
      <c r="N98" s="8">
        <f>Tabla2[[#This Row],[VOO]]*0.01226</f>
        <v>6.6559539999999995</v>
      </c>
      <c r="O98" s="8">
        <f>Tabla2[[#This Row],[VALOR INVERSION 4]]-6.6</f>
        <v>5.5953999999999837E-2</v>
      </c>
      <c r="P98" s="8">
        <f>Tabla2[[#This Row],[VALOR INVERSION 4]]*Tabla2[[#This Row],[PRECIO DEL DÓLAR]]</f>
        <v>29323.204704240001</v>
      </c>
    </row>
    <row r="99" spans="2:16">
      <c r="B99" s="1">
        <v>45617</v>
      </c>
      <c r="C99" s="8">
        <f>VLOOKUP(B99,Tabla4[],2,FALSE)</f>
        <v>4414.34</v>
      </c>
      <c r="D99" s="24">
        <v>545.64</v>
      </c>
      <c r="E99" s="8">
        <f t="shared" si="14"/>
        <v>8.2828151999999999</v>
      </c>
      <c r="F99" s="8">
        <f>Tabla2[[#This Row],[VALOR INVERSION 1]]-7.7</f>
        <v>0.58281519999999976</v>
      </c>
      <c r="G99" s="8">
        <f>Tabla2[[#This Row],[VALOR INVERSION 1]]*Tabla2[[#This Row],[PRECIO DEL DÓLAR]]</f>
        <v>36563.162449968004</v>
      </c>
      <c r="H99" s="8">
        <f>Tabla2[[#This Row],[VOO]]*0.01527</f>
        <v>8.331922800000001</v>
      </c>
      <c r="I99" s="8">
        <f>Tabla2[[#This Row],[VALOR INVERSION 2]]-7.9</f>
        <v>0.43192280000000061</v>
      </c>
      <c r="J99" s="8">
        <f>Tabla2[[#This Row],[VALOR INVERSION 2]]*Tabla2[[#This Row],[PRECIO DEL DÓLAR]]</f>
        <v>36779.940092952005</v>
      </c>
      <c r="K99" s="8">
        <f>Tabla2[[#This Row],[VOO]]*0.01284</f>
        <v>7.0060175999999998</v>
      </c>
      <c r="L99" s="8">
        <f>Tabla2[[#This Row],[VALOR INVERSION 3]]-6.9</f>
        <v>0.10601759999999949</v>
      </c>
      <c r="M99" s="8">
        <f>Tabla2[[#This Row],[VALOR INVERSION 3]]*Tabla2[[#This Row],[PRECIO DEL DÓLAR]]</f>
        <v>30926.943732383999</v>
      </c>
      <c r="N99" s="8">
        <f>Tabla2[[#This Row],[VOO]]*0.01226</f>
        <v>6.6895464000000002</v>
      </c>
      <c r="O99" s="8">
        <f>Tabla2[[#This Row],[VALOR INVERSION 4]]-6.6</f>
        <v>8.9546400000000581E-2</v>
      </c>
      <c r="P99" s="8">
        <f>Tabla2[[#This Row],[VALOR INVERSION 4]]*Tabla2[[#This Row],[PRECIO DEL DÓLAR]]</f>
        <v>29529.932255376003</v>
      </c>
    </row>
    <row r="100" spans="2:16">
      <c r="B100" s="1">
        <v>45618</v>
      </c>
      <c r="C100" s="8">
        <f>VLOOKUP(B100,Tabla4[],2,FALSE)</f>
        <v>4438.78</v>
      </c>
      <c r="D100" s="24">
        <v>547.47</v>
      </c>
      <c r="E100" s="8">
        <f t="shared" si="14"/>
        <v>8.3105946000000017</v>
      </c>
      <c r="F100" s="8">
        <f>Tabla2[[#This Row],[VALOR INVERSION 1]]-7.7</f>
        <v>0.61059460000000154</v>
      </c>
      <c r="G100" s="8">
        <f>Tabla2[[#This Row],[VALOR INVERSION 1]]*Tabla2[[#This Row],[PRECIO DEL DÓLAR]]</f>
        <v>36888.901098588009</v>
      </c>
      <c r="H100" s="8">
        <f>Tabla2[[#This Row],[VOO]]*0.01527</f>
        <v>8.3598669000000001</v>
      </c>
      <c r="I100" s="8">
        <f>Tabla2[[#This Row],[VALOR INVERSION 2]]-7.9</f>
        <v>0.45986689999999975</v>
      </c>
      <c r="J100" s="8">
        <f>Tabla2[[#This Row],[VALOR INVERSION 2]]*Tabla2[[#This Row],[PRECIO DEL DÓLAR]]</f>
        <v>37107.609998381995</v>
      </c>
      <c r="K100" s="8">
        <f>Tabla2[[#This Row],[VOO]]*0.01284</f>
        <v>7.0295148000000012</v>
      </c>
      <c r="L100" s="8">
        <f>Tabla2[[#This Row],[VALOR INVERSION 3]]-6.9</f>
        <v>0.12951480000000082</v>
      </c>
      <c r="M100" s="8">
        <f>Tabla2[[#This Row],[VALOR INVERSION 3]]*Tabla2[[#This Row],[PRECIO DEL DÓLAR]]</f>
        <v>31202.469703944003</v>
      </c>
      <c r="N100" s="8">
        <f>Tabla2[[#This Row],[VOO]]*0.01226</f>
        <v>6.7119822000000005</v>
      </c>
      <c r="O100" s="8">
        <f>Tabla2[[#This Row],[VALOR INVERSION 4]]-6.6</f>
        <v>0.11198220000000081</v>
      </c>
      <c r="P100" s="8">
        <f>Tabla2[[#This Row],[VALOR INVERSION 4]]*Tabla2[[#This Row],[PRECIO DEL DÓLAR]]</f>
        <v>29793.012349716002</v>
      </c>
    </row>
    <row r="101" spans="2:16">
      <c r="B101" s="1">
        <v>45621</v>
      </c>
      <c r="C101" s="8">
        <f>VLOOKUP(B101,Tabla4[],2,FALSE)</f>
        <v>4362.95</v>
      </c>
      <c r="D101" s="24">
        <v>549.23</v>
      </c>
      <c r="E101" s="8">
        <f t="shared" si="14"/>
        <v>8.3373114000000008</v>
      </c>
      <c r="F101" s="8">
        <f>Tabla2[[#This Row],[VALOR INVERSION 1]]-7.7</f>
        <v>0.63731140000000064</v>
      </c>
      <c r="G101" s="8">
        <f>Tabla2[[#This Row],[VALOR INVERSION 1]]*Tabla2[[#This Row],[PRECIO DEL DÓLAR]]</f>
        <v>36375.27277263</v>
      </c>
      <c r="H101" s="8">
        <f>Tabla2[[#This Row],[VOO]]*0.01527</f>
        <v>8.3867421000000011</v>
      </c>
      <c r="I101" s="8">
        <f>Tabla2[[#This Row],[VALOR INVERSION 2]]-7.9</f>
        <v>0.48674210000000073</v>
      </c>
      <c r="J101" s="8">
        <f>Tabla2[[#This Row],[VALOR INVERSION 2]]*Tabla2[[#This Row],[PRECIO DEL DÓLAR]]</f>
        <v>36590.936445195002</v>
      </c>
      <c r="K101" s="8">
        <f>Tabla2[[#This Row],[VOO]]*0.01284</f>
        <v>7.0521132000000009</v>
      </c>
      <c r="L101" s="8">
        <f>Tabla2[[#This Row],[VALOR INVERSION 3]]-6.9</f>
        <v>0.1521132000000005</v>
      </c>
      <c r="M101" s="8">
        <f>Tabla2[[#This Row],[VALOR INVERSION 3]]*Tabla2[[#This Row],[PRECIO DEL DÓLAR]]</f>
        <v>30768.017285940001</v>
      </c>
      <c r="N101" s="8">
        <f>Tabla2[[#This Row],[VOO]]*0.01226</f>
        <v>6.7335598000000001</v>
      </c>
      <c r="O101" s="8">
        <f>Tabla2[[#This Row],[VALOR INVERSION 4]]-6.6</f>
        <v>0.13355980000000045</v>
      </c>
      <c r="P101" s="8">
        <f>Tabla2[[#This Row],[VALOR INVERSION 4]]*Tabla2[[#This Row],[PRECIO DEL DÓLAR]]</f>
        <v>29378.184729410001</v>
      </c>
    </row>
    <row r="102" spans="2:16">
      <c r="B102" s="1">
        <v>45622</v>
      </c>
      <c r="C102" s="8">
        <f>VLOOKUP(B102,Tabla4[],2,FALSE)</f>
        <v>4399.41</v>
      </c>
      <c r="D102" s="24">
        <v>552.30999999999995</v>
      </c>
      <c r="E102" s="8">
        <f t="shared" si="14"/>
        <v>8.3840658000000001</v>
      </c>
      <c r="F102" s="8">
        <f>Tabla2[[#This Row],[VALOR INVERSION 1]]-7.7</f>
        <v>0.68406579999999995</v>
      </c>
      <c r="G102" s="8">
        <f>Tabla2[[#This Row],[VALOR INVERSION 1]]*Tabla2[[#This Row],[PRECIO DEL DÓLAR]]</f>
        <v>36884.942921178001</v>
      </c>
      <c r="H102" s="8">
        <f>Tabla2[[#This Row],[VOO]]*0.01527</f>
        <v>8.4337736999999997</v>
      </c>
      <c r="I102" s="8">
        <f>Tabla2[[#This Row],[VALOR INVERSION 2]]-7.9</f>
        <v>0.53377369999999935</v>
      </c>
      <c r="J102" s="8">
        <f>Tabla2[[#This Row],[VALOR INVERSION 2]]*Tabla2[[#This Row],[PRECIO DEL DÓLAR]]</f>
        <v>37103.628353517001</v>
      </c>
      <c r="K102" s="8">
        <f>Tabla2[[#This Row],[VOO]]*0.01284</f>
        <v>7.0916603999999994</v>
      </c>
      <c r="L102" s="8">
        <f>Tabla2[[#This Row],[VALOR INVERSION 3]]-6.9</f>
        <v>0.19166039999999906</v>
      </c>
      <c r="M102" s="8">
        <f>Tabla2[[#This Row],[VALOR INVERSION 3]]*Tabla2[[#This Row],[PRECIO DEL DÓLAR]]</f>
        <v>31199.121680363998</v>
      </c>
      <c r="N102" s="8">
        <f>Tabla2[[#This Row],[VOO]]*0.01226</f>
        <v>6.7713205999999992</v>
      </c>
      <c r="O102" s="8">
        <f>Tabla2[[#This Row],[VALOR INVERSION 4]]-6.6</f>
        <v>0.1713205999999996</v>
      </c>
      <c r="P102" s="8">
        <f>Tabla2[[#This Row],[VALOR INVERSION 4]]*Tabla2[[#This Row],[PRECIO DEL DÓLAR]]</f>
        <v>29789.815560845997</v>
      </c>
    </row>
    <row r="103" spans="2:16">
      <c r="B103" s="1">
        <v>45623</v>
      </c>
      <c r="C103" s="8">
        <f>VLOOKUP(B103,Tabla4[],2,FALSE)</f>
        <v>4379.28</v>
      </c>
      <c r="D103" s="24">
        <v>550.54999999999995</v>
      </c>
      <c r="E103" s="8">
        <f t="shared" ref="E103:E108" si="15">0.01518 * D103</f>
        <v>8.3573489999999993</v>
      </c>
      <c r="F103" s="8">
        <f>Tabla2[[#This Row],[VALOR INVERSION 1]]-7.7</f>
        <v>0.65734899999999907</v>
      </c>
      <c r="G103" s="8">
        <f>Tabla2[[#This Row],[VALOR INVERSION 1]]*Tabla2[[#This Row],[PRECIO DEL DÓLAR]]</f>
        <v>36599.171328719996</v>
      </c>
      <c r="H103" s="8">
        <f>Tabla2[[#This Row],[VOO]]*0.01527</f>
        <v>8.4068985000000005</v>
      </c>
      <c r="I103" s="8">
        <f>Tabla2[[#This Row],[VALOR INVERSION 2]]-7.9</f>
        <v>0.50689850000000014</v>
      </c>
      <c r="J103" s="8">
        <f>Tabla2[[#This Row],[VALOR INVERSION 2]]*Tabla2[[#This Row],[PRECIO DEL DÓLAR]]</f>
        <v>36816.16246308</v>
      </c>
      <c r="K103" s="8">
        <f>Tabla2[[#This Row],[VOO]]*0.01284</f>
        <v>7.0690619999999997</v>
      </c>
      <c r="L103" s="8">
        <f>Tabla2[[#This Row],[VALOR INVERSION 3]]-6.9</f>
        <v>0.16906199999999938</v>
      </c>
      <c r="M103" s="8">
        <f>Tabla2[[#This Row],[VALOR INVERSION 3]]*Tabla2[[#This Row],[PRECIO DEL DÓLAR]]</f>
        <v>30957.401835359997</v>
      </c>
      <c r="N103" s="8">
        <f>Tabla2[[#This Row],[VOO]]*0.01226</f>
        <v>6.7497429999999996</v>
      </c>
      <c r="O103" s="8">
        <f>Tabla2[[#This Row],[VALOR INVERSION 4]]-6.6</f>
        <v>0.14974299999999996</v>
      </c>
      <c r="P103" s="8">
        <f>Tabla2[[#This Row],[VALOR INVERSION 4]]*Tabla2[[#This Row],[PRECIO DEL DÓLAR]]</f>
        <v>29559.014525039998</v>
      </c>
    </row>
    <row r="104" spans="2:16">
      <c r="B104" s="1">
        <v>45624</v>
      </c>
      <c r="C104" s="8">
        <f>VLOOKUP(B104,Tabla4[],2,FALSE)</f>
        <v>4390.7299999999996</v>
      </c>
      <c r="D104" s="24">
        <v>550.54999999999995</v>
      </c>
      <c r="E104" s="8">
        <f t="shared" si="15"/>
        <v>8.3573489999999993</v>
      </c>
      <c r="F104" s="8">
        <f>Tabla2[[#This Row],[VALOR INVERSION 1]]-7.7</f>
        <v>0.65734899999999907</v>
      </c>
      <c r="G104" s="8">
        <f>Tabla2[[#This Row],[VALOR INVERSION 1]]*Tabla2[[#This Row],[PRECIO DEL DÓLAR]]</f>
        <v>36694.862974769996</v>
      </c>
      <c r="H104" s="8">
        <f>Tabla2[[#This Row],[VOO]]*0.01527</f>
        <v>8.4068985000000005</v>
      </c>
      <c r="I104" s="8">
        <f>Tabla2[[#This Row],[VALOR INVERSION 2]]-7.9</f>
        <v>0.50689850000000014</v>
      </c>
      <c r="J104" s="8">
        <f>Tabla2[[#This Row],[VALOR INVERSION 2]]*Tabla2[[#This Row],[PRECIO DEL DÓLAR]]</f>
        <v>36912.421450905</v>
      </c>
      <c r="K104" s="8">
        <f>Tabla2[[#This Row],[VOO]]*0.01284</f>
        <v>7.0690619999999997</v>
      </c>
      <c r="L104" s="8">
        <f>Tabla2[[#This Row],[VALOR INVERSION 3]]-6.9</f>
        <v>0.16906199999999938</v>
      </c>
      <c r="M104" s="8">
        <f>Tabla2[[#This Row],[VALOR INVERSION 3]]*Tabla2[[#This Row],[PRECIO DEL DÓLAR]]</f>
        <v>31038.342595259997</v>
      </c>
      <c r="N104" s="8">
        <f>Tabla2[[#This Row],[VOO]]*0.01226</f>
        <v>6.7497429999999996</v>
      </c>
      <c r="O104" s="8">
        <f>Tabla2[[#This Row],[VALOR INVERSION 4]]-6.6</f>
        <v>0.14974299999999996</v>
      </c>
      <c r="P104" s="8">
        <f>Tabla2[[#This Row],[VALOR INVERSION 4]]*Tabla2[[#This Row],[PRECIO DEL DÓLAR]]</f>
        <v>29636.299082389996</v>
      </c>
    </row>
    <row r="105" spans="2:16">
      <c r="B105" s="1">
        <v>45625</v>
      </c>
      <c r="C105" s="8">
        <f>VLOOKUP(B105,Tabla4[],2,FALSE)</f>
        <v>4378.58</v>
      </c>
      <c r="D105" s="24">
        <v>553.45000000000005</v>
      </c>
      <c r="E105" s="8">
        <f t="shared" si="15"/>
        <v>8.401371000000001</v>
      </c>
      <c r="F105" s="8">
        <f>Tabla2[[#This Row],[VALOR INVERSION 1]]-7.7</f>
        <v>0.70137100000000085</v>
      </c>
      <c r="G105" s="8">
        <f>Tabla2[[#This Row],[VALOR INVERSION 1]]*Tabla2[[#This Row],[PRECIO DEL DÓLAR]]</f>
        <v>36786.075033180001</v>
      </c>
      <c r="H105" s="8">
        <f>Tabla2[[#This Row],[VOO]]*0.01527</f>
        <v>8.4511815000000006</v>
      </c>
      <c r="I105" s="8">
        <f>Tabla2[[#This Row],[VALOR INVERSION 2]]-7.9</f>
        <v>0.55118150000000021</v>
      </c>
      <c r="J105" s="8">
        <f>Tabla2[[#This Row],[VALOR INVERSION 2]]*Tabla2[[#This Row],[PRECIO DEL DÓLAR]]</f>
        <v>37004.17429227</v>
      </c>
      <c r="K105" s="8">
        <f>Tabla2[[#This Row],[VOO]]*0.01284</f>
        <v>7.1062980000000007</v>
      </c>
      <c r="L105" s="8">
        <f>Tabla2[[#This Row],[VALOR INVERSION 3]]-6.9</f>
        <v>0.20629800000000031</v>
      </c>
      <c r="M105" s="8">
        <f>Tabla2[[#This Row],[VALOR INVERSION 3]]*Tabla2[[#This Row],[PRECIO DEL DÓLAR]]</f>
        <v>31115.494296840003</v>
      </c>
      <c r="N105" s="8">
        <f>Tabla2[[#This Row],[VOO]]*0.01226</f>
        <v>6.7852970000000008</v>
      </c>
      <c r="O105" s="8">
        <f>Tabla2[[#This Row],[VALOR INVERSION 4]]-6.6</f>
        <v>0.18529700000000116</v>
      </c>
      <c r="P105" s="8">
        <f>Tabla2[[#This Row],[VALOR INVERSION 4]]*Tabla2[[#This Row],[PRECIO DEL DÓLAR]]</f>
        <v>29709.965738260002</v>
      </c>
    </row>
    <row r="106" spans="2:16">
      <c r="B106" s="1">
        <v>45628</v>
      </c>
      <c r="C106" s="8">
        <f>VLOOKUP(B106,Tabla4[],2,FALSE)</f>
        <v>4398.53</v>
      </c>
      <c r="D106" s="24">
        <v>555.01</v>
      </c>
      <c r="E106" s="8">
        <f t="shared" si="15"/>
        <v>8.4250518000000003</v>
      </c>
      <c r="F106" s="8">
        <f>Tabla2[[#This Row],[VALOR INVERSION 1]]-7.7</f>
        <v>0.72505180000000014</v>
      </c>
      <c r="G106" s="8">
        <f>Tabla2[[#This Row],[VALOR INVERSION 1]]*Tabla2[[#This Row],[PRECIO DEL DÓLAR]]</f>
        <v>37057.843093853997</v>
      </c>
      <c r="H106" s="8">
        <f>Tabla2[[#This Row],[VOO]]*0.01527</f>
        <v>8.475002700000001</v>
      </c>
      <c r="I106" s="8">
        <f>Tabla2[[#This Row],[VALOR INVERSION 2]]-7.9</f>
        <v>0.57500270000000064</v>
      </c>
      <c r="J106" s="8">
        <f>Tabla2[[#This Row],[VALOR INVERSION 2]]*Tabla2[[#This Row],[PRECIO DEL DÓLAR]]</f>
        <v>37277.553626031004</v>
      </c>
      <c r="K106" s="8">
        <f>Tabla2[[#This Row],[VOO]]*0.01284</f>
        <v>7.1263284000000002</v>
      </c>
      <c r="L106" s="8">
        <f>Tabla2[[#This Row],[VALOR INVERSION 3]]-6.9</f>
        <v>0.22632839999999987</v>
      </c>
      <c r="M106" s="8">
        <f>Tabla2[[#This Row],[VALOR INVERSION 3]]*Tabla2[[#This Row],[PRECIO DEL DÓLAR]]</f>
        <v>31345.369257251998</v>
      </c>
      <c r="N106" s="8">
        <f>Tabla2[[#This Row],[VOO]]*0.01226</f>
        <v>6.8044225999999997</v>
      </c>
      <c r="O106" s="8">
        <f>Tabla2[[#This Row],[VALOR INVERSION 4]]-6.6</f>
        <v>0.20442260000000001</v>
      </c>
      <c r="P106" s="8">
        <f>Tabla2[[#This Row],[VALOR INVERSION 4]]*Tabla2[[#This Row],[PRECIO DEL DÓLAR]]</f>
        <v>29929.456938777996</v>
      </c>
    </row>
    <row r="107" spans="2:16">
      <c r="B107" s="1">
        <v>45629</v>
      </c>
      <c r="C107" s="8">
        <f>VLOOKUP(B107,Tabla4[],2,FALSE)</f>
        <v>4438.1000000000004</v>
      </c>
      <c r="D107" s="24">
        <v>555.14</v>
      </c>
      <c r="E107" s="8">
        <f t="shared" si="15"/>
        <v>8.427025200000001</v>
      </c>
      <c r="F107" s="8">
        <f>Tabla2[[#This Row],[VALOR INVERSION 1]]-7.7</f>
        <v>0.72702520000000082</v>
      </c>
      <c r="G107" s="8">
        <f>Tabla2[[#This Row],[VALOR INVERSION 1]]*Tabla2[[#This Row],[PRECIO DEL DÓLAR]]</f>
        <v>37399.980540120006</v>
      </c>
      <c r="H107" s="8">
        <f>Tabla2[[#This Row],[VOO]]*0.01527</f>
        <v>8.4769877999999999</v>
      </c>
      <c r="I107" s="8">
        <f>Tabla2[[#This Row],[VALOR INVERSION 2]]-7.9</f>
        <v>0.5769877999999995</v>
      </c>
      <c r="J107" s="8">
        <f>Tabla2[[#This Row],[VALOR INVERSION 2]]*Tabla2[[#This Row],[PRECIO DEL DÓLAR]]</f>
        <v>37621.719555180003</v>
      </c>
      <c r="K107" s="8">
        <f>Tabla2[[#This Row],[VOO]]*0.01284</f>
        <v>7.1279976000000005</v>
      </c>
      <c r="L107" s="8">
        <f>Tabla2[[#This Row],[VALOR INVERSION 3]]-6.9</f>
        <v>0.22799760000000013</v>
      </c>
      <c r="M107" s="8">
        <f>Tabla2[[#This Row],[VALOR INVERSION 3]]*Tabla2[[#This Row],[PRECIO DEL DÓLAR]]</f>
        <v>31634.766148560004</v>
      </c>
      <c r="N107" s="8">
        <f>Tabla2[[#This Row],[VOO]]*0.01226</f>
        <v>6.8060163999999999</v>
      </c>
      <c r="O107" s="8">
        <f>Tabla2[[#This Row],[VALOR INVERSION 4]]-6.6</f>
        <v>0.20601640000000021</v>
      </c>
      <c r="P107" s="8">
        <f>Tabla2[[#This Row],[VALOR INVERSION 4]]*Tabla2[[#This Row],[PRECIO DEL DÓLAR]]</f>
        <v>30205.78138484</v>
      </c>
    </row>
    <row r="108" spans="2:16">
      <c r="B108" s="1">
        <v>45630</v>
      </c>
      <c r="C108" s="8">
        <f>VLOOKUP(B108,Tabla4[],2,FALSE)</f>
        <v>4443.45</v>
      </c>
      <c r="D108" s="24">
        <v>558.64</v>
      </c>
      <c r="E108" s="8">
        <f t="shared" si="15"/>
        <v>8.4801552000000004</v>
      </c>
      <c r="F108" s="8">
        <f>Tabla2[[#This Row],[VALOR INVERSION 1]]-7.7</f>
        <v>0.78015520000000027</v>
      </c>
      <c r="G108" s="8">
        <f>Tabla2[[#This Row],[VALOR INVERSION 1]]*Tabla2[[#This Row],[PRECIO DEL DÓLAR]]</f>
        <v>37681.145623440003</v>
      </c>
      <c r="H108" s="8">
        <f>Tabla2[[#This Row],[VOO]]*0.01527</f>
        <v>8.5304327999999998</v>
      </c>
      <c r="I108" s="8">
        <f>Tabla2[[#This Row],[VALOR INVERSION 2]]-7.9</f>
        <v>0.63043279999999946</v>
      </c>
      <c r="J108" s="8">
        <f>Tabla2[[#This Row],[VALOR INVERSION 2]]*Tabla2[[#This Row],[PRECIO DEL DÓLAR]]</f>
        <v>37904.551625159998</v>
      </c>
      <c r="K108" s="8">
        <f>Tabla2[[#This Row],[VOO]]*0.01284</f>
        <v>7.1729376</v>
      </c>
      <c r="L108" s="8">
        <f>Tabla2[[#This Row],[VALOR INVERSION 3]]-6.9</f>
        <v>0.27293759999999967</v>
      </c>
      <c r="M108" s="8">
        <f>Tabla2[[#This Row],[VALOR INVERSION 3]]*Tabla2[[#This Row],[PRECIO DEL DÓLAR]]</f>
        <v>31872.589578719999</v>
      </c>
      <c r="N108" s="8">
        <f>Tabla2[[#This Row],[VOO]]*0.01226</f>
        <v>6.8489263999999999</v>
      </c>
      <c r="O108" s="8">
        <f>Tabla2[[#This Row],[VALOR INVERSION 4]]-6.6</f>
        <v>0.24892640000000021</v>
      </c>
      <c r="P108" s="8">
        <f>Tabla2[[#This Row],[VALOR INVERSION 4]]*Tabla2[[#This Row],[PRECIO DEL DÓLAR]]</f>
        <v>30432.862012079997</v>
      </c>
    </row>
    <row r="109" spans="2:16">
      <c r="B109" s="1">
        <v>45631</v>
      </c>
      <c r="C109" s="8">
        <f>VLOOKUP(B109,Tabla4[],2,FALSE)</f>
        <v>4427.9399999999996</v>
      </c>
      <c r="D109" s="24">
        <v>557.71</v>
      </c>
      <c r="E109" s="8">
        <f t="shared" ref="E109:E116" si="16">0.01518 * D109</f>
        <v>8.4660378000000005</v>
      </c>
      <c r="F109" s="8">
        <f>Tabla2[[#This Row],[VALOR INVERSION 1]]-7.7</f>
        <v>0.76603780000000032</v>
      </c>
      <c r="G109" s="8">
        <f>Tabla2[[#This Row],[VALOR INVERSION 1]]*Tabla2[[#This Row],[PRECIO DEL DÓLAR]]</f>
        <v>37487.107416131999</v>
      </c>
      <c r="H109" s="8">
        <f>Tabla2[[#This Row],[VOO]]*0.01527</f>
        <v>8.5162317000000005</v>
      </c>
      <c r="I109" s="8">
        <f>Tabla2[[#This Row],[VALOR INVERSION 2]]-7.9</f>
        <v>0.61623170000000016</v>
      </c>
      <c r="J109" s="8">
        <f>Tabla2[[#This Row],[VALOR INVERSION 2]]*Tabla2[[#This Row],[PRECIO DEL DÓLAR]]</f>
        <v>37709.362993698</v>
      </c>
      <c r="K109" s="8">
        <f>Tabla2[[#This Row],[VOO]]*0.01284</f>
        <v>7.160996400000001</v>
      </c>
      <c r="L109" s="8">
        <f>Tabla2[[#This Row],[VALOR INVERSION 3]]-6.9</f>
        <v>0.26099640000000068</v>
      </c>
      <c r="M109" s="8">
        <f>Tabla2[[#This Row],[VALOR INVERSION 3]]*Tabla2[[#This Row],[PRECIO DEL DÓLAR]]</f>
        <v>31708.462399416003</v>
      </c>
      <c r="N109" s="8">
        <f>Tabla2[[#This Row],[VOO]]*0.01226</f>
        <v>6.8375246000000001</v>
      </c>
      <c r="O109" s="8">
        <f>Tabla2[[#This Row],[VALOR INVERSION 4]]-6.6</f>
        <v>0.23752460000000042</v>
      </c>
      <c r="P109" s="8">
        <f>Tabla2[[#This Row],[VALOR INVERSION 4]]*Tabla2[[#This Row],[PRECIO DEL DÓLAR]]</f>
        <v>30276.148677323996</v>
      </c>
    </row>
    <row r="110" spans="2:16">
      <c r="B110" s="1">
        <v>45632</v>
      </c>
      <c r="C110" s="8">
        <f>VLOOKUP(B110,Tabla4[],2,FALSE)</f>
        <v>4424.18</v>
      </c>
      <c r="D110" s="24">
        <v>558.82000000000005</v>
      </c>
      <c r="E110" s="8">
        <f t="shared" si="16"/>
        <v>8.4828876000000015</v>
      </c>
      <c r="F110" s="8">
        <f>Tabla2[[#This Row],[VALOR INVERSION 1]]-7.7</f>
        <v>0.78288760000000135</v>
      </c>
      <c r="G110" s="8">
        <f>Tabla2[[#This Row],[VALOR INVERSION 1]]*Tabla2[[#This Row],[PRECIO DEL DÓLAR]]</f>
        <v>37529.821662168011</v>
      </c>
      <c r="H110" s="8">
        <f>Tabla2[[#This Row],[VOO]]*0.01527</f>
        <v>8.5331814000000019</v>
      </c>
      <c r="I110" s="8">
        <f>Tabla2[[#This Row],[VALOR INVERSION 2]]-7.9</f>
        <v>0.63318140000000156</v>
      </c>
      <c r="J110" s="8">
        <f>Tabla2[[#This Row],[VALOR INVERSION 2]]*Tabla2[[#This Row],[PRECIO DEL DÓLAR]]</f>
        <v>37752.330486252009</v>
      </c>
      <c r="K110" s="8">
        <f>Tabla2[[#This Row],[VOO]]*0.01284</f>
        <v>7.1752488000000012</v>
      </c>
      <c r="L110" s="8">
        <f>Tabla2[[#This Row],[VALOR INVERSION 3]]-6.9</f>
        <v>0.27524880000000085</v>
      </c>
      <c r="M110" s="8">
        <f>Tabla2[[#This Row],[VALOR INVERSION 3]]*Tabla2[[#This Row],[PRECIO DEL DÓLAR]]</f>
        <v>31744.592235984008</v>
      </c>
      <c r="N110" s="8">
        <f>Tabla2[[#This Row],[VOO]]*0.01226</f>
        <v>6.8511332000000005</v>
      </c>
      <c r="O110" s="8">
        <f>Tabla2[[#This Row],[VALOR INVERSION 4]]-6.6</f>
        <v>0.25113320000000083</v>
      </c>
      <c r="P110" s="8">
        <f>Tabla2[[#This Row],[VALOR INVERSION 4]]*Tabla2[[#This Row],[PRECIO DEL DÓLAR]]</f>
        <v>30310.646480776006</v>
      </c>
    </row>
    <row r="111" spans="2:16">
      <c r="B111" s="1">
        <v>45635</v>
      </c>
      <c r="C111" s="8">
        <f>VLOOKUP(B111,Tabla4[],2,FALSE)</f>
        <v>4426</v>
      </c>
      <c r="D111" s="24">
        <v>555.91</v>
      </c>
      <c r="E111" s="8">
        <f t="shared" si="16"/>
        <v>8.4387138000000004</v>
      </c>
      <c r="F111" s="8">
        <f>Tabla2[[#This Row],[VALOR INVERSION 1]]-7.7</f>
        <v>0.7387138000000002</v>
      </c>
      <c r="G111" s="8">
        <f>Tabla2[[#This Row],[VALOR INVERSION 1]]*Tabla2[[#This Row],[PRECIO DEL DÓLAR]]</f>
        <v>37349.747278800001</v>
      </c>
      <c r="H111" s="8">
        <f>Tabla2[[#This Row],[VOO]]*0.01527</f>
        <v>8.4887456999999991</v>
      </c>
      <c r="I111" s="8">
        <f>Tabla2[[#This Row],[VALOR INVERSION 2]]-7.9</f>
        <v>0.58874569999999871</v>
      </c>
      <c r="J111" s="8">
        <f>Tabla2[[#This Row],[VALOR INVERSION 2]]*Tabla2[[#This Row],[PRECIO DEL DÓLAR]]</f>
        <v>37571.188468199995</v>
      </c>
      <c r="K111" s="8">
        <f>Tabla2[[#This Row],[VOO]]*0.01284</f>
        <v>7.1378843999999999</v>
      </c>
      <c r="L111" s="8">
        <f>Tabla2[[#This Row],[VALOR INVERSION 3]]-6.9</f>
        <v>0.23788439999999955</v>
      </c>
      <c r="M111" s="8">
        <f>Tabla2[[#This Row],[VALOR INVERSION 3]]*Tabla2[[#This Row],[PRECIO DEL DÓLAR]]</f>
        <v>31592.276354400001</v>
      </c>
      <c r="N111" s="8">
        <f>Tabla2[[#This Row],[VOO]]*0.01226</f>
        <v>6.8154566000000001</v>
      </c>
      <c r="O111" s="8">
        <f>Tabla2[[#This Row],[VALOR INVERSION 4]]-6.6</f>
        <v>0.21545660000000044</v>
      </c>
      <c r="P111" s="8">
        <f>Tabla2[[#This Row],[VALOR INVERSION 4]]*Tabla2[[#This Row],[PRECIO DEL DÓLAR]]</f>
        <v>30165.210911599999</v>
      </c>
    </row>
    <row r="112" spans="2:16">
      <c r="B112" s="1">
        <v>45636</v>
      </c>
      <c r="C112" s="8">
        <f>VLOOKUP(B112,Tabla4[],2,FALSE)</f>
        <v>4422.58</v>
      </c>
      <c r="D112" s="24">
        <v>554.33000000000004</v>
      </c>
      <c r="E112" s="8">
        <f t="shared" si="16"/>
        <v>8.4147294000000006</v>
      </c>
      <c r="F112" s="8">
        <f>Tabla2[[#This Row],[VALOR INVERSION 1]]-7.7</f>
        <v>0.7147294000000004</v>
      </c>
      <c r="G112" s="8">
        <f>Tabla2[[#This Row],[VALOR INVERSION 1]]*Tabla2[[#This Row],[PRECIO DEL DÓLAR]]</f>
        <v>37214.813949852003</v>
      </c>
      <c r="H112" s="8">
        <f>Tabla2[[#This Row],[VOO]]*0.01527</f>
        <v>8.4646191000000002</v>
      </c>
      <c r="I112" s="8">
        <f>Tabla2[[#This Row],[VALOR INVERSION 2]]-7.9</f>
        <v>0.56461909999999982</v>
      </c>
      <c r="J112" s="8">
        <f>Tabla2[[#This Row],[VALOR INVERSION 2]]*Tabla2[[#This Row],[PRECIO DEL DÓLAR]]</f>
        <v>37435.455139277998</v>
      </c>
      <c r="K112" s="8">
        <f>Tabla2[[#This Row],[VOO]]*0.01284</f>
        <v>7.1175972000000005</v>
      </c>
      <c r="L112" s="8">
        <f>Tabla2[[#This Row],[VALOR INVERSION 3]]-6.9</f>
        <v>0.21759720000000016</v>
      </c>
      <c r="M112" s="8">
        <f>Tabla2[[#This Row],[VALOR INVERSION 3]]*Tabla2[[#This Row],[PRECIO DEL DÓLAR]]</f>
        <v>31478.143024776</v>
      </c>
      <c r="N112" s="8">
        <f>Tabla2[[#This Row],[VOO]]*0.01226</f>
        <v>6.7960858000000002</v>
      </c>
      <c r="O112" s="8">
        <f>Tabla2[[#This Row],[VALOR INVERSION 4]]-6.6</f>
        <v>0.19608580000000053</v>
      </c>
      <c r="P112" s="8">
        <f>Tabla2[[#This Row],[VALOR INVERSION 4]]*Tabla2[[#This Row],[PRECIO DEL DÓLAR]]</f>
        <v>30056.233137364001</v>
      </c>
    </row>
    <row r="113" spans="2:16">
      <c r="B113" s="1">
        <v>45637</v>
      </c>
      <c r="C113" s="8">
        <f>VLOOKUP(B113,Tabla4[],2,FALSE)</f>
        <v>4380.03</v>
      </c>
      <c r="D113" s="24">
        <v>558.53</v>
      </c>
      <c r="E113" s="8">
        <f t="shared" si="16"/>
        <v>8.4784854000000003</v>
      </c>
      <c r="F113" s="8">
        <f>Tabla2[[#This Row],[VALOR INVERSION 1]]-7.7</f>
        <v>0.77848540000000011</v>
      </c>
      <c r="G113" s="8">
        <f>Tabla2[[#This Row],[VALOR INVERSION 1]]*Tabla2[[#This Row],[PRECIO DEL DÓLAR]]</f>
        <v>37136.020406561998</v>
      </c>
      <c r="H113" s="8">
        <f>Tabla2[[#This Row],[VOO]]*0.01527</f>
        <v>8.5287530999999994</v>
      </c>
      <c r="I113" s="8">
        <f>Tabla2[[#This Row],[VALOR INVERSION 2]]-7.9</f>
        <v>0.62875309999999907</v>
      </c>
      <c r="J113" s="8">
        <f>Tabla2[[#This Row],[VALOR INVERSION 2]]*Tabla2[[#This Row],[PRECIO DEL DÓLAR]]</f>
        <v>37356.194440592997</v>
      </c>
      <c r="K113" s="8">
        <f>Tabla2[[#This Row],[VOO]]*0.01284</f>
        <v>7.1715252000000005</v>
      </c>
      <c r="L113" s="8">
        <f>Tabla2[[#This Row],[VALOR INVERSION 3]]-6.9</f>
        <v>0.27152520000000013</v>
      </c>
      <c r="M113" s="8">
        <f>Tabla2[[#This Row],[VALOR INVERSION 3]]*Tabla2[[#This Row],[PRECIO DEL DÓLAR]]</f>
        <v>31411.495521756002</v>
      </c>
      <c r="N113" s="8">
        <f>Tabla2[[#This Row],[VOO]]*0.01226</f>
        <v>6.8475777999999998</v>
      </c>
      <c r="O113" s="8">
        <f>Tabla2[[#This Row],[VALOR INVERSION 4]]-6.6</f>
        <v>0.24757780000000018</v>
      </c>
      <c r="P113" s="8">
        <f>Tabla2[[#This Row],[VALOR INVERSION 4]]*Tabla2[[#This Row],[PRECIO DEL DÓLAR]]</f>
        <v>29992.596191333996</v>
      </c>
    </row>
    <row r="114" spans="2:16">
      <c r="B114" s="1">
        <v>45638</v>
      </c>
      <c r="C114" s="8">
        <f>VLOOKUP(B114,Tabla4[],2,FALSE)</f>
        <v>4369.57</v>
      </c>
      <c r="D114" s="24">
        <v>555.65</v>
      </c>
      <c r="E114" s="8">
        <f t="shared" si="16"/>
        <v>8.4347670000000008</v>
      </c>
      <c r="F114" s="8">
        <f>Tabla2[[#This Row],[VALOR INVERSION 1]]-7.7</f>
        <v>0.73476700000000061</v>
      </c>
      <c r="G114" s="8">
        <f>Tabla2[[#This Row],[VALOR INVERSION 1]]*Tabla2[[#This Row],[PRECIO DEL DÓLAR]]</f>
        <v>36856.304840190001</v>
      </c>
      <c r="H114" s="8">
        <f>Tabla2[[#This Row],[VOO]]*0.01527</f>
        <v>8.4847754999999996</v>
      </c>
      <c r="I114" s="8">
        <f>Tabla2[[#This Row],[VALOR INVERSION 2]]-7.9</f>
        <v>0.58477549999999923</v>
      </c>
      <c r="J114" s="8">
        <f>Tabla2[[#This Row],[VALOR INVERSION 2]]*Tabla2[[#This Row],[PRECIO DEL DÓLAR]]</f>
        <v>37074.820481534996</v>
      </c>
      <c r="K114" s="8">
        <f>Tabla2[[#This Row],[VOO]]*0.01284</f>
        <v>7.1345460000000003</v>
      </c>
      <c r="L114" s="8">
        <f>Tabla2[[#This Row],[VALOR INVERSION 3]]-6.9</f>
        <v>0.23454599999999992</v>
      </c>
      <c r="M114" s="8">
        <f>Tabla2[[#This Row],[VALOR INVERSION 3]]*Tabla2[[#This Row],[PRECIO DEL DÓLAR]]</f>
        <v>31174.898165219998</v>
      </c>
      <c r="N114" s="8">
        <f>Tabla2[[#This Row],[VOO]]*0.01226</f>
        <v>6.8122689999999997</v>
      </c>
      <c r="O114" s="8">
        <f>Tabla2[[#This Row],[VALOR INVERSION 4]]-6.6</f>
        <v>0.21226900000000004</v>
      </c>
      <c r="P114" s="8">
        <f>Tabla2[[#This Row],[VALOR INVERSION 4]]*Tabla2[[#This Row],[PRECIO DEL DÓLAR]]</f>
        <v>29766.686254329998</v>
      </c>
    </row>
    <row r="115" spans="2:16">
      <c r="B115" s="1">
        <v>45639</v>
      </c>
      <c r="C115" s="8">
        <f>VLOOKUP(B115,Tabla4[],2,FALSE)</f>
        <v>4349.75</v>
      </c>
      <c r="D115" s="24">
        <v>555.61</v>
      </c>
      <c r="E115" s="8">
        <f t="shared" si="16"/>
        <v>8.4341597999999998</v>
      </c>
      <c r="F115" s="8">
        <f>Tabla2[[#This Row],[VALOR INVERSION 1]]-7.7</f>
        <v>0.73415979999999958</v>
      </c>
      <c r="G115" s="8">
        <f>Tabla2[[#This Row],[VALOR INVERSION 1]]*Tabla2[[#This Row],[PRECIO DEL DÓLAR]]</f>
        <v>36686.486590050001</v>
      </c>
      <c r="H115" s="8">
        <f>Tabla2[[#This Row],[VOO]]*0.01527</f>
        <v>8.4841647000000009</v>
      </c>
      <c r="I115" s="8">
        <f>Tabla2[[#This Row],[VALOR INVERSION 2]]-7.9</f>
        <v>0.58416470000000054</v>
      </c>
      <c r="J115" s="8">
        <f>Tabla2[[#This Row],[VALOR INVERSION 2]]*Tabla2[[#This Row],[PRECIO DEL DÓLAR]]</f>
        <v>36903.995403825007</v>
      </c>
      <c r="K115" s="8">
        <f>Tabla2[[#This Row],[VOO]]*0.01284</f>
        <v>7.1340324000000006</v>
      </c>
      <c r="L115" s="8">
        <f>Tabla2[[#This Row],[VALOR INVERSION 3]]-6.9</f>
        <v>0.23403240000000025</v>
      </c>
      <c r="M115" s="8">
        <f>Tabla2[[#This Row],[VALOR INVERSION 3]]*Tabla2[[#This Row],[PRECIO DEL DÓLAR]]</f>
        <v>31031.257431900001</v>
      </c>
      <c r="N115" s="8">
        <f>Tabla2[[#This Row],[VOO]]*0.01226</f>
        <v>6.8117786000000002</v>
      </c>
      <c r="O115" s="8">
        <f>Tabla2[[#This Row],[VALOR INVERSION 4]]-6.6</f>
        <v>0.21177860000000059</v>
      </c>
      <c r="P115" s="8">
        <f>Tabla2[[#This Row],[VALOR INVERSION 4]]*Tabla2[[#This Row],[PRECIO DEL DÓLAR]]</f>
        <v>29629.533965350001</v>
      </c>
    </row>
    <row r="116" spans="2:16">
      <c r="B116" s="1">
        <v>45642</v>
      </c>
      <c r="C116" s="8">
        <f>VLOOKUP(B116,Tabla4[],2,FALSE)</f>
        <v>4341.32</v>
      </c>
      <c r="D116" s="24">
        <v>557.79</v>
      </c>
      <c r="E116" s="8">
        <f t="shared" si="16"/>
        <v>8.467252199999999</v>
      </c>
      <c r="F116" s="8">
        <f>Tabla2[[#This Row],[VALOR INVERSION 1]]-7.7</f>
        <v>0.76725219999999883</v>
      </c>
      <c r="G116" s="8">
        <f>Tabla2[[#This Row],[VALOR INVERSION 1]]*Tabla2[[#This Row],[PRECIO DEL DÓLAR]]</f>
        <v>36759.051320903993</v>
      </c>
      <c r="H116" s="8">
        <f>Tabla2[[#This Row],[VOO]]*0.01527</f>
        <v>8.5174532999999997</v>
      </c>
      <c r="I116" s="8">
        <f>Tabla2[[#This Row],[VALOR INVERSION 2]]-7.9</f>
        <v>0.61745329999999932</v>
      </c>
      <c r="J116" s="8">
        <f>Tabla2[[#This Row],[VALOR INVERSION 2]]*Tabla2[[#This Row],[PRECIO DEL DÓLAR]]</f>
        <v>36976.990360355994</v>
      </c>
      <c r="K116" s="8">
        <f>Tabla2[[#This Row],[VOO]]*0.01284</f>
        <v>7.1620235999999995</v>
      </c>
      <c r="L116" s="8">
        <f>Tabla2[[#This Row],[VALOR INVERSION 3]]-6.9</f>
        <v>0.26202359999999913</v>
      </c>
      <c r="M116" s="8">
        <f>Tabla2[[#This Row],[VALOR INVERSION 3]]*Tabla2[[#This Row],[PRECIO DEL DÓLAR]]</f>
        <v>31092.636295151995</v>
      </c>
      <c r="N116" s="8">
        <f>Tabla2[[#This Row],[VOO]]*0.01226</f>
        <v>6.8385053999999998</v>
      </c>
      <c r="O116" s="8">
        <f>Tabla2[[#This Row],[VALOR INVERSION 4]]-6.6</f>
        <v>0.2385054000000002</v>
      </c>
      <c r="P116" s="8">
        <f>Tabla2[[#This Row],[VALOR INVERSION 4]]*Tabla2[[#This Row],[PRECIO DEL DÓLAR]]</f>
        <v>29688.140263127996</v>
      </c>
    </row>
    <row r="117" spans="2:16">
      <c r="B117" s="1">
        <v>45643</v>
      </c>
      <c r="C117" s="8">
        <f>VLOOKUP(B117,Tabla4[],2,FALSE)</f>
        <v>4316.46</v>
      </c>
      <c r="D117" s="24">
        <v>555.45000000000005</v>
      </c>
      <c r="E117" s="8">
        <f t="shared" ref="E117:E122" si="17">0.01518 * D117</f>
        <v>8.431731000000001</v>
      </c>
      <c r="F117" s="8">
        <f>Tabla2[[#This Row],[VALOR INVERSION 1]]-7.7</f>
        <v>0.7317310000000008</v>
      </c>
      <c r="G117" s="8">
        <f>Tabla2[[#This Row],[VALOR INVERSION 1]]*Tabla2[[#This Row],[PRECIO DEL DÓLAR]]</f>
        <v>36395.229592260002</v>
      </c>
      <c r="H117" s="8">
        <f>Tabla2[[#This Row],[VOO]]*0.01527</f>
        <v>8.4817215000000008</v>
      </c>
      <c r="I117" s="8">
        <f>Tabla2[[#This Row],[VALOR INVERSION 2]]-7.9</f>
        <v>0.58172150000000045</v>
      </c>
      <c r="J117" s="8">
        <f>Tabla2[[#This Row],[VALOR INVERSION 2]]*Tabla2[[#This Row],[PRECIO DEL DÓLAR]]</f>
        <v>36611.011585890003</v>
      </c>
      <c r="K117" s="8">
        <f>Tabla2[[#This Row],[VOO]]*0.01284</f>
        <v>7.131978000000001</v>
      </c>
      <c r="L117" s="8">
        <f>Tabla2[[#This Row],[VALOR INVERSION 3]]-6.9</f>
        <v>0.23197800000000068</v>
      </c>
      <c r="M117" s="8">
        <f>Tabla2[[#This Row],[VALOR INVERSION 3]]*Tabla2[[#This Row],[PRECIO DEL DÓLAR]]</f>
        <v>30784.897757880004</v>
      </c>
      <c r="N117" s="8">
        <f>Tabla2[[#This Row],[VOO]]*0.01226</f>
        <v>6.8098170000000007</v>
      </c>
      <c r="O117" s="8">
        <f>Tabla2[[#This Row],[VALOR INVERSION 4]]-6.6</f>
        <v>0.20981700000000103</v>
      </c>
      <c r="P117" s="8">
        <f>Tabla2[[#This Row],[VALOR INVERSION 4]]*Tabla2[[#This Row],[PRECIO DEL DÓLAR]]</f>
        <v>29394.302687820003</v>
      </c>
    </row>
    <row r="118" spans="2:16">
      <c r="B118" s="1">
        <v>45644</v>
      </c>
      <c r="C118" s="8">
        <f>VLOOKUP(B118,Tabla4[],2,FALSE)</f>
        <v>4321.25</v>
      </c>
      <c r="D118" s="24">
        <v>539.14</v>
      </c>
      <c r="E118" s="8">
        <f t="shared" si="17"/>
        <v>8.1841451999999997</v>
      </c>
      <c r="F118" s="8">
        <f>Tabla2[[#This Row],[VALOR INVERSION 1]]-7.7</f>
        <v>0.4841451999999995</v>
      </c>
      <c r="G118" s="8">
        <f>Tabla2[[#This Row],[VALOR INVERSION 1]]*Tabla2[[#This Row],[PRECIO DEL DÓLAR]]</f>
        <v>35365.737445499995</v>
      </c>
      <c r="H118" s="8">
        <f>Tabla2[[#This Row],[VOO]]*0.01527</f>
        <v>8.2326677999999998</v>
      </c>
      <c r="I118" s="8">
        <f>Tabla2[[#This Row],[VALOR INVERSION 2]]-7.9</f>
        <v>0.3326677999999994</v>
      </c>
      <c r="J118" s="8">
        <f>Tabla2[[#This Row],[VALOR INVERSION 2]]*Tabla2[[#This Row],[PRECIO DEL DÓLAR]]</f>
        <v>35575.415730749999</v>
      </c>
      <c r="K118" s="8">
        <f>Tabla2[[#This Row],[VOO]]*0.01284</f>
        <v>6.9225576000000002</v>
      </c>
      <c r="L118" s="8">
        <f>Tabla2[[#This Row],[VALOR INVERSION 3]]-6.9</f>
        <v>2.2557599999999844E-2</v>
      </c>
      <c r="M118" s="8">
        <f>Tabla2[[#This Row],[VALOR INVERSION 3]]*Tabla2[[#This Row],[PRECIO DEL DÓLAR]]</f>
        <v>29914.102029000001</v>
      </c>
      <c r="N118" s="8">
        <f>Tabla2[[#This Row],[VOO]]*0.01226</f>
        <v>6.6098564</v>
      </c>
      <c r="O118" s="8">
        <f>Tabla2[[#This Row],[VALOR INVERSION 4]]-6.6</f>
        <v>9.8564000000003205E-3</v>
      </c>
      <c r="P118" s="8">
        <f>Tabla2[[#This Row],[VALOR INVERSION 4]]*Tabla2[[#This Row],[PRECIO DEL DÓLAR]]</f>
        <v>28562.841968500001</v>
      </c>
    </row>
    <row r="119" spans="2:16">
      <c r="B119" s="1">
        <v>45645</v>
      </c>
      <c r="C119" s="8">
        <f>VLOOKUP(B119,Tabla4[],2,FALSE)</f>
        <v>4385.17</v>
      </c>
      <c r="D119" s="24">
        <v>538.94000000000005</v>
      </c>
      <c r="E119" s="8">
        <f t="shared" si="17"/>
        <v>8.1811092000000016</v>
      </c>
      <c r="F119" s="8">
        <f>Tabla2[[#This Row],[VALOR INVERSION 1]]-7.7</f>
        <v>0.48110920000000146</v>
      </c>
      <c r="G119" s="8">
        <f>Tabla2[[#This Row],[VALOR INVERSION 1]]*Tabla2[[#This Row],[PRECIO DEL DÓLAR]]</f>
        <v>35875.554630564009</v>
      </c>
      <c r="H119" s="8">
        <f>Tabla2[[#This Row],[VOO]]*0.01527</f>
        <v>8.229613800000001</v>
      </c>
      <c r="I119" s="8">
        <f>Tabla2[[#This Row],[VALOR INVERSION 2]]-7.9</f>
        <v>0.32961380000000062</v>
      </c>
      <c r="J119" s="8">
        <f>Tabla2[[#This Row],[VALOR INVERSION 2]]*Tabla2[[#This Row],[PRECIO DEL DÓLAR]]</f>
        <v>36088.255547346002</v>
      </c>
      <c r="K119" s="8">
        <f>Tabla2[[#This Row],[VOO]]*0.01284</f>
        <v>6.919989600000001</v>
      </c>
      <c r="L119" s="8">
        <f>Tabla2[[#This Row],[VALOR INVERSION 3]]-6.9</f>
        <v>1.9989600000000607E-2</v>
      </c>
      <c r="M119" s="8">
        <f>Tabla2[[#This Row],[VALOR INVERSION 3]]*Tabla2[[#This Row],[PRECIO DEL DÓLAR]]</f>
        <v>30345.330794232006</v>
      </c>
      <c r="N119" s="8">
        <f>Tabla2[[#This Row],[VOO]]*0.01226</f>
        <v>6.607404400000001</v>
      </c>
      <c r="O119" s="8">
        <f>Tabla2[[#This Row],[VALOR INVERSION 4]]-6.6</f>
        <v>7.4044000000013099E-3</v>
      </c>
      <c r="P119" s="8">
        <f>Tabla2[[#This Row],[VALOR INVERSION 4]]*Tabla2[[#This Row],[PRECIO DEL DÓLAR]]</f>
        <v>28974.591552748003</v>
      </c>
    </row>
    <row r="120" spans="2:16">
      <c r="B120" s="1">
        <v>45646</v>
      </c>
      <c r="C120" s="8">
        <f>VLOOKUP(B120,Tabla4[],2,FALSE)</f>
        <v>4370.3</v>
      </c>
      <c r="D120" s="24">
        <v>545.04</v>
      </c>
      <c r="E120" s="8">
        <f t="shared" si="17"/>
        <v>8.2737072000000005</v>
      </c>
      <c r="F120" s="8">
        <f>Tabla2[[#This Row],[VALOR INVERSION 1]]-7.7</f>
        <v>0.57370720000000031</v>
      </c>
      <c r="G120" s="8">
        <f>Tabla2[[#This Row],[VALOR INVERSION 1]]*Tabla2[[#This Row],[PRECIO DEL DÓLAR]]</f>
        <v>36158.582576160006</v>
      </c>
      <c r="H120" s="8">
        <f>Tabla2[[#This Row],[VOO]]*0.01527</f>
        <v>8.3227607999999993</v>
      </c>
      <c r="I120" s="8">
        <f>Tabla2[[#This Row],[VALOR INVERSION 2]]-7.9</f>
        <v>0.42276079999999894</v>
      </c>
      <c r="J120" s="8">
        <f>Tabla2[[#This Row],[VALOR INVERSION 2]]*Tabla2[[#This Row],[PRECIO DEL DÓLAR]]</f>
        <v>36372.961524239996</v>
      </c>
      <c r="K120" s="8">
        <f>Tabla2[[#This Row],[VOO]]*0.01284</f>
        <v>6.9983136000000004</v>
      </c>
      <c r="L120" s="8">
        <f>Tabla2[[#This Row],[VALOR INVERSION 3]]-6.9</f>
        <v>9.8313600000000001E-2</v>
      </c>
      <c r="M120" s="8">
        <f>Tabla2[[#This Row],[VALOR INVERSION 3]]*Tabla2[[#This Row],[PRECIO DEL DÓLAR]]</f>
        <v>30584.729926080003</v>
      </c>
      <c r="N120" s="8">
        <f>Tabla2[[#This Row],[VOO]]*0.01226</f>
        <v>6.6821903999999996</v>
      </c>
      <c r="O120" s="8">
        <f>Tabla2[[#This Row],[VALOR INVERSION 4]]-6.6</f>
        <v>8.2190399999999997E-2</v>
      </c>
      <c r="P120" s="8">
        <f>Tabla2[[#This Row],[VALOR INVERSION 4]]*Tabla2[[#This Row],[PRECIO DEL DÓLAR]]</f>
        <v>29203.17670512</v>
      </c>
    </row>
    <row r="121" spans="2:16">
      <c r="B121" s="1">
        <v>45649</v>
      </c>
      <c r="C121" s="8">
        <f>VLOOKUP(B121,Tabla4[],2,FALSE)</f>
        <v>4373.33</v>
      </c>
      <c r="D121" s="24">
        <v>547.19000000000005</v>
      </c>
      <c r="E121" s="8">
        <f t="shared" si="17"/>
        <v>8.3063442000000016</v>
      </c>
      <c r="F121" s="8">
        <f>Tabla2[[#This Row],[VALOR INVERSION 1]]-7.7</f>
        <v>0.60634420000000144</v>
      </c>
      <c r="G121" s="8">
        <f>Tabla2[[#This Row],[VALOR INVERSION 1]]*Tabla2[[#This Row],[PRECIO DEL DÓLAR]]</f>
        <v>36326.384280186008</v>
      </c>
      <c r="H121" s="8">
        <f>Tabla2[[#This Row],[VOO]]*0.01527</f>
        <v>8.3555913000000004</v>
      </c>
      <c r="I121" s="8">
        <f>Tabla2[[#This Row],[VALOR INVERSION 2]]-7.9</f>
        <v>0.45559130000000003</v>
      </c>
      <c r="J121" s="8">
        <f>Tabla2[[#This Row],[VALOR INVERSION 2]]*Tabla2[[#This Row],[PRECIO DEL DÓLAR]]</f>
        <v>36541.758100029001</v>
      </c>
      <c r="K121" s="8">
        <f>Tabla2[[#This Row],[VOO]]*0.01284</f>
        <v>7.0259196000000008</v>
      </c>
      <c r="L121" s="8">
        <f>Tabla2[[#This Row],[VALOR INVERSION 3]]-6.9</f>
        <v>0.12591960000000046</v>
      </c>
      <c r="M121" s="8">
        <f>Tabla2[[#This Row],[VALOR INVERSION 3]]*Tabla2[[#This Row],[PRECIO DEL DÓLAR]]</f>
        <v>30726.664964268002</v>
      </c>
      <c r="N121" s="8">
        <f>Tabla2[[#This Row],[VOO]]*0.01226</f>
        <v>6.7085494000000008</v>
      </c>
      <c r="O121" s="8">
        <f>Tabla2[[#This Row],[VALOR INVERSION 4]]-6.6</f>
        <v>0.10854940000000113</v>
      </c>
      <c r="P121" s="8">
        <f>Tabla2[[#This Row],[VALOR INVERSION 4]]*Tabla2[[#This Row],[PRECIO DEL DÓLAR]]</f>
        <v>29338.700347502003</v>
      </c>
    </row>
    <row r="122" spans="2:16">
      <c r="B122" s="1">
        <v>45650</v>
      </c>
      <c r="C122" s="8">
        <f>VLOOKUP(B122,Tabla4[],2,FALSE)</f>
        <v>4383.8900000000003</v>
      </c>
      <c r="D122" s="24">
        <v>552.82000000000005</v>
      </c>
      <c r="E122" s="8">
        <f t="shared" si="17"/>
        <v>8.3918076000000017</v>
      </c>
      <c r="F122" s="8">
        <f>Tabla2[[#This Row],[VALOR INVERSION 1]]-7.7</f>
        <v>0.69180760000000152</v>
      </c>
      <c r="G122" s="8">
        <f>Tabla2[[#This Row],[VALOR INVERSION 1]]*Tabla2[[#This Row],[PRECIO DEL DÓLAR]]</f>
        <v>36788.761419564013</v>
      </c>
      <c r="H122" s="8">
        <f>Tabla2[[#This Row],[VOO]]*0.01527</f>
        <v>8.4415614000000012</v>
      </c>
      <c r="I122" s="8">
        <f>Tabla2[[#This Row],[VALOR INVERSION 2]]-7.9</f>
        <v>0.54156140000000086</v>
      </c>
      <c r="J122" s="8">
        <f>Tabla2[[#This Row],[VALOR INVERSION 2]]*Tabla2[[#This Row],[PRECIO DEL DÓLAR]]</f>
        <v>37006.87660584601</v>
      </c>
      <c r="K122" s="8">
        <f>Tabla2[[#This Row],[VOO]]*0.01284</f>
        <v>7.098208800000001</v>
      </c>
      <c r="L122" s="8">
        <f>Tabla2[[#This Row],[VALOR INVERSION 3]]-6.9</f>
        <v>0.19820880000000063</v>
      </c>
      <c r="M122" s="8">
        <f>Tabla2[[#This Row],[VALOR INVERSION 3]]*Tabla2[[#This Row],[PRECIO DEL DÓLAR]]</f>
        <v>31117.766576232007</v>
      </c>
      <c r="N122" s="8">
        <f>Tabla2[[#This Row],[VOO]]*0.01226</f>
        <v>6.7775732000000009</v>
      </c>
      <c r="O122" s="8">
        <f>Tabla2[[#This Row],[VALOR INVERSION 4]]-6.6</f>
        <v>0.17757320000000121</v>
      </c>
      <c r="P122" s="8">
        <f>Tabla2[[#This Row],[VALOR INVERSION 4]]*Tabla2[[#This Row],[PRECIO DEL DÓLAR]]</f>
        <v>29712.135375748006</v>
      </c>
    </row>
    <row r="123" spans="2:16">
      <c r="B123" s="1">
        <v>45652</v>
      </c>
      <c r="C123" s="8">
        <f>VLOOKUP(B123,Tabla4[],2,FALSE)</f>
        <v>4408.54</v>
      </c>
      <c r="D123" s="24">
        <v>552.80999999999995</v>
      </c>
      <c r="E123" s="8">
        <f>0.01518 * D123</f>
        <v>8.3916557999999988</v>
      </c>
      <c r="F123" s="8">
        <f>Tabla2[[#This Row],[VALOR INVERSION 1]]-7.7</f>
        <v>0.6916557999999986</v>
      </c>
      <c r="G123" s="8">
        <f>Tabla2[[#This Row],[VALOR INVERSION 1]]*Tabla2[[#This Row],[PRECIO DEL DÓLAR]]</f>
        <v>36994.950260531994</v>
      </c>
      <c r="H123" s="8">
        <f>Tabla2[[#This Row],[VOO]]*0.01527</f>
        <v>8.4414087000000002</v>
      </c>
      <c r="I123" s="8">
        <f>Tabla2[[#This Row],[VALOR INVERSION 2]]-7.9</f>
        <v>0.54140869999999985</v>
      </c>
      <c r="J123" s="8">
        <f>Tabla2[[#This Row],[VALOR INVERSION 2]]*Tabla2[[#This Row],[PRECIO DEL DÓLAR]]</f>
        <v>37214.287910298</v>
      </c>
      <c r="K123" s="8">
        <f>Tabla2[[#This Row],[VOO]]*0.01284</f>
        <v>7.0980803999999997</v>
      </c>
      <c r="L123" s="8">
        <f>Tabla2[[#This Row],[VALOR INVERSION 3]]-6.9</f>
        <v>0.19808039999999938</v>
      </c>
      <c r="M123" s="8">
        <f>Tabla2[[#This Row],[VALOR INVERSION 3]]*Tabla2[[#This Row],[PRECIO DEL DÓLAR]]</f>
        <v>31292.171366615999</v>
      </c>
      <c r="N123" s="8">
        <f>Tabla2[[#This Row],[VOO]]*0.01226</f>
        <v>6.777450599999999</v>
      </c>
      <c r="O123" s="8">
        <f>Tabla2[[#This Row],[VALOR INVERSION 4]]-6.6</f>
        <v>0.17745059999999935</v>
      </c>
      <c r="P123" s="8">
        <f>Tabla2[[#This Row],[VALOR INVERSION 4]]*Tabla2[[#This Row],[PRECIO DEL DÓLAR]]</f>
        <v>29878.662068123995</v>
      </c>
    </row>
    <row r="124" spans="2:16">
      <c r="B124" s="1">
        <v>45653</v>
      </c>
      <c r="C124" s="8">
        <f>VLOOKUP(B124,Tabla4[],2,FALSE)</f>
        <v>4397.8900000000003</v>
      </c>
      <c r="D124" s="24">
        <v>547.08000000000004</v>
      </c>
      <c r="E124" s="8">
        <f>0.01518 * D124</f>
        <v>8.3046744000000015</v>
      </c>
      <c r="F124" s="8">
        <f>Tabla2[[#This Row],[VALOR INVERSION 1]]-7.7</f>
        <v>0.60467440000000128</v>
      </c>
      <c r="G124" s="8">
        <f>Tabla2[[#This Row],[VALOR INVERSION 1]]*Tabla2[[#This Row],[PRECIO DEL DÓLAR]]</f>
        <v>36523.04449701601</v>
      </c>
      <c r="H124" s="8">
        <f>Tabla2[[#This Row],[VOO]]*0.01527</f>
        <v>8.3539116000000018</v>
      </c>
      <c r="I124" s="8">
        <f>Tabla2[[#This Row],[VALOR INVERSION 2]]-7.9</f>
        <v>0.45391160000000141</v>
      </c>
      <c r="J124" s="8">
        <f>Tabla2[[#This Row],[VALOR INVERSION 2]]*Tabla2[[#This Row],[PRECIO DEL DÓLAR]]</f>
        <v>36739.584286524012</v>
      </c>
      <c r="K124" s="8">
        <f>Tabla2[[#This Row],[VOO]]*0.01284</f>
        <v>7.0245072000000013</v>
      </c>
      <c r="L124" s="8">
        <f>Tabla2[[#This Row],[VALOR INVERSION 3]]-6.9</f>
        <v>0.12450720000000093</v>
      </c>
      <c r="M124" s="8">
        <f>Tabla2[[#This Row],[VALOR INVERSION 3]]*Tabla2[[#This Row],[PRECIO DEL DÓLAR]]</f>
        <v>30893.009969808008</v>
      </c>
      <c r="N124" s="8">
        <f>Tabla2[[#This Row],[VOO]]*0.01226</f>
        <v>6.7072008000000007</v>
      </c>
      <c r="O124" s="8">
        <f>Tabla2[[#This Row],[VALOR INVERSION 4]]-6.6</f>
        <v>0.1072008000000011</v>
      </c>
      <c r="P124" s="8">
        <f>Tabla2[[#This Row],[VALOR INVERSION 4]]*Tabla2[[#This Row],[PRECIO DEL DÓLAR]]</f>
        <v>29497.531326312004</v>
      </c>
    </row>
  </sheetData>
  <conditionalFormatting sqref="F3:F124">
    <cfRule type="cellIs" dxfId="60" priority="10" operator="greaterThan">
      <formula>0</formula>
    </cfRule>
    <cfRule type="cellIs" dxfId="59" priority="11" operator="lessThan">
      <formula>0</formula>
    </cfRule>
  </conditionalFormatting>
  <conditionalFormatting sqref="L75:L7999">
    <cfRule type="cellIs" dxfId="58" priority="3" operator="lessThan">
      <formula>0</formula>
    </cfRule>
    <cfRule type="cellIs" dxfId="57" priority="4" operator="greaterThan">
      <formula>0</formula>
    </cfRule>
  </conditionalFormatting>
  <conditionalFormatting sqref="I53:I8800">
    <cfRule type="cellIs" dxfId="56" priority="6" operator="greaterThan">
      <formula>0</formula>
    </cfRule>
    <cfRule type="cellIs" dxfId="55" priority="7" operator="lessThan">
      <formula>0</formula>
    </cfRule>
  </conditionalFormatting>
  <conditionalFormatting sqref="O95:O9500">
    <cfRule type="cellIs" dxfId="54" priority="1" operator="greaterThan">
      <formula>0</formula>
    </cfRule>
    <cfRule type="cellIs" dxfId="53" priority="2" operator="less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E11" sqref="E11"/>
    </sheetView>
  </sheetViews>
  <sheetFormatPr baseColWidth="10" defaultRowHeight="14.25"/>
  <cols>
    <col min="3" max="3" width="17" customWidth="1"/>
    <col min="5" max="5" width="12.5" customWidth="1"/>
    <col min="6" max="6" width="13.625" customWidth="1"/>
    <col min="7" max="7" width="11.125" customWidth="1"/>
  </cols>
  <sheetData>
    <row r="2" spans="2:7">
      <c r="B2" s="48" t="s">
        <v>0</v>
      </c>
      <c r="C2" s="48" t="s">
        <v>127</v>
      </c>
      <c r="D2" s="48" t="s">
        <v>7</v>
      </c>
      <c r="E2" s="48" t="s">
        <v>128</v>
      </c>
      <c r="F2" s="48" t="s">
        <v>129</v>
      </c>
      <c r="G2" s="48" t="s">
        <v>42</v>
      </c>
    </row>
    <row r="3" spans="2:7">
      <c r="B3" s="1">
        <v>45642</v>
      </c>
      <c r="C3" s="7">
        <f>VLOOKUP(B3,Tabla4[],2,FALSE)</f>
        <v>4341.32</v>
      </c>
      <c r="D3" s="7">
        <v>63.725000000000001</v>
      </c>
      <c r="E3" s="49">
        <f t="shared" ref="E3:E8" si="0">0.1089*D3</f>
        <v>6.9396525000000002</v>
      </c>
      <c r="F3" s="8">
        <f t="shared" ref="F3:F8" si="1">E3*C3</f>
        <v>30127.252191299998</v>
      </c>
      <c r="G3" s="8">
        <f t="shared" ref="G3:G8" si="2">E3-6.94</f>
        <v>-3.4750000000016712E-4</v>
      </c>
    </row>
    <row r="4" spans="2:7">
      <c r="B4" s="1">
        <v>45643</v>
      </c>
      <c r="C4" s="7">
        <f>VLOOKUP(B4,Tabla4[],2,FALSE)</f>
        <v>4316.46</v>
      </c>
      <c r="D4" s="7">
        <v>63.4</v>
      </c>
      <c r="E4" s="50">
        <f t="shared" si="0"/>
        <v>6.9042599999999998</v>
      </c>
      <c r="F4" s="8">
        <f t="shared" si="1"/>
        <v>29801.962119600001</v>
      </c>
      <c r="G4" s="8">
        <f t="shared" si="2"/>
        <v>-3.5740000000000549E-2</v>
      </c>
    </row>
    <row r="5" spans="2:7">
      <c r="B5" s="1">
        <v>45644</v>
      </c>
      <c r="C5" s="7">
        <f>VLOOKUP(B5,Tabla4[],2,FALSE)</f>
        <v>4321.25</v>
      </c>
      <c r="D5" s="7">
        <v>62.85</v>
      </c>
      <c r="E5" s="50">
        <f t="shared" si="0"/>
        <v>6.8443649999999998</v>
      </c>
      <c r="F5" s="8">
        <f t="shared" si="1"/>
        <v>29576.212256250001</v>
      </c>
      <c r="G5" s="8">
        <f t="shared" si="2"/>
        <v>-9.5635000000000581E-2</v>
      </c>
    </row>
    <row r="6" spans="2:7">
      <c r="B6" s="1">
        <v>45645</v>
      </c>
      <c r="C6" s="7">
        <f>VLOOKUP(B6,Tabla4[],2,FALSE)</f>
        <v>4385.17</v>
      </c>
      <c r="D6" s="7">
        <v>62.45</v>
      </c>
      <c r="E6" s="50">
        <f t="shared" si="0"/>
        <v>6.8008050000000004</v>
      </c>
      <c r="F6" s="8">
        <f t="shared" si="1"/>
        <v>29822.686061850003</v>
      </c>
      <c r="G6" s="8">
        <f t="shared" si="2"/>
        <v>-0.13919499999999996</v>
      </c>
    </row>
    <row r="7" spans="2:7">
      <c r="B7" s="1">
        <v>45646</v>
      </c>
      <c r="C7" s="7">
        <f>VLOOKUP(B7,Tabla4[],2,FALSE)</f>
        <v>4370.3</v>
      </c>
      <c r="D7" s="7">
        <v>62.55</v>
      </c>
      <c r="E7" s="50">
        <f t="shared" si="0"/>
        <v>6.8116949999999994</v>
      </c>
      <c r="F7" s="8">
        <f t="shared" si="1"/>
        <v>29769.150658499999</v>
      </c>
      <c r="G7" s="8">
        <f t="shared" si="2"/>
        <v>-0.128305000000001</v>
      </c>
    </row>
    <row r="8" spans="2:7">
      <c r="B8" s="1">
        <v>45649</v>
      </c>
      <c r="C8" s="7">
        <f>VLOOKUP(B8,Tabla4[],2,FALSE)</f>
        <v>4373.33</v>
      </c>
      <c r="D8" s="7">
        <v>62.38</v>
      </c>
      <c r="E8" s="50">
        <f t="shared" si="0"/>
        <v>6.7931819999999998</v>
      </c>
      <c r="F8" s="8">
        <f t="shared" si="1"/>
        <v>29708.826636059999</v>
      </c>
      <c r="G8" s="8">
        <f t="shared" si="2"/>
        <v>-0.14681800000000056</v>
      </c>
    </row>
    <row r="9" spans="2:7">
      <c r="B9" s="1">
        <v>45650</v>
      </c>
      <c r="C9" s="7">
        <f>VLOOKUP(B9,Tabla4[],2,FALSE)</f>
        <v>4383.8900000000003</v>
      </c>
      <c r="D9" s="7">
        <v>62.84</v>
      </c>
      <c r="E9" s="50">
        <f>0.1089*D9</f>
        <v>6.8432760000000004</v>
      </c>
      <c r="F9" s="8">
        <f>E9*C9</f>
        <v>30000.169223640005</v>
      </c>
      <c r="G9" s="8">
        <f>E9-6.94</f>
        <v>-9.6724000000000032E-2</v>
      </c>
    </row>
    <row r="10" spans="2:7">
      <c r="B10" s="1">
        <v>45652</v>
      </c>
      <c r="C10" s="7">
        <f>VLOOKUP(B10,Tabla4[],2,FALSE)</f>
        <v>4408.54</v>
      </c>
      <c r="D10" s="7">
        <v>62.57</v>
      </c>
      <c r="E10" s="50">
        <f>0.1089*D10</f>
        <v>6.8138730000000001</v>
      </c>
      <c r="F10" s="8">
        <f>E10*C10</f>
        <v>30039.23167542</v>
      </c>
      <c r="G10" s="8">
        <f>E10-6.94</f>
        <v>-0.12612700000000032</v>
      </c>
    </row>
    <row r="11" spans="2:7">
      <c r="B11" s="1">
        <v>45653</v>
      </c>
      <c r="C11" s="7">
        <f>VLOOKUP(B11,Tabla4[],2,FALSE)</f>
        <v>4397.8900000000003</v>
      </c>
      <c r="D11" s="7">
        <v>62.45</v>
      </c>
      <c r="E11" s="50">
        <f>0.1089*D11</f>
        <v>6.8008050000000004</v>
      </c>
      <c r="F11" s="8">
        <f>E11*C11</f>
        <v>29909.192301450003</v>
      </c>
      <c r="G11" s="8">
        <f>E11-6.94</f>
        <v>-0.13919499999999996</v>
      </c>
    </row>
  </sheetData>
  <conditionalFormatting sqref="G3:G11">
    <cfRule type="cellIs" dxfId="37" priority="3" operator="greaterThan">
      <formula>0</formula>
    </cfRule>
    <cfRule type="cellIs" dxfId="36" priority="2" operator="greaterThan">
      <formula>0</formula>
    </cfRule>
    <cfRule type="cellIs" dxfId="35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Samuel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2024-12-30T11:53:47Z</dcterms:modified>
</cp:coreProperties>
</file>