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7" l="1"/>
  <c r="E89" i="7"/>
  <c r="G89" i="7" s="1"/>
  <c r="F89" i="7"/>
  <c r="H89" i="7"/>
  <c r="J89" i="7" s="1"/>
  <c r="K89" i="7"/>
  <c r="L89" i="7" s="1"/>
  <c r="C88" i="7"/>
  <c r="J88" i="7" s="1"/>
  <c r="E88" i="7"/>
  <c r="F88" i="7"/>
  <c r="H88" i="7"/>
  <c r="I88" i="7" s="1"/>
  <c r="K88" i="7"/>
  <c r="L88" i="7" s="1"/>
  <c r="I89" i="7" l="1"/>
  <c r="M89" i="7"/>
  <c r="G88" i="7"/>
  <c r="M88" i="7"/>
  <c r="C87" i="7"/>
  <c r="E87" i="7"/>
  <c r="F87" i="7" s="1"/>
  <c r="H87" i="7"/>
  <c r="I87" i="7" s="1"/>
  <c r="K87" i="7"/>
  <c r="L87" i="7" s="1"/>
  <c r="M87" i="7" l="1"/>
  <c r="J87" i="7"/>
  <c r="G87" i="7"/>
  <c r="B74" i="9"/>
  <c r="C74" i="9" s="1"/>
  <c r="L74" i="9"/>
  <c r="W74" i="9" s="1"/>
  <c r="U74" i="9"/>
  <c r="Y74" i="9" s="1"/>
  <c r="B73" i="9"/>
  <c r="C73" i="9" s="1"/>
  <c r="L73" i="9"/>
  <c r="W73" i="9" s="1"/>
  <c r="U73" i="9"/>
  <c r="Y73" i="9" s="1"/>
  <c r="B72" i="9"/>
  <c r="E72" i="9" s="1"/>
  <c r="L72" i="9"/>
  <c r="W72" i="9" s="1"/>
  <c r="U72" i="9"/>
  <c r="Y72" i="9" s="1"/>
  <c r="B19" i="10"/>
  <c r="H19" i="10" s="1"/>
  <c r="I19" i="10" s="1"/>
  <c r="F19" i="10"/>
  <c r="J19" i="10" s="1"/>
  <c r="G19" i="10"/>
  <c r="M19" i="10"/>
  <c r="F74" i="9" l="1"/>
  <c r="E74" i="9"/>
  <c r="D74" i="9"/>
  <c r="F73" i="9"/>
  <c r="E73" i="9"/>
  <c r="M73" i="9" s="1"/>
  <c r="D73" i="9"/>
  <c r="D72" i="9"/>
  <c r="C72" i="9"/>
  <c r="F72" i="9"/>
  <c r="K19" i="10"/>
  <c r="L19" i="10"/>
  <c r="H37" i="13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O22" i="11" s="1"/>
  <c r="K22" i="11"/>
  <c r="L22" i="11"/>
  <c r="N22" i="11" s="1"/>
  <c r="M22" i="11"/>
  <c r="G21" i="11"/>
  <c r="K21" i="11"/>
  <c r="L21" i="11"/>
  <c r="N21" i="11" s="1"/>
  <c r="M21" i="11"/>
  <c r="G20" i="11"/>
  <c r="K20" i="11"/>
  <c r="L20" i="11"/>
  <c r="N20" i="11" s="1"/>
  <c r="M20" i="11"/>
  <c r="G19" i="11"/>
  <c r="K19" i="11"/>
  <c r="L19" i="11"/>
  <c r="N19" i="11" s="1"/>
  <c r="M19" i="11"/>
  <c r="G16" i="1"/>
  <c r="I16" i="1"/>
  <c r="J16" i="1" s="1"/>
  <c r="G15" i="1"/>
  <c r="I15" i="1"/>
  <c r="J15" i="1" s="1"/>
  <c r="C86" i="7"/>
  <c r="E86" i="7"/>
  <c r="F86" i="7" s="1"/>
  <c r="H86" i="7"/>
  <c r="I86" i="7" s="1"/>
  <c r="K86" i="7"/>
  <c r="L86" i="7" s="1"/>
  <c r="V74" i="9" l="1"/>
  <c r="X74" i="9"/>
  <c r="N74" i="9"/>
  <c r="Q74" i="9" s="1"/>
  <c r="M74" i="9"/>
  <c r="N73" i="9"/>
  <c r="Q73" i="9" s="1"/>
  <c r="V73" i="9"/>
  <c r="X73" i="9"/>
  <c r="N72" i="9"/>
  <c r="Q72" i="9" s="1"/>
  <c r="V72" i="9"/>
  <c r="X72" i="9"/>
  <c r="M72" i="9"/>
  <c r="O21" i="11"/>
  <c r="O20" i="11"/>
  <c r="O19" i="11"/>
  <c r="M86" i="7"/>
  <c r="J86" i="7"/>
  <c r="G86" i="7"/>
  <c r="C85" i="7"/>
  <c r="E85" i="7"/>
  <c r="H85" i="7"/>
  <c r="I85" i="7" s="1"/>
  <c r="K85" i="7"/>
  <c r="L85" i="7" s="1"/>
  <c r="M85" i="7" l="1"/>
  <c r="G85" i="7"/>
  <c r="F85" i="7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 s="1"/>
  <c r="H68" i="7"/>
  <c r="I68" i="7" s="1"/>
  <c r="J68" i="7" l="1"/>
  <c r="G68" i="7"/>
  <c r="C67" i="7"/>
  <c r="E67" i="7"/>
  <c r="F67" i="7" s="1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 s="1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K18" i="11"/>
  <c r="L18" i="11"/>
  <c r="N18" i="11" s="1"/>
  <c r="M18" i="11"/>
  <c r="G17" i="11"/>
  <c r="K17" i="11"/>
  <c r="L17" i="11"/>
  <c r="M17" i="11"/>
  <c r="N17" i="11"/>
  <c r="G16" i="11"/>
  <c r="K16" i="11"/>
  <c r="L16" i="11"/>
  <c r="N16" i="11" s="1"/>
  <c r="M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V3" i="13" l="1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 s="1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U3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<sst xmlns="http://schemas.openxmlformats.org/spreadsheetml/2006/main" count="387" uniqueCount="124">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</sst>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64"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rgb="FFFF8989"/>
        </patternFill>
      </fill>
    </dxf>
    <dxf>
      <fill>
        <patternFill>
          <bgColor theme="9" tint="0.59996337778862885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63"/>
      <tableStyleElement type="headerRow" dxfId="162"/>
      <tableStyleElement type="secondRowStripe" dxfId="161"/>
    </tableStyle>
    <tableStyle name="Estilo de tabla 2" pivot="0" count="5">
      <tableStyleElement type="wholeTable" dxfId="160"/>
      <tableStyleElement type="headerRow" dxfId="159"/>
      <tableStyleElement type="firstRowStripe" dxfId="158"/>
      <tableStyleElement type="secondRowStripe" dxfId="157"/>
      <tableStyleElement type="firstColumnStripe" dxfId="156"/>
    </tableStyle>
    <tableStyle name="Estilo de tabla 3" pivot="0" count="3">
      <tableStyleElement type="headerRow" dxfId="155"/>
      <tableStyleElement type="firstRowStripe" dxfId="154"/>
      <tableStyleElement type="secondRowStripe" dxfId="153"/>
    </tableStyle>
    <tableStyle name="Estilo de tabla 4" pivot="0" count="4">
      <tableStyleElement type="wholeTable" dxfId="152"/>
      <tableStyleElement type="headerRow" dxfId="151"/>
      <tableStyleElement type="firstRowStripe" dxfId="150"/>
      <tableStyleElement type="secondRowStripe" dxfId="149"/>
    </tableStyle>
    <tableStyle name="Estilo de tabla 5" pivot="0" count="4">
      <tableStyleElement type="wholeTable" dxfId="148"/>
      <tableStyleElement type="headerRow" dxfId="147"/>
      <tableStyleElement type="firstRowStripe" dxfId="146"/>
      <tableStyleElement type="secondRowStripe" dxfId="145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</c:numCache>
            </c:numRef>
          </c:cat>
          <c:val>
            <c:numRef>
              <c:f>CRIPTOS!$C$3:$C$199</c:f>
              <c:numCache>
                <c:formatCode>_-[$$-240A]\ * #,##0.00_-;\-[$$-240A]\ * #,##0.00_-;_-[$$-240A]\ * "-"??_-;_-@_-</c:formatCode>
                <c:ptCount val="197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  <c:pt idx="193">
                  <c:v>4445.3500000000004</c:v>
                </c:pt>
                <c:pt idx="194">
                  <c:v>4438.62</c:v>
                </c:pt>
                <c:pt idx="195">
                  <c:v>4439.75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</c:numCache>
            </c:numRef>
          </c:cat>
          <c:val>
            <c:numRef>
              <c:f>CRIPTOS!$D$3:$D$199</c:f>
              <c:numCache>
                <c:formatCode>_-[$$-240A]\ * #,##0.00_-;\-[$$-240A]\ * #,##0.00_-;_-[$$-240A]\ * "-"??_-;_-@_-</c:formatCode>
                <c:ptCount val="197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  <c:pt idx="193">
                  <c:v>67722.23</c:v>
                </c:pt>
                <c:pt idx="194">
                  <c:v>68825.05</c:v>
                </c:pt>
                <c:pt idx="195">
                  <c:v>73881.39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</c:numCache>
            </c:numRef>
          </c:cat>
          <c:val>
            <c:numRef>
              <c:f>CRIPTOS!$E$3:$E$199</c:f>
              <c:numCache>
                <c:formatCode>_-[$$-240A]\ * #,##0.00_-;\-[$$-240A]\ * #,##0.00_-;_-[$$-240A]\ * "-"??_-;_-@_-</c:formatCode>
                <c:ptCount val="197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  <c:pt idx="193">
                  <c:v>1.47</c:v>
                </c:pt>
                <c:pt idx="194">
                  <c:v>1.5</c:v>
                </c:pt>
                <c:pt idx="195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</c:numCache>
            </c:numRef>
          </c:cat>
          <c:val>
            <c:numRef>
              <c:f>CRIPTOS!$F$3:$F$199</c:f>
              <c:numCache>
                <c:formatCode>_-[$$-240A]\ * #,##0.00_-;\-[$$-240A]\ * #,##0.00_-;_-[$$-240A]\ * "-"??_-;_-@_-</c:formatCode>
                <c:ptCount val="197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  <c:pt idx="193">
                  <c:v>2412</c:v>
                </c:pt>
                <c:pt idx="194">
                  <c:v>2438.6</c:v>
                </c:pt>
                <c:pt idx="195">
                  <c:v>2622.5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CRIPTOS!$B$3:$B$199</c:f>
              <c:numCache>
                <c:formatCode>m/d/yyyy</c:formatCode>
                <c:ptCount val="19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</c:numCache>
            </c:numRef>
          </c:cat>
          <c:val>
            <c:numRef>
              <c:f>CRIPTOS!$G$3:$G$199</c:f>
              <c:numCache>
                <c:formatCode>_-[$$-240A]\ * #,##0.00_-;\-[$$-240A]\ * #,##0.00_-;_-[$$-240A]\ * "-"??_-;_-@_-</c:formatCode>
                <c:ptCount val="197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  <c:pt idx="193">
                  <c:v>4338</c:v>
                </c:pt>
                <c:pt idx="194">
                  <c:v>4287</c:v>
                </c:pt>
                <c:pt idx="195">
                  <c:v>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Bolsa'!$C$3:$C$89</c:f>
              <c:numCache>
                <c:formatCode>_("$"* #,##0.00_);_("$"* \(#,##0.00\);_("$"* "-"??_);_(@_)</c:formatCode>
                <c:ptCount val="87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  <c:pt idx="84">
                  <c:v>4445.3500000000004</c:v>
                </c:pt>
                <c:pt idx="85">
                  <c:v>4438.62</c:v>
                </c:pt>
                <c:pt idx="86">
                  <c:v>4439.75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Bolsa'!$D$3:$D$89</c:f>
              <c:numCache>
                <c:formatCode>_("$"* #,##0.00_);_("$"* \(#,##0.00\);_("$"* "-"??_);_(@_)</c:formatCode>
                <c:ptCount val="87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  <c:pt idx="84">
                  <c:v>523.79999999999995</c:v>
                </c:pt>
                <c:pt idx="85">
                  <c:v>530.1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Bolsa'!$E$3:$E$89</c:f>
              <c:numCache>
                <c:formatCode>_("$"* #,##0.00_);_("$"* \(#,##0.00\);_("$"* "-"??_);_(@_)</c:formatCode>
                <c:ptCount val="87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  <c:pt idx="84">
                  <c:v>7.9512839999999994</c:v>
                </c:pt>
                <c:pt idx="85">
                  <c:v>8.0469180000000016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Bolsa'!$F$3:$F$89</c:f>
              <c:numCache>
                <c:formatCode>_("$"* #,##0.00_);_("$"* \(#,##0.00\);_("$"* "-"??_);_(@_)</c:formatCode>
                <c:ptCount val="87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  <c:pt idx="84">
                  <c:v>0.25128399999999917</c:v>
                </c:pt>
                <c:pt idx="85">
                  <c:v>0.34691800000000139</c:v>
                </c:pt>
                <c:pt idx="86">
                  <c:v>-7.7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Bolsa'!$G$3:$G$89</c:f>
              <c:numCache>
                <c:formatCode>_("$"* #,##0.00_);_("$"* \(#,##0.00\);_("$"* "-"??_);_(@_)</c:formatCode>
                <c:ptCount val="87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  <c:pt idx="84">
                  <c:v>35346.240329400003</c:v>
                </c:pt>
                <c:pt idx="85">
                  <c:v>35717.211173160009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Bolsa'!$H$3:$H$89</c:f>
              <c:numCache>
                <c:formatCode>_("$"* #,##0.00_);_("$"* \(#,##0.00\);_("$"* "-"??_);_(@_)</c:formatCode>
                <c:ptCount val="87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  <c:pt idx="84">
                  <c:v>7.9984259999999994</c:v>
                </c:pt>
                <c:pt idx="85">
                  <c:v>8.0946270000000009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Bolsa'!$I$3:$I$89</c:f>
              <c:numCache>
                <c:formatCode>_("$"* #,##0.00_);_("$"* \(#,##0.00\);_("$"* "-"??_);_(@_)</c:formatCode>
                <c:ptCount val="87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  <c:pt idx="84">
                  <c:v>9.8425999999999014E-2</c:v>
                </c:pt>
                <c:pt idx="85">
                  <c:v>0.19462700000000055</c:v>
                </c:pt>
                <c:pt idx="86">
                  <c:v>-7.9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Bolsa'!$J$3:$J$89</c:f>
              <c:numCache>
                <c:formatCode>_("$"* #,##0.00_);_("$"* \(#,##0.00\);_("$"* "-"??_);_(@_)</c:formatCode>
                <c:ptCount val="87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  <c:pt idx="84">
                  <c:v>35555.8030191</c:v>
                </c:pt>
                <c:pt idx="85">
                  <c:v>35928.973294740004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Bolsa'!$K$3:$K$89</c:f>
              <c:numCache>
                <c:formatCode>_("$"* #,##0.00_);_("$"* \(#,##0.00\);_("$"* "-"??_);_(@_)</c:formatCode>
                <c:ptCount val="87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  <c:pt idx="84">
                  <c:v>6.7255919999999998</c:v>
                </c:pt>
                <c:pt idx="85">
                  <c:v>6.8064840000000011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Bolsa'!$L$3:$L$89</c:f>
              <c:numCache>
                <c:formatCode>_("$"* #,##0.00_);_("$"* \(#,##0.00\);_("$"* "-"??_);_(@_)</c:formatCode>
                <c:ptCount val="87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  <c:pt idx="84">
                  <c:v>-0.17440800000000056</c:v>
                </c:pt>
                <c:pt idx="85">
                  <c:v>-9.3515999999999266E-2</c:v>
                </c:pt>
                <c:pt idx="86">
                  <c:v>-6.9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Bolsa'!$B$3:$B$89</c:f>
              <c:numCache>
                <c:formatCode>m/d/yyyy</c:formatCode>
                <c:ptCount val="87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</c:numCache>
            </c:numRef>
          </c:cat>
          <c:val>
            <c:numRef>
              <c:f>'Inv Bolsa'!$M$3:$M$89</c:f>
              <c:numCache>
                <c:formatCode>_("$"* #,##0.00_);_("$"* \(#,##0.00\);_("$"* "-"??_);_(@_)</c:formatCode>
                <c:ptCount val="87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  <c:pt idx="84">
                  <c:v>29897.610397200002</c:v>
                </c:pt>
                <c:pt idx="85">
                  <c:v>30211.396012080004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7" totalsRowShown="0">
  <autoFilter ref="B2:I37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44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67">
  <autoFilter ref="B2:T14"/>
  <tableColumns count="19">
    <tableColumn id="1" name="FECHA ACTUAL" dataDxfId="66">
      <calculatedColumnFormula>TODAY()</calculatedColumnFormula>
    </tableColumn>
    <tableColumn id="2" name="PRECIO ACT KO" dataDxfId="65" dataCellStyle="Moneda">
      <calculatedColumnFormula>VLOOKUP(B3,Tabla1[],5,FALSE)</calculatedColumnFormula>
    </tableColumn>
    <tableColumn id="3" name="PRECIO ACT JNJ" dataDxfId="64">
      <calculatedColumnFormula>VLOOKUP(B3,Tabla1[],6,FALSE)</calculatedColumnFormula>
    </tableColumn>
    <tableColumn id="4" name="PRECIO ACT PG" dataDxfId="63">
      <calculatedColumnFormula>VLOOKUP(B3,Tabla1[],7,FALSE)</calculatedColumnFormula>
    </tableColumn>
    <tableColumn id="5" name="PRECIO ACT PEP" dataDxfId="62">
      <calculatedColumnFormula>VLOOKUP(B3,Tabla1[],8,FALSE)</calculatedColumnFormula>
    </tableColumn>
    <tableColumn id="6" name="PRECIO ACT MSFT" dataDxfId="61">
      <calculatedColumnFormula>VLOOKUP(B3,Tabla1[],9,FALSE)</calculatedColumnFormula>
    </tableColumn>
    <tableColumn id="7" name="PRECIO ACT MCD" dataDxfId="60">
      <calculatedColumnFormula>VLOOKUP(B3,Tabla1[],10,FALSE)</calculatedColumnFormula>
    </tableColumn>
    <tableColumn id="20" name="PRECIO ACT VOO" dataDxfId="59">
      <calculatedColumnFormula>VLOOKUP(B3,Tabla2[],3,FALSE)</calculatedColumnFormula>
    </tableColumn>
    <tableColumn id="8" name="EMPRESA" dataDxfId="58"/>
    <tableColumn id="9" name="FECHA COMPRA" dataDxfId="57"/>
    <tableColumn id="10" name="PRECIO COMPRA" dataDxfId="56" dataCellStyle="Moneda"/>
    <tableColumn id="11" name="CAPITAL INVE" dataDxfId="55" dataCellStyle="Moneda"/>
    <tableColumn id="12" name="CANTIDAD DE ACCIONES" dataDxfId="54" dataCellStyle="Moneda">
      <calculatedColumnFormula>(M3/L3)</calculatedColumnFormula>
    </tableColumn>
    <tableColumn id="13" name="VALOR ACTUAL INVE" dataDxfId="53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52"/>
    <tableColumn id="15" name="VALOR DIVIDENDO POR ACCION" dataDxfId="51" dataCellStyle="Moneda"/>
    <tableColumn id="16" name="TOTAL DIVIDENDO RECIBIDO" dataDxfId="50" dataCellStyle="Moneda">
      <calculatedColumnFormula>ROUND(Q3*N3,2)</calculatedColumnFormula>
    </tableColumn>
    <tableColumn id="17" name="GANACIA/PERDIDA" dataDxfId="49" dataCellStyle="Moneda">
      <calculatedColumnFormula>ROUND(O3-M3,2)</calculatedColumnFormula>
    </tableColumn>
    <tableColumn id="18" name="RENTABILIDAD" dataDxfId="48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43" dataDxfId="141" headerRowBorderDxfId="142" tableBorderDxfId="140" totalsRowBorderDxfId="139" dataCellStyle="Moneda">
  <autoFilter ref="L2:Y3"/>
  <tableColumns count="14">
    <tableColumn id="1" name="MES" dataDxfId="138"/>
    <tableColumn id="2" name="ENERO" dataDxfId="137" dataCellStyle="Moneda"/>
    <tableColumn id="3" name="FEBRERO" dataDxfId="136" dataCellStyle="Moneda"/>
    <tableColumn id="4" name="MARZO" dataDxfId="135" dataCellStyle="Moneda"/>
    <tableColumn id="5" name="ABRIL" dataDxfId="134" dataCellStyle="Moneda"/>
    <tableColumn id="6" name="MAYO" dataDxfId="133" dataCellStyle="Moneda"/>
    <tableColumn id="7" name="JUNIO" dataDxfId="132" dataCellStyle="Moneda"/>
    <tableColumn id="8" name="JULIO" dataDxfId="131" dataCellStyle="Moneda">
      <calculatedColumnFormula>SUM(H3:H9)</calculatedColumnFormula>
    </tableColumn>
    <tableColumn id="9" name="AGOSTO" dataDxfId="130" dataCellStyle="Moneda">
      <calculatedColumnFormula>SUM(H10:H16)</calculatedColumnFormula>
    </tableColumn>
    <tableColumn id="10" name="SEPTIEMBRE" dataDxfId="129" dataCellStyle="Moneda">
      <calculatedColumnFormula>SUM(H17:H23)</calculatedColumnFormula>
    </tableColumn>
    <tableColumn id="11" name="OCTUBRE" dataDxfId="128" dataCellStyle="Moneda">
      <calculatedColumnFormula>SUM(H24:H30)</calculatedColumnFormula>
    </tableColumn>
    <tableColumn id="12" name="NOVIEMBRE" dataDxfId="127" dataCellStyle="Moneda"/>
    <tableColumn id="13" name="DICIEMBRE" dataDxfId="126" dataCellStyle="Moneda"/>
    <tableColumn id="14" name="TOTAL ANUAL" dataDxfId="125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6" totalsRowShown="0" headerRowDxfId="124">
  <autoFilter ref="B2:J16"/>
  <tableColumns count="9">
    <tableColumn id="1" name="MES"/>
    <tableColumn id="2" name="CUENTA"/>
    <tableColumn id="3" name="CANTIDAD INICIAL" dataDxfId="123"/>
    <tableColumn id="4" name="CAPITAL INVERTIDO" dataDxfId="122"/>
    <tableColumn id="5" name="INTERES OBTENIDO" dataDxfId="121"/>
    <tableColumn id="6" name="PORCENTAJE DE INTERES" dataDxfId="120" dataCellStyle="Porcentaje">
      <calculatedColumnFormula>(F3/(D3+E3))</calculatedColumnFormula>
    </tableColumn>
    <tableColumn id="7" name="RETIROS DE CAPITAL" dataDxfId="119"/>
    <tableColumn id="8" name="TOTAL CAPITAL FIN DE MES" dataDxfId="118">
      <calculatedColumnFormula>D3+E3+F3-H3</calculatedColumnFormula>
    </tableColumn>
    <tableColumn id="9" name="RENTABILIDAD" dataDxfId="117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8" totalsRowShown="0">
  <autoFilter ref="B2:G198"/>
  <tableColumns count="6">
    <tableColumn id="1" name="FECHA" dataDxfId="47"/>
    <tableColumn id="2" name="DÓLAR" dataDxfId="46"/>
    <tableColumn id="3" name="BITCOIN" dataDxfId="45"/>
    <tableColumn id="5" name="io.net" dataDxfId="44"/>
    <tableColumn id="4" name="ETHEREUM" dataDxfId="43"/>
    <tableColumn id="6" name="USDT" dataDxfId="42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4" totalsRowShown="0">
  <autoFilter ref="B2:Z74">
    <filterColumn colId="23">
      <filters>
        <filter val="ACTIVA"/>
      </filters>
    </filterColumn>
  </autoFilter>
  <tableColumns count="25">
    <tableColumn id="1" name="fecha act" dataDxfId="116">
      <calculatedColumnFormula>TODAY()</calculatedColumnFormula>
    </tableColumn>
    <tableColumn id="2" name="precio actual dólar" dataDxfId="115">
      <calculatedColumnFormula>VLOOKUP(B3,Tabla4[],2,FALSE)</calculatedColumnFormula>
    </tableColumn>
    <tableColumn id="3" name="precio actual btc" dataDxfId="114">
      <calculatedColumnFormula>VLOOKUP(B3,Tabla4[],3,FALSE)</calculatedColumnFormula>
    </tableColumn>
    <tableColumn id="4" name="precio actul eth" dataDxfId="113">
      <calculatedColumnFormula>VLOOKUP(B3,Tabla4[],5,FALSE)</calculatedColumnFormula>
    </tableColumn>
    <tableColumn id="5" name="precio actual io.net" dataDxfId="112">
      <calculatedColumnFormula>VLOOKUP(B3,Tabla4[],4,FALSE)</calculatedColumnFormula>
    </tableColumn>
    <tableColumn id="6" name="moneda"/>
    <tableColumn id="27" name="FECHA COMPRA"/>
    <tableColumn id="20" name="PRECIO DEL DÓLAR, DIA COMPRA" dataDxfId="111">
      <calculatedColumnFormula>VLOOKUP(H3,Tabla4[],2,FALSE)</calculatedColumnFormula>
    </tableColumn>
    <tableColumn id="7" name="precio de compra" dataDxfId="110"/>
    <tableColumn id="8" name="cantidad" dataDxfId="109" dataCellStyle="Porcentaje"/>
    <tableColumn id="18" name="COSTO DE COMPRA" dataDxfId="108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107" dataCellStyle="Porcentaje">
      <calculatedColumnFormula xml:space="preserve"> K3 * (IF(G3="BTC", D3, IF(G3="ETH", E3, IF(G3="IO.NET", F3, 0)))) * C3</calculatedColumnFormula>
    </tableColumn>
    <tableColumn id="9" name="rentabilidad" dataDxfId="106" dataCellStyle="Porcentaje">
      <calculatedColumnFormula>IF(G3 = "BTC", (D3 - J3) / J3,
 IF(G3 = "ETH", (E3 - J3) / J3,
 IF(G3 = "IO.NET", (F3 - J3) / J3,
 "Moneda no soportada")))</calculatedColumnFormula>
    </tableColumn>
    <tableColumn id="10" name="meta1" dataDxfId="105" dataCellStyle="Porcentaje"/>
    <tableColumn id="11" name="META2" dataDxfId="104" dataCellStyle="Porcentaje"/>
    <tableColumn id="12" name="ACCION" dataDxfId="103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102"/>
    <tableColumn id="23" name="INVENTARIO" dataDxfId="101">
      <calculatedColumnFormula>Tabla6[[#This Row],[cantidad]]-Tabla6[[#This Row],[CANTIDAD VENDIDA]]</calculatedColumnFormula>
    </tableColumn>
    <tableColumn id="24" name="VALOR ACTUAL" dataDxfId="100">
      <calculatedColumnFormula>IF(G3="BTC", D3 * U3 * C3, IF(G3="ETH", E3 * U3 * C3, IF(G3="IO.NET", F3 * U3 * C3, 0)))</calculatedColumnFormula>
    </tableColumn>
    <tableColumn id="15" name="GANANCIA/PERDIDA" dataDxfId="99">
      <calculatedColumnFormula>IF(G3 = "BTC", ((T3 - L3)), IF(G3 = "ETH", ((T3 - L3)), IF(G3 = "IO.NET", ((T3 - L3)), "Moneda no soportada")))</calculatedColumnFormula>
    </tableColumn>
    <tableColumn id="25" name="RENTABILIDAD TOTAL" dataDxfId="98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97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9" totalsRowShown="0">
  <autoFilter ref="B2:M19"/>
  <tableColumns count="12">
    <tableColumn id="1" name="FECHA ACT" dataDxfId="96">
      <calculatedColumnFormula>TODAY()</calculatedColumnFormula>
    </tableColumn>
    <tableColumn id="11" name="FECHA COMPRA" dataDxfId="95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94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93">
      <calculatedColumnFormula>Tabla5[[#This Row],[VALOR ACTUAL EN COP]]-Tabla5[[#This Row],[COSTO TOTAL EN COP]]</calculatedColumnFormula>
    </tableColumn>
    <tableColumn id="9" name="RENTABILIDAD" dataDxfId="92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2" totalsRowShown="0">
  <autoFilter ref="B2:O22"/>
  <tableColumns count="14">
    <tableColumn id="1" name="MES" dataDxfId="91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90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9" totalsRowShown="0">
  <autoFilter ref="B2:M89"/>
  <tableColumns count="12">
    <tableColumn id="1" name="FECHA" dataDxfId="89"/>
    <tableColumn id="5" name="PRECIO DEL DÓLAR" dataDxfId="88">
      <calculatedColumnFormula>VLOOKUP(B3,Tabla4[],2,FALSE)</calculatedColumnFormula>
    </tableColumn>
    <tableColumn id="2" name="VOO" dataDxfId="87" dataCellStyle="Moneda"/>
    <tableColumn id="3" name="VALOR INVERSION 1" dataDxfId="86">
      <calculatedColumnFormula>0.01518 * D3</calculatedColumnFormula>
    </tableColumn>
    <tableColumn id="4" name="GAN/PER" dataDxfId="85">
      <calculatedColumnFormula>Tabla2[[#This Row],[VALOR INVERSION 1]]-7.7</calculatedColumnFormula>
    </tableColumn>
    <tableColumn id="6" name="VALOR EN COP" dataDxfId="84">
      <calculatedColumnFormula>Tabla2[[#This Row],[VALOR INVERSION 1]]*Tabla2[[#This Row],[PRECIO DEL DÓLAR]]</calculatedColumnFormula>
    </tableColumn>
    <tableColumn id="8" name="VALOR INVERSION 2" dataDxfId="83">
      <calculatedColumnFormula>Tabla2[[#This Row],[VOO]]*0.01527</calculatedColumnFormula>
    </tableColumn>
    <tableColumn id="9" name="GAN/PER2" dataDxfId="82">
      <calculatedColumnFormula>Tabla2[[#This Row],[VALOR INVERSION 2]]-7.9</calculatedColumnFormula>
    </tableColumn>
    <tableColumn id="10" name="VALOR EN COP2" dataDxfId="81">
      <calculatedColumnFormula>Tabla2[[#This Row],[VALOR INVERSION 2]]*Tabla2[[#This Row],[PRECIO DEL DÓLAR]]</calculatedColumnFormula>
    </tableColumn>
    <tableColumn id="7" name="VALOR INVERSION 3" dataDxfId="80">
      <calculatedColumnFormula>Tabla2[[#This Row],[VOO]]*0.01284</calculatedColumnFormula>
    </tableColumn>
    <tableColumn id="11" name="GAN/PER3" dataDxfId="79">
      <calculatedColumnFormula>Tabla2[[#This Row],[VALOR INVERSION 3]]-6.9</calculatedColumnFormula>
    </tableColumn>
    <tableColumn id="12" name="VALOR EN COP3" dataDxfId="78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77">
  <autoFilter ref="B2:K52"/>
  <tableColumns count="10">
    <tableColumn id="1" name="FECHA"/>
    <tableColumn id="2" name="DÓLAR" dataDxfId="76">
      <calculatedColumnFormula>VLOOKUP(B3,Tabla4[],2,FALSE)</calculatedColumnFormula>
    </tableColumn>
    <tableColumn id="3" name="S&amp;P 500" dataDxfId="75"/>
    <tableColumn id="4" name="NASDAQ-100" dataDxfId="74"/>
    <tableColumn id="5" name="KO" dataDxfId="73"/>
    <tableColumn id="6" name="JNJ" dataDxfId="72"/>
    <tableColumn id="7" name="PG" dataDxfId="71"/>
    <tableColumn id="8" name="PEP" dataDxfId="70"/>
    <tableColumn id="13" name="MSFT" dataDxfId="69"/>
    <tableColumn id="9" name="MCD" dataDxfId="6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opLeftCell="C18" workbookViewId="0">
      <selection activeCell="F37" sqref="F37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/>
      <c r="X3" s="37"/>
      <c r="Y3" s="38">
        <f>SUM(M3:X3)</f>
        <v>-57.792917422632854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/>
      <c r="H31" s="7">
        <f>(Tabla8[[#This Row],[CAPITAL A FIN DE MES]]-(Tabla8[[#This Row],[CAPITAL A INICIO DE MES]]+Tabla8[[#This Row],[CAPITAL INVERTIDO ESTE MES]]))</f>
        <v>-50138.1</v>
      </c>
      <c r="I31" s="9">
        <f>(Tabla8[[#This Row],[CAPITAL A FIN DE MES]]-Tabla8[[#This Row],[CAPITAL A INICIO DE MES]])/Tabla8[[#This Row],[CAPITAL A INICIO DE MES]]</f>
        <v>-1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/>
      <c r="H32" s="7">
        <f>(Tabla8[[#This Row],[CAPITAL A FIN DE MES]]-(Tabla8[[#This Row],[CAPITAL A INICIO DE MES]]+Tabla8[[#This Row],[CAPITAL INVERTIDO ESTE MES]]))</f>
        <v>-25138.02</v>
      </c>
      <c r="I32" s="9">
        <f>(Tabla8[[#This Row],[CAPITAL A FIN DE MES]]-Tabla8[[#This Row],[CAPITAL A INICIO DE MES]])/Tabla8[[#This Row],[CAPITAL A INICIO DE MES]]</f>
        <v>-1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/>
      <c r="H33" s="7">
        <f>(Tabla8[[#This Row],[CAPITAL A FIN DE MES]]-(Tabla8[[#This Row],[CAPITAL A INICIO DE MES]]+Tabla8[[#This Row],[CAPITAL INVERTIDO ESTE MES]]))</f>
        <v>-22582.494933349997</v>
      </c>
      <c r="I33" s="9">
        <f>(Tabla8[[#This Row],[CAPITAL A FIN DE MES]]-Tabla8[[#This Row],[CAPITAL A INICIO DE MES]])/Tabla8[[#This Row],[CAPITAL A INICIO DE MES]]</f>
        <v>-1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/>
      <c r="H34" s="7">
        <f>(Tabla8[[#This Row],[CAPITAL A FIN DE MES]]-(Tabla8[[#This Row],[CAPITAL A INICIO DE MES]]+Tabla8[[#This Row],[CAPITAL INVERTIDO ESTE MES]]))</f>
        <v>-17570.53</v>
      </c>
      <c r="I34" s="9">
        <f>(Tabla8[[#This Row],[CAPITAL A FIN DE MES]]-Tabla8[[#This Row],[CAPITAL A INICIO DE MES]])/Tabla8[[#This Row],[CAPITAL A INICIO DE MES]]</f>
        <v>-1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/>
      <c r="H35" s="7">
        <f>(Tabla8[[#This Row],[CAPITAL A FIN DE MES]]-(Tabla8[[#This Row],[CAPITAL A INICIO DE MES]]+Tabla8[[#This Row],[CAPITAL INVERTIDO ESTE MES]]))</f>
        <v>-8157.24</v>
      </c>
      <c r="I35" s="9">
        <f>(Tabla8[[#This Row],[CAPITAL A FIN DE MES]]-Tabla8[[#This Row],[CAPITAL A INICIO DE MES]])/Tabla8[[#This Row],[CAPITAL A INICIO DE MES]]</f>
        <v>-1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/>
      <c r="H36" s="7">
        <f>(Tabla8[[#This Row],[CAPITAL A FIN DE MES]]-(Tabla8[[#This Row],[CAPITAL A INICIO DE MES]]+Tabla8[[#This Row],[CAPITAL INVERTIDO ESTE MES]]))</f>
        <v>-14313.11</v>
      </c>
      <c r="I36" s="9">
        <f>(Tabla8[[#This Row],[CAPITAL A FIN DE MES]]-Tabla8[[#This Row],[CAPITAL A INICIO DE MES]])/Tabla8[[#This Row],[CAPITAL A INICIO DE MES]]</f>
        <v>-1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/>
      <c r="G37" s="7"/>
      <c r="H37" s="7">
        <f>(Tabla8[[#This Row],[CAPITAL A FIN DE MES]]-(Tabla8[[#This Row],[CAPITAL A INICIO DE MES]]+Tabla8[[#This Row],[CAPITAL INVERTIDO ESTE MES]]))</f>
        <v>-99977.62</v>
      </c>
      <c r="I37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21" priority="3" operator="lessThan">
      <formula>0</formula>
    </cfRule>
    <cfRule type="cellIs" dxfId="20" priority="4" operator="lessThan">
      <formula>0</formula>
    </cfRule>
  </conditionalFormatting>
  <conditionalFormatting sqref="M3:X3">
    <cfRule type="cellIs" dxfId="19" priority="2" operator="lessThan">
      <formula>0</formula>
    </cfRule>
  </conditionalFormatting>
  <conditionalFormatting sqref="M3:Y3">
    <cfRule type="cellIs" dxfId="18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D1" workbookViewId="0">
      <selection activeCell="I14" sqref="I1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/>
      <c r="G15" s="27">
        <f t="shared" si="3"/>
        <v>0</v>
      </c>
      <c r="H15" s="2"/>
      <c r="I15" s="2">
        <f t="shared" si="4"/>
        <v>50138.1</v>
      </c>
      <c r="J15" s="27">
        <f t="shared" si="5"/>
        <v>0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/>
      <c r="G16" s="27">
        <f t="shared" si="3"/>
        <v>0</v>
      </c>
      <c r="H16" s="2"/>
      <c r="I16" s="2">
        <f t="shared" si="4"/>
        <v>25138.02</v>
      </c>
      <c r="J16" s="27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8"/>
  <sheetViews>
    <sheetView topLeftCell="A163" zoomScaleNormal="100" workbookViewId="0">
      <selection activeCell="H198" sqref="H198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8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8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8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  <row r="196" spans="2:8">
      <c r="B196" s="1">
        <v>45600</v>
      </c>
      <c r="C196" s="3">
        <v>4445.3500000000004</v>
      </c>
      <c r="D196" s="4">
        <v>67722.23</v>
      </c>
      <c r="E196" s="4">
        <v>1.47</v>
      </c>
      <c r="F196" s="4">
        <v>2412</v>
      </c>
      <c r="G196" s="4">
        <v>4338</v>
      </c>
      <c r="H196">
        <v>23</v>
      </c>
    </row>
    <row r="197" spans="2:8">
      <c r="B197" s="1">
        <v>45601</v>
      </c>
      <c r="C197" s="3">
        <v>4438.62</v>
      </c>
      <c r="D197" s="3">
        <v>68825.05</v>
      </c>
      <c r="E197" s="3">
        <v>1.5</v>
      </c>
      <c r="F197" s="3">
        <v>2438.6</v>
      </c>
      <c r="G197" s="3">
        <v>4287</v>
      </c>
    </row>
    <row r="198" spans="2:8">
      <c r="B198" s="1">
        <v>45602</v>
      </c>
      <c r="C198" s="3">
        <v>4439.75</v>
      </c>
      <c r="D198" s="3">
        <v>73881.39</v>
      </c>
      <c r="E198" s="3">
        <v>1.73</v>
      </c>
      <c r="F198" s="3">
        <v>2622.5</v>
      </c>
      <c r="G198" s="3">
        <v>4338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4"/>
  <sheetViews>
    <sheetView topLeftCell="G1" workbookViewId="0">
      <selection activeCell="Q33" sqref="Q33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45602</v>
      </c>
      <c r="C3" s="2">
        <f ca="1">VLOOKUP(B3,Tabla4[],2,FALSE)</f>
        <v>4439.75</v>
      </c>
      <c r="D3" s="3">
        <f ca="1">VLOOKUP(B3,Tabla4[],3,FALSE)</f>
        <v>73881.39</v>
      </c>
      <c r="E3" s="2">
        <f ca="1">VLOOKUP(B3,Tabla4[],5,FALSE)</f>
        <v>2622.5</v>
      </c>
      <c r="F3" s="2">
        <f ca="1">VLOOKUP(B3,Tabla4[],4,FALSE)</f>
        <v>1.73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826.59755115630003</v>
      </c>
      <c r="N3" s="32">
        <f t="shared" ref="N3:N21" ca="1" si="1">IF(G3 = "BTC", (D3 - J3) / J3,
 IF(G3 = "ETH", (E3 - J3) / J3,
 IF(G3 = "IO.NET", (F3 - J3) / J3,
 "Moneda no soportada")))</f>
        <v>4.1360311218233324E-2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826.59755115630003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4.1360311218233324E-2</v>
      </c>
      <c r="Y3" s="2" t="str">
        <f>IF(U3=0,"VENDIDA","ACTIVA")</f>
        <v>ACTIVA</v>
      </c>
    </row>
    <row r="4" spans="2:26">
      <c r="B4" s="1">
        <f t="shared" ca="1" si="0"/>
        <v>45602</v>
      </c>
      <c r="C4" s="2">
        <f ca="1">VLOOKUP(B4,Tabla4[],2,FALSE)</f>
        <v>4439.75</v>
      </c>
      <c r="D4" s="3">
        <f ca="1">VLOOKUP(B4,Tabla4[],3,FALSE)</f>
        <v>73881.39</v>
      </c>
      <c r="E4" s="2">
        <f ca="1">VLOOKUP(B4,Tabla4[],5,FALSE)</f>
        <v>2622.5</v>
      </c>
      <c r="F4" s="2">
        <f ca="1">VLOOKUP(B4,Tabla4[],4,FALSE)</f>
        <v>1.73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549.56113449999998</v>
      </c>
      <c r="N4" s="32">
        <f t="shared" ca="1" si="1"/>
        <v>-0.31010625284441418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549.56113449999998</v>
      </c>
      <c r="W4" s="2">
        <f t="shared" si="3"/>
        <v>-705.39693250799996</v>
      </c>
      <c r="X4" s="9">
        <f t="shared" ca="1" si="4"/>
        <v>-0.31010625284441418</v>
      </c>
      <c r="Y4" s="2" t="str">
        <f t="shared" ref="Y4:Y24" si="7">IF(U4=0,"VENDIDA","ACTIVA")</f>
        <v>ACTIVA</v>
      </c>
    </row>
    <row r="5" spans="2:26">
      <c r="B5" s="1">
        <f t="shared" ca="1" si="0"/>
        <v>45602</v>
      </c>
      <c r="C5" s="2">
        <f ca="1">VLOOKUP(B5,Tabla4[],2,FALSE)</f>
        <v>4439.75</v>
      </c>
      <c r="D5" s="3">
        <f ca="1">VLOOKUP(B5,Tabla4[],3,FALSE)</f>
        <v>73881.39</v>
      </c>
      <c r="E5" s="2">
        <f ca="1">VLOOKUP(B5,Tabla4[],5,FALSE)</f>
        <v>2622.5</v>
      </c>
      <c r="F5" s="2">
        <f ca="1">VLOOKUP(B5,Tabla4[],4,FALSE)</f>
        <v>1.73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842.99829621892502</v>
      </c>
      <c r="N5" s="32">
        <f t="shared" ca="1" si="1"/>
        <v>6.6478867140135109E-2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842.99829621892502</v>
      </c>
      <c r="W5" s="2">
        <f t="shared" si="3"/>
        <v>-711.38458935120002</v>
      </c>
      <c r="X5" s="9">
        <f t="shared" ca="1" si="4"/>
        <v>6.6478867140135109E-2</v>
      </c>
      <c r="Y5" s="2" t="str">
        <f t="shared" si="7"/>
        <v>ACTIVA</v>
      </c>
    </row>
    <row r="6" spans="2:26">
      <c r="B6" s="1">
        <f t="shared" ca="1" si="0"/>
        <v>45602</v>
      </c>
      <c r="C6" s="2">
        <f ca="1">VLOOKUP(B6,Tabla4[],2,FALSE)</f>
        <v>4439.75</v>
      </c>
      <c r="D6" s="3">
        <f ca="1">VLOOKUP(B6,Tabla4[],3,FALSE)</f>
        <v>73881.39</v>
      </c>
      <c r="E6" s="2">
        <f ca="1">VLOOKUP(B6,Tabla4[],5,FALSE)</f>
        <v>2622.5</v>
      </c>
      <c r="F6" s="2">
        <f ca="1">VLOOKUP(B6,Tabla4[],4,FALSE)</f>
        <v>1.73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566.67670373124997</v>
      </c>
      <c r="N6" s="32">
        <f t="shared" ca="1" si="1"/>
        <v>-0.28536003139238297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566.67670373124997</v>
      </c>
      <c r="W6" s="2">
        <f t="shared" si="3"/>
        <v>-713.63816396689595</v>
      </c>
      <c r="X6" s="9">
        <f t="shared" ca="1" si="4"/>
        <v>-0.28536003139238297</v>
      </c>
      <c r="Y6" s="2" t="str">
        <f t="shared" si="7"/>
        <v>ACTIVA</v>
      </c>
    </row>
    <row r="7" spans="2:26">
      <c r="B7" s="1">
        <f t="shared" ca="1" si="0"/>
        <v>45602</v>
      </c>
      <c r="C7" s="2">
        <f ca="1">VLOOKUP(B7,Tabla4[],2,FALSE)</f>
        <v>4439.75</v>
      </c>
      <c r="D7" s="3">
        <f ca="1">VLOOKUP(B7,Tabla4[],3,FALSE)</f>
        <v>73881.39</v>
      </c>
      <c r="E7" s="2">
        <f ca="1">VLOOKUP(B7,Tabla4[],5,FALSE)</f>
        <v>2622.5</v>
      </c>
      <c r="F7" s="2">
        <f ca="1">VLOOKUP(B7,Tabla4[],4,FALSE)</f>
        <v>1.73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862.67919029407494</v>
      </c>
      <c r="N7" s="32">
        <f t="shared" ca="1" si="1"/>
        <v>0.11150144651940211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862.67919029407494</v>
      </c>
      <c r="W7" s="2">
        <f t="shared" si="3"/>
        <v>-721.88976178291</v>
      </c>
      <c r="X7" s="9">
        <f t="shared" ca="1" si="4"/>
        <v>0.11150144651940211</v>
      </c>
      <c r="Y7" s="2" t="str">
        <f t="shared" si="7"/>
        <v>ACTIVA</v>
      </c>
    </row>
    <row r="8" spans="2:26">
      <c r="B8" s="1">
        <f t="shared" ca="1" si="0"/>
        <v>45602</v>
      </c>
      <c r="C8" s="2">
        <f ca="1">VLOOKUP(B8,Tabla4[],2,FALSE)</f>
        <v>4439.75</v>
      </c>
      <c r="D8" s="3">
        <f ca="1">VLOOKUP(B8,Tabla4[],3,FALSE)</f>
        <v>73881.39</v>
      </c>
      <c r="E8" s="2">
        <f ca="1">VLOOKUP(B8,Tabla4[],5,FALSE)</f>
        <v>2622.5</v>
      </c>
      <c r="F8" s="2">
        <f ca="1">VLOOKUP(B8,Tabla4[],4,FALSE)</f>
        <v>1.73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297.328424115975</v>
      </c>
      <c r="N8" s="32">
        <f t="shared" ca="1" si="1"/>
        <v>-0.59101654846335705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297.328424115975</v>
      </c>
      <c r="W8" s="2">
        <f t="shared" si="3"/>
        <v>-676.17994528545319</v>
      </c>
      <c r="X8" s="9">
        <f t="shared" ca="1" si="4"/>
        <v>-0.59101654846335705</v>
      </c>
      <c r="Y8" s="2" t="str">
        <f t="shared" si="7"/>
        <v>ACTIVA</v>
      </c>
    </row>
    <row r="9" spans="2:26">
      <c r="B9" s="1">
        <f t="shared" ca="1" si="0"/>
        <v>45602</v>
      </c>
      <c r="C9" s="2">
        <f ca="1">VLOOKUP(B9,Tabla4[],2,FALSE)</f>
        <v>4439.75</v>
      </c>
      <c r="D9" s="3">
        <f ca="1">VLOOKUP(B9,Tabla4[],3,FALSE)</f>
        <v>73881.39</v>
      </c>
      <c r="E9" s="2">
        <f ca="1">VLOOKUP(B9,Tabla4[],5,FALSE)</f>
        <v>2622.5</v>
      </c>
      <c r="F9" s="2">
        <f ca="1">VLOOKUP(B9,Tabla4[],4,FALSE)</f>
        <v>1.73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572.84762324999997</v>
      </c>
      <c r="N9" s="32">
        <f t="shared" ca="1" si="1"/>
        <v>-0.25195177121276519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572.84762324999997</v>
      </c>
      <c r="W9" s="2">
        <f t="shared" si="3"/>
        <v>-712.26418846524007</v>
      </c>
      <c r="X9" s="9">
        <f t="shared" ca="1" si="4"/>
        <v>-0.25195177121276519</v>
      </c>
      <c r="Y9" s="2" t="str">
        <f t="shared" si="7"/>
        <v>ACTIVA</v>
      </c>
    </row>
    <row r="10" spans="2:26">
      <c r="B10" s="1">
        <f t="shared" ca="1" si="0"/>
        <v>45602</v>
      </c>
      <c r="C10" s="2">
        <f ca="1">VLOOKUP(B10,Tabla4[],2,FALSE)</f>
        <v>4439.75</v>
      </c>
      <c r="D10" s="3">
        <f ca="1">VLOOKUP(B10,Tabla4[],3,FALSE)</f>
        <v>73881.39</v>
      </c>
      <c r="E10" s="2">
        <f ca="1">VLOOKUP(B10,Tabla4[],5,FALSE)</f>
        <v>2622.5</v>
      </c>
      <c r="F10" s="2">
        <f ca="1">VLOOKUP(B10,Tabla4[],4,FALSE)</f>
        <v>1.73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892.20053140679988</v>
      </c>
      <c r="N10" s="32">
        <f t="shared" ca="1" si="1"/>
        <v>0.20247309622858933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892.20053140679988</v>
      </c>
      <c r="W10" s="2">
        <f t="shared" si="3"/>
        <v>-692.62576284671991</v>
      </c>
      <c r="X10" s="9">
        <f t="shared" ca="1" si="4"/>
        <v>0.20247309622858933</v>
      </c>
      <c r="Y10" s="2" t="str">
        <f t="shared" si="7"/>
        <v>ACTIVA</v>
      </c>
    </row>
    <row r="11" spans="2:26">
      <c r="B11" s="1">
        <f t="shared" ca="1" si="0"/>
        <v>45602</v>
      </c>
      <c r="C11" s="2">
        <f ca="1">VLOOKUP(B11,Tabla4[],2,FALSE)</f>
        <v>4439.75</v>
      </c>
      <c r="D11" s="3">
        <f ca="1">VLOOKUP(B11,Tabla4[],3,FALSE)</f>
        <v>73881.39</v>
      </c>
      <c r="E11" s="2">
        <f ca="1">VLOOKUP(B11,Tabla4[],5,FALSE)</f>
        <v>2622.5</v>
      </c>
      <c r="F11" s="2">
        <f ca="1">VLOOKUP(B11,Tabla4[],4,FALSE)</f>
        <v>1.73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888.92038239427495</v>
      </c>
      <c r="N11" s="32">
        <f t="shared" ca="1" si="1"/>
        <v>0.21169870796117649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888.92038239427495</v>
      </c>
      <c r="W11" s="2">
        <f t="shared" si="3"/>
        <v>-682.28056593911992</v>
      </c>
      <c r="X11" s="9">
        <f t="shared" ca="1" si="4"/>
        <v>0.21169870796117649</v>
      </c>
      <c r="Y11" s="2" t="str">
        <f t="shared" si="7"/>
        <v>ACTIVA</v>
      </c>
    </row>
    <row r="12" spans="2:26">
      <c r="B12" s="1">
        <f t="shared" ca="1" si="0"/>
        <v>45602</v>
      </c>
      <c r="C12" s="2">
        <f ca="1">VLOOKUP(B12,Tabla4[],2,FALSE)</f>
        <v>4439.75</v>
      </c>
      <c r="D12" s="3">
        <f ca="1">VLOOKUP(B12,Tabla4[],3,FALSE)</f>
        <v>73881.39</v>
      </c>
      <c r="E12" s="2">
        <f ca="1">VLOOKUP(B12,Tabla4[],5,FALSE)</f>
        <v>2622.5</v>
      </c>
      <c r="F12" s="2">
        <f ca="1">VLOOKUP(B12,Tabla4[],4,FALSE)</f>
        <v>1.73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993.88515079507499</v>
      </c>
      <c r="N12" s="32">
        <f t="shared" ca="1" si="1"/>
        <v>0.29402165536374841</v>
      </c>
      <c r="O12" s="9">
        <v>0.25</v>
      </c>
      <c r="P12" s="9">
        <v>0.5</v>
      </c>
      <c r="Q12" t="str">
        <f t="shared" ca="1" si="8"/>
        <v>VENTA PARCIAL</v>
      </c>
      <c r="T12" s="2"/>
      <c r="U12" s="14">
        <f>Tabla6[[#This Row],[cantidad]]-Tabla6[[#This Row],[CANTIDAD VENDIDA]]</f>
        <v>3.0299999999999998E-6</v>
      </c>
      <c r="V12" s="2">
        <f t="shared" ca="1" si="6"/>
        <v>993.88515079507499</v>
      </c>
      <c r="W12" s="2">
        <f t="shared" si="3"/>
        <v>-705.59026591680004</v>
      </c>
      <c r="X12" s="9">
        <f t="shared" ca="1" si="4"/>
        <v>0.29402165536374841</v>
      </c>
      <c r="Y12" s="2" t="str">
        <f t="shared" si="7"/>
        <v>ACTIVA</v>
      </c>
    </row>
    <row r="13" spans="2:26">
      <c r="B13" s="1">
        <f t="shared" ca="1" si="0"/>
        <v>45602</v>
      </c>
      <c r="C13" s="2">
        <f ca="1">VLOOKUP(B13,Tabla4[],2,FALSE)</f>
        <v>4439.75</v>
      </c>
      <c r="D13" s="3">
        <f ca="1">VLOOKUP(B13,Tabla4[],3,FALSE)</f>
        <v>73881.39</v>
      </c>
      <c r="E13" s="2">
        <f ca="1">VLOOKUP(B13,Tabla4[],5,FALSE)</f>
        <v>2622.5</v>
      </c>
      <c r="F13" s="2">
        <f ca="1">VLOOKUP(B13,Tabla4[],4,FALSE)</f>
        <v>1.73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921.72187251952505</v>
      </c>
      <c r="N13" s="32">
        <f t="shared" ca="1" si="1"/>
        <v>0.17346739750221962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921.72187251952505</v>
      </c>
      <c r="W13" s="2">
        <f t="shared" si="3"/>
        <v>-706.44677732571006</v>
      </c>
      <c r="X13" s="9">
        <f t="shared" ca="1" si="4"/>
        <v>0.17346739750221962</v>
      </c>
      <c r="Y13" s="2" t="str">
        <f t="shared" si="7"/>
        <v>ACTIVA</v>
      </c>
    </row>
    <row r="14" spans="2:26">
      <c r="B14" s="1">
        <f t="shared" ca="1" si="0"/>
        <v>45602</v>
      </c>
      <c r="C14" s="2">
        <f ca="1">VLOOKUP(B14,Tabla4[],2,FALSE)</f>
        <v>4439.75</v>
      </c>
      <c r="D14" s="3">
        <f ca="1">VLOOKUP(B14,Tabla4[],3,FALSE)</f>
        <v>73881.39</v>
      </c>
      <c r="E14" s="2">
        <f ca="1">VLOOKUP(B14,Tabla4[],5,FALSE)</f>
        <v>2622.5</v>
      </c>
      <c r="F14" s="2">
        <f ca="1">VLOOKUP(B14,Tabla4[],4,FALSE)</f>
        <v>1.73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589.26459781874996</v>
      </c>
      <c r="N14" s="32">
        <f t="shared" ca="1" si="1"/>
        <v>-0.22360938004209827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589.26459781874996</v>
      </c>
      <c r="W14" s="2">
        <f t="shared" si="3"/>
        <v>-708.50285169316794</v>
      </c>
      <c r="X14" s="9">
        <f t="shared" ca="1" si="4"/>
        <v>-0.22360938004209827</v>
      </c>
      <c r="Y14" s="2" t="str">
        <f t="shared" si="7"/>
        <v>ACTIVA</v>
      </c>
    </row>
    <row r="15" spans="2:26">
      <c r="B15" s="1">
        <f t="shared" ca="1" si="0"/>
        <v>45602</v>
      </c>
      <c r="C15" s="2">
        <f ca="1">VLOOKUP(B15,Tabla4[],2,FALSE)</f>
        <v>4439.75</v>
      </c>
      <c r="D15" s="3">
        <f ca="1">VLOOKUP(B15,Tabla4[],3,FALSE)</f>
        <v>73881.39</v>
      </c>
      <c r="E15" s="2">
        <f ca="1">VLOOKUP(B15,Tabla4[],5,FALSE)</f>
        <v>2622.5</v>
      </c>
      <c r="F15" s="2">
        <f ca="1">VLOOKUP(B15,Tabla4[],4,FALSE)</f>
        <v>1.73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574.47767746249997</v>
      </c>
      <c r="N15" s="32">
        <f t="shared" ca="1" si="1"/>
        <v>-0.21926865791612465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574.47767746249997</v>
      </c>
      <c r="W15" s="2">
        <f t="shared" si="3"/>
        <v>-684.33117524901604</v>
      </c>
      <c r="X15" s="9">
        <f t="shared" ca="1" si="4"/>
        <v>-0.21926865791612465</v>
      </c>
      <c r="Y15" s="2" t="str">
        <f t="shared" si="7"/>
        <v>ACTIVA</v>
      </c>
    </row>
    <row r="16" spans="2:26">
      <c r="B16" s="1">
        <f t="shared" ca="1" si="0"/>
        <v>45602</v>
      </c>
      <c r="C16" s="2">
        <f ca="1">VLOOKUP(B16,Tabla4[],2,FALSE)</f>
        <v>4439.75</v>
      </c>
      <c r="D16" s="3">
        <f ca="1">VLOOKUP(B16,Tabla4[],3,FALSE)</f>
        <v>73881.39</v>
      </c>
      <c r="E16" s="2">
        <f ca="1">VLOOKUP(B16,Tabla4[],5,FALSE)</f>
        <v>2622.5</v>
      </c>
      <c r="F16" s="2">
        <f ca="1">VLOOKUP(B16,Tabla4[],4,FALSE)</f>
        <v>1.73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661.80201027500004</v>
      </c>
      <c r="N16" s="32">
        <f t="shared" ca="1" si="1"/>
        <v>-0.14157119476268412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661.80201027500004</v>
      </c>
      <c r="W16" s="2">
        <f t="shared" si="3"/>
        <v>-708.24207363000005</v>
      </c>
      <c r="X16" s="9">
        <f t="shared" ca="1" si="4"/>
        <v>-0.14157119476268412</v>
      </c>
      <c r="Y16" s="2" t="str">
        <f t="shared" si="7"/>
        <v>ACTIVA</v>
      </c>
    </row>
    <row r="17" spans="2:25">
      <c r="B17" s="1">
        <f t="shared" ca="1" si="0"/>
        <v>45602</v>
      </c>
      <c r="C17" s="2">
        <f ca="1">VLOOKUP(B17,Tabla4[],2,FALSE)</f>
        <v>4439.75</v>
      </c>
      <c r="D17" s="3">
        <f ca="1">VLOOKUP(B17,Tabla4[],3,FALSE)</f>
        <v>73881.39</v>
      </c>
      <c r="E17" s="2">
        <f ca="1">VLOOKUP(B17,Tabla4[],5,FALSE)</f>
        <v>2622.5</v>
      </c>
      <c r="F17" s="2">
        <f ca="1">VLOOKUP(B17,Tabla4[],4,FALSE)</f>
        <v>1.73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612.43465412499995</v>
      </c>
      <c r="N17" s="32">
        <f t="shared" ca="1" si="1"/>
        <v>-0.24163558023191925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612.43465412499995</v>
      </c>
      <c r="W17" s="2">
        <f t="shared" si="3"/>
        <v>-726.32733822540001</v>
      </c>
      <c r="X17" s="9">
        <f t="shared" ca="1" si="4"/>
        <v>-0.24163558023191925</v>
      </c>
      <c r="Y17" s="2" t="str">
        <f t="shared" si="7"/>
        <v>ACTIVA</v>
      </c>
    </row>
    <row r="18" spans="2:25">
      <c r="B18" s="1">
        <f t="shared" ca="1" si="0"/>
        <v>45602</v>
      </c>
      <c r="C18" s="2">
        <f ca="1">VLOOKUP(B18,Tabla4[],2,FALSE)</f>
        <v>4439.75</v>
      </c>
      <c r="D18" s="3">
        <f ca="1">VLOOKUP(B18,Tabla4[],3,FALSE)</f>
        <v>73881.39</v>
      </c>
      <c r="E18" s="2">
        <f ca="1">VLOOKUP(B18,Tabla4[],5,FALSE)</f>
        <v>2622.5</v>
      </c>
      <c r="F18" s="2">
        <f ca="1">VLOOKUP(B18,Tabla4[],4,FALSE)</f>
        <v>1.73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404.97622401267495</v>
      </c>
      <c r="N18" s="32">
        <f t="shared" ca="1" si="1"/>
        <v>-0.49117647058823527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404.97622401267495</v>
      </c>
      <c r="W18" s="2">
        <f t="shared" si="3"/>
        <v>-742.97443934431988</v>
      </c>
      <c r="X18" s="9">
        <f t="shared" ca="1" si="4"/>
        <v>-0.49117647058823527</v>
      </c>
      <c r="Y18" s="2" t="str">
        <f t="shared" si="7"/>
        <v>ACTIVA</v>
      </c>
    </row>
    <row r="19" spans="2:25">
      <c r="B19" s="1">
        <f t="shared" ca="1" si="0"/>
        <v>45602</v>
      </c>
      <c r="C19" s="2">
        <f ca="1">VLOOKUP(B19,Tabla4[],2,FALSE)</f>
        <v>4439.75</v>
      </c>
      <c r="D19" s="3">
        <f ca="1">VLOOKUP(B19,Tabla4[],3,FALSE)</f>
        <v>73881.39</v>
      </c>
      <c r="E19" s="2">
        <f ca="1">VLOOKUP(B19,Tabla4[],5,FALSE)</f>
        <v>2622.5</v>
      </c>
      <c r="F19" s="2">
        <f ca="1">VLOOKUP(B19,Tabla4[],4,FALSE)</f>
        <v>1.73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211.12617196370002</v>
      </c>
      <c r="N19" s="32">
        <f t="shared" ca="1" si="1"/>
        <v>-0.3886925795053004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211.12617196370002</v>
      </c>
      <c r="W19" s="2">
        <f t="shared" si="3"/>
        <v>-321.201220736496</v>
      </c>
      <c r="X19" s="9">
        <f t="shared" ca="1" si="4"/>
        <v>-0.3886925795053004</v>
      </c>
      <c r="Y19" s="2" t="str">
        <f t="shared" si="7"/>
        <v>ACTIVA</v>
      </c>
    </row>
    <row r="20" spans="2:25" hidden="1">
      <c r="B20" s="1">
        <f t="shared" ca="1" si="0"/>
        <v>45602</v>
      </c>
      <c r="C20" s="2">
        <f ca="1">VLOOKUP(B20,Tabla4[],2,FALSE)</f>
        <v>4439.75</v>
      </c>
      <c r="D20" s="3">
        <f ca="1">VLOOKUP(B20,Tabla4[],3,FALSE)</f>
        <v>73881.39</v>
      </c>
      <c r="E20" s="2">
        <f ca="1">VLOOKUP(B20,Tabla4[],5,FALSE)</f>
        <v>2622.5</v>
      </c>
      <c r="F20" s="2">
        <f ca="1">VLOOKUP(B20,Tabla4[],4,FALSE)</f>
        <v>1.73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296.77010912640003</v>
      </c>
      <c r="N20" s="12">
        <f t="shared" ca="1" si="1"/>
        <v>-0.24454148471615722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-0.24454148471615722</v>
      </c>
      <c r="Y20" s="2" t="str">
        <f t="shared" si="7"/>
        <v>VENDIDA</v>
      </c>
    </row>
    <row r="21" spans="2:25" hidden="1">
      <c r="B21" s="1">
        <f t="shared" ca="1" si="0"/>
        <v>45602</v>
      </c>
      <c r="C21" s="2">
        <f ca="1">VLOOKUP(B21,Tabla4[],2,FALSE)</f>
        <v>4439.75</v>
      </c>
      <c r="D21" s="3">
        <f ca="1">VLOOKUP(B21,Tabla4[],3,FALSE)</f>
        <v>73881.39</v>
      </c>
      <c r="E21" s="2">
        <f ca="1">VLOOKUP(B21,Tabla4[],5,FALSE)</f>
        <v>2622.5</v>
      </c>
      <c r="F21" s="2">
        <f ca="1">VLOOKUP(B21,Tabla4[],4,FALSE)</f>
        <v>1.73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285.10932152324995</v>
      </c>
      <c r="N21" s="12">
        <f t="shared" ca="1" si="1"/>
        <v>-0.33969465648854963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-0.33969465648854963</v>
      </c>
      <c r="Y21" s="2" t="str">
        <f t="shared" si="7"/>
        <v>VENDIDA</v>
      </c>
    </row>
    <row r="22" spans="2:25">
      <c r="B22" s="1">
        <f t="shared" ref="B22:B29" ca="1" si="9">TODAY()</f>
        <v>45602</v>
      </c>
      <c r="C22" s="2">
        <f ca="1">VLOOKUP(B22,Tabla4[],2,FALSE)</f>
        <v>4439.75</v>
      </c>
      <c r="D22" s="3">
        <f ca="1">VLOOKUP(B22,Tabla4[],3,FALSE)</f>
        <v>73881.39</v>
      </c>
      <c r="E22" s="2">
        <f ca="1">VLOOKUP(B22,Tabla4[],5,FALSE)</f>
        <v>2622.5</v>
      </c>
      <c r="F22" s="2">
        <f ca="1">VLOOKUP(B22,Tabla4[],4,FALSE)</f>
        <v>1.73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292.37110315612495</v>
      </c>
      <c r="N22" s="32">
        <f t="shared" ref="N22:N29" ca="1" si="11">IF(G22 = "BTC", (D22 - J22) / J22,
 IF(G22 = "ETH", (E22 - J22) / J22,
 IF(G22 = "IO.NET", (F22 - J22) / J22,
 "Moneda no soportada")))</f>
        <v>-0.35687732342007433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0.50193815612499038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-0.35687732342007433</v>
      </c>
      <c r="Y22" s="2" t="str">
        <f t="shared" si="7"/>
        <v>ACTIVA</v>
      </c>
    </row>
    <row r="23" spans="2:25">
      <c r="B23" s="1">
        <f t="shared" ca="1" si="9"/>
        <v>45602</v>
      </c>
      <c r="C23" s="2">
        <f ca="1">VLOOKUP(B23,Tabla4[],2,FALSE)</f>
        <v>4439.75</v>
      </c>
      <c r="D23" s="3">
        <f ca="1">VLOOKUP(B23,Tabla4[],3,FALSE)</f>
        <v>73881.39</v>
      </c>
      <c r="E23" s="2">
        <f ca="1">VLOOKUP(B23,Tabla4[],5,FALSE)</f>
        <v>2622.5</v>
      </c>
      <c r="F23" s="2">
        <f ca="1">VLOOKUP(B23,Tabla4[],4,FALSE)</f>
        <v>1.73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294.37363285872499</v>
      </c>
      <c r="N23" s="32">
        <f t="shared" ca="1" si="11"/>
        <v>-0.36397058823529416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2.5044678587249827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-0.36397058823529416</v>
      </c>
      <c r="Y23" s="2" t="str">
        <f t="shared" si="7"/>
        <v>ACTIVA</v>
      </c>
    </row>
    <row r="24" spans="2:25">
      <c r="B24" s="1">
        <f t="shared" ca="1" si="9"/>
        <v>45602</v>
      </c>
      <c r="C24" s="2">
        <f ca="1">VLOOKUP(B24,Tabla4[],2,FALSE)</f>
        <v>4439.75</v>
      </c>
      <c r="D24" s="3">
        <f ca="1">VLOOKUP(B24,Tabla4[],3,FALSE)</f>
        <v>73881.39</v>
      </c>
      <c r="E24" s="2">
        <f ca="1">VLOOKUP(B24,Tabla4[],5,FALSE)</f>
        <v>2622.5</v>
      </c>
      <c r="F24" s="2">
        <f ca="1">VLOOKUP(B24,Tabla4[],4,FALSE)</f>
        <v>1.73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298.51441142565</v>
      </c>
      <c r="N24" s="32">
        <f t="shared" ca="1" si="11"/>
        <v>-0.37318840579710139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8.504145776000021</v>
      </c>
      <c r="W24" s="2">
        <f t="shared" si="14"/>
        <v>8.8385908401840538</v>
      </c>
      <c r="X24" s="9">
        <f t="shared" ca="1" si="15"/>
        <v>-0.37318840579710139</v>
      </c>
      <c r="Y24" s="2" t="str">
        <f t="shared" si="7"/>
        <v>ACTIVA</v>
      </c>
    </row>
    <row r="25" spans="2:25">
      <c r="B25" s="1">
        <f t="shared" ca="1" si="9"/>
        <v>45602</v>
      </c>
      <c r="C25" s="2">
        <f ca="1">VLOOKUP(B25,Tabla4[],2,FALSE)</f>
        <v>4439.75</v>
      </c>
      <c r="D25" s="3">
        <f ca="1">VLOOKUP(B25,Tabla4[],3,FALSE)</f>
        <v>73881.39</v>
      </c>
      <c r="E25" s="2">
        <f ca="1">VLOOKUP(B25,Tabla4[],5,FALSE)</f>
        <v>2622.5</v>
      </c>
      <c r="F25" s="2">
        <f ca="1">VLOOKUP(B25,Tabla4[],4,FALSE)</f>
        <v>1.73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293.48527528967503</v>
      </c>
      <c r="N25" s="32">
        <f t="shared" ca="1" si="11"/>
        <v>-0.3843416370106762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1.6161102896750088</v>
      </c>
      <c r="W25" s="2">
        <f t="shared" si="14"/>
        <v>40.44492107583801</v>
      </c>
      <c r="X25" s="9">
        <f t="shared" ca="1" si="15"/>
        <v>-0.3843416370106762</v>
      </c>
      <c r="Y25" s="2" t="str">
        <f t="shared" ref="Y25:Y32" si="16">IF(U25=0,"VENDIDA","ACTIVA")</f>
        <v>ACTIVA</v>
      </c>
    </row>
    <row r="26" spans="2:25">
      <c r="B26" s="1">
        <f t="shared" ca="1" si="9"/>
        <v>45602</v>
      </c>
      <c r="C26" s="2">
        <f ca="1">VLOOKUP(B26,Tabla4[],2,FALSE)</f>
        <v>4439.75</v>
      </c>
      <c r="D26" s="3">
        <f ca="1">VLOOKUP(B26,Tabla4[],3,FALSE)</f>
        <v>73881.39</v>
      </c>
      <c r="E26" s="2">
        <f ca="1">VLOOKUP(B26,Tabla4[],5,FALSE)</f>
        <v>2622.5</v>
      </c>
      <c r="F26" s="2">
        <f ca="1">VLOOKUP(B26,Tabla4[],4,FALSE)</f>
        <v>1.73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296.17369753002498</v>
      </c>
      <c r="N26" s="32">
        <f t="shared" ca="1" si="11"/>
        <v>-0.43173232950327495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296.17369753002498</v>
      </c>
      <c r="W26" s="2">
        <f t="shared" si="14"/>
        <v>-474.99592218630107</v>
      </c>
      <c r="X26" s="9">
        <f t="shared" ca="1" si="15"/>
        <v>-0.43173232950327495</v>
      </c>
      <c r="Y26" s="2" t="str">
        <f t="shared" si="16"/>
        <v>ACTIVA</v>
      </c>
    </row>
    <row r="27" spans="2:25">
      <c r="B27" s="1">
        <f t="shared" ca="1" si="9"/>
        <v>45602</v>
      </c>
      <c r="C27" s="2">
        <f ca="1">VLOOKUP(B27,Tabla4[],2,FALSE)</f>
        <v>4439.75</v>
      </c>
      <c r="D27" s="3">
        <f ca="1">VLOOKUP(B27,Tabla4[],3,FALSE)</f>
        <v>73881.39</v>
      </c>
      <c r="E27" s="2">
        <f ca="1">VLOOKUP(B27,Tabla4[],5,FALSE)</f>
        <v>2622.5</v>
      </c>
      <c r="F27" s="2">
        <f ca="1">VLOOKUP(B27,Tabla4[],4,FALSE)</f>
        <v>1.73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849.55859424397511</v>
      </c>
      <c r="N27" s="32">
        <f t="shared" ca="1" si="11"/>
        <v>0.10608930529975684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849.55859424397511</v>
      </c>
      <c r="W27" s="2">
        <f t="shared" si="14"/>
        <v>-699.14771612275808</v>
      </c>
      <c r="X27" s="9">
        <f t="shared" ca="1" si="15"/>
        <v>0.10608930529975684</v>
      </c>
      <c r="Y27" s="2" t="str">
        <f t="shared" si="16"/>
        <v>ACTIVA</v>
      </c>
    </row>
    <row r="28" spans="2:25">
      <c r="B28" s="1">
        <f t="shared" ca="1" si="9"/>
        <v>45602</v>
      </c>
      <c r="C28" s="2">
        <f ca="1">VLOOKUP(B28,Tabla4[],2,FALSE)</f>
        <v>4439.75</v>
      </c>
      <c r="D28" s="3">
        <f ca="1">VLOOKUP(B28,Tabla4[],3,FALSE)</f>
        <v>73881.39</v>
      </c>
      <c r="E28" s="2">
        <f ca="1">VLOOKUP(B28,Tabla4[],5,FALSE)</f>
        <v>2622.5</v>
      </c>
      <c r="F28" s="2">
        <f ca="1">VLOOKUP(B28,Tabla4[],4,FALSE)</f>
        <v>1.73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583.90870540624996</v>
      </c>
      <c r="N28" s="32">
        <f t="shared" ca="1" si="11"/>
        <v>-0.24141621590350293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583.90870540624996</v>
      </c>
      <c r="W28" s="2">
        <f t="shared" si="14"/>
        <v>-700.6597894414499</v>
      </c>
      <c r="X28" s="9">
        <f t="shared" ca="1" si="15"/>
        <v>-0.24141621590350293</v>
      </c>
      <c r="Y28" s="2" t="str">
        <f t="shared" si="16"/>
        <v>ACTIVA</v>
      </c>
    </row>
    <row r="29" spans="2:25">
      <c r="B29" s="1">
        <f t="shared" ca="1" si="9"/>
        <v>45602</v>
      </c>
      <c r="C29" s="2">
        <f ca="1">VLOOKUP(B29,Tabla4[],2,FALSE)</f>
        <v>4439.75</v>
      </c>
      <c r="D29" s="3">
        <f ca="1">VLOOKUP(B29,Tabla4[],3,FALSE)</f>
        <v>73881.39</v>
      </c>
      <c r="E29" s="2">
        <f ca="1">VLOOKUP(B29,Tabla4[],5,FALSE)</f>
        <v>2622.5</v>
      </c>
      <c r="F29" s="2">
        <f ca="1">VLOOKUP(B29,Tabla4[],4,FALSE)</f>
        <v>1.73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228.18477254282499</v>
      </c>
      <c r="N29" s="32">
        <f t="shared" ca="1" si="11"/>
        <v>-0.40753424657534248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228.18477254282499</v>
      </c>
      <c r="W29" s="2">
        <f t="shared" si="14"/>
        <v>-350.58167079212399</v>
      </c>
      <c r="X29" s="9">
        <f t="shared" ca="1" si="15"/>
        <v>-0.40753424657534248</v>
      </c>
      <c r="Y29" s="2" t="str">
        <f t="shared" si="16"/>
        <v>ACTIVA</v>
      </c>
    </row>
    <row r="30" spans="2:25">
      <c r="B30" s="1">
        <f t="shared" ref="B30:B35" ca="1" si="17">TODAY()</f>
        <v>45602</v>
      </c>
      <c r="C30" s="2">
        <f ca="1">VLOOKUP(B30,Tabla4[],2,FALSE)</f>
        <v>4439.75</v>
      </c>
      <c r="D30" s="3">
        <f ca="1">VLOOKUP(B30,Tabla4[],3,FALSE)</f>
        <v>73881.39</v>
      </c>
      <c r="E30" s="2">
        <f ca="1">VLOOKUP(B30,Tabla4[],5,FALSE)</f>
        <v>2622.5</v>
      </c>
      <c r="F30" s="2">
        <f ca="1">VLOOKUP(B30,Tabla4[],4,FALSE)</f>
        <v>1.73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829.87770016882496</v>
      </c>
      <c r="N30" s="32">
        <f t="shared" ref="N30:N35" ca="1" si="19">IF(G30 = "BTC", (D30 - J30) / J30,
 IF(G30 = "ETH", (E30 - J30) / J30,
 IF(G30 = "IO.NET", (F30 - J30) / J30,
 "Moneda no soportada")))</f>
        <v>7.5730559899359673E-2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829.87770016882496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7.5730559899359673E-2</v>
      </c>
      <c r="Y30" s="2" t="str">
        <f t="shared" si="16"/>
        <v>ACTIVA</v>
      </c>
    </row>
    <row r="31" spans="2:25">
      <c r="B31" s="1">
        <f t="shared" ca="1" si="17"/>
        <v>45602</v>
      </c>
      <c r="C31" s="2">
        <f ca="1">VLOOKUP(B31,Tabla4[],2,FALSE)</f>
        <v>4439.75</v>
      </c>
      <c r="D31" s="3">
        <f ca="1">VLOOKUP(B31,Tabla4[],3,FALSE)</f>
        <v>73881.39</v>
      </c>
      <c r="E31" s="2">
        <f ca="1">VLOOKUP(B31,Tabla4[],5,FALSE)</f>
        <v>2622.5</v>
      </c>
      <c r="F31" s="2">
        <f ca="1">VLOOKUP(B31,Tabla4[],4,FALSE)</f>
        <v>1.73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609.98957280624995</v>
      </c>
      <c r="N31" s="32">
        <f t="shared" ca="1" si="19"/>
        <v>-0.20901824762479265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609.98957280624995</v>
      </c>
      <c r="W31" s="2">
        <f t="shared" si="22"/>
        <v>-700.01062533089998</v>
      </c>
      <c r="X31" s="9">
        <f t="shared" ca="1" si="23"/>
        <v>-0.20901824762479265</v>
      </c>
      <c r="Y31" s="2" t="str">
        <f t="shared" si="16"/>
        <v>ACTIVA</v>
      </c>
    </row>
    <row r="32" spans="2:25">
      <c r="B32" s="1">
        <f t="shared" ca="1" si="17"/>
        <v>45602</v>
      </c>
      <c r="C32" s="2">
        <f ca="1">VLOOKUP(B32,Tabla4[],2,FALSE)</f>
        <v>4439.75</v>
      </c>
      <c r="D32" s="3">
        <f ca="1">VLOOKUP(B32,Tabla4[],3,FALSE)</f>
        <v>73881.39</v>
      </c>
      <c r="E32" s="2">
        <f ca="1">VLOOKUP(B32,Tabla4[],5,FALSE)</f>
        <v>2622.5</v>
      </c>
      <c r="F32" s="2">
        <f ca="1">VLOOKUP(B32,Tabla4[],4,FALSE)</f>
        <v>1.73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230.09820534242499</v>
      </c>
      <c r="N32" s="32">
        <f t="shared" ca="1" si="19"/>
        <v>-0.40344827586206894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230.09820534242499</v>
      </c>
      <c r="W32" s="2">
        <f t="shared" si="22"/>
        <v>-350.11749431717993</v>
      </c>
      <c r="X32" s="9">
        <f t="shared" ca="1" si="23"/>
        <v>-0.40344827586206894</v>
      </c>
      <c r="Y32" s="2" t="str">
        <f t="shared" si="16"/>
        <v>ACTIVA</v>
      </c>
    </row>
    <row r="33" spans="2:25">
      <c r="B33" s="1">
        <f t="shared" ca="1" si="17"/>
        <v>45602</v>
      </c>
      <c r="C33" s="2">
        <f ca="1">VLOOKUP(B33,Tabla4[],2,FALSE)</f>
        <v>4439.75</v>
      </c>
      <c r="D33" s="3">
        <f ca="1">VLOOKUP(B33,Tabla4[],3,FALSE)</f>
        <v>73881.39</v>
      </c>
      <c r="E33" s="2">
        <f ca="1">VLOOKUP(B33,Tabla4[],5,FALSE)</f>
        <v>2622.5</v>
      </c>
      <c r="F33" s="2">
        <f ca="1">VLOOKUP(B33,Tabla4[],4,FALSE)</f>
        <v>1.73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1043.0873859829501</v>
      </c>
      <c r="N33" s="32">
        <f t="shared" ca="1" si="19"/>
        <v>0.38177438712033951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1043.0873859829501</v>
      </c>
      <c r="W33" s="2">
        <f t="shared" si="22"/>
        <v>-699.99737650756197</v>
      </c>
      <c r="X33" s="9">
        <f t="shared" ca="1" si="23"/>
        <v>0.38177438712033951</v>
      </c>
      <c r="Y33" s="2" t="str">
        <f t="shared" ref="Y33:Y38" si="24">IF(U33=0,"VENDIDA","ACTIVA")</f>
        <v>ACTIVA</v>
      </c>
    </row>
    <row r="34" spans="2:25">
      <c r="B34" s="1">
        <f t="shared" ca="1" si="17"/>
        <v>45602</v>
      </c>
      <c r="C34" s="2">
        <f ca="1">VLOOKUP(B34,Tabla4[],2,FALSE)</f>
        <v>4439.75</v>
      </c>
      <c r="D34" s="3">
        <f ca="1">VLOOKUP(B34,Tabla4[],3,FALSE)</f>
        <v>73881.39</v>
      </c>
      <c r="E34" s="2">
        <f ca="1">VLOOKUP(B34,Tabla4[],5,FALSE)</f>
        <v>2622.5</v>
      </c>
      <c r="F34" s="2">
        <f ca="1">VLOOKUP(B34,Tabla4[],4,FALSE)</f>
        <v>1.73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833.77272969375008</v>
      </c>
      <c r="N34" s="32">
        <f t="shared" ca="1" si="19"/>
        <v>0.1044988586494158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833.77272969375008</v>
      </c>
      <c r="W34" s="2">
        <f t="shared" si="22"/>
        <v>-699.99553871893795</v>
      </c>
      <c r="X34" s="9">
        <f t="shared" ca="1" si="23"/>
        <v>0.1044988586494158</v>
      </c>
      <c r="Y34" s="2" t="str">
        <f t="shared" si="24"/>
        <v>ACTIVA</v>
      </c>
    </row>
    <row r="35" spans="2:25">
      <c r="B35" s="1">
        <f t="shared" ca="1" si="17"/>
        <v>45602</v>
      </c>
      <c r="C35" s="2">
        <f ca="1">VLOOKUP(B35,Tabla4[],2,FALSE)</f>
        <v>4439.75</v>
      </c>
      <c r="D35" s="3">
        <f ca="1">VLOOKUP(B35,Tabla4[],3,FALSE)</f>
        <v>73881.39</v>
      </c>
      <c r="E35" s="2">
        <f ca="1">VLOOKUP(B35,Tabla4[],5,FALSE)</f>
        <v>2622.5</v>
      </c>
      <c r="F35" s="2">
        <f ca="1">VLOOKUP(B35,Tabla4[],4,FALSE)</f>
        <v>1.73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443.49235433352499</v>
      </c>
      <c r="N35" s="32">
        <f t="shared" ca="1" si="19"/>
        <v>0.17495245857104053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443.49235433352499</v>
      </c>
      <c r="W35" s="2">
        <f t="shared" si="22"/>
        <v>-350.00858741327886</v>
      </c>
      <c r="X35" s="9">
        <f t="shared" ca="1" si="23"/>
        <v>0.17495245857104053</v>
      </c>
      <c r="Y35" s="2" t="str">
        <f t="shared" si="24"/>
        <v>ACTIVA</v>
      </c>
    </row>
    <row r="36" spans="2:25">
      <c r="B36" s="1">
        <f t="shared" ref="B36:B41" ca="1" si="25">TODAY()</f>
        <v>45602</v>
      </c>
      <c r="C36" s="2">
        <f ca="1">VLOOKUP(B36,Tabla4[],2,FALSE)</f>
        <v>4439.75</v>
      </c>
      <c r="D36" s="3">
        <f ca="1">VLOOKUP(B36,Tabla4[],3,FALSE)</f>
        <v>73881.39</v>
      </c>
      <c r="E36" s="2">
        <f ca="1">VLOOKUP(B36,Tabla4[],5,FALSE)</f>
        <v>2622.5</v>
      </c>
      <c r="F36" s="2">
        <f ca="1">VLOOKUP(B36,Tabla4[],4,FALSE)</f>
        <v>1.73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954.52336264477503</v>
      </c>
      <c r="N36" s="41">
        <f t="shared" ref="N36:N41" ca="1" si="27">IF(G36 = "BTC", (D36 - J36) / J36,
 IF(G36 = "ETH", (E36 - J36) / J36,
 IF(G36 = "IO.NET", (F36 - J36) / J36,
 "Moneda no soportada")))</f>
        <v>0.25122406125666391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VENTA PARCIAL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954.52336264477503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0.25122406125666391</v>
      </c>
      <c r="Y36" s="2" t="str">
        <f t="shared" si="24"/>
        <v>ACTIVA</v>
      </c>
    </row>
    <row r="37" spans="2:25">
      <c r="B37" s="1">
        <f t="shared" ca="1" si="25"/>
        <v>45602</v>
      </c>
      <c r="C37" s="2">
        <f ca="1">VLOOKUP(B37,Tabla4[],2,FALSE)</f>
        <v>4439.75</v>
      </c>
      <c r="D37" s="3">
        <f ca="1">VLOOKUP(B37,Tabla4[],3,FALSE)</f>
        <v>73881.39</v>
      </c>
      <c r="E37" s="2">
        <f ca="1">VLOOKUP(B37,Tabla4[],5,FALSE)</f>
        <v>2622.5</v>
      </c>
      <c r="F37" s="2">
        <f ca="1">VLOOKUP(B37,Tabla4[],4,FALSE)</f>
        <v>1.73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756.3451546</v>
      </c>
      <c r="N37" s="41">
        <f t="shared" ca="1" si="27"/>
        <v>-8.581581732950181E-3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756.3451546</v>
      </c>
      <c r="W37" s="2">
        <f t="shared" si="30"/>
        <v>-700.01513873535998</v>
      </c>
      <c r="X37" s="9">
        <f t="shared" ca="1" si="31"/>
        <v>-8.581581732950181E-3</v>
      </c>
      <c r="Y37" s="2" t="str">
        <f t="shared" si="24"/>
        <v>ACTIVA</v>
      </c>
    </row>
    <row r="38" spans="2:25">
      <c r="B38" s="1">
        <f t="shared" ca="1" si="25"/>
        <v>45602</v>
      </c>
      <c r="C38" s="2">
        <f ca="1">VLOOKUP(B38,Tabla4[],2,FALSE)</f>
        <v>4439.75</v>
      </c>
      <c r="D38" s="3">
        <f ca="1">VLOOKUP(B38,Tabla4[],3,FALSE)</f>
        <v>73881.39</v>
      </c>
      <c r="E38" s="2">
        <f ca="1">VLOOKUP(B38,Tabla4[],5,FALSE)</f>
        <v>2622.5</v>
      </c>
      <c r="F38" s="2">
        <f ca="1">VLOOKUP(B38,Tabla4[],4,FALSE)</f>
        <v>1.73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419.68374166004998</v>
      </c>
      <c r="N38" s="41">
        <f t="shared" ca="1" si="27"/>
        <v>0.10027093376750569</v>
      </c>
      <c r="O38" s="28">
        <v>0.1</v>
      </c>
      <c r="P38" s="28">
        <v>0.3</v>
      </c>
      <c r="Q38" t="str">
        <f t="shared" ca="1" si="28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29"/>
        <v>419.68374166004998</v>
      </c>
      <c r="W38" s="2">
        <f t="shared" si="30"/>
        <v>-349.9990705940495</v>
      </c>
      <c r="X38" s="9">
        <f t="shared" ca="1" si="31"/>
        <v>0.10027093376750569</v>
      </c>
      <c r="Y38" s="2" t="str">
        <f t="shared" si="24"/>
        <v>ACTIVA</v>
      </c>
    </row>
    <row r="39" spans="2:25">
      <c r="B39" s="1">
        <f t="shared" ca="1" si="25"/>
        <v>45602</v>
      </c>
      <c r="C39" s="2">
        <f ca="1">VLOOKUP(B39,Tabla4[],2,FALSE)</f>
        <v>4439.75</v>
      </c>
      <c r="D39" s="3">
        <f ca="1">VLOOKUP(B39,Tabla4[],3,FALSE)</f>
        <v>73881.39</v>
      </c>
      <c r="E39" s="2">
        <f ca="1">VLOOKUP(B39,Tabla4[],5,FALSE)</f>
        <v>2622.5</v>
      </c>
      <c r="F39" s="2">
        <f ca="1">VLOOKUP(B39,Tabla4[],4,FALSE)</f>
        <v>1.73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993.88515079507499</v>
      </c>
      <c r="N39" s="41">
        <f t="shared" ca="1" si="27"/>
        <v>0.28884320299770766</v>
      </c>
      <c r="O39" s="28">
        <v>0.25</v>
      </c>
      <c r="P39" s="28">
        <v>0.5</v>
      </c>
      <c r="Q39" t="str">
        <f t="shared" ca="1" si="28"/>
        <v>VENTA PARCIAL</v>
      </c>
      <c r="T39" s="2"/>
      <c r="U39" s="14">
        <f>Tabla6[[#This Row],[cantidad]]-Tabla6[[#This Row],[CANTIDAD VENDIDA]]</f>
        <v>3.0299999999999998E-6</v>
      </c>
      <c r="V39" s="2">
        <f t="shared" ca="1" si="29"/>
        <v>993.88515079507499</v>
      </c>
      <c r="W39" s="2">
        <f t="shared" si="30"/>
        <v>-700.00297999823999</v>
      </c>
      <c r="X39" s="9">
        <f t="shared" ca="1" si="31"/>
        <v>0.28884320299770766</v>
      </c>
      <c r="Y39" s="2" t="str">
        <f t="shared" ref="Y39:Y44" si="32">IF(U39=0,"VENDIDA","ACTIVA")</f>
        <v>ACTIVA</v>
      </c>
    </row>
    <row r="40" spans="2:25">
      <c r="B40" s="1">
        <f t="shared" ca="1" si="25"/>
        <v>45602</v>
      </c>
      <c r="C40" s="2">
        <f ca="1">VLOOKUP(B40,Tabla4[],2,FALSE)</f>
        <v>4439.75</v>
      </c>
      <c r="D40" s="3">
        <f ca="1">VLOOKUP(B40,Tabla4[],3,FALSE)</f>
        <v>73881.39</v>
      </c>
      <c r="E40" s="2">
        <f ca="1">VLOOKUP(B40,Tabla4[],5,FALSE)</f>
        <v>2622.5</v>
      </c>
      <c r="F40" s="2">
        <f ca="1">VLOOKUP(B40,Tabla4[],4,FALSE)</f>
        <v>1.73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800.24018589375009</v>
      </c>
      <c r="N40" s="41">
        <f t="shared" ca="1" si="27"/>
        <v>3.7730249490532775E-2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800.24018589375009</v>
      </c>
      <c r="W40" s="2">
        <f t="shared" si="30"/>
        <v>-700.00259914812</v>
      </c>
      <c r="X40" s="9">
        <f t="shared" ca="1" si="31"/>
        <v>3.7730249490532775E-2</v>
      </c>
      <c r="Y40" s="2" t="str">
        <f t="shared" si="32"/>
        <v>ACTIVA</v>
      </c>
    </row>
    <row r="41" spans="2:25">
      <c r="B41" s="1">
        <f t="shared" ca="1" si="25"/>
        <v>45602</v>
      </c>
      <c r="C41" s="2">
        <f ca="1">VLOOKUP(B41,Tabla4[],2,FALSE)</f>
        <v>4439.75</v>
      </c>
      <c r="D41" s="3">
        <f ca="1">VLOOKUP(B41,Tabla4[],3,FALSE)</f>
        <v>73881.39</v>
      </c>
      <c r="E41" s="2">
        <f ca="1">VLOOKUP(B41,Tabla4[],5,FALSE)</f>
        <v>2622.5</v>
      </c>
      <c r="F41" s="2">
        <f ca="1">VLOOKUP(B41,Tabla4[],4,FALSE)</f>
        <v>1.73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413.74059419157504</v>
      </c>
      <c r="N41" s="41">
        <f t="shared" ca="1" si="27"/>
        <v>7.3067857585907392E-2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413.74059419157504</v>
      </c>
      <c r="W41" s="2">
        <f t="shared" si="30"/>
        <v>-349.99732079053973</v>
      </c>
      <c r="X41" s="9">
        <f t="shared" ca="1" si="31"/>
        <v>7.3067857585907392E-2</v>
      </c>
      <c r="Y41" s="2" t="str">
        <f t="shared" si="32"/>
        <v>ACTIVA</v>
      </c>
    </row>
    <row r="42" spans="2:25">
      <c r="B42" s="1">
        <f t="shared" ref="B42:B47" ca="1" si="33">TODAY()</f>
        <v>45602</v>
      </c>
      <c r="C42" s="2">
        <f ca="1">VLOOKUP(B42,Tabla4[],2,FALSE)</f>
        <v>4439.75</v>
      </c>
      <c r="D42" s="3">
        <f ca="1">VLOOKUP(B42,Tabla4[],3,FALSE)</f>
        <v>73881.39</v>
      </c>
      <c r="E42" s="2">
        <f ca="1">VLOOKUP(B42,Tabla4[],5,FALSE)</f>
        <v>2622.5</v>
      </c>
      <c r="F42" s="2">
        <f ca="1">VLOOKUP(B42,Tabla4[],4,FALSE)</f>
        <v>1.73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911.88142548195003</v>
      </c>
      <c r="N42" s="41">
        <f t="shared" ref="N42:N47" ca="1" si="35">IF(G42 = "BTC", (D42 - J42) / J42,
 IF(G42 = "ETH", (E42 - J42) / J42,
 IF(G42 = "IO.NET", (F42 - J42) / J42,
 "Moneda no soportada")))</f>
        <v>0.18238601264303431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911.88142548195003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0.18238601264303431</v>
      </c>
      <c r="Y42" s="2" t="str">
        <f t="shared" si="32"/>
        <v>ACTIVA</v>
      </c>
    </row>
    <row r="43" spans="2:25">
      <c r="B43" s="1">
        <f t="shared" ca="1" si="33"/>
        <v>45602</v>
      </c>
      <c r="C43" s="2">
        <f ca="1">VLOOKUP(B43,Tabla4[],2,FALSE)</f>
        <v>4439.75</v>
      </c>
      <c r="D43" s="3">
        <f ca="1">VLOOKUP(B43,Tabla4[],3,FALSE)</f>
        <v>73881.39</v>
      </c>
      <c r="E43" s="2">
        <f ca="1">VLOOKUP(B43,Tabla4[],5,FALSE)</f>
        <v>2622.5</v>
      </c>
      <c r="F43" s="2">
        <f ca="1">VLOOKUP(B43,Tabla4[],4,FALSE)</f>
        <v>1.73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757.27661415</v>
      </c>
      <c r="N43" s="41">
        <f t="shared" ca="1" si="35"/>
        <v>-1.8080792574481693E-2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757.27661415</v>
      </c>
      <c r="W43" s="2">
        <f t="shared" si="38"/>
        <v>-700.00054480260007</v>
      </c>
      <c r="X43" s="9">
        <f t="shared" ca="1" si="39"/>
        <v>-1.8080792574481693E-2</v>
      </c>
      <c r="Y43" s="2" t="str">
        <f t="shared" si="32"/>
        <v>ACTIVA</v>
      </c>
    </row>
    <row r="44" spans="2:25">
      <c r="B44" s="1">
        <f t="shared" ca="1" si="33"/>
        <v>45602</v>
      </c>
      <c r="C44" s="2">
        <f ca="1">VLOOKUP(B44,Tabla4[],2,FALSE)</f>
        <v>4439.75</v>
      </c>
      <c r="D44" s="3">
        <f ca="1">VLOOKUP(B44,Tabla4[],3,FALSE)</f>
        <v>73881.39</v>
      </c>
      <c r="E44" s="2">
        <f ca="1">VLOOKUP(B44,Tabla4[],5,FALSE)</f>
        <v>2622.5</v>
      </c>
      <c r="F44" s="2">
        <f ca="1">VLOOKUP(B44,Tabla4[],4,FALSE)</f>
        <v>1.73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306.48136432269996</v>
      </c>
      <c r="N44" s="41">
        <f t="shared" ca="1" si="35"/>
        <v>-0.20521525802939319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306.48136432269996</v>
      </c>
      <c r="W44" s="2">
        <f t="shared" si="38"/>
        <v>-350.00491194757706</v>
      </c>
      <c r="X44" s="9">
        <f t="shared" ca="1" si="39"/>
        <v>-0.20521525802939319</v>
      </c>
      <c r="Y44" s="2" t="str">
        <f t="shared" si="32"/>
        <v>ACTIVA</v>
      </c>
    </row>
    <row r="45" spans="2:25">
      <c r="B45" s="1">
        <f t="shared" ca="1" si="33"/>
        <v>45602</v>
      </c>
      <c r="C45" s="2">
        <f ca="1">VLOOKUP(B45,Tabla4[],2,FALSE)</f>
        <v>4439.75</v>
      </c>
      <c r="D45" s="3">
        <f ca="1">VLOOKUP(B45,Tabla4[],3,FALSE)</f>
        <v>73881.39</v>
      </c>
      <c r="E45" s="2">
        <f ca="1">VLOOKUP(B45,Tabla4[],5,FALSE)</f>
        <v>2622.5</v>
      </c>
      <c r="F45" s="2">
        <f ca="1">VLOOKUP(B45,Tabla4[],4,FALSE)</f>
        <v>1.73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980.76455474497504</v>
      </c>
      <c r="N45" s="41">
        <f t="shared" ca="1" si="35"/>
        <v>0.31291476521516604</v>
      </c>
      <c r="O45" s="28">
        <v>0.25</v>
      </c>
      <c r="P45" s="28">
        <v>0.5</v>
      </c>
      <c r="Q45" s="31" t="str">
        <f t="shared" ca="1" si="36"/>
        <v>VENTA PARCIAL</v>
      </c>
      <c r="T45" s="2"/>
      <c r="U45" s="14">
        <f>Tabla6[[#This Row],[cantidad]]-Tabla6[[#This Row],[CANTIDAD VENDIDA]]</f>
        <v>2.9900000000000002E-6</v>
      </c>
      <c r="V45" s="2">
        <f t="shared" ca="1" si="37"/>
        <v>980.76455474497504</v>
      </c>
      <c r="W45" s="2">
        <f t="shared" si="38"/>
        <v>-699.99575477832013</v>
      </c>
      <c r="X45" s="32">
        <f t="shared" ca="1" si="39"/>
        <v>0.31291476521516604</v>
      </c>
      <c r="Y45" s="2" t="str">
        <f t="shared" ref="Y45:Y50" si="40">IF(U45=0,"VENDIDA","ACTIVA")</f>
        <v>ACTIVA</v>
      </c>
    </row>
    <row r="46" spans="2:25">
      <c r="B46" s="1">
        <f t="shared" ca="1" si="33"/>
        <v>45602</v>
      </c>
      <c r="C46" s="2">
        <f ca="1">VLOOKUP(B46,Tabla4[],2,FALSE)</f>
        <v>4439.75</v>
      </c>
      <c r="D46" s="3">
        <f ca="1">VLOOKUP(B46,Tabla4[],3,FALSE)</f>
        <v>73881.39</v>
      </c>
      <c r="E46" s="2">
        <f ca="1">VLOOKUP(B46,Tabla4[],5,FALSE)</f>
        <v>2622.5</v>
      </c>
      <c r="F46" s="2">
        <f ca="1">VLOOKUP(B46,Tabla4[],4,FALSE)</f>
        <v>1.73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810.95197071874998</v>
      </c>
      <c r="N46" s="41">
        <f t="shared" ca="1" si="35"/>
        <v>8.5579693347021132E-2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810.95197071874998</v>
      </c>
      <c r="W46" s="2">
        <f t="shared" si="38"/>
        <v>-700.00412532204018</v>
      </c>
      <c r="X46" s="32">
        <f t="shared" ca="1" si="39"/>
        <v>8.5579693347021132E-2</v>
      </c>
      <c r="Y46" s="2" t="str">
        <f t="shared" si="40"/>
        <v>ACTIVA</v>
      </c>
    </row>
    <row r="47" spans="2:25">
      <c r="B47" s="1">
        <f t="shared" ca="1" si="33"/>
        <v>45602</v>
      </c>
      <c r="C47" s="2">
        <f ca="1">VLOOKUP(B47,Tabla4[],2,FALSE)</f>
        <v>4439.75</v>
      </c>
      <c r="D47" s="3">
        <f ca="1">VLOOKUP(B47,Tabla4[],3,FALSE)</f>
        <v>73881.39</v>
      </c>
      <c r="E47" s="2">
        <f ca="1">VLOOKUP(B47,Tabla4[],5,FALSE)</f>
        <v>2622.5</v>
      </c>
      <c r="F47" s="2">
        <f ca="1">VLOOKUP(B47,Tabla4[],4,FALSE)</f>
        <v>1.73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463.89907827357501</v>
      </c>
      <c r="N47" s="41">
        <f t="shared" ca="1" si="35"/>
        <v>0.24201306626462771</v>
      </c>
      <c r="O47" s="28">
        <v>0.1</v>
      </c>
      <c r="P47" s="28">
        <v>0.3</v>
      </c>
      <c r="Q47" s="31" t="str">
        <f t="shared" ca="1" si="36"/>
        <v>VENTA PARCIAL</v>
      </c>
      <c r="T47" s="2"/>
      <c r="U47" s="14">
        <f>Tabla6[[#This Row],[cantidad]]-Tabla6[[#This Row],[CANTIDAD VENDIDA]]</f>
        <v>6.0397489999999998E-2</v>
      </c>
      <c r="V47" s="2">
        <f t="shared" ca="1" si="37"/>
        <v>463.89907827357501</v>
      </c>
      <c r="W47" s="2">
        <f t="shared" si="38"/>
        <v>-349.99716107114455</v>
      </c>
      <c r="X47" s="32">
        <f t="shared" ca="1" si="39"/>
        <v>0.24201306626462771</v>
      </c>
      <c r="Y47" s="2" t="str">
        <f t="shared" si="40"/>
        <v>ACTIVA</v>
      </c>
    </row>
    <row r="48" spans="2:25">
      <c r="B48" s="1">
        <f t="shared" ref="B48:B53" ca="1" si="41">TODAY()</f>
        <v>45602</v>
      </c>
      <c r="C48" s="2">
        <f ca="1">VLOOKUP(B48,Tabla4[],2,FALSE)</f>
        <v>4439.75</v>
      </c>
      <c r="D48" s="3">
        <f ca="1">VLOOKUP(B48,Tabla4[],3,FALSE)</f>
        <v>73881.39</v>
      </c>
      <c r="E48" s="2">
        <f ca="1">VLOOKUP(B48,Tabla4[],5,FALSE)</f>
        <v>2622.5</v>
      </c>
      <c r="F48" s="2">
        <f ca="1">VLOOKUP(B48,Tabla4[],4,FALSE)</f>
        <v>1.73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1016.84619388275</v>
      </c>
      <c r="N48" s="41">
        <f t="shared" ref="N48:N53" ca="1" si="43">IF(G48 = "BTC", (D48 - J48) / J48,
 IF(G48 = "ETH", (E48 - J48) / J48,
 IF(G48 = "IO.NET", (F48 - J48) / J48,
 "Moneda no soportada")))</f>
        <v>0.35776436211269158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1016.84619388275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0.35776436211269158</v>
      </c>
      <c r="Y48" s="2" t="str">
        <f t="shared" si="40"/>
        <v>ACTIVA</v>
      </c>
    </row>
    <row r="49" spans="2:25">
      <c r="B49" s="1">
        <f t="shared" ca="1" si="41"/>
        <v>45602</v>
      </c>
      <c r="C49" s="2">
        <f ca="1">VLOOKUP(B49,Tabla4[],2,FALSE)</f>
        <v>4439.75</v>
      </c>
      <c r="D49" s="3">
        <f ca="1">VLOOKUP(B49,Tabla4[],3,FALSE)</f>
        <v>73881.39</v>
      </c>
      <c r="E49" s="2">
        <f ca="1">VLOOKUP(B49,Tabla4[],5,FALSE)</f>
        <v>2622.5</v>
      </c>
      <c r="F49" s="2">
        <f ca="1">VLOOKUP(B49,Tabla4[],4,FALSE)</f>
        <v>1.73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860.43575931249995</v>
      </c>
      <c r="N49" s="41">
        <f t="shared" ca="1" si="43"/>
        <v>0.14891417205893298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860.43575931249995</v>
      </c>
      <c r="W49" s="2">
        <f t="shared" si="46"/>
        <v>-700.00069063578997</v>
      </c>
      <c r="X49" s="32">
        <f t="shared" ca="1" si="47"/>
        <v>0.14891417205893298</v>
      </c>
      <c r="Y49" s="2" t="str">
        <f t="shared" si="40"/>
        <v>ACTIVA</v>
      </c>
    </row>
    <row r="50" spans="2:25">
      <c r="B50" s="1">
        <f t="shared" ca="1" si="41"/>
        <v>45602</v>
      </c>
      <c r="C50" s="2">
        <f ca="1">VLOOKUP(B50,Tabla4[],2,FALSE)</f>
        <v>4439.75</v>
      </c>
      <c r="D50" s="3">
        <f ca="1">VLOOKUP(B50,Tabla4[],3,FALSE)</f>
        <v>73881.39</v>
      </c>
      <c r="E50" s="2">
        <f ca="1">VLOOKUP(B50,Tabla4[],5,FALSE)</f>
        <v>2622.5</v>
      </c>
      <c r="F50" s="2">
        <f ca="1">VLOOKUP(B50,Tabla4[],4,FALSE)</f>
        <v>1.73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414.88449089534998</v>
      </c>
      <c r="N50" s="41">
        <f t="shared" ca="1" si="43"/>
        <v>0.10798001793262463</v>
      </c>
      <c r="O50" s="28">
        <v>0.1</v>
      </c>
      <c r="P50" s="28">
        <v>0.3</v>
      </c>
      <c r="Q50" s="31" t="str">
        <f t="shared" ca="1" si="44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45"/>
        <v>414.88449089534998</v>
      </c>
      <c r="W50" s="2">
        <f t="shared" si="46"/>
        <v>-349.9958350273381</v>
      </c>
      <c r="X50" s="32">
        <f t="shared" ca="1" si="47"/>
        <v>0.10798001793262463</v>
      </c>
      <c r="Y50" s="2" t="str">
        <f t="shared" si="40"/>
        <v>ACTIVA</v>
      </c>
    </row>
    <row r="51" spans="2:25">
      <c r="B51" s="1">
        <f t="shared" ca="1" si="41"/>
        <v>45602</v>
      </c>
      <c r="C51" s="2">
        <f ca="1">VLOOKUP(B51,Tabla4[],2,FALSE)</f>
        <v>4439.75</v>
      </c>
      <c r="D51" s="3">
        <f ca="1">VLOOKUP(B51,Tabla4[],3,FALSE)</f>
        <v>73881.39</v>
      </c>
      <c r="E51" s="2">
        <f ca="1">VLOOKUP(B51,Tabla4[],5,FALSE)</f>
        <v>2622.5</v>
      </c>
      <c r="F51" s="2">
        <f ca="1">VLOOKUP(B51,Tabla4[],4,FALSE)</f>
        <v>1.73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947.96306461972495</v>
      </c>
      <c r="N51" s="41">
        <f t="shared" ca="1" si="43"/>
        <v>0.27259647341696236</v>
      </c>
      <c r="O51" s="28">
        <v>0.25</v>
      </c>
      <c r="P51" s="28">
        <v>0.5</v>
      </c>
      <c r="Q51" s="31" t="str">
        <f t="shared" ca="1" si="44"/>
        <v>VENTA PARCIAL</v>
      </c>
      <c r="T51" s="2"/>
      <c r="U51" s="14">
        <f>Tabla6[[#This Row],[cantidad]]-Tabla6[[#This Row],[CANTIDAD VENDIDA]]</f>
        <v>2.8899999999999999E-6</v>
      </c>
      <c r="V51" s="2">
        <f t="shared" ca="1" si="45"/>
        <v>947.96306461972495</v>
      </c>
      <c r="W51" s="2">
        <f t="shared" si="46"/>
        <v>-700.00318686059086</v>
      </c>
      <c r="X51" s="32">
        <f t="shared" ca="1" si="47"/>
        <v>0.27259647341696236</v>
      </c>
      <c r="Y51" s="2" t="str">
        <f t="shared" ref="Y51:Y56" si="48">IF(U51=0,"VENDIDA","ACTIVA")</f>
        <v>ACTIVA</v>
      </c>
    </row>
    <row r="52" spans="2:25">
      <c r="B52" s="1">
        <f t="shared" ca="1" si="41"/>
        <v>45602</v>
      </c>
      <c r="C52" s="2">
        <f ca="1">VLOOKUP(B52,Tabla4[],2,FALSE)</f>
        <v>4439.75</v>
      </c>
      <c r="D52" s="3">
        <f ca="1">VLOOKUP(B52,Tabla4[],3,FALSE)</f>
        <v>73881.39</v>
      </c>
      <c r="E52" s="2">
        <f ca="1">VLOOKUP(B52,Tabla4[],5,FALSE)</f>
        <v>2622.5</v>
      </c>
      <c r="F52" s="2">
        <f ca="1">VLOOKUP(B52,Tabla4[],4,FALSE)</f>
        <v>1.73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860.78505664375007</v>
      </c>
      <c r="N52" s="41">
        <f t="shared" ca="1" si="43"/>
        <v>0.1555612348311933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860.78505664375007</v>
      </c>
      <c r="W52" s="2">
        <f t="shared" si="46"/>
        <v>-700.00488533471412</v>
      </c>
      <c r="X52" s="32">
        <f t="shared" ca="1" si="47"/>
        <v>0.1555612348311933</v>
      </c>
      <c r="Y52" s="2" t="str">
        <f t="shared" si="48"/>
        <v>ACTIVA</v>
      </c>
    </row>
    <row r="53" spans="2:25">
      <c r="B53" s="1">
        <f t="shared" ca="1" si="41"/>
        <v>45602</v>
      </c>
      <c r="C53" s="2">
        <f ca="1">VLOOKUP(B53,Tabla4[],2,FALSE)</f>
        <v>4439.75</v>
      </c>
      <c r="D53" s="3">
        <f ca="1">VLOOKUP(B53,Tabla4[],3,FALSE)</f>
        <v>73881.39</v>
      </c>
      <c r="E53" s="2">
        <f ca="1">VLOOKUP(B53,Tabla4[],5,FALSE)</f>
        <v>2622.5</v>
      </c>
      <c r="F53" s="2">
        <f ca="1">VLOOKUP(B53,Tabla4[],4,FALSE)</f>
        <v>1.73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373.70359509804996</v>
      </c>
      <c r="N53" s="41">
        <f t="shared" ca="1" si="43"/>
        <v>3.3638789003596031E-3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373.70359509804996</v>
      </c>
      <c r="W53" s="2">
        <f t="shared" si="46"/>
        <v>-350.00006885889513</v>
      </c>
      <c r="X53" s="32">
        <f t="shared" ca="1" si="47"/>
        <v>3.3638789003596031E-3</v>
      </c>
      <c r="Y53" s="2" t="str">
        <f t="shared" si="48"/>
        <v>ACTIVA</v>
      </c>
    </row>
    <row r="54" spans="2:25">
      <c r="B54" s="1">
        <f t="shared" ref="B54:B59" ca="1" si="49">TODAY()</f>
        <v>45602</v>
      </c>
      <c r="C54" s="2">
        <f ca="1">VLOOKUP(B54,Tabla4[],2,FALSE)</f>
        <v>4439.75</v>
      </c>
      <c r="D54" s="3">
        <f ca="1">VLOOKUP(B54,Tabla4[],3,FALSE)</f>
        <v>73881.39</v>
      </c>
      <c r="E54" s="2">
        <f ca="1">VLOOKUP(B54,Tabla4[],5,FALSE)</f>
        <v>2622.5</v>
      </c>
      <c r="F54" s="2">
        <f ca="1">VLOOKUP(B54,Tabla4[],4,FALSE)</f>
        <v>1.73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882.36008436922509</v>
      </c>
      <c r="N54" s="41">
        <f t="shared" ref="N54:N59" ca="1" si="51">IF(G54 = "BTC", (D54 - J54) / J54,
 IF(G54 = "ETH", (E54 - J54) / J54,
 IF(G54 = "IO.NET", (F54 - J54) / J54,
 "Moneda no soportada")))</f>
        <v>0.17938493710491027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882.36008436922509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0.17938493710491027</v>
      </c>
      <c r="Y54" s="2" t="str">
        <f t="shared" si="48"/>
        <v>ACTIVA</v>
      </c>
    </row>
    <row r="55" spans="2:25">
      <c r="B55" s="1">
        <f t="shared" ca="1" si="49"/>
        <v>45602</v>
      </c>
      <c r="C55" s="2">
        <f ca="1">VLOOKUP(B55,Tabla4[],2,FALSE)</f>
        <v>4439.75</v>
      </c>
      <c r="D55" s="3">
        <f ca="1">VLOOKUP(B55,Tabla4[],3,FALSE)</f>
        <v>73881.39</v>
      </c>
      <c r="E55" s="2">
        <f ca="1">VLOOKUP(B55,Tabla4[],5,FALSE)</f>
        <v>2622.5</v>
      </c>
      <c r="F55" s="2">
        <f ca="1">VLOOKUP(B55,Tabla4[],4,FALSE)</f>
        <v>1.73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754.947965275</v>
      </c>
      <c r="N55" s="41">
        <f t="shared" ca="1" si="51"/>
        <v>9.0729995536607232E-3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754.947965275</v>
      </c>
      <c r="W55" s="2">
        <f t="shared" si="54"/>
        <v>-700.0036727317439</v>
      </c>
      <c r="X55" s="32">
        <f t="shared" ca="1" si="55"/>
        <v>9.0729995536607232E-3</v>
      </c>
      <c r="Y55" s="2" t="str">
        <f t="shared" si="48"/>
        <v>ACTIVA</v>
      </c>
    </row>
    <row r="56" spans="2:25">
      <c r="B56" s="1">
        <f t="shared" ca="1" si="49"/>
        <v>45602</v>
      </c>
      <c r="C56" s="2">
        <f ca="1">VLOOKUP(B56,Tabla4[],2,FALSE)</f>
        <v>4439.75</v>
      </c>
      <c r="D56" s="3">
        <f ca="1">VLOOKUP(B56,Tabla4[],3,FALSE)</f>
        <v>73881.39</v>
      </c>
      <c r="E56" s="2">
        <f ca="1">VLOOKUP(B56,Tabla4[],5,FALSE)</f>
        <v>2622.5</v>
      </c>
      <c r="F56" s="2">
        <f ca="1">VLOOKUP(B56,Tabla4[],4,FALSE)</f>
        <v>1.73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310.26675377739997</v>
      </c>
      <c r="N56" s="41">
        <f t="shared" ca="1" si="51"/>
        <v>-0.17058203087544344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310.26675377739997</v>
      </c>
      <c r="W56" s="2">
        <f t="shared" si="54"/>
        <v>-349.99971212019545</v>
      </c>
      <c r="X56" s="32">
        <f t="shared" ca="1" si="55"/>
        <v>-0.17058203087544344</v>
      </c>
      <c r="Y56" s="2" t="str">
        <f t="shared" si="48"/>
        <v>ACTIVA</v>
      </c>
    </row>
    <row r="57" spans="2:25">
      <c r="B57" s="1">
        <f t="shared" ca="1" si="49"/>
        <v>45602</v>
      </c>
      <c r="C57" s="2">
        <f ca="1">VLOOKUP(B57,Tabla4[],2,FALSE)</f>
        <v>4439.75</v>
      </c>
      <c r="D57" s="3">
        <f ca="1">VLOOKUP(B57,Tabla4[],3,FALSE)</f>
        <v>73881.39</v>
      </c>
      <c r="E57" s="2">
        <f ca="1">VLOOKUP(B57,Tabla4[],5,FALSE)</f>
        <v>2622.5</v>
      </c>
      <c r="F57" s="2">
        <f ca="1">VLOOKUP(B57,Tabla4[],4,FALSE)</f>
        <v>1.73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892.20053140679988</v>
      </c>
      <c r="N57" s="41">
        <f t="shared" ca="1" si="51"/>
        <v>0.14832923415901225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892.20053140679988</v>
      </c>
      <c r="W57" s="2">
        <f t="shared" si="54"/>
        <v>-699.99918079999998</v>
      </c>
      <c r="X57" s="32">
        <f t="shared" ca="1" si="55"/>
        <v>0.14832923415901225</v>
      </c>
      <c r="Y57" s="2" t="str">
        <f t="shared" ref="Y57:Y62" si="56">IF(U57=0,"VENDIDA","ACTIVA")</f>
        <v>ACTIVA</v>
      </c>
    </row>
    <row r="58" spans="2:25">
      <c r="B58" s="1">
        <f t="shared" ca="1" si="49"/>
        <v>45602</v>
      </c>
      <c r="C58" s="2">
        <f ca="1">VLOOKUP(B58,Tabla4[],2,FALSE)</f>
        <v>4439.75</v>
      </c>
      <c r="D58" s="3">
        <f ca="1">VLOOKUP(B58,Tabla4[],3,FALSE)</f>
        <v>73881.39</v>
      </c>
      <c r="E58" s="2">
        <f ca="1">VLOOKUP(B58,Tabla4[],5,FALSE)</f>
        <v>2622.5</v>
      </c>
      <c r="F58" s="2">
        <f ca="1">VLOOKUP(B58,Tabla4[],4,FALSE)</f>
        <v>1.73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776.95369714375011</v>
      </c>
      <c r="N58" s="41">
        <f t="shared" ca="1" si="51"/>
        <v>0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776.95369714375011</v>
      </c>
      <c r="W58" s="2">
        <f t="shared" si="54"/>
        <v>-699.99770000000001</v>
      </c>
      <c r="X58" s="32">
        <f t="shared" ca="1" si="55"/>
        <v>0</v>
      </c>
      <c r="Y58" s="2" t="str">
        <f t="shared" si="56"/>
        <v>ACTIVA</v>
      </c>
    </row>
    <row r="59" spans="2:25">
      <c r="B59" s="1">
        <f t="shared" ca="1" si="49"/>
        <v>45602</v>
      </c>
      <c r="C59" s="2">
        <f ca="1">VLOOKUP(B59,Tabla4[],2,FALSE)</f>
        <v>4439.75</v>
      </c>
      <c r="D59" s="3">
        <f ca="1">VLOOKUP(B59,Tabla4[],3,FALSE)</f>
        <v>73881.39</v>
      </c>
      <c r="E59" s="2">
        <f ca="1">VLOOKUP(B59,Tabla4[],5,FALSE)</f>
        <v>2622.5</v>
      </c>
      <c r="F59" s="2">
        <f ca="1">VLOOKUP(B59,Tabla4[],4,FALSE)</f>
        <v>1.73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323.1504731819</v>
      </c>
      <c r="N59" s="41">
        <f t="shared" ca="1" si="51"/>
        <v>-0.16815725193776088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323.1504731819</v>
      </c>
      <c r="W59" s="2">
        <f t="shared" si="54"/>
        <v>-349.9975761984</v>
      </c>
      <c r="X59" s="32">
        <f t="shared" ca="1" si="55"/>
        <v>-0.16815725193776088</v>
      </c>
      <c r="Y59" s="2" t="str">
        <f t="shared" si="56"/>
        <v>ACTIVA</v>
      </c>
    </row>
    <row r="60" spans="2:25">
      <c r="B60" s="1">
        <f t="shared" ref="B60:B68" ca="1" si="57">TODAY()</f>
        <v>45602</v>
      </c>
      <c r="C60" s="2">
        <f ca="1">VLOOKUP(B60,Tabla4[],2,FALSE)</f>
        <v>4439.75</v>
      </c>
      <c r="D60" s="3">
        <f ca="1">VLOOKUP(B60,Tabla4[],3,FALSE)</f>
        <v>73881.39</v>
      </c>
      <c r="E60" s="2">
        <f ca="1">VLOOKUP(B60,Tabla4[],5,FALSE)</f>
        <v>2622.5</v>
      </c>
      <c r="F60" s="2">
        <f ca="1">VLOOKUP(B60,Tabla4[],4,FALSE)</f>
        <v>1.73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902.0409784443749</v>
      </c>
      <c r="N60" s="41">
        <f t="shared" ref="N60:N68" ca="1" si="59">IF(G60 = "BTC", (D60 - J60) / J60,
 IF(G60 = "ETH", (E60 - J60) / J60,
 IF(G60 = "IO.NET", (F60 - J60) / J60,
 "Moneda no soportada")))</f>
        <v>0.17164182181483711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902.0409784443749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0.17164182181483711</v>
      </c>
      <c r="Y60" s="2" t="str">
        <f t="shared" si="56"/>
        <v>ACTIVA</v>
      </c>
    </row>
    <row r="61" spans="2:25">
      <c r="B61" s="1">
        <f t="shared" ca="1" si="57"/>
        <v>45602</v>
      </c>
      <c r="C61" s="2">
        <f ca="1">VLOOKUP(B61,Tabla4[],2,FALSE)</f>
        <v>4439.75</v>
      </c>
      <c r="D61" s="3">
        <f ca="1">VLOOKUP(B61,Tabla4[],3,FALSE)</f>
        <v>73881.39</v>
      </c>
      <c r="E61" s="2">
        <f ca="1">VLOOKUP(B61,Tabla4[],5,FALSE)</f>
        <v>2622.5</v>
      </c>
      <c r="F61" s="2">
        <f ca="1">VLOOKUP(B61,Tabla4[],4,FALSE)</f>
        <v>1.73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826.90321551249997</v>
      </c>
      <c r="N61" s="41">
        <f t="shared" ca="1" si="59"/>
        <v>7.4046770692550348E-2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826.90321551249997</v>
      </c>
      <c r="W61" s="2">
        <f t="shared" si="62"/>
        <v>-699.99706361177994</v>
      </c>
      <c r="X61" s="32">
        <f t="shared" ca="1" si="63"/>
        <v>7.4046770692550348E-2</v>
      </c>
      <c r="Y61" s="2" t="str">
        <f t="shared" si="56"/>
        <v>ACTIVA</v>
      </c>
    </row>
    <row r="62" spans="2:25">
      <c r="B62" s="1">
        <f t="shared" ca="1" si="57"/>
        <v>45602</v>
      </c>
      <c r="C62" s="2">
        <f ca="1">VLOOKUP(B62,Tabla4[],2,FALSE)</f>
        <v>4439.75</v>
      </c>
      <c r="D62" s="3">
        <f ca="1">VLOOKUP(B62,Tabla4[],3,FALSE)</f>
        <v>73881.39</v>
      </c>
      <c r="E62" s="2">
        <f ca="1">VLOOKUP(B62,Tabla4[],5,FALSE)</f>
        <v>2622.5</v>
      </c>
      <c r="F62" s="2">
        <f ca="1">VLOOKUP(B62,Tabla4[],4,FALSE)</f>
        <v>1.73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361.74179821657503</v>
      </c>
      <c r="N62" s="41">
        <f t="shared" ca="1" si="59"/>
        <v>-6.0293318848451925E-2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361.74179821657503</v>
      </c>
      <c r="W62" s="2">
        <f t="shared" si="62"/>
        <v>-350.00247034444232</v>
      </c>
      <c r="X62" s="32">
        <f t="shared" ca="1" si="63"/>
        <v>-6.0293318848451925E-2</v>
      </c>
      <c r="Y62" s="2" t="str">
        <f t="shared" si="56"/>
        <v>ACTIVA</v>
      </c>
    </row>
    <row r="63" spans="2:25">
      <c r="B63" s="1">
        <f t="shared" ca="1" si="57"/>
        <v>45602</v>
      </c>
      <c r="C63" s="2">
        <f ca="1">VLOOKUP(B63,Tabla4[],2,FALSE)</f>
        <v>4439.75</v>
      </c>
      <c r="D63" s="3">
        <f ca="1">VLOOKUP(B63,Tabla4[],3,FALSE)</f>
        <v>73881.39</v>
      </c>
      <c r="E63" s="2">
        <f ca="1">VLOOKUP(B63,Tabla4[],5,FALSE)</f>
        <v>2622.5</v>
      </c>
      <c r="F63" s="2">
        <f ca="1">VLOOKUP(B63,Tabla4[],4,FALSE)</f>
        <v>1.73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856.11889226902497</v>
      </c>
      <c r="N63" s="41">
        <f t="shared" ca="1" si="59"/>
        <v>0.15999733086307327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856.11889226902497</v>
      </c>
      <c r="W63" s="2">
        <f t="shared" si="62"/>
        <v>-700.00099893449999</v>
      </c>
      <c r="X63" s="32">
        <f t="shared" ca="1" si="63"/>
        <v>0.15999733086307327</v>
      </c>
      <c r="Y63" s="2" t="str">
        <f t="shared" ref="Y63:Y68" si="64">IF(U63=0,"VENDIDA","ACTIVA")</f>
        <v>ACTIVA</v>
      </c>
    </row>
    <row r="64" spans="2:25">
      <c r="B64" s="1">
        <f t="shared" ca="1" si="57"/>
        <v>45602</v>
      </c>
      <c r="C64" s="2">
        <f ca="1">VLOOKUP(B64,Tabla4[],2,FALSE)</f>
        <v>4439.75</v>
      </c>
      <c r="D64" s="3">
        <f ca="1">VLOOKUP(B64,Tabla4[],3,FALSE)</f>
        <v>73881.39</v>
      </c>
      <c r="E64" s="2">
        <f ca="1">VLOOKUP(B64,Tabla4[],5,FALSE)</f>
        <v>2622.5</v>
      </c>
      <c r="F64" s="2">
        <f ca="1">VLOOKUP(B64,Tabla4[],4,FALSE)</f>
        <v>1.73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773.46072383125011</v>
      </c>
      <c r="N64" s="41">
        <f t="shared" ca="1" si="59"/>
        <v>4.799392583120201E-2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773.46072383125011</v>
      </c>
      <c r="W64" s="2">
        <f t="shared" si="62"/>
        <v>-700.00488143040002</v>
      </c>
      <c r="X64" s="32">
        <f t="shared" ca="1" si="63"/>
        <v>4.799392583120201E-2</v>
      </c>
      <c r="Y64" s="2" t="str">
        <f t="shared" si="64"/>
        <v>ACTIVA</v>
      </c>
    </row>
    <row r="65" spans="2:25">
      <c r="B65" s="1">
        <f t="shared" ca="1" si="57"/>
        <v>45602</v>
      </c>
      <c r="C65" s="2">
        <f ca="1">VLOOKUP(B65,Tabla4[],2,FALSE)</f>
        <v>4439.75</v>
      </c>
      <c r="D65" s="3">
        <f ca="1">VLOOKUP(B65,Tabla4[],3,FALSE)</f>
        <v>73881.39</v>
      </c>
      <c r="E65" s="2">
        <f ca="1">VLOOKUP(B65,Tabla4[],5,FALSE)</f>
        <v>2622.5</v>
      </c>
      <c r="F65" s="2">
        <f ca="1">VLOOKUP(B65,Tabla4[],4,FALSE)</f>
        <v>1.73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330.00801602125</v>
      </c>
      <c r="N65" s="41">
        <f t="shared" ca="1" si="59"/>
        <v>-0.10571207030240379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330.00801602125</v>
      </c>
      <c r="W65" s="2">
        <f t="shared" si="62"/>
        <v>-350.00051946926249</v>
      </c>
      <c r="X65" s="32">
        <f t="shared" ca="1" si="63"/>
        <v>-0.10571207030240379</v>
      </c>
      <c r="Y65" s="2" t="str">
        <f t="shared" si="64"/>
        <v>ACTIVA</v>
      </c>
    </row>
    <row r="66" spans="2:25">
      <c r="B66" s="1">
        <f t="shared" ca="1" si="57"/>
        <v>45602</v>
      </c>
      <c r="C66" s="2">
        <f ca="1">VLOOKUP(B66,Tabla4[],2,FALSE)</f>
        <v>4439.75</v>
      </c>
      <c r="D66" s="3">
        <f ca="1">VLOOKUP(B66,Tabla4[],3,FALSE)</f>
        <v>73881.39</v>
      </c>
      <c r="E66" s="2">
        <f ca="1">VLOOKUP(B66,Tabla4[],5,FALSE)</f>
        <v>2622.5</v>
      </c>
      <c r="F66" s="2">
        <f ca="1">VLOOKUP(B66,Tabla4[],4,FALSE)</f>
        <v>1.73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797.07621004357497</v>
      </c>
      <c r="N66" s="27">
        <f t="shared" ca="1" si="59"/>
        <v>9.513940975052991E-2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797.07621004357497</v>
      </c>
      <c r="W66" s="2">
        <f t="shared" si="62"/>
        <v>-700.00283430000002</v>
      </c>
      <c r="X66" s="32">
        <f t="shared" ca="1" si="63"/>
        <v>9.513940975052991E-2</v>
      </c>
      <c r="Y66" s="2" t="str">
        <f t="shared" si="64"/>
        <v>ACTIVA</v>
      </c>
    </row>
    <row r="67" spans="2:25">
      <c r="B67" s="1">
        <f t="shared" ca="1" si="57"/>
        <v>45602</v>
      </c>
      <c r="C67" s="2">
        <f ca="1">VLOOKUP(B67,Tabla4[],2,FALSE)</f>
        <v>4439.75</v>
      </c>
      <c r="D67" s="3">
        <f ca="1">VLOOKUP(B67,Tabla4[],3,FALSE)</f>
        <v>73881.39</v>
      </c>
      <c r="E67" s="2">
        <f ca="1">VLOOKUP(B67,Tabla4[],5,FALSE)</f>
        <v>2622.5</v>
      </c>
      <c r="F67" s="2">
        <f ca="1">VLOOKUP(B67,Tabla4[],4,FALSE)</f>
        <v>1.73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716.75812372500002</v>
      </c>
      <c r="N67" s="27">
        <f t="shared" ca="1" si="59"/>
        <v>-1.5208411565903118E-2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716.75812372500002</v>
      </c>
      <c r="W67" s="2">
        <f t="shared" si="62"/>
        <v>-699.99937559999989</v>
      </c>
      <c r="X67" s="32">
        <f t="shared" ca="1" si="63"/>
        <v>-1.5208411565903118E-2</v>
      </c>
      <c r="Y67" s="2" t="str">
        <f t="shared" si="64"/>
        <v>ACTIVA</v>
      </c>
    </row>
    <row r="68" spans="2:25">
      <c r="B68" s="1">
        <f t="shared" ca="1" si="57"/>
        <v>45602</v>
      </c>
      <c r="C68" s="2">
        <f ca="1">VLOOKUP(B68,Tabla4[],2,FALSE)</f>
        <v>4439.75</v>
      </c>
      <c r="D68" s="3">
        <f ca="1">VLOOKUP(B68,Tabla4[],3,FALSE)</f>
        <v>73881.39</v>
      </c>
      <c r="E68" s="2">
        <f ca="1">VLOOKUP(B68,Tabla4[],5,FALSE)</f>
        <v>2622.5</v>
      </c>
      <c r="F68" s="2">
        <f ca="1">VLOOKUP(B68,Tabla4[],4,FALSE)</f>
        <v>1.73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336.57845177144998</v>
      </c>
      <c r="N68" s="27">
        <f t="shared" ca="1" si="59"/>
        <v>-7.5123495070889362E-2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336.57845177144998</v>
      </c>
      <c r="W68" s="2">
        <f t="shared" si="62"/>
        <v>-350.00312382117602</v>
      </c>
      <c r="X68" s="32">
        <f t="shared" ca="1" si="63"/>
        <v>-7.5123495070889362E-2</v>
      </c>
      <c r="Y68" s="2" t="str">
        <f t="shared" si="64"/>
        <v>ACTIVA</v>
      </c>
    </row>
    <row r="69" spans="2:25">
      <c r="B69" s="1">
        <f t="shared" ref="B69:B74" ca="1" si="65">TODAY()</f>
        <v>45602</v>
      </c>
      <c r="C69" s="2">
        <f ca="1">VLOOKUP(B69,Tabla4[],2,FALSE)</f>
        <v>4439.75</v>
      </c>
      <c r="D69" s="3">
        <f ca="1">VLOOKUP(B69,Tabla4[],3,FALSE)</f>
        <v>73881.39</v>
      </c>
      <c r="E69" s="2">
        <f ca="1">VLOOKUP(B69,Tabla4[],5,FALSE)</f>
        <v>2622.5</v>
      </c>
      <c r="F69" s="2">
        <f ca="1">VLOOKUP(B69,Tabla4[],4,FALSE)</f>
        <v>1.73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t="shared" ref="M69:M74" ca="1" si="66" xml:space="preserve"> K69 * (IF(G69="BTC", D69, IF(G69="ETH", E69, IF(G69="IO.NET", F69, 0)))) * C69</f>
        <v>787.23576300599996</v>
      </c>
      <c r="N69" s="27">
        <f t="shared" ref="N69:N74" ca="1" si="67">IF(G69 = "BTC", (D69 - J69) / J69,
 IF(G69 = "ETH", (E69 - J69) / J69,
 IF(G69 = "IO.NET", (F69 - J69) / J69,
 "Moneda no soportada")))</f>
        <v>7.4435234064831365E-2</v>
      </c>
      <c r="O69" s="28">
        <v>0.25</v>
      </c>
      <c r="P69" s="28">
        <v>0.5</v>
      </c>
      <c r="Q69" s="31" t="str">
        <f t="shared" ref="Q69:Q74" ca="1" si="68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t="shared" ref="V69:V74" ca="1" si="69">IF(G69="BTC", D69 * U69 * C69, IF(G69="ETH", E69 * U69 * C69, IF(G69="IO.NET", F69 * U69 * C69, 0)))</f>
        <v>787.23576300599996</v>
      </c>
      <c r="W69" s="2">
        <f t="shared" ref="W69:W74" si="70">IF(G69 = "BTC", ((T69 - L69)), IF(G69 = "ETH", ((T69 - L69)), IF(G69 = "IO.NET", ((T69 - L69)), "Moneda no soportada")))</f>
        <v>-699.99633791999997</v>
      </c>
      <c r="X69" s="32">
        <f t="shared" ref="X69:X74" ca="1" si="71">IF(G69 = "BTC", (((D69 - J69) / J69)),IF(G69 = "ETH", ((E69 - J69) / J69), IF(G69 = "IO.NET", ((F69 - J69) / J69), "Moneda no soportada")))</f>
        <v>7.4435234064831365E-2</v>
      </c>
      <c r="Y69" s="2" t="str">
        <f t="shared" ref="Y69:Y74" si="72">IF(U69=0,"VENDIDA","ACTIVA")</f>
        <v>ACTIVA</v>
      </c>
    </row>
    <row r="70" spans="2:25">
      <c r="B70" s="1">
        <f t="shared" ca="1" si="65"/>
        <v>45602</v>
      </c>
      <c r="C70" s="2">
        <f ca="1">VLOOKUP(B70,Tabla4[],2,FALSE)</f>
        <v>4439.75</v>
      </c>
      <c r="D70" s="3">
        <f ca="1">VLOOKUP(B70,Tabla4[],3,FALSE)</f>
        <v>73881.39</v>
      </c>
      <c r="E70" s="2">
        <f ca="1">VLOOKUP(B70,Tabla4[],5,FALSE)</f>
        <v>2622.5</v>
      </c>
      <c r="F70" s="2">
        <f ca="1">VLOOKUP(B70,Tabla4[],4,FALSE)</f>
        <v>1.73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t="shared" ca="1" si="66"/>
        <v>759.60526302500011</v>
      </c>
      <c r="N70" s="27">
        <f t="shared" ca="1" si="67"/>
        <v>3.6725173940543997E-2</v>
      </c>
      <c r="O70" s="28">
        <v>0.25</v>
      </c>
      <c r="P70" s="28">
        <v>0.5</v>
      </c>
      <c r="Q70" s="31" t="str">
        <f t="shared" ca="1" si="68"/>
        <v>MANTENER</v>
      </c>
      <c r="T70" s="2"/>
      <c r="U70" s="14">
        <f>Tabla6[[#This Row],[cantidad]]-Tabla6[[#This Row],[CANTIDAD VENDIDA]]</f>
        <v>6.5240000000000006E-5</v>
      </c>
      <c r="V70" s="2">
        <f t="shared" ca="1" si="69"/>
        <v>759.60526302500011</v>
      </c>
      <c r="W70" s="2">
        <f t="shared" si="70"/>
        <v>-699.99593072640016</v>
      </c>
      <c r="X70" s="32">
        <f t="shared" ca="1" si="71"/>
        <v>3.6725173940543997E-2</v>
      </c>
      <c r="Y70" s="2" t="str">
        <f t="shared" si="72"/>
        <v>ACTIVA</v>
      </c>
    </row>
    <row r="71" spans="2:25">
      <c r="B71" s="1">
        <f t="shared" ca="1" si="65"/>
        <v>45602</v>
      </c>
      <c r="C71" s="2">
        <f ca="1">VLOOKUP(B71,Tabla4[],2,FALSE)</f>
        <v>4439.75</v>
      </c>
      <c r="D71" s="3">
        <f ca="1">VLOOKUP(B71,Tabla4[],3,FALSE)</f>
        <v>73881.39</v>
      </c>
      <c r="E71" s="2">
        <f ca="1">VLOOKUP(B71,Tabla4[],5,FALSE)</f>
        <v>2622.5</v>
      </c>
      <c r="F71" s="2">
        <f ca="1">VLOOKUP(B71,Tabla4[],4,FALSE)</f>
        <v>1.73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t="shared" ca="1" si="66"/>
        <v>366.42038412385</v>
      </c>
      <c r="N71" s="27">
        <f t="shared" ca="1" si="67"/>
        <v>1.7922286652523428E-4</v>
      </c>
      <c r="O71" s="28">
        <v>0.1</v>
      </c>
      <c r="P71" s="28">
        <v>0.3</v>
      </c>
      <c r="Q71" s="31" t="str">
        <f t="shared" ca="1" si="68"/>
        <v>MANTENER</v>
      </c>
      <c r="T71" s="2"/>
      <c r="U71" s="14">
        <f>Tabla6[[#This Row],[cantidad]]-Tabla6[[#This Row],[CANTIDAD VENDIDA]]</f>
        <v>4.7706220000000001E-2</v>
      </c>
      <c r="V71" s="2">
        <f t="shared" ca="1" si="69"/>
        <v>366.42038412385</v>
      </c>
      <c r="W71" s="2">
        <f t="shared" si="70"/>
        <v>-350.00398704310692</v>
      </c>
      <c r="X71" s="32">
        <f t="shared" ca="1" si="71"/>
        <v>1.7922286652523428E-4</v>
      </c>
      <c r="Y71" s="2" t="str">
        <f t="shared" si="72"/>
        <v>ACTIVA</v>
      </c>
    </row>
    <row r="72" spans="2:25">
      <c r="B72" s="1">
        <f t="shared" ca="1" si="65"/>
        <v>45602</v>
      </c>
      <c r="C72" s="2">
        <f ca="1">VLOOKUP(B72,Tabla4[],2,FALSE)</f>
        <v>4439.75</v>
      </c>
      <c r="D72" s="3">
        <f ca="1">VLOOKUP(B72,Tabla4[],3,FALSE)</f>
        <v>73881.39</v>
      </c>
      <c r="E72" s="2">
        <f ca="1">VLOOKUP(B72,Tabla4[],5,FALSE)</f>
        <v>2622.5</v>
      </c>
      <c r="F72" s="2">
        <f ca="1">VLOOKUP(B72,Tabla4[],4,FALSE)</f>
        <v>1.73</v>
      </c>
      <c r="G72" t="s">
        <v>14</v>
      </c>
      <c r="H72" s="1">
        <v>45600</v>
      </c>
      <c r="I72" s="3">
        <v>4370.66</v>
      </c>
      <c r="J72" s="3">
        <v>68738</v>
      </c>
      <c r="K72" s="25">
        <v>2.3300000000000001E-6</v>
      </c>
      <c r="L72" s="29">
        <f>Tabla6[[#This Row],[precio de compra]]*Tabla6[[#This Row],[cantidad]]*Tabla6[[#This Row],[PRECIO DEL DÓLAR, DIA COMPRA]]</f>
        <v>700.00289509640004</v>
      </c>
      <c r="M72" s="26">
        <f t="shared" ca="1" si="66"/>
        <v>764.2747199183251</v>
      </c>
      <c r="N72" s="27">
        <f t="shared" ca="1" si="67"/>
        <v>7.4826005993773453E-2</v>
      </c>
      <c r="O72" s="28">
        <v>0.25</v>
      </c>
      <c r="P72" s="28">
        <v>0.5</v>
      </c>
      <c r="Q72" s="31" t="str">
        <f t="shared" ca="1" si="68"/>
        <v>MANTENER</v>
      </c>
      <c r="T72" s="2"/>
      <c r="U72" s="14">
        <f>Tabla6[[#This Row],[cantidad]]-Tabla6[[#This Row],[CANTIDAD VENDIDA]]</f>
        <v>2.3300000000000001E-6</v>
      </c>
      <c r="V72" s="2">
        <f t="shared" ca="1" si="69"/>
        <v>764.2747199183251</v>
      </c>
      <c r="W72" s="2">
        <f t="shared" si="70"/>
        <v>-700.00289509640004</v>
      </c>
      <c r="X72" s="32">
        <f t="shared" ca="1" si="71"/>
        <v>7.4826005993773453E-2</v>
      </c>
      <c r="Y72" s="2" t="str">
        <f t="shared" si="72"/>
        <v>ACTIVA</v>
      </c>
    </row>
    <row r="73" spans="2:25">
      <c r="B73" s="1">
        <f t="shared" ca="1" si="65"/>
        <v>45602</v>
      </c>
      <c r="C73" s="2">
        <f ca="1">VLOOKUP(B73,Tabla4[],2,FALSE)</f>
        <v>4439.75</v>
      </c>
      <c r="D73" s="3">
        <f ca="1">VLOOKUP(B73,Tabla4[],3,FALSE)</f>
        <v>73881.39</v>
      </c>
      <c r="E73" s="2">
        <f ca="1">VLOOKUP(B73,Tabla4[],5,FALSE)</f>
        <v>2622.5</v>
      </c>
      <c r="F73" s="2">
        <f ca="1">VLOOKUP(B73,Tabla4[],4,FALSE)</f>
        <v>1.73</v>
      </c>
      <c r="G73" t="s">
        <v>15</v>
      </c>
      <c r="H73" s="1">
        <v>45600</v>
      </c>
      <c r="I73" s="3">
        <v>4370.66</v>
      </c>
      <c r="J73" s="3">
        <v>2439.6</v>
      </c>
      <c r="K73" s="25">
        <v>6.5649999999999997E-5</v>
      </c>
      <c r="L73" s="29">
        <f>Tabla6[[#This Row],[precio de compra]]*Tabla6[[#This Row],[cantidad]]*Tabla6[[#This Row],[PRECIO DEL DÓLAR, DIA COMPRA]]</f>
        <v>700.00376922839996</v>
      </c>
      <c r="M73" s="26">
        <f t="shared" ca="1" si="66"/>
        <v>764.37899321875</v>
      </c>
      <c r="N73" s="27">
        <f t="shared" ca="1" si="67"/>
        <v>7.4971306771601937E-2</v>
      </c>
      <c r="O73" s="28">
        <v>0.25</v>
      </c>
      <c r="P73" s="28">
        <v>0.5</v>
      </c>
      <c r="Q73" s="31" t="str">
        <f t="shared" ca="1" si="68"/>
        <v>MANTENER</v>
      </c>
      <c r="T73" s="2"/>
      <c r="U73" s="14">
        <f>Tabla6[[#This Row],[cantidad]]-Tabla6[[#This Row],[CANTIDAD VENDIDA]]</f>
        <v>6.5649999999999997E-5</v>
      </c>
      <c r="V73" s="2">
        <f t="shared" ca="1" si="69"/>
        <v>764.37899321875</v>
      </c>
      <c r="W73" s="2">
        <f t="shared" si="70"/>
        <v>-700.00376922839996</v>
      </c>
      <c r="X73" s="32">
        <f t="shared" ca="1" si="71"/>
        <v>7.4971306771601937E-2</v>
      </c>
      <c r="Y73" s="2" t="str">
        <f t="shared" si="72"/>
        <v>ACTIVA</v>
      </c>
    </row>
    <row r="74" spans="2:25">
      <c r="B74" s="1">
        <f t="shared" ca="1" si="65"/>
        <v>45602</v>
      </c>
      <c r="C74" s="2">
        <f ca="1">VLOOKUP(B74,Tabla4[],2,FALSE)</f>
        <v>4439.75</v>
      </c>
      <c r="D74" s="3">
        <f ca="1">VLOOKUP(B74,Tabla4[],3,FALSE)</f>
        <v>73881.39</v>
      </c>
      <c r="E74" s="2">
        <f ca="1">VLOOKUP(B74,Tabla4[],5,FALSE)</f>
        <v>2622.5</v>
      </c>
      <c r="F74" s="2">
        <f ca="1">VLOOKUP(B74,Tabla4[],4,FALSE)</f>
        <v>1.73</v>
      </c>
      <c r="G74" t="s">
        <v>41</v>
      </c>
      <c r="H74" s="1">
        <v>45600</v>
      </c>
      <c r="I74" s="3">
        <v>4370.66</v>
      </c>
      <c r="J74" s="3">
        <v>1.4944500000000001</v>
      </c>
      <c r="K74" s="25">
        <v>5.3584970000000003E-2</v>
      </c>
      <c r="L74" s="29">
        <f>Tabla6[[#This Row],[precio de compra]]*Tabla6[[#This Row],[cantidad]]*Tabla6[[#This Row],[PRECIO DEL DÓLAR, DIA COMPRA]]</f>
        <v>350.00270811865994</v>
      </c>
      <c r="M74" s="26">
        <f t="shared" ca="1" si="66"/>
        <v>411.57369606447503</v>
      </c>
      <c r="N74" s="27">
        <f t="shared" ca="1" si="67"/>
        <v>0.15761651443674926</v>
      </c>
      <c r="O74" s="28">
        <v>0.1</v>
      </c>
      <c r="P74" s="28">
        <v>0.3</v>
      </c>
      <c r="Q74" s="31" t="str">
        <f t="shared" ca="1" si="68"/>
        <v>VENTA PARCIAL</v>
      </c>
      <c r="T74" s="2"/>
      <c r="U74" s="14">
        <f>Tabla6[[#This Row],[cantidad]]-Tabla6[[#This Row],[CANTIDAD VENDIDA]]</f>
        <v>5.3584970000000003E-2</v>
      </c>
      <c r="V74" s="2">
        <f t="shared" ca="1" si="69"/>
        <v>411.57369606447503</v>
      </c>
      <c r="W74" s="2">
        <f t="shared" si="70"/>
        <v>-350.00270811865994</v>
      </c>
      <c r="X74" s="32">
        <f t="shared" ca="1" si="71"/>
        <v>0.15761651443674926</v>
      </c>
      <c r="Y74" s="2" t="str">
        <f t="shared" si="72"/>
        <v>ACTIVA</v>
      </c>
    </row>
  </sheetData>
  <conditionalFormatting sqref="B3:Z74">
    <cfRule type="expression" dxfId="17" priority="1">
      <formula>$Y:$Y="VENDIDA"</formula>
    </cfRule>
  </conditionalFormatting>
  <conditionalFormatting sqref="Q1:Q1048576">
    <cfRule type="containsText" dxfId="16" priority="9" operator="containsText" text="VENTA PARCIAL">
      <formula>NOT(ISERROR(SEARCH("VENTA PARCIAL",Q1)))</formula>
    </cfRule>
    <cfRule type="containsText" dxfId="15" priority="10" operator="containsText" text="MANTENER">
      <formula>NOT(ISERROR(SEARCH("MANTENER",Q1)))</formula>
    </cfRule>
  </conditionalFormatting>
  <conditionalFormatting sqref="Q3:Q74">
    <cfRule type="containsText" dxfId="14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B19" sqref="B19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45602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4338</v>
      </c>
      <c r="I3" s="7">
        <f t="shared" ref="I3:I8" ca="1" si="2">G3*H3</f>
        <v>762.30428993999999</v>
      </c>
      <c r="J3" s="7">
        <f>F3</f>
        <v>700.0019932698001</v>
      </c>
      <c r="K3" s="7">
        <f ca="1">Tabla5[[#This Row],[VALOR ACTUAL EN COP]]-Tabla5[[#This Row],[COSTO TOTAL EN COP]]</f>
        <v>62.302296670199894</v>
      </c>
      <c r="L3" s="10">
        <f t="shared" ref="L3:L8" ca="1" si="3">((I3-J3)/J3)</f>
        <v>8.9003027518790037E-2</v>
      </c>
      <c r="M3" s="7">
        <f>D3*1.1</f>
        <v>4381.8060000000005</v>
      </c>
    </row>
    <row r="4" spans="2:13">
      <c r="B4" s="1">
        <f t="shared" ca="1" si="0"/>
        <v>45602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4338</v>
      </c>
      <c r="I4" s="7">
        <f t="shared" ca="1" si="2"/>
        <v>871.58015838000006</v>
      </c>
      <c r="J4" s="7">
        <f t="shared" ref="J4:J9" si="5">F4+J3</f>
        <v>800.00200808240015</v>
      </c>
      <c r="K4" s="7">
        <f ca="1">Tabla5[[#This Row],[VALOR ACTUAL EN COP]]-Tabla5[[#This Row],[COSTO TOTAL EN COP]]</f>
        <v>71.578150297599905</v>
      </c>
      <c r="L4" s="10">
        <f t="shared" ca="1" si="3"/>
        <v>8.9472463286901352E-2</v>
      </c>
      <c r="M4" s="7">
        <f t="shared" ref="M4:M6" si="6">D4*1.1</f>
        <v>4366.7470000000003</v>
      </c>
    </row>
    <row r="5" spans="2:13">
      <c r="B5" s="1">
        <f t="shared" ref="B5:B10" ca="1" si="7">TODAY()</f>
        <v>45602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4338</v>
      </c>
      <c r="I5" s="22">
        <f t="shared" ca="1" si="2"/>
        <v>1628.1387673200002</v>
      </c>
      <c r="J5" s="8">
        <f t="shared" si="5"/>
        <v>1500.0018441134002</v>
      </c>
      <c r="K5" s="8">
        <f ca="1">Tabla5[[#This Row],[VALOR ACTUAL EN COP]]-Tabla5[[#This Row],[COSTO TOTAL EN COP]]</f>
        <v>128.13692320659993</v>
      </c>
      <c r="L5" s="10">
        <f t="shared" ca="1" si="3"/>
        <v>8.5424510449410337E-2</v>
      </c>
      <c r="M5" s="7">
        <f t="shared" si="6"/>
        <v>4415.07</v>
      </c>
    </row>
    <row r="6" spans="2:13">
      <c r="B6" s="1">
        <f t="shared" ca="1" si="7"/>
        <v>45602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4338</v>
      </c>
      <c r="I6" s="22">
        <f t="shared" ca="1" si="2"/>
        <v>2350.47042612</v>
      </c>
      <c r="J6" s="8">
        <f t="shared" si="5"/>
        <v>2200.0024981274005</v>
      </c>
      <c r="K6" s="8">
        <f ca="1">Tabla5[[#This Row],[VALOR ACTUAL EN COP]]-Tabla5[[#This Row],[COSTO TOTAL EN COP]]</f>
        <v>150.46792799259947</v>
      </c>
      <c r="L6" s="10">
        <f t="shared" ca="1" si="3"/>
        <v>6.8394435061175998E-2</v>
      </c>
      <c r="M6" s="7">
        <f t="shared" si="6"/>
        <v>4624.2790000000005</v>
      </c>
    </row>
    <row r="7" spans="2:13">
      <c r="B7" s="1">
        <f t="shared" ca="1" si="7"/>
        <v>45602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4338</v>
      </c>
      <c r="I7" s="22">
        <f t="shared" ca="1" si="2"/>
        <v>3101.4882811799998</v>
      </c>
      <c r="J7" s="8">
        <f t="shared" si="5"/>
        <v>2900.0020379021007</v>
      </c>
      <c r="K7" s="8">
        <f ca="1">Tabla5[[#This Row],[VALOR ACTUAL EN COP]]-Tabla5[[#This Row],[COSTO TOTAL EN COP]]</f>
        <v>201.48624327789912</v>
      </c>
      <c r="L7" s="30">
        <f t="shared" ca="1" si="3"/>
        <v>6.9477966099519325E-2</v>
      </c>
      <c r="M7" s="8">
        <f t="shared" ref="M7:M12" si="8">D7*1.1</f>
        <v>4447.6410000000005</v>
      </c>
    </row>
    <row r="8" spans="2:13">
      <c r="B8" s="1">
        <f t="shared" ca="1" si="7"/>
        <v>45602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4338</v>
      </c>
      <c r="I8" s="22">
        <f t="shared" ca="1" si="2"/>
        <v>3868.6827985199998</v>
      </c>
      <c r="J8" s="8">
        <f t="shared" si="5"/>
        <v>3600.0024831079008</v>
      </c>
      <c r="K8" s="8">
        <f ca="1">Tabla5[[#This Row],[VALOR ACTUAL EN COP]]-Tabla5[[#This Row],[COSTO TOTAL EN COP]]</f>
        <v>268.68031541209893</v>
      </c>
      <c r="L8" s="30">
        <f t="shared" ca="1" si="3"/>
        <v>7.4633369469274874E-2</v>
      </c>
      <c r="M8" s="8">
        <f t="shared" si="8"/>
        <v>4353.866</v>
      </c>
    </row>
    <row r="9" spans="2:13">
      <c r="B9" s="1">
        <f t="shared" ca="1" si="7"/>
        <v>45602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4338</v>
      </c>
      <c r="I9" s="22">
        <f t="shared" ref="I9:I14" ca="1" si="10">G9*H9</f>
        <v>4634.2086607800002</v>
      </c>
      <c r="J9" s="8">
        <f t="shared" si="5"/>
        <v>4300.0015903715012</v>
      </c>
      <c r="K9" s="8">
        <f ca="1">Tabla5[[#This Row],[VALOR ACTUAL EN COP]]-Tabla5[[#This Row],[COSTO TOTAL EN COP]]</f>
        <v>334.20707040849902</v>
      </c>
      <c r="L9" s="30">
        <f t="shared" ref="L9:L14" ca="1" si="11">((I9-J9)/J9)</f>
        <v>7.7722545767622608E-2</v>
      </c>
      <c r="M9" s="8">
        <f t="shared" si="8"/>
        <v>4363.348</v>
      </c>
    </row>
    <row r="10" spans="2:13">
      <c r="B10" s="1">
        <f t="shared" ca="1" si="7"/>
        <v>45602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4338</v>
      </c>
      <c r="I10" s="22">
        <f t="shared" ca="1" si="10"/>
        <v>5394.2981414400001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394.29584092429923</v>
      </c>
      <c r="L10" s="30">
        <f t="shared" ca="1" si="11"/>
        <v>7.8859131901525631E-2</v>
      </c>
      <c r="M10" s="8">
        <f t="shared" si="8"/>
        <v>4394.5660000000007</v>
      </c>
    </row>
    <row r="11" spans="2:13">
      <c r="B11" s="1">
        <f t="shared" ref="B11:B16" ca="1" si="14">TODAY()</f>
        <v>45602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4338</v>
      </c>
      <c r="I11" s="22">
        <f t="shared" ca="1" si="10"/>
        <v>6138.1900940400001</v>
      </c>
      <c r="J11" s="8">
        <f t="shared" si="13"/>
        <v>5700.0015412237008</v>
      </c>
      <c r="K11" s="8">
        <f ca="1">Tabla5[[#This Row],[VALOR ACTUAL EN COP]]-Tabla5[[#This Row],[COSTO TOTAL EN COP]]</f>
        <v>438.18855281629931</v>
      </c>
      <c r="L11" s="30">
        <f t="shared" ca="1" si="11"/>
        <v>7.6875163918328895E-2</v>
      </c>
      <c r="M11" s="8">
        <f t="shared" si="8"/>
        <v>4490.2440000000006</v>
      </c>
    </row>
    <row r="12" spans="2:13">
      <c r="B12" s="1">
        <f t="shared" ca="1" si="14"/>
        <v>45602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4338</v>
      </c>
      <c r="I12" s="22">
        <f t="shared" ca="1" si="10"/>
        <v>6872.6065532399998</v>
      </c>
      <c r="J12" s="8">
        <f t="shared" si="13"/>
        <v>6400.0013286877011</v>
      </c>
      <c r="K12" s="8">
        <f ca="1">Tabla5[[#This Row],[VALOR ACTUAL EN COP]]-Tabla5[[#This Row],[COSTO TOTAL EN COP]]</f>
        <v>472.60522455229875</v>
      </c>
      <c r="L12" s="30">
        <f t="shared" ca="1" si="11"/>
        <v>7.3844551005617501E-2</v>
      </c>
      <c r="M12" s="8">
        <f t="shared" si="8"/>
        <v>4548.1810000000005</v>
      </c>
    </row>
    <row r="13" spans="2:13">
      <c r="B13" s="1">
        <f t="shared" ca="1" si="14"/>
        <v>45602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4338</v>
      </c>
      <c r="I13" s="22">
        <f t="shared" ca="1" si="10"/>
        <v>7615.7647765199999</v>
      </c>
      <c r="J13" s="8">
        <f t="shared" si="13"/>
        <v>7100.0005267969009</v>
      </c>
      <c r="K13" s="8">
        <f ca="1">Tabla5[[#This Row],[VALOR ACTUAL EN COP]]-Tabla5[[#This Row],[COSTO TOTAL EN COP]]</f>
        <v>515.76424972309906</v>
      </c>
      <c r="L13" s="30">
        <f t="shared" ca="1" si="11"/>
        <v>7.2642846683813031E-2</v>
      </c>
      <c r="M13" s="8">
        <f t="shared" ref="M13:M18" si="15">D13*1.1</f>
        <v>4494.6770000000006</v>
      </c>
    </row>
    <row r="14" spans="2:13">
      <c r="B14" s="1">
        <f t="shared" ca="1" si="14"/>
        <v>45602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4338</v>
      </c>
      <c r="I14" s="22">
        <f t="shared" ca="1" si="10"/>
        <v>8366.5930176000002</v>
      </c>
      <c r="J14" s="8">
        <f t="shared" si="13"/>
        <v>7799.999876784701</v>
      </c>
      <c r="K14" s="8">
        <f ca="1">Tabla5[[#This Row],[VALOR ACTUAL EN COP]]-Tabla5[[#This Row],[COSTO TOTAL EN COP]]</f>
        <v>566.59314081529919</v>
      </c>
      <c r="L14" s="30">
        <f t="shared" ca="1" si="11"/>
        <v>7.264014740585599E-2</v>
      </c>
      <c r="M14" s="8">
        <f t="shared" si="15"/>
        <v>4448.7629999999999</v>
      </c>
    </row>
    <row r="15" spans="2:13">
      <c r="B15" s="1">
        <f t="shared" ca="1" si="14"/>
        <v>45602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4338</v>
      </c>
      <c r="I15" s="22">
        <f ca="1">G15*H15</f>
        <v>9118.8463350600014</v>
      </c>
      <c r="J15" s="8">
        <f t="shared" si="13"/>
        <v>8499.9995077186013</v>
      </c>
      <c r="K15" s="8">
        <f ca="1">Tabla5[[#This Row],[VALOR ACTUAL EN COP]]-Tabla5[[#This Row],[COSTO TOTAL EN COP]]</f>
        <v>618.84682734140006</v>
      </c>
      <c r="L15" s="30">
        <f ca="1">((I15-J15)/J15)</f>
        <v>7.2805513315552933E-2</v>
      </c>
      <c r="M15" s="8">
        <f t="shared" si="15"/>
        <v>4440.3370000000004</v>
      </c>
    </row>
    <row r="16" spans="2:13">
      <c r="B16" s="1">
        <f t="shared" ca="1" si="14"/>
        <v>45602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4338</v>
      </c>
      <c r="I16" s="22">
        <f ca="1">G16*H16</f>
        <v>9859.2604263000012</v>
      </c>
      <c r="J16" s="8">
        <f>F16+J15</f>
        <v>9199.9997565142021</v>
      </c>
      <c r="K16" s="8">
        <f ca="1">Tabla5[[#This Row],[VALOR ACTUAL EN COP]]-Tabla5[[#This Row],[COSTO TOTAL EN COP]]</f>
        <v>659.26066978579911</v>
      </c>
      <c r="L16" s="30">
        <f ca="1">((I16-J16)/J16)</f>
        <v>7.1658770351488266E-2</v>
      </c>
      <c r="M16" s="8">
        <f t="shared" si="15"/>
        <v>4511.3420000000006</v>
      </c>
    </row>
    <row r="17" spans="2:13">
      <c r="B17" s="1">
        <f ca="1">TODAY()</f>
        <v>45602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4338</v>
      </c>
      <c r="I17" s="22">
        <f ca="1">G17*H17</f>
        <v>10580.700756240001</v>
      </c>
      <c r="J17" s="8">
        <f>F17+J16</f>
        <v>9899.9997712546028</v>
      </c>
      <c r="K17" s="8">
        <f ca="1">Tabla5[[#This Row],[VALOR ACTUAL EN COP]]-Tabla5[[#This Row],[COSTO TOTAL EN COP]]</f>
        <v>680.70098498539846</v>
      </c>
      <c r="L17" s="30">
        <f ca="1">((I17-J17)/J17)</f>
        <v>6.8757676839737436E-2</v>
      </c>
      <c r="M17" s="8">
        <f t="shared" si="15"/>
        <v>4629.9880000000003</v>
      </c>
    </row>
    <row r="18" spans="2:13">
      <c r="B18" s="1">
        <f ca="1">TODAY()</f>
        <v>45602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4338</v>
      </c>
      <c r="I18" s="22">
        <f ca="1">G18*H18</f>
        <v>11296.609311960001</v>
      </c>
      <c r="J18" s="8">
        <f>F18+J17</f>
        <v>10599.999247958604</v>
      </c>
      <c r="K18" s="8">
        <f ca="1">Tabla5[[#This Row],[VALOR ACTUAL EN COP]]-Tabla5[[#This Row],[COSTO TOTAL EN COP]]</f>
        <v>696.6100640013974</v>
      </c>
      <c r="L18" s="30">
        <f ca="1">((I18-J18)/J18)</f>
        <v>6.5717935228679733E-2</v>
      </c>
      <c r="M18" s="8">
        <f t="shared" si="15"/>
        <v>4665.7600000000011</v>
      </c>
    </row>
    <row r="19" spans="2:13">
      <c r="B19" s="1">
        <f ca="1">TODAY()</f>
        <v>45602</v>
      </c>
      <c r="C19" s="1">
        <v>45600</v>
      </c>
      <c r="D19" s="7">
        <v>4370.66</v>
      </c>
      <c r="E19">
        <v>0.16015905999999999</v>
      </c>
      <c r="F19" s="22">
        <f>D19*E19</f>
        <v>700.00079717959989</v>
      </c>
      <c r="G19" s="14">
        <f>G18+E19</f>
        <v>2.76426448</v>
      </c>
      <c r="H19" s="7">
        <f ca="1">VLOOKUP(B19,Tabla4[],6,FALSE)</f>
        <v>4338</v>
      </c>
      <c r="I19" s="22">
        <f ca="1">G19*H19</f>
        <v>11991.379314240001</v>
      </c>
      <c r="J19" s="8">
        <f>F19+J18</f>
        <v>11300.000045138204</v>
      </c>
      <c r="K19" s="8">
        <f ca="1">Tabla5[[#This Row],[VALOR ACTUAL EN COP]]-Tabla5[[#This Row],[COSTO TOTAL EN COP]]</f>
        <v>691.37926910179704</v>
      </c>
      <c r="L19" s="30">
        <f ca="1">((I19-J19)/J19)</f>
        <v>6.1184005870801847E-2</v>
      </c>
      <c r="M19" s="8">
        <f>D19*1.1</f>
        <v>4807.7260000000006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F1" workbookViewId="0">
      <selection activeCell="K18" sqref="K18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 t="shared" ref="L14:L22" si="11"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12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13">H15*J15*I15</f>
        <v>19782.494933349997</v>
      </c>
      <c r="L15" s="14">
        <f t="shared" si="11"/>
        <v>1.0219999999999994E-5</v>
      </c>
      <c r="M15" s="8">
        <f t="shared" ref="M15:M22" si="14">F15-J15</f>
        <v>-8288.1999999999971</v>
      </c>
      <c r="N15" s="7">
        <f t="shared" ref="N15:N22" si="15">L15*J15*I15</f>
        <v>3221.9457883479981</v>
      </c>
      <c r="O15" s="8">
        <f t="shared" ref="O15:O22" si="16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12"/>
        <v>11373.39366623264</v>
      </c>
      <c r="H16">
        <v>1.28396E-3</v>
      </c>
      <c r="I16" s="7">
        <v>4374.1000000000004</v>
      </c>
      <c r="J16" s="7">
        <v>2630</v>
      </c>
      <c r="K16" s="7">
        <f t="shared" si="13"/>
        <v>14770.525616680001</v>
      </c>
      <c r="L16" s="14">
        <f t="shared" si="11"/>
        <v>2.5434000000000003E-4</v>
      </c>
      <c r="M16" s="8">
        <f t="shared" si="14"/>
        <v>0.59999999999990905</v>
      </c>
      <c r="N16" s="7">
        <f t="shared" si="15"/>
        <v>2925.8976022200009</v>
      </c>
      <c r="O16" s="8">
        <f t="shared" si="16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12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13"/>
        <v>6757.2408540100814</v>
      </c>
      <c r="L17" s="14">
        <f t="shared" si="11"/>
        <v>0.18250943000000008</v>
      </c>
      <c r="M17" s="8">
        <f t="shared" si="14"/>
        <v>0.38000000000000012</v>
      </c>
      <c r="N17" s="7">
        <f t="shared" si="15"/>
        <v>1341.1683562418407</v>
      </c>
      <c r="O17" s="8">
        <f t="shared" si="16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12"/>
        <v>8119.6943981663999</v>
      </c>
      <c r="H18">
        <v>2.63210867</v>
      </c>
      <c r="I18" s="7">
        <v>4374.1000000000004</v>
      </c>
      <c r="J18" s="7">
        <v>1</v>
      </c>
      <c r="K18" s="7">
        <f t="shared" si="13"/>
        <v>11513.106533447</v>
      </c>
      <c r="L18" s="14">
        <f t="shared" si="11"/>
        <v>0.69844295000000001</v>
      </c>
      <c r="M18" s="8">
        <f t="shared" si="14"/>
        <v>0</v>
      </c>
      <c r="N18" s="7">
        <f t="shared" si="15"/>
        <v>3055.0593075950001</v>
      </c>
      <c r="O18" s="8">
        <f t="shared" si="16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12"/>
        <v>19387.529695233025</v>
      </c>
      <c r="K19">
        <f t="shared" si="13"/>
        <v>0</v>
      </c>
      <c r="L19" s="14">
        <f t="shared" si="11"/>
        <v>-6.2749999999999994E-5</v>
      </c>
      <c r="M19" s="8">
        <f t="shared" si="14"/>
        <v>69923.17</v>
      </c>
      <c r="N19">
        <f t="shared" si="15"/>
        <v>0</v>
      </c>
      <c r="O19" s="8">
        <f t="shared" si="16"/>
        <v>-1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12"/>
        <v>14284.345963311442</v>
      </c>
      <c r="K20">
        <f t="shared" si="13"/>
        <v>0</v>
      </c>
      <c r="L20" s="14">
        <f t="shared" si="11"/>
        <v>-1.28396E-3</v>
      </c>
      <c r="M20" s="8">
        <f t="shared" si="14"/>
        <v>2517.8000000000002</v>
      </c>
      <c r="N20">
        <f t="shared" si="15"/>
        <v>0</v>
      </c>
      <c r="O20" s="8">
        <f t="shared" si="16"/>
        <v>-1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12"/>
        <v>6541.6141278525392</v>
      </c>
      <c r="K21">
        <f t="shared" si="13"/>
        <v>0</v>
      </c>
      <c r="L21" s="14">
        <f t="shared" si="11"/>
        <v>-0.91954166000000004</v>
      </c>
      <c r="M21" s="8">
        <f t="shared" si="14"/>
        <v>1.61</v>
      </c>
      <c r="N21">
        <f t="shared" si="15"/>
        <v>0</v>
      </c>
      <c r="O21" s="8">
        <f t="shared" si="16"/>
        <v>-1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12"/>
        <v>11630.314332522101</v>
      </c>
      <c r="K22">
        <f t="shared" si="13"/>
        <v>0</v>
      </c>
      <c r="L22" s="14">
        <f t="shared" si="11"/>
        <v>-2.63210867</v>
      </c>
      <c r="M22" s="8">
        <f t="shared" si="14"/>
        <v>1</v>
      </c>
      <c r="N22">
        <f t="shared" si="15"/>
        <v>0</v>
      </c>
      <c r="O22" s="8">
        <f t="shared" si="16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9"/>
  <sheetViews>
    <sheetView tabSelected="1" topLeftCell="A58" workbookViewId="0">
      <selection activeCell="E89" sqref="E89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  <row r="86" spans="2:13">
      <c r="B86" s="1">
        <v>45597</v>
      </c>
      <c r="C86" s="8">
        <f>VLOOKUP(B86,Tabla4[],2,FALSE)</f>
        <v>4418.63</v>
      </c>
      <c r="D86" s="24">
        <v>522.66999999999996</v>
      </c>
      <c r="E86" s="8">
        <f>0.01518 * D86</f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</row>
    <row r="87" spans="2:13">
      <c r="B87" s="1">
        <v>45600</v>
      </c>
      <c r="C87" s="8">
        <f>VLOOKUP(B87,Tabla4[],2,FALSE)</f>
        <v>4445.3500000000004</v>
      </c>
      <c r="D87" s="24">
        <v>523.79999999999995</v>
      </c>
      <c r="E87" s="8">
        <f>0.01518 * D87</f>
        <v>7.9512839999999994</v>
      </c>
      <c r="F87" s="8">
        <f>Tabla2[[#This Row],[VALOR INVERSION 1]]-7.7</f>
        <v>0.25128399999999917</v>
      </c>
      <c r="G87" s="8">
        <f>Tabla2[[#This Row],[VALOR INVERSION 1]]*Tabla2[[#This Row],[PRECIO DEL DÓLAR]]</f>
        <v>35346.240329400003</v>
      </c>
      <c r="H87" s="8">
        <f>Tabla2[[#This Row],[VOO]]*0.01527</f>
        <v>7.9984259999999994</v>
      </c>
      <c r="I87" s="8">
        <f>Tabla2[[#This Row],[VALOR INVERSION 2]]-7.9</f>
        <v>9.8425999999999014E-2</v>
      </c>
      <c r="J87" s="8">
        <f>Tabla2[[#This Row],[VALOR INVERSION 2]]*Tabla2[[#This Row],[PRECIO DEL DÓLAR]]</f>
        <v>35555.8030191</v>
      </c>
      <c r="K87" s="8">
        <f>Tabla2[[#This Row],[VOO]]*0.01284</f>
        <v>6.7255919999999998</v>
      </c>
      <c r="L87" s="8">
        <f>Tabla2[[#This Row],[VALOR INVERSION 3]]-6.9</f>
        <v>-0.17440800000000056</v>
      </c>
      <c r="M87" s="8">
        <f>Tabla2[[#This Row],[VALOR INVERSION 3]]*Tabla2[[#This Row],[PRECIO DEL DÓLAR]]</f>
        <v>29897.610397200002</v>
      </c>
    </row>
    <row r="88" spans="2:13">
      <c r="B88" s="1">
        <v>45601</v>
      </c>
      <c r="C88" s="8">
        <f>VLOOKUP(B88,Tabla4[],2,FALSE)</f>
        <v>4438.62</v>
      </c>
      <c r="D88" s="24">
        <v>530.1</v>
      </c>
      <c r="E88" s="8">
        <f>0.01518 * D88</f>
        <v>8.0469180000000016</v>
      </c>
      <c r="F88" s="8">
        <f>Tabla2[[#This Row],[VALOR INVERSION 1]]-7.7</f>
        <v>0.34691800000000139</v>
      </c>
      <c r="G88" s="8">
        <f>Tabla2[[#This Row],[VALOR INVERSION 1]]*Tabla2[[#This Row],[PRECIO DEL DÓLAR]]</f>
        <v>35717.211173160009</v>
      </c>
      <c r="H88" s="8">
        <f>Tabla2[[#This Row],[VOO]]*0.01527</f>
        <v>8.0946270000000009</v>
      </c>
      <c r="I88" s="8">
        <f>Tabla2[[#This Row],[VALOR INVERSION 2]]-7.9</f>
        <v>0.19462700000000055</v>
      </c>
      <c r="J88" s="8">
        <f>Tabla2[[#This Row],[VALOR INVERSION 2]]*Tabla2[[#This Row],[PRECIO DEL DÓLAR]]</f>
        <v>35928.973294740004</v>
      </c>
      <c r="K88" s="8">
        <f>Tabla2[[#This Row],[VOO]]*0.01284</f>
        <v>6.8064840000000011</v>
      </c>
      <c r="L88" s="8">
        <f>Tabla2[[#This Row],[VALOR INVERSION 3]]-6.9</f>
        <v>-9.3515999999999266E-2</v>
      </c>
      <c r="M88" s="8">
        <f>Tabla2[[#This Row],[VALOR INVERSION 3]]*Tabla2[[#This Row],[PRECIO DEL DÓLAR]]</f>
        <v>30211.396012080004</v>
      </c>
    </row>
    <row r="89" spans="2:13">
      <c r="B89" s="1">
        <v>45602</v>
      </c>
      <c r="C89" s="8">
        <f>VLOOKUP(B89,Tabla4[],2,FALSE)</f>
        <v>4439.75</v>
      </c>
      <c r="D89" s="24"/>
      <c r="E89" s="8">
        <f>0.01518 * D89</f>
        <v>0</v>
      </c>
      <c r="F89" s="8">
        <f>Tabla2[[#This Row],[VALOR INVERSION 1]]-7.7</f>
        <v>-7.7</v>
      </c>
      <c r="G89" s="8">
        <f>Tabla2[[#This Row],[VALOR INVERSION 1]]*Tabla2[[#This Row],[PRECIO DEL DÓLAR]]</f>
        <v>0</v>
      </c>
      <c r="H89" s="8">
        <f>Tabla2[[#This Row],[VOO]]*0.01527</f>
        <v>0</v>
      </c>
      <c r="I89" s="8">
        <f>Tabla2[[#This Row],[VALOR INVERSION 2]]-7.9</f>
        <v>-7.9</v>
      </c>
      <c r="J89" s="8">
        <f>Tabla2[[#This Row],[VALOR INVERSION 2]]*Tabla2[[#This Row],[PRECIO DEL DÓLAR]]</f>
        <v>0</v>
      </c>
      <c r="K89" s="8">
        <f>Tabla2[[#This Row],[VOO]]*0.01284</f>
        <v>0</v>
      </c>
      <c r="L89" s="8">
        <f>Tabla2[[#This Row],[VALOR INVERSION 3]]-6.9</f>
        <v>-6.9</v>
      </c>
      <c r="M89" s="8">
        <f>Tabla2[[#This Row],[VALOR INVERSION 3]]*Tabla2[[#This Row],[PRECIO DEL DÓLAR]]</f>
        <v>0</v>
      </c>
    </row>
  </sheetData>
  <conditionalFormatting sqref="F3:F89">
    <cfRule type="cellIs" dxfId="11" priority="8" operator="greaterThan">
      <formula>0</formula>
    </cfRule>
    <cfRule type="cellIs" dxfId="10" priority="9" operator="lessThan">
      <formula>0</formula>
    </cfRule>
  </conditionalFormatting>
  <conditionalFormatting sqref="L75:L7999">
    <cfRule type="cellIs" dxfId="9" priority="1" operator="lessThan">
      <formula>0</formula>
    </cfRule>
    <cfRule type="cellIs" dxfId="8" priority="2" operator="greaterThan">
      <formula>0</formula>
    </cfRule>
  </conditionalFormatting>
  <conditionalFormatting sqref="I53:I8800">
    <cfRule type="cellIs" dxfId="7" priority="5" operator="lessThan">
      <formula>0</formula>
    </cfRule>
    <cfRule type="cellIs" dxfId="6" priority="4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45602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>
        <f ca="1">VLOOKUP(B3,Tabla2[],3,FALSE)</f>
        <v>0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45602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>
        <f ca="1">VLOOKUP(B4,Tabla2[],3,FALSE)</f>
        <v>0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45602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>
        <f ca="1">VLOOKUP(B5,Tabla2[],3,FALSE)</f>
        <v>0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45602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>
        <f ca="1">VLOOKUP(B6,Tabla2[],3,FALSE)</f>
        <v>0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45602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>
        <f ca="1">VLOOKUP(B7,Tabla2[],3,FALSE)</f>
        <v>0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45602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>
        <f ca="1">VLOOKUP(B8,Tabla2[],3,FALSE)</f>
        <v>0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0</v>
      </c>
      <c r="P8" s="18"/>
      <c r="Q8" s="7"/>
      <c r="R8" s="7">
        <f t="shared" si="3"/>
        <v>0</v>
      </c>
      <c r="S8" s="7">
        <f t="shared" ca="1" si="4"/>
        <v>-7.7</v>
      </c>
      <c r="T8" s="9">
        <f t="shared" ca="1" si="5"/>
        <v>-1</v>
      </c>
    </row>
    <row r="9" spans="2:20">
      <c r="B9" s="1">
        <f t="shared" ca="1" si="0"/>
        <v>45602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>
        <f ca="1">VLOOKUP(B9,Tabla2[],3,FALSE)</f>
        <v>0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45602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>
        <f ca="1">VLOOKUP(B10,Tabla2[],3,FALSE)</f>
        <v>0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45602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>
        <f ca="1">VLOOKUP(B11,Tabla2[],3,FALSE)</f>
        <v>0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45602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>
        <f ca="1">VLOOKUP(B12,Tabla2[],3,FALSE)</f>
        <v>0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45602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>
        <f ca="1">VLOOKUP(B13,Tabla2[],3,FALSE)</f>
        <v>0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45602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>
        <f ca="1">VLOOKUP(B14,Tabla2[],3,FALSE)</f>
        <v>0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2024-11-06T15:04:07Z</dcterms:modified>
</cp:coreProperties>
</file>