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bastian\proyectos2024\documentos\"/>
    </mc:Choice>
  </mc:AlternateContent>
  <xr:revisionPtr revIDLastSave="0" documentId="13_ncr:1_{E0BD4D24-15EE-4991-81EF-2A92E647A732}" xr6:coauthVersionLast="47" xr6:coauthVersionMax="47" xr10:uidLastSave="{00000000-0000-0000-0000-000000000000}"/>
  <bookViews>
    <workbookView xWindow="-120" yWindow="-120" windowWidth="20640" windowHeight="11160" tabRatio="748" activeTab="5" xr2:uid="{00000000-000D-0000-FFFF-FFFF00000000}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7" l="1"/>
  <c r="E40" i="7"/>
  <c r="F40" i="7" s="1"/>
  <c r="B9" i="10"/>
  <c r="H9" i="10" s="1"/>
  <c r="I9" i="10" s="1"/>
  <c r="K9" i="10" s="1"/>
  <c r="F9" i="10"/>
  <c r="G9" i="10"/>
  <c r="J9" i="10"/>
  <c r="L9" i="10"/>
  <c r="B44" i="9"/>
  <c r="C44" i="9" s="1"/>
  <c r="I44" i="9"/>
  <c r="L44" i="9" s="1"/>
  <c r="W44" i="9" s="1"/>
  <c r="U44" i="9"/>
  <c r="Y44" i="9" s="1"/>
  <c r="I43" i="9"/>
  <c r="B43" i="9"/>
  <c r="C43" i="9" s="1"/>
  <c r="L43" i="9"/>
  <c r="W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G39" i="7" s="1"/>
  <c r="E39" i="7"/>
  <c r="F39" i="7"/>
  <c r="C51" i="6"/>
  <c r="C50" i="6"/>
  <c r="C38" i="7"/>
  <c r="E38" i="7"/>
  <c r="F38" i="7" s="1"/>
  <c r="C37" i="7"/>
  <c r="G37" i="7" s="1"/>
  <c r="E37" i="7"/>
  <c r="F37" i="7"/>
  <c r="C49" i="6"/>
  <c r="C48" i="6"/>
  <c r="B8" i="10"/>
  <c r="H8" i="10" s="1"/>
  <c r="I8" i="10" s="1"/>
  <c r="K8" i="10" s="1"/>
  <c r="F8" i="10"/>
  <c r="G8" i="10"/>
  <c r="J8" i="10"/>
  <c r="L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G36" i="7" s="1"/>
  <c r="E36" i="7"/>
  <c r="F36" i="7"/>
  <c r="C35" i="7"/>
  <c r="G35" i="7" s="1"/>
  <c r="E35" i="7"/>
  <c r="F35" i="7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G33" i="7" s="1"/>
  <c r="E33" i="7"/>
  <c r="F33" i="7"/>
  <c r="C45" i="6"/>
  <c r="C32" i="7"/>
  <c r="G32" i="7" s="1"/>
  <c r="E32" i="7"/>
  <c r="F32" i="7" s="1"/>
  <c r="C44" i="6"/>
  <c r="C31" i="7"/>
  <c r="G31" i="7" s="1"/>
  <c r="E31" i="7"/>
  <c r="F31" i="7"/>
  <c r="C43" i="6"/>
  <c r="C30" i="7"/>
  <c r="G30" i="7" s="1"/>
  <c r="E30" i="7"/>
  <c r="F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G40" i="7" l="1"/>
  <c r="F44" i="9"/>
  <c r="X44" i="9" s="1"/>
  <c r="E44" i="9"/>
  <c r="D44" i="9"/>
  <c r="F43" i="9"/>
  <c r="E43" i="9"/>
  <c r="N43" i="9" s="1"/>
  <c r="Q43" i="9" s="1"/>
  <c r="D43" i="9"/>
  <c r="F42" i="9"/>
  <c r="E42" i="9"/>
  <c r="D42" i="9"/>
  <c r="G38" i="7"/>
  <c r="F41" i="9"/>
  <c r="M41" i="9" s="1"/>
  <c r="E41" i="9"/>
  <c r="D41" i="9"/>
  <c r="F40" i="9"/>
  <c r="E40" i="9"/>
  <c r="N40" i="9" s="1"/>
  <c r="Q40" i="9" s="1"/>
  <c r="D40" i="9"/>
  <c r="F39" i="9"/>
  <c r="E39" i="9"/>
  <c r="D39" i="9"/>
  <c r="G34" i="7"/>
  <c r="K7" i="10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N5" i="13"/>
  <c r="M3" i="13"/>
  <c r="M5" i="13"/>
  <c r="M4" i="13"/>
  <c r="L3" i="13"/>
  <c r="L5" i="13"/>
  <c r="L4" i="13"/>
  <c r="E22" i="7"/>
  <c r="F22" i="7" s="1"/>
  <c r="M3" i="11"/>
  <c r="G7" i="11"/>
  <c r="G10" i="1"/>
  <c r="I10" i="1"/>
  <c r="J10" i="1" s="1"/>
  <c r="G9" i="1"/>
  <c r="I9" i="1"/>
  <c r="J9" i="1" s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V44" i="9" l="1"/>
  <c r="M44" i="9"/>
  <c r="N44" i="9"/>
  <c r="Q44" i="9" s="1"/>
  <c r="V43" i="9"/>
  <c r="X43" i="9"/>
  <c r="M43" i="9"/>
  <c r="N42" i="9"/>
  <c r="Q42" i="9" s="1"/>
  <c r="V42" i="9"/>
  <c r="X42" i="9"/>
  <c r="M42" i="9"/>
  <c r="V41" i="9"/>
  <c r="N41" i="9"/>
  <c r="Q41" i="9" s="1"/>
  <c r="X41" i="9"/>
  <c r="V40" i="9"/>
  <c r="X40" i="9"/>
  <c r="M40" i="9"/>
  <c r="N39" i="9"/>
  <c r="Q39" i="9" s="1"/>
  <c r="V39" i="9"/>
  <c r="X39" i="9"/>
  <c r="M39" i="9"/>
  <c r="M37" i="9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V35" i="9" l="1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<sst xmlns="http://schemas.openxmlformats.org/spreadsheetml/2006/main" count="245" uniqueCount="114">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</sst>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 xr9:uid="{00000000-0011-0000-FFFF-FFFF00000000}">
      <tableStyleElement type="wholeTable" dxfId="108"/>
      <tableStyleElement type="headerRow" dxfId="107"/>
      <tableStyleElement type="secondRowStripe" dxfId="106"/>
    </tableStyle>
    <tableStyle name="Estilo de tabla 2" pivot="0" count="5" xr9:uid="{00000000-0011-0000-FFFF-FFFF01000000}">
      <tableStyleElement type="wholeTable" dxfId="105"/>
      <tableStyleElement type="headerRow" dxfId="104"/>
      <tableStyleElement type="firstRowStripe" dxfId="103"/>
      <tableStyleElement type="secondRowStripe" dxfId="102"/>
      <tableStyleElement type="firstColumnStripe" dxfId="101"/>
    </tableStyle>
    <tableStyle name="Estilo de tabla 3" pivot="0" count="3" xr9:uid="{00000000-0011-0000-FFFF-FFFF02000000}">
      <tableStyleElement type="headerRow" dxfId="100"/>
      <tableStyleElement type="firstRowStripe" dxfId="99"/>
      <tableStyleElement type="secondRowStripe" dxfId="98"/>
    </tableStyle>
    <tableStyle name="Estilo de tabla 4" pivot="0" count="4" xr9:uid="{00000000-0011-0000-FFFF-FFFF03000000}">
      <tableStyleElement type="wholeTable" dxfId="97"/>
      <tableStyleElement type="headerRow" dxfId="96"/>
      <tableStyleElement type="firstRowStripe" dxfId="95"/>
      <tableStyleElement type="secondRowStripe" dxfId="94"/>
    </tableStyle>
    <tableStyle name="Estilo de tabla 5" pivot="0" count="4" xr9:uid="{00000000-0011-0000-FFFF-FFFF04000000}">
      <tableStyleElement type="wholeTable" dxfId="93"/>
      <tableStyleElement type="headerRow" dxfId="92"/>
      <tableStyleElement type="firstRowStripe" dxfId="91"/>
      <tableStyleElement type="secondRowStripe" dxfId="90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CRIPTOS!$C$3:$C$126</c:f>
              <c:numCache>
                <c:formatCode>_-[$$-240A]\ * #,##0.00_-;\-[$$-240A]\ * #,##0.00_-;_-[$$-240A]\ * "-"??_-;_-@_-</c:formatCode>
                <c:ptCount val="124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CRIPTOS!$D$3:$D$126</c:f>
              <c:numCache>
                <c:formatCode>_-[$$-240A]\ * #,##0.00_-;\-[$$-240A]\ * #,##0.00_-;_-[$$-240A]\ * "-"??_-;_-@_-</c:formatCode>
                <c:ptCount val="124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CRIPTOS!$E$3:$E$126</c:f>
              <c:numCache>
                <c:formatCode>_-[$$-240A]\ * #,##0.00_-;\-[$$-240A]\ * #,##0.00_-;_-[$$-240A]\ * "-"??_-;_-@_-</c:formatCode>
                <c:ptCount val="124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CRIPTOS!$F$3:$F$126</c:f>
              <c:numCache>
                <c:formatCode>_-[$$-240A]\ * #,##0.00_-;\-[$$-240A]\ * #,##0.00_-;_-[$$-240A]\ * "-"??_-;_-@_-</c:formatCode>
                <c:ptCount val="124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CRIPTOS!$B$3:$B$126</c:f>
              <c:numCache>
                <c:formatCode>m/d/yyyy</c:formatCode>
                <c:ptCount val="124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</c:numCache>
            </c:numRef>
          </c:cat>
          <c:val>
            <c:numRef>
              <c:f>CRIPTOS!$G$3:$G$126</c:f>
              <c:numCache>
                <c:formatCode>_-[$$-240A]\ * #,##0.00_-;\-[$$-240A]\ * #,##0.00_-;_-[$$-240A]\ * "-"??_-;_-@_-</c:formatCode>
                <c:ptCount val="124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Bolsa'!$C$3:$C$40</c:f>
              <c:numCache>
                <c:formatCode>_("$"* #,##0.00_);_("$"* \(#,##0.00\);_("$"* "-"??_);_(@_)</c:formatCode>
                <c:ptCount val="38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Bolsa'!$D$3:$D$40</c:f>
              <c:numCache>
                <c:formatCode>_("$"* #,##0.00_);_("$"* \(#,##0.00\);_("$"* "-"??_);_(@_)</c:formatCode>
                <c:ptCount val="38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Bolsa'!$E$3:$E$40</c:f>
              <c:numCache>
                <c:formatCode>_("$"* #,##0.00_);_("$"* \(#,##0.00\);_("$"* "-"??_);_(@_)</c:formatCode>
                <c:ptCount val="38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Bolsa'!$F$3:$F$40</c:f>
              <c:numCache>
                <c:formatCode>_("$"* #,##0.00_);_("$"* \(#,##0.00\);_("$"* "-"??_);_(@_)</c:formatCode>
                <c:ptCount val="38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Bolsa'!$B$3:$B$40</c:f>
              <c:numCache>
                <c:formatCode>m/d/yyyy</c:formatCode>
                <c:ptCount val="3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</c:numCache>
            </c:numRef>
          </c:cat>
          <c:val>
            <c:numRef>
              <c:f>'Inv Bolsa'!$G$3:$G$40</c:f>
              <c:numCache>
                <c:formatCode>_("$"* #,##0.00_);_("$"* \(#,##0.00\);_("$"* "-"??_);_(@_)</c:formatCode>
                <c:ptCount val="38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a8" displayName="Tabla8" ref="B2:I16" totalsRowShown="0">
  <autoFilter ref="B2:I16" xr:uid="{00000000-0009-0000-0100-000008000000}"/>
  <tableColumns count="8">
    <tableColumn id="1" xr3:uid="{00000000-0010-0000-0000-000001000000}" name="MES"/>
    <tableColumn id="2" xr3:uid="{00000000-0010-0000-0000-000002000000}" name="TIPO DE INVERSION"/>
    <tableColumn id="7" xr3:uid="{00000000-0010-0000-0000-000007000000}" name="NOMBRE"/>
    <tableColumn id="3" xr3:uid="{00000000-0010-0000-0000-000003000000}" name="CAPITAL A INICIO DE MES" dataCellStyle="Moneda"/>
    <tableColumn id="8" xr3:uid="{00000000-0010-0000-0000-000008000000}" name="CAPITAL INVERTIDO ESTE MES" dataDxfId="89" dataCellStyle="Moneda"/>
    <tableColumn id="4" xr3:uid="{00000000-0010-0000-0000-000004000000}" name="CAPITAL A FIN DE MES" dataCellStyle="Moneda"/>
    <tableColumn id="5" xr3:uid="{00000000-0010-0000-0000-000005000000}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xr3:uid="{00000000-0010-0000-0000-000006000000}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a3" displayName="Tabla3" ref="B2:T14" totalsRowShown="0" headerRowDxfId="35">
  <autoFilter ref="B2:T14" xr:uid="{00000000-0009-0000-0100-000003000000}"/>
  <tableColumns count="19">
    <tableColumn id="1" xr3:uid="{00000000-0010-0000-0900-000001000000}" name="FECHA ACTUAL" dataDxfId="34">
      <calculatedColumnFormula>TODAY()</calculatedColumnFormula>
    </tableColumn>
    <tableColumn id="2" xr3:uid="{00000000-0010-0000-0900-000002000000}" name="PRECIO ACT KO" dataDxfId="33" dataCellStyle="Moneda">
      <calculatedColumnFormula>VLOOKUP(B3,Tabla1[],5,FALSE)</calculatedColumnFormula>
    </tableColumn>
    <tableColumn id="3" xr3:uid="{00000000-0010-0000-0900-000003000000}" name="PRECIO ACT JNJ" dataDxfId="32">
      <calculatedColumnFormula>VLOOKUP(B3,Tabla1[],6,FALSE)</calculatedColumnFormula>
    </tableColumn>
    <tableColumn id="4" xr3:uid="{00000000-0010-0000-0900-000004000000}" name="PRECIO ACT PG" dataDxfId="31">
      <calculatedColumnFormula>VLOOKUP(B3,Tabla1[],7,FALSE)</calculatedColumnFormula>
    </tableColumn>
    <tableColumn id="5" xr3:uid="{00000000-0010-0000-0900-000005000000}" name="PRECIO ACT PEP" dataDxfId="30">
      <calculatedColumnFormula>VLOOKUP(B3,Tabla1[],8,FALSE)</calculatedColumnFormula>
    </tableColumn>
    <tableColumn id="6" xr3:uid="{00000000-0010-0000-0900-000006000000}" name="PRECIO ACT MSFT" dataDxfId="29">
      <calculatedColumnFormula>VLOOKUP(B3,Tabla1[],9,FALSE)</calculatedColumnFormula>
    </tableColumn>
    <tableColumn id="7" xr3:uid="{00000000-0010-0000-0900-000007000000}" name="PRECIO ACT MCD" dataDxfId="28">
      <calculatedColumnFormula>VLOOKUP(B3,Tabla1[],10,FALSE)</calculatedColumnFormula>
    </tableColumn>
    <tableColumn id="20" xr3:uid="{00000000-0010-0000-0900-000014000000}" name="PRECIO ACT VOO" dataDxfId="27">
      <calculatedColumnFormula>VLOOKUP(B3,Tabla2[],3,FALSE)</calculatedColumnFormula>
    </tableColumn>
    <tableColumn id="8" xr3:uid="{00000000-0010-0000-0900-000008000000}" name="EMPRESA" dataDxfId="26"/>
    <tableColumn id="9" xr3:uid="{00000000-0010-0000-0900-000009000000}" name="FECHA COMPRA" dataDxfId="25"/>
    <tableColumn id="10" xr3:uid="{00000000-0010-0000-0900-00000A000000}" name="PRECIO COMPRA" dataDxfId="24" dataCellStyle="Moneda"/>
    <tableColumn id="11" xr3:uid="{00000000-0010-0000-0900-00000B000000}" name="CAPITAL INVE" dataDxfId="23" dataCellStyle="Moneda"/>
    <tableColumn id="12" xr3:uid="{00000000-0010-0000-0900-00000C000000}" name="CANTIDAD DE ACCIONES" dataDxfId="22" dataCellStyle="Moneda">
      <calculatedColumnFormula>(M3/L3)</calculatedColumnFormula>
    </tableColumn>
    <tableColumn id="13" xr3:uid="{00000000-0010-0000-0900-00000D000000}" name="VALOR ACTUAL INVE" dataDxfId="21" dataCellStyle="Moneda">
      <calculatedColumnFormula>ROUND(IF(J3="KO",N3*C3,IF(J3="JNJ",N3*D3,IF(J3="PG",N3*E3,IF(J3="PEP",N3*F3,IF(J3="MSFT",N3*G3,IF(J3="MCD",N3*H3,IF(J3="VOO",N3*I3,0))))))),2)</calculatedColumnFormula>
    </tableColumn>
    <tableColumn id="14" xr3:uid="{00000000-0010-0000-0900-00000E000000}" name="FECHA DIVIDENDO" dataDxfId="20"/>
    <tableColumn id="15" xr3:uid="{00000000-0010-0000-0900-00000F000000}" name="VALOR DIVIDENDO POR ACCION" dataDxfId="19" dataCellStyle="Moneda"/>
    <tableColumn id="16" xr3:uid="{00000000-0010-0000-0900-000010000000}" name="TOTAL DIVIDENDO RECIBIDO" dataDxfId="18" dataCellStyle="Moneda">
      <calculatedColumnFormula>ROUND(Q3*N3,2)</calculatedColumnFormula>
    </tableColumn>
    <tableColumn id="17" xr3:uid="{00000000-0010-0000-0900-000011000000}" name="GANACIA/PERDIDA" dataDxfId="17" dataCellStyle="Moneda">
      <calculatedColumnFormula>ROUND(O3-M3,2)</calculatedColumnFormula>
    </tableColumn>
    <tableColumn id="18" xr3:uid="{00000000-0010-0000-0900-000012000000}" name="RENTABILIDAD" dataDxfId="16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K2:O6" totalsRowShown="0">
  <autoFilter ref="K2:O6" xr:uid="{00000000-0009-0000-0100-00000A000000}"/>
  <tableColumns count="5">
    <tableColumn id="1" xr3:uid="{00000000-0010-0000-0100-000001000000}" name="TIPO DE INVERSION"/>
    <tableColumn id="2" xr3:uid="{00000000-0010-0000-0100-000002000000}" name="CAPITAL INICIAL TOTAL" dataCellStyle="Moneda"/>
    <tableColumn id="3" xr3:uid="{00000000-0010-0000-0100-000003000000}" name="CAPITAL FINAL TOTAL" dataCellStyle="Moneda"/>
    <tableColumn id="6" xr3:uid="{00000000-0010-0000-0100-000006000000}" name="TOTAL G/P" dataDxfId="88" dataCellStyle="Moneda">
      <calculatedColumnFormula>SUMIF(C:C,"CRIPTOMONEDA",H:H)</calculatedColumnFormula>
    </tableColumn>
    <tableColumn id="4" xr3:uid="{00000000-0010-0000-0100-000004000000}" name="% DEL TOTAL CAPITAL" dataDxfId="87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B2:J10" totalsRowShown="0" headerRowDxfId="86">
  <autoFilter ref="B2:J10" xr:uid="{00000000-0009-0000-0100-000007000000}"/>
  <tableColumns count="9">
    <tableColumn id="1" xr3:uid="{00000000-0010-0000-0200-000001000000}" name="MES"/>
    <tableColumn id="2" xr3:uid="{00000000-0010-0000-0200-000002000000}" name="CUENTA"/>
    <tableColumn id="3" xr3:uid="{00000000-0010-0000-0200-000003000000}" name="CANTIDAD INICIAL" dataDxfId="85"/>
    <tableColumn id="4" xr3:uid="{00000000-0010-0000-0200-000004000000}" name="CAPITAL INVERTIDO" dataDxfId="84"/>
    <tableColumn id="5" xr3:uid="{00000000-0010-0000-0200-000005000000}" name="INTERES OBTENIDO" dataDxfId="83"/>
    <tableColumn id="6" xr3:uid="{00000000-0010-0000-0200-000006000000}" name="PORCENTAJE DE INTERES" dataDxfId="82" dataCellStyle="Porcentaje">
      <calculatedColumnFormula>(F3/(D3+E3))</calculatedColumnFormula>
    </tableColumn>
    <tableColumn id="7" xr3:uid="{00000000-0010-0000-0200-000007000000}" name="RETIROS DE CAPITAL" dataDxfId="81"/>
    <tableColumn id="8" xr3:uid="{00000000-0010-0000-0200-000008000000}" name="TOTAL CAPITAL FIN DE MES" dataDxfId="80">
      <calculatedColumnFormula>D3+E3+F3-H3</calculatedColumnFormula>
    </tableColumn>
    <tableColumn id="9" xr3:uid="{00000000-0010-0000-0200-000009000000}" name="RENTABILIDAD" dataDxfId="79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:G126" totalsRowShown="0">
  <autoFilter ref="B2:G126" xr:uid="{00000000-0009-0000-0100-000004000000}"/>
  <tableColumns count="6">
    <tableColumn id="1" xr3:uid="{00000000-0010-0000-0300-000001000000}" name="FECHA" dataDxfId="78"/>
    <tableColumn id="2" xr3:uid="{00000000-0010-0000-0300-000002000000}" name="DÓLAR" dataDxfId="77"/>
    <tableColumn id="3" xr3:uid="{00000000-0010-0000-0300-000003000000}" name="BITCOIN" dataDxfId="76"/>
    <tableColumn id="5" xr3:uid="{00000000-0010-0000-0300-000005000000}" name="io.net" dataDxfId="75"/>
    <tableColumn id="4" xr3:uid="{00000000-0010-0000-0300-000004000000}" name="ETHEREUM" dataDxfId="74"/>
    <tableColumn id="6" xr3:uid="{00000000-0010-0000-0300-000006000000}" name="USDT" dataDxfId="7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Z44" totalsRowShown="0">
  <autoFilter ref="B2:Z44" xr:uid="{00000000-0009-0000-0100-000006000000}">
    <filterColumn colId="23">
      <filters>
        <filter val="ACTIVA"/>
      </filters>
    </filterColumn>
  </autoFilter>
  <tableColumns count="25">
    <tableColumn id="1" xr3:uid="{00000000-0010-0000-0400-000001000000}" name="fecha act" dataDxfId="72">
      <calculatedColumnFormula>TODAY()</calculatedColumnFormula>
    </tableColumn>
    <tableColumn id="2" xr3:uid="{00000000-0010-0000-0400-000002000000}" name="precio actual dólar" dataDxfId="71">
      <calculatedColumnFormula>VLOOKUP(B3,Tabla4[],2,FALSE)</calculatedColumnFormula>
    </tableColumn>
    <tableColumn id="3" xr3:uid="{00000000-0010-0000-0400-000003000000}" name="precio actual btc" dataDxfId="70">
      <calculatedColumnFormula>VLOOKUP(B3,Tabla4[],3,FALSE)</calculatedColumnFormula>
    </tableColumn>
    <tableColumn id="4" xr3:uid="{00000000-0010-0000-0400-000004000000}" name="precio actul eth" dataDxfId="69">
      <calculatedColumnFormula>VLOOKUP(B3,Tabla4[],5,FALSE)</calculatedColumnFormula>
    </tableColumn>
    <tableColumn id="5" xr3:uid="{00000000-0010-0000-0400-000005000000}" name="precio actual io.net" dataDxfId="68">
      <calculatedColumnFormula>VLOOKUP(B3,Tabla4[],4,FALSE)</calculatedColumnFormula>
    </tableColumn>
    <tableColumn id="6" xr3:uid="{00000000-0010-0000-0400-000006000000}" name="moneda"/>
    <tableColumn id="27" xr3:uid="{00000000-0010-0000-0400-00001B000000}" name="FECHA COMPRA"/>
    <tableColumn id="20" xr3:uid="{00000000-0010-0000-0400-000014000000}" name="PRECIO DEL DÓLAR, DIA COMPRA" dataDxfId="67">
      <calculatedColumnFormula>VLOOKUP(H3,Tabla4[],2,FALSE)</calculatedColumnFormula>
    </tableColumn>
    <tableColumn id="7" xr3:uid="{00000000-0010-0000-0400-000007000000}" name="precio de compra" dataDxfId="66"/>
    <tableColumn id="8" xr3:uid="{00000000-0010-0000-0400-000008000000}" name="cantidad" dataDxfId="65" dataCellStyle="Porcentaje"/>
    <tableColumn id="18" xr3:uid="{00000000-0010-0000-0400-000012000000}" name="COSTO DE COMPRA" dataDxfId="64" dataCellStyle="Porcentaje">
      <calculatedColumnFormula>Tabla6[[#This Row],[precio de compra]]*Tabla6[[#This Row],[cantidad]]*Tabla6[[#This Row],[PRECIO DEL DÓLAR, DIA COMPRA]]</calculatedColumnFormula>
    </tableColumn>
    <tableColumn id="21" xr3:uid="{00000000-0010-0000-0400-000015000000}" name="VALOR ACTUAL INV" dataDxfId="63" dataCellStyle="Porcentaje">
      <calculatedColumnFormula xml:space="preserve"> K3 * (IF(G3="BTC", D3, IF(G3="ETH", E3, IF(G3="IO.NET", F3, 0)))) * C3</calculatedColumnFormula>
    </tableColumn>
    <tableColumn id="9" xr3:uid="{00000000-0010-0000-0400-000009000000}" name="rentabilidad" dataDxfId="62" dataCellStyle="Porcentaje">
      <calculatedColumnFormula>IF(G3 = "BTC", (D3 - J3) / J3,
 IF(G3 = "ETH", (E3 - J3) / J3,
 IF(G3 = "IO.NET", (F3 - J3) / J3,
 "Moneda no soportada")))</calculatedColumnFormula>
    </tableColumn>
    <tableColumn id="10" xr3:uid="{00000000-0010-0000-0400-00000A000000}" name="meta1" dataDxfId="61" dataCellStyle="Porcentaje"/>
    <tableColumn id="11" xr3:uid="{00000000-0010-0000-0400-00000B000000}" name="META2" dataDxfId="60" dataCellStyle="Porcentaje"/>
    <tableColumn id="12" xr3:uid="{00000000-0010-0000-0400-00000C000000}" name="ACCION" dataDxfId="59">
      <calculatedColumnFormula>IF(N3 &lt; O3, "MANTENER", IF(N3 &lt; P3, "VENTA PARCIAL", "VENDER"))</calculatedColumnFormula>
    </tableColumn>
    <tableColumn id="13" xr3:uid="{00000000-0010-0000-0400-00000D000000}" name="FECHA DE VENTA"/>
    <tableColumn id="17" xr3:uid="{00000000-0010-0000-0400-000011000000}" name="CANTIDAD VENDIDA"/>
    <tableColumn id="14" xr3:uid="{00000000-0010-0000-0400-00000E000000}" name="PRECIO DE VENTA" dataDxfId="58"/>
    <tableColumn id="23" xr3:uid="{00000000-0010-0000-0400-000017000000}" name="INVENTARIO" dataDxfId="57">
      <calculatedColumnFormula>Tabla6[[#This Row],[cantidad]]-Tabla6[[#This Row],[CANTIDAD VENDIDA]]</calculatedColumnFormula>
    </tableColumn>
    <tableColumn id="24" xr3:uid="{00000000-0010-0000-0400-000018000000}" name="VALOR ACTUAL" dataDxfId="56">
      <calculatedColumnFormula>IF(G3="BTC", D3 * U3 * C3, IF(G3="ETH", E3 * U3 * C3, IF(G3="IO.NET", F3 * U3 * C3, 0)))</calculatedColumnFormula>
    </tableColumn>
    <tableColumn id="15" xr3:uid="{00000000-0010-0000-0400-00000F000000}" name="GANANCIA/PERDIDA" dataDxfId="55">
      <calculatedColumnFormula>IF(G3 = "BTC", ((T3 - L3)), IF(G3 = "ETH", ((T3 - L3)), IF(G3 = "IO.NET", ((T3 - L3)), "Moneda no soportada")))</calculatedColumnFormula>
    </tableColumn>
    <tableColumn id="25" xr3:uid="{00000000-0010-0000-0400-000019000000}" name="RENTABILIDAD TOTAL" dataDxfId="54" dataCellStyle="Porcentaje">
      <calculatedColumnFormula>IF(G3 = "BTC", (((D3 - J3) / J3)),IF(G3 = "ETH", ((E3 - J3) / J3), IF(G3 = "IO.NET", ((F3 - J3) / J3), "Moneda no soportada")))</calculatedColumnFormula>
    </tableColumn>
    <tableColumn id="26" xr3:uid="{00000000-0010-0000-0400-00001A000000}" name="ESTADO DE LA INVERSION" dataDxfId="53">
      <calculatedColumnFormula>IF(U3=0,"VENDIDA","ACTIVA")</calculatedColumnFormula>
    </tableColumn>
    <tableColumn id="16" xr3:uid="{00000000-0010-0000-0400-000010000000}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B2:L9" totalsRowShown="0">
  <autoFilter ref="B2:L9" xr:uid="{00000000-0009-0000-0100-000005000000}"/>
  <tableColumns count="11">
    <tableColumn id="1" xr3:uid="{00000000-0010-0000-0500-000001000000}" name="FECHA ACT" dataDxfId="3">
      <calculatedColumnFormula>TODAY()</calculatedColumnFormula>
    </tableColumn>
    <tableColumn id="11" xr3:uid="{00000000-0010-0000-0500-00000B000000}" name="FECHA COMPRA" dataDxfId="2"/>
    <tableColumn id="2" xr3:uid="{00000000-0010-0000-0500-000002000000}" name="PRECIO DEL USD,DIA COMPRA"/>
    <tableColumn id="3" xr3:uid="{00000000-0010-0000-0500-000003000000}" name="CANTIDAD COPRADA"/>
    <tableColumn id="4" xr3:uid="{00000000-0010-0000-0500-000004000000}" name="CONTO EN COP">
      <calculatedColumnFormula>D3*E3</calculatedColumnFormula>
    </tableColumn>
    <tableColumn id="5" xr3:uid="{00000000-0010-0000-0500-000005000000}" name="CANTIDAD TOTAL(USD)" dataDxfId="1">
      <calculatedColumnFormula>G2+E3</calculatedColumnFormula>
    </tableColumn>
    <tableColumn id="6" xr3:uid="{00000000-0010-0000-0500-000006000000}" name="PRECIO ACTUAL(USD)">
      <calculatedColumnFormula>VLOOKUP(B3,Tabla4[],6,FALSE)</calculatedColumnFormula>
    </tableColumn>
    <tableColumn id="7" xr3:uid="{00000000-0010-0000-0500-000007000000}" name="VALOR ACTUAL EN COP">
      <calculatedColumnFormula>G3*H3</calculatedColumnFormula>
    </tableColumn>
    <tableColumn id="8" xr3:uid="{00000000-0010-0000-0500-000008000000}" name="COSTO TOTAL EN COP">
      <calculatedColumnFormula>F3+J2</calculatedColumnFormula>
    </tableColumn>
    <tableColumn id="9" xr3:uid="{00000000-0010-0000-0500-000009000000}" name="RENTABILIDAD" dataDxfId="0" dataCellStyle="Porcentaje">
      <calculatedColumnFormula>((I3-J3)/J3)</calculatedColumnFormula>
    </tableColumn>
    <tableColumn id="10" xr3:uid="{00000000-0010-0000-0500-00000A000000}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2:O10" totalsRowShown="0">
  <autoFilter ref="B2:O10" xr:uid="{00000000-0009-0000-0100-000009000000}"/>
  <tableColumns count="14">
    <tableColumn id="1" xr3:uid="{00000000-0010-0000-0600-000001000000}" name="MES" dataDxfId="52"/>
    <tableColumn id="2" xr3:uid="{00000000-0010-0000-0600-000002000000}" name="CRIPTOMONEDA"/>
    <tableColumn id="3" xr3:uid="{00000000-0010-0000-0600-000003000000}" name="CANTIDAD INICIAL"/>
    <tableColumn id="4" xr3:uid="{00000000-0010-0000-0600-000004000000}" name="PRECIO DÓLAR INICIAL"/>
    <tableColumn id="5" xr3:uid="{00000000-0010-0000-0600-000005000000}" name="PRECIO INICIAL USD" dataCellStyle="Moneda"/>
    <tableColumn id="6" xr3:uid="{00000000-0010-0000-0600-000006000000}" name="VALOR INICIAL EN COP">
      <calculatedColumnFormula>D3*F3*E3</calculatedColumnFormula>
    </tableColumn>
    <tableColumn id="7" xr3:uid="{00000000-0010-0000-0600-000007000000}" name="CANTIDAD A FIN DE MES"/>
    <tableColumn id="8" xr3:uid="{00000000-0010-0000-0600-000008000000}" name="PRECIO DÓLAR FINAL"/>
    <tableColumn id="9" xr3:uid="{00000000-0010-0000-0600-000009000000}" name="PRECIO A FIN DE MES(USD)"/>
    <tableColumn id="10" xr3:uid="{00000000-0010-0000-0600-00000A000000}" name="PRECIO FINAL(COP)">
      <calculatedColumnFormula>H3*J3*I3</calculatedColumnFormula>
    </tableColumn>
    <tableColumn id="11" xr3:uid="{00000000-0010-0000-0600-00000B000000}" name="DIFERENCIA DE CANTIDAD">
      <calculatedColumnFormula>H3-D3</calculatedColumnFormula>
    </tableColumn>
    <tableColumn id="12" xr3:uid="{00000000-0010-0000-0600-00000C000000}" name="DIFERENCIA EN PRECIO">
      <calculatedColumnFormula>J3-F3</calculatedColumnFormula>
    </tableColumn>
    <tableColumn id="13" xr3:uid="{00000000-0010-0000-0600-00000D000000}" name="PRECIO DE LA DIFERENCIA EN COP">
      <calculatedColumnFormula>L3*J3*I3</calculatedColumnFormula>
    </tableColumn>
    <tableColumn id="14" xr3:uid="{00000000-0010-0000-0600-00000E000000}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2" displayName="Tabla2" ref="B2:G40" totalsRowShown="0">
  <autoFilter ref="B2:G40" xr:uid="{00000000-0009-0000-0100-000002000000}"/>
  <tableColumns count="6">
    <tableColumn id="1" xr3:uid="{00000000-0010-0000-0700-000001000000}" name="FECHA" dataDxfId="51"/>
    <tableColumn id="5" xr3:uid="{00000000-0010-0000-0700-000005000000}" name="PRECIO DEL DÓLAR" dataDxfId="50">
      <calculatedColumnFormula>VLOOKUP(B3,Tabla4[],2,FALSE)</calculatedColumnFormula>
    </tableColumn>
    <tableColumn id="2" xr3:uid="{00000000-0010-0000-0700-000002000000}" name="VOO" dataDxfId="49" dataCellStyle="Moneda"/>
    <tableColumn id="3" xr3:uid="{00000000-0010-0000-0700-000003000000}" name="VALOR INVERSION 1" dataDxfId="48">
      <calculatedColumnFormula>0.01518 * D3</calculatedColumnFormula>
    </tableColumn>
    <tableColumn id="4" xr3:uid="{00000000-0010-0000-0700-000004000000}" name="GAN/PER" dataDxfId="47">
      <calculatedColumnFormula>Tabla2[[#This Row],[VALOR INVERSION 1]]-7.7</calculatedColumnFormula>
    </tableColumn>
    <tableColumn id="6" xr3:uid="{00000000-0010-0000-0700-000006000000}" name="VALOR EN COP" dataDxfId="46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B2:K52" totalsRowShown="0" headerRowDxfId="45">
  <autoFilter ref="B2:K52" xr:uid="{00000000-0009-0000-0100-000001000000}"/>
  <tableColumns count="10">
    <tableColumn id="1" xr3:uid="{00000000-0010-0000-0800-000001000000}" name="FECHA"/>
    <tableColumn id="2" xr3:uid="{00000000-0010-0000-0800-000002000000}" name="DÓLAR" dataDxfId="44">
      <calculatedColumnFormula>VLOOKUP(B3,Tabla4[],2,FALSE)</calculatedColumnFormula>
    </tableColumn>
    <tableColumn id="3" xr3:uid="{00000000-0010-0000-0800-000003000000}" name="S&amp;P 500" dataDxfId="43"/>
    <tableColumn id="4" xr3:uid="{00000000-0010-0000-0800-000004000000}" name="NASDAQ-100" dataDxfId="42"/>
    <tableColumn id="5" xr3:uid="{00000000-0010-0000-0800-000005000000}" name="KO" dataDxfId="41"/>
    <tableColumn id="6" xr3:uid="{00000000-0010-0000-0800-000006000000}" name="JNJ" dataDxfId="40"/>
    <tableColumn id="7" xr3:uid="{00000000-0010-0000-0800-000007000000}" name="PG" dataDxfId="39"/>
    <tableColumn id="8" xr3:uid="{00000000-0010-0000-0800-000008000000}" name="PEP" dataDxfId="38"/>
    <tableColumn id="13" xr3:uid="{00000000-0010-0000-0800-00000D000000}" name="MSFT" dataDxfId="37"/>
    <tableColumn id="9" xr3:uid="{00000000-0010-0000-0800-000009000000}" name="MCD" dataDxfId="36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workbookViewId="0">
      <selection activeCell="F15" sqref="F15"/>
    </sheetView>
  </sheetViews>
  <sheetFormatPr baseColWidth="10" defaultRowHeight="15" x14ac:dyDescent="0.25"/>
  <cols>
    <col min="3" max="4" width="20.85546875" customWidth="1"/>
    <col min="5" max="6" width="25.85546875" customWidth="1"/>
    <col min="7" max="7" width="22.85546875" customWidth="1"/>
    <col min="8" max="8" width="21.7109375" customWidth="1"/>
    <col min="9" max="9" width="16.42578125" customWidth="1"/>
    <col min="11" max="11" width="20.85546875" customWidth="1"/>
    <col min="12" max="12" width="23.7109375" customWidth="1"/>
    <col min="13" max="14" width="22.140625" customWidth="1"/>
    <col min="15" max="15" width="22.5703125" customWidth="1"/>
  </cols>
  <sheetData>
    <row r="2" spans="2:15" x14ac:dyDescent="0.2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 x14ac:dyDescent="0.25">
      <c r="B3" t="s">
        <v>65</v>
      </c>
      <c r="C3" t="s">
        <v>102</v>
      </c>
      <c r="D3" t="s">
        <v>94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K3" t="s">
        <v>102</v>
      </c>
      <c r="L3" s="7">
        <f>SUMIF(C:C,"CUENTA DE AHORRO",E:E)</f>
        <v>45037.35</v>
      </c>
      <c r="M3" s="7">
        <f>SUMIF(C:C,"CUENTA DE AHORRO",G:G)</f>
        <v>25740.73</v>
      </c>
      <c r="N3" s="7">
        <f>SUMIF(C:C,"CUENTA DE AHORRO",H:H)</f>
        <v>-37496.619999999995</v>
      </c>
      <c r="O3" s="9">
        <f>M3/SUM(M3:M5)</f>
        <v>0.36574904245808215</v>
      </c>
    </row>
    <row r="4" spans="2:15" x14ac:dyDescent="0.2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-27075.829999999994</v>
      </c>
      <c r="O4" s="9">
        <f t="shared" ref="O4" si="0">M4/SUM(M4:M6)</f>
        <v>0.12148300694401998</v>
      </c>
    </row>
    <row r="5" spans="2:15" x14ac:dyDescent="0.2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0.30348401889570276</v>
      </c>
    </row>
    <row r="6" spans="2:15" x14ac:dyDescent="0.2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70378.12</v>
      </c>
      <c r="N6" s="7">
        <f>SUM(N3:N5)</f>
        <v>-96069.299999999988</v>
      </c>
      <c r="O6" s="9">
        <f>M6/SUM(M6:M9)</f>
        <v>1</v>
      </c>
    </row>
    <row r="7" spans="2:15" x14ac:dyDescent="0.2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 x14ac:dyDescent="0.2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 x14ac:dyDescent="0.2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 x14ac:dyDescent="0.2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/>
      <c r="H10" s="7">
        <f>(Tabla8[[#This Row],[CAPITAL A FIN DE MES]]-(Tabla8[[#This Row],[CAPITAL A INICIO DE MES]]+Tabla8[[#This Row],[CAPITAL INVERTIDO ESTE MES]]))</f>
        <v>-30997.599999999999</v>
      </c>
    </row>
    <row r="11" spans="2:15" x14ac:dyDescent="0.2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/>
      <c r="H11" s="7">
        <f>(Tabla8[[#This Row],[CAPITAL A FIN DE MES]]-(Tabla8[[#This Row],[CAPITAL A INICIO DE MES]]+Tabla8[[#This Row],[CAPITAL INVERTIDO ESTE MES]]))</f>
        <v>-6743.13</v>
      </c>
    </row>
    <row r="12" spans="2:15" x14ac:dyDescent="0.25">
      <c r="B12" t="s">
        <v>86</v>
      </c>
      <c r="C12" t="s">
        <v>54</v>
      </c>
      <c r="D12" t="s">
        <v>15</v>
      </c>
      <c r="E12" s="7">
        <v>6780.1</v>
      </c>
      <c r="F12" s="7">
        <v>2800</v>
      </c>
      <c r="G12" s="7"/>
      <c r="H12" s="7">
        <f>(Tabla8[[#This Row],[CAPITAL A FIN DE MES]]-(Tabla8[[#This Row],[CAPITAL A INICIO DE MES]]+Tabla8[[#This Row],[CAPITAL INVERTIDO ESTE MES]]))</f>
        <v>-9580.1</v>
      </c>
    </row>
    <row r="13" spans="2:15" x14ac:dyDescent="0.25">
      <c r="B13" t="s">
        <v>86</v>
      </c>
      <c r="C13" t="s">
        <v>54</v>
      </c>
      <c r="D13" t="s">
        <v>16</v>
      </c>
      <c r="E13" s="7">
        <v>3942.9</v>
      </c>
      <c r="F13" s="7">
        <v>2800</v>
      </c>
      <c r="G13" s="7"/>
      <c r="H13" s="7">
        <f>(Tabla8[[#This Row],[CAPITAL A FIN DE MES]]-(Tabla8[[#This Row],[CAPITAL A INICIO DE MES]]+Tabla8[[#This Row],[CAPITAL INVERTIDO ESTE MES]]))</f>
        <v>-6742.9</v>
      </c>
    </row>
    <row r="14" spans="2:15" x14ac:dyDescent="0.25">
      <c r="B14" t="s">
        <v>86</v>
      </c>
      <c r="C14" t="s">
        <v>54</v>
      </c>
      <c r="D14" t="s">
        <v>42</v>
      </c>
      <c r="E14" s="7">
        <v>2535.48</v>
      </c>
      <c r="F14" s="7">
        <v>1400</v>
      </c>
      <c r="G14" s="7"/>
      <c r="H14" s="7">
        <f>(Tabla8[[#This Row],[CAPITAL A FIN DE MES]]-(Tabla8[[#This Row],[CAPITAL A INICIO DE MES]]+Tabla8[[#This Row],[CAPITAL INVERTIDO ESTE MES]]))</f>
        <v>-3935.48</v>
      </c>
    </row>
    <row r="15" spans="2:15" x14ac:dyDescent="0.25">
      <c r="B15" t="s">
        <v>86</v>
      </c>
      <c r="C15" t="s">
        <v>54</v>
      </c>
      <c r="D15" t="s">
        <v>64</v>
      </c>
      <c r="E15" s="7">
        <v>1529.58</v>
      </c>
      <c r="F15" s="7">
        <v>2800</v>
      </c>
      <c r="G15" s="7"/>
      <c r="H15" s="7">
        <f>(Tabla8[[#This Row],[CAPITAL A FIN DE MES]]-(Tabla8[[#This Row],[CAPITAL A INICIO DE MES]]+Tabla8[[#This Row],[CAPITAL INVERTIDO ESTE MES]]))</f>
        <v>-4329.58</v>
      </c>
    </row>
    <row r="16" spans="2:15" x14ac:dyDescent="0.2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>(Tabla8[[#This Row],[CAPITAL A FIN DE MES]]-(Tabla8[[#This Row],[CAPITAL A INICIO DE MES]]+Tabla8[[#This Row],[CAPITAL INVERTIDO ESTE MES]]))</f>
        <v>-30664.959999999999</v>
      </c>
    </row>
  </sheetData>
  <conditionalFormatting sqref="H1:H1048576">
    <cfRule type="cellIs" dxfId="15" priority="1" operator="lessThan">
      <formula>0</formula>
    </cfRule>
    <cfRule type="cellIs" dxfId="14" priority="2" operator="lessThan">
      <formula>0</formula>
    </cfRule>
  </conditionalFormatting>
  <pageMargins left="0.7" right="0.7" top="0.75" bottom="0.75" header="0.3" footer="0.3"/>
  <ignoredErrors>
    <ignoredError sqref="N3 N5:N6 H3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workbookViewId="0">
      <selection activeCell="F19" sqref="F19"/>
    </sheetView>
  </sheetViews>
  <sheetFormatPr baseColWidth="10" defaultRowHeight="15" x14ac:dyDescent="0.25"/>
  <cols>
    <col min="2" max="2" width="17.140625" bestFit="1" customWidth="1"/>
    <col min="3" max="3" width="13.28515625" bestFit="1" customWidth="1"/>
    <col min="4" max="4" width="19.85546875" customWidth="1"/>
    <col min="5" max="5" width="21" customWidth="1"/>
    <col min="6" max="6" width="20.85546875" customWidth="1"/>
    <col min="7" max="7" width="26.140625" customWidth="1"/>
    <col min="8" max="8" width="21.85546875" customWidth="1"/>
    <col min="9" max="9" width="27.28515625" customWidth="1"/>
    <col min="10" max="10" width="16.42578125" customWidth="1"/>
    <col min="30" max="30" width="12.140625" bestFit="1" customWidth="1"/>
    <col min="31" max="31" width="14.28515625" bestFit="1" customWidth="1"/>
  </cols>
  <sheetData>
    <row r="2" spans="2:10" x14ac:dyDescent="0.25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 x14ac:dyDescent="0.25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 x14ac:dyDescent="0.25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 x14ac:dyDescent="0.25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 x14ac:dyDescent="0.25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 x14ac:dyDescent="0.25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 x14ac:dyDescent="0.25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 x14ac:dyDescent="0.25">
      <c r="B9" t="s">
        <v>86</v>
      </c>
      <c r="C9" t="s">
        <v>94</v>
      </c>
      <c r="D9" s="2">
        <v>24997.599999999999</v>
      </c>
      <c r="E9" s="2">
        <v>6000</v>
      </c>
      <c r="F9" s="2"/>
      <c r="G9" s="12">
        <f t="shared" si="0"/>
        <v>0</v>
      </c>
      <c r="H9" s="2"/>
      <c r="I9" s="2">
        <f t="shared" si="1"/>
        <v>30997.599999999999</v>
      </c>
      <c r="J9" s="12">
        <f t="shared" si="2"/>
        <v>0</v>
      </c>
    </row>
    <row r="10" spans="2:10" x14ac:dyDescent="0.25">
      <c r="B10" t="s">
        <v>86</v>
      </c>
      <c r="C10" t="s">
        <v>97</v>
      </c>
      <c r="D10" s="2">
        <v>743.73</v>
      </c>
      <c r="E10" s="2">
        <v>6000</v>
      </c>
      <c r="F10" s="2"/>
      <c r="G10" s="12">
        <f t="shared" si="0"/>
        <v>0</v>
      </c>
      <c r="H10" s="2"/>
      <c r="I10" s="2">
        <f t="shared" si="1"/>
        <v>6743.73</v>
      </c>
      <c r="J10" s="12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6"/>
  <sheetViews>
    <sheetView topLeftCell="A108" zoomScaleNormal="100" workbookViewId="0">
      <selection activeCell="H126" sqref="H126"/>
    </sheetView>
  </sheetViews>
  <sheetFormatPr baseColWidth="10" defaultRowHeight="15" x14ac:dyDescent="0.25"/>
  <cols>
    <col min="3" max="3" width="11.5703125" bestFit="1" customWidth="1"/>
    <col min="4" max="4" width="12" bestFit="1" customWidth="1"/>
    <col min="5" max="5" width="12" customWidth="1"/>
    <col min="6" max="7" width="13.140625" customWidth="1"/>
  </cols>
  <sheetData>
    <row r="2" spans="2:7" x14ac:dyDescent="0.25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 x14ac:dyDescent="0.25">
      <c r="B3" s="1">
        <v>45404</v>
      </c>
      <c r="C3" s="3">
        <v>3912.77</v>
      </c>
      <c r="D3" s="3">
        <v>66429</v>
      </c>
      <c r="E3" s="3"/>
      <c r="F3" s="3"/>
      <c r="G3" s="3"/>
    </row>
    <row r="4" spans="2:7" x14ac:dyDescent="0.25">
      <c r="B4" s="1">
        <v>45405</v>
      </c>
      <c r="C4" s="3">
        <v>3910.09</v>
      </c>
      <c r="D4" s="3">
        <v>66429</v>
      </c>
      <c r="E4" s="3"/>
      <c r="F4" s="3"/>
      <c r="G4" s="3"/>
    </row>
    <row r="5" spans="2:7" x14ac:dyDescent="0.25">
      <c r="B5" s="1">
        <v>45406</v>
      </c>
      <c r="C5" s="3">
        <v>3906.66</v>
      </c>
      <c r="D5" s="3">
        <v>66651</v>
      </c>
      <c r="E5" s="3"/>
      <c r="F5" s="3"/>
      <c r="G5" s="3"/>
    </row>
    <row r="6" spans="2:7" x14ac:dyDescent="0.25">
      <c r="B6" s="1">
        <v>45407</v>
      </c>
      <c r="C6" s="3">
        <v>3954.52</v>
      </c>
      <c r="D6" s="3">
        <v>64247</v>
      </c>
      <c r="E6" s="3"/>
      <c r="F6" s="3"/>
      <c r="G6" s="3"/>
    </row>
    <row r="7" spans="2:7" x14ac:dyDescent="0.25">
      <c r="B7" s="1">
        <v>45408</v>
      </c>
      <c r="C7" s="3">
        <v>3959.14</v>
      </c>
      <c r="D7" s="3">
        <v>64262</v>
      </c>
      <c r="E7" s="3"/>
      <c r="F7" s="3"/>
      <c r="G7" s="3"/>
    </row>
    <row r="8" spans="2:7" x14ac:dyDescent="0.25">
      <c r="B8" s="1">
        <v>45409</v>
      </c>
      <c r="C8" s="3">
        <v>3965.23</v>
      </c>
      <c r="D8" s="3">
        <v>64262</v>
      </c>
      <c r="E8" s="3"/>
      <c r="F8" s="3"/>
      <c r="G8" s="3"/>
    </row>
    <row r="9" spans="2:7" x14ac:dyDescent="0.25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 x14ac:dyDescent="0.25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 x14ac:dyDescent="0.25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 x14ac:dyDescent="0.25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 x14ac:dyDescent="0.25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 x14ac:dyDescent="0.25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 x14ac:dyDescent="0.25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 x14ac:dyDescent="0.25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 x14ac:dyDescent="0.25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 x14ac:dyDescent="0.25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 x14ac:dyDescent="0.25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 x14ac:dyDescent="0.25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 x14ac:dyDescent="0.25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 x14ac:dyDescent="0.25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 x14ac:dyDescent="0.25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 x14ac:dyDescent="0.25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 x14ac:dyDescent="0.25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 x14ac:dyDescent="0.25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 x14ac:dyDescent="0.25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 x14ac:dyDescent="0.25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 x14ac:dyDescent="0.25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 x14ac:dyDescent="0.25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 x14ac:dyDescent="0.25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 x14ac:dyDescent="0.25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 x14ac:dyDescent="0.25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 x14ac:dyDescent="0.25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 x14ac:dyDescent="0.25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 x14ac:dyDescent="0.25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 x14ac:dyDescent="0.25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 x14ac:dyDescent="0.25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 x14ac:dyDescent="0.25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 x14ac:dyDescent="0.25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 x14ac:dyDescent="0.25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 x14ac:dyDescent="0.25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 x14ac:dyDescent="0.25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 x14ac:dyDescent="0.25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 x14ac:dyDescent="0.25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 x14ac:dyDescent="0.25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 x14ac:dyDescent="0.25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 x14ac:dyDescent="0.25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 x14ac:dyDescent="0.25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 x14ac:dyDescent="0.25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 x14ac:dyDescent="0.25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 x14ac:dyDescent="0.25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 x14ac:dyDescent="0.25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 x14ac:dyDescent="0.25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 x14ac:dyDescent="0.25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 x14ac:dyDescent="0.25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 x14ac:dyDescent="0.25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 x14ac:dyDescent="0.25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 x14ac:dyDescent="0.25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 x14ac:dyDescent="0.25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 x14ac:dyDescent="0.25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 x14ac:dyDescent="0.25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 x14ac:dyDescent="0.25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 x14ac:dyDescent="0.25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 x14ac:dyDescent="0.25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 x14ac:dyDescent="0.25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 x14ac:dyDescent="0.25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 x14ac:dyDescent="0.25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 x14ac:dyDescent="0.25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 x14ac:dyDescent="0.25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 x14ac:dyDescent="0.25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 x14ac:dyDescent="0.25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 x14ac:dyDescent="0.25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 x14ac:dyDescent="0.25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 x14ac:dyDescent="0.25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 x14ac:dyDescent="0.25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 x14ac:dyDescent="0.25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 x14ac:dyDescent="0.25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 x14ac:dyDescent="0.25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 x14ac:dyDescent="0.25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 x14ac:dyDescent="0.25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 x14ac:dyDescent="0.25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 x14ac:dyDescent="0.25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 x14ac:dyDescent="0.25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 x14ac:dyDescent="0.25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 x14ac:dyDescent="0.25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 x14ac:dyDescent="0.25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 x14ac:dyDescent="0.25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 x14ac:dyDescent="0.25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 x14ac:dyDescent="0.25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 x14ac:dyDescent="0.25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 x14ac:dyDescent="0.25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 x14ac:dyDescent="0.25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 x14ac:dyDescent="0.25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 x14ac:dyDescent="0.25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 x14ac:dyDescent="0.25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 x14ac:dyDescent="0.25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 x14ac:dyDescent="0.25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 x14ac:dyDescent="0.25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 x14ac:dyDescent="0.25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 x14ac:dyDescent="0.25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 x14ac:dyDescent="0.25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 x14ac:dyDescent="0.25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 x14ac:dyDescent="0.25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 x14ac:dyDescent="0.25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 x14ac:dyDescent="0.25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 x14ac:dyDescent="0.25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 x14ac:dyDescent="0.25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 x14ac:dyDescent="0.25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 x14ac:dyDescent="0.25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 x14ac:dyDescent="0.25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 x14ac:dyDescent="0.25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</row>
    <row r="113" spans="2:7" x14ac:dyDescent="0.25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 x14ac:dyDescent="0.25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 x14ac:dyDescent="0.25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 x14ac:dyDescent="0.25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7" x14ac:dyDescent="0.25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7" x14ac:dyDescent="0.25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7" x14ac:dyDescent="0.25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</row>
    <row r="120" spans="2:7" x14ac:dyDescent="0.25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7" x14ac:dyDescent="0.25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7" x14ac:dyDescent="0.25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7" x14ac:dyDescent="0.25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7" x14ac:dyDescent="0.25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7" x14ac:dyDescent="0.25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7" x14ac:dyDescent="0.25">
      <c r="B126" s="1">
        <v>45530</v>
      </c>
      <c r="C126" s="3">
        <v>4029.75</v>
      </c>
      <c r="D126" s="3">
        <v>62954.5</v>
      </c>
      <c r="E126" s="3">
        <v>2.17</v>
      </c>
      <c r="F126" s="3">
        <v>2688.4</v>
      </c>
      <c r="G126" s="3">
        <v>3932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44"/>
  <sheetViews>
    <sheetView topLeftCell="F10" workbookViewId="0">
      <selection activeCell="P10" sqref="P10"/>
    </sheetView>
  </sheetViews>
  <sheetFormatPr baseColWidth="10" defaultRowHeight="15" x14ac:dyDescent="0.25"/>
  <cols>
    <col min="3" max="3" width="19.7109375" customWidth="1"/>
    <col min="4" max="4" width="18" customWidth="1"/>
    <col min="5" max="5" width="17.140625" customWidth="1"/>
    <col min="6" max="6" width="20.42578125" customWidth="1"/>
    <col min="9" max="9" width="19.7109375" customWidth="1"/>
    <col min="10" max="10" width="18.7109375" customWidth="1"/>
    <col min="12" max="12" width="20.140625" bestFit="1" customWidth="1"/>
    <col min="13" max="13" width="18.28515625" bestFit="1" customWidth="1"/>
    <col min="14" max="14" width="14" customWidth="1"/>
    <col min="17" max="17" width="15.5703125" bestFit="1" customWidth="1"/>
    <col min="18" max="19" width="18.5703125" customWidth="1"/>
    <col min="20" max="22" width="19.42578125" customWidth="1"/>
    <col min="23" max="25" width="21.7109375" customWidth="1"/>
  </cols>
  <sheetData>
    <row r="2" spans="2:26" x14ac:dyDescent="0.25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 x14ac:dyDescent="0.25">
      <c r="B3" s="1">
        <f t="shared" ref="B3:B21" ca="1" si="0">TODAY()</f>
        <v>45530</v>
      </c>
      <c r="C3" s="2">
        <f ca="1">VLOOKUP(B3,Tabla4[],2,FALSE)</f>
        <v>4029.75</v>
      </c>
      <c r="D3" s="3">
        <f ca="1">VLOOKUP(B3,Tabla4[],3,FALSE)</f>
        <v>62954.5</v>
      </c>
      <c r="E3" s="2">
        <f ca="1">VLOOKUP(B3,Tabla4[],5,FALSE)</f>
        <v>2688.4</v>
      </c>
      <c r="F3" s="2">
        <f ca="1">VLOOKUP(B3,Tabla4[],4,FALSE)</f>
        <v>2.17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639.30105886499996</v>
      </c>
      <c r="N3" s="10">
        <f t="shared" ref="N3:N21" ca="1" si="1">IF(G3 = "BTC", (D3 - J3) / J3,
 IF(G3 = "ETH", (E3 - J3) / J3,
 IF(G3 = "IO.NET", (F3 - J3) / J3,
 "Moneda no soportada")))</f>
        <v>-0.11265451675194159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639.30105886499996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-0.11265451675194159</v>
      </c>
      <c r="Y3" s="2" t="str">
        <f>IF(U3=0,"VENDIDA","ACTIVA")</f>
        <v>ACTIVA</v>
      </c>
    </row>
    <row r="4" spans="2:26" x14ac:dyDescent="0.25">
      <c r="B4" s="1">
        <f t="shared" ca="1" si="0"/>
        <v>45530</v>
      </c>
      <c r="C4" s="2">
        <f ca="1">VLOOKUP(B4,Tabla4[],2,FALSE)</f>
        <v>4029.75</v>
      </c>
      <c r="D4" s="3">
        <f ca="1">VLOOKUP(B4,Tabla4[],3,FALSE)</f>
        <v>62954.5</v>
      </c>
      <c r="E4" s="2">
        <f ca="1">VLOOKUP(B4,Tabla4[],5,FALSE)</f>
        <v>2688.4</v>
      </c>
      <c r="F4" s="2">
        <f ca="1">VLOOKUP(B4,Tabla4[],4,FALSE)</f>
        <v>2.17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511.34497127999998</v>
      </c>
      <c r="N4" s="10">
        <f t="shared" ca="1" si="1"/>
        <v>-0.29277012398357405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511.34497127999998</v>
      </c>
      <c r="W4" s="2">
        <f t="shared" si="3"/>
        <v>-705.39693250799996</v>
      </c>
      <c r="X4" s="9">
        <f t="shared" ca="1" si="4"/>
        <v>-0.29277012398357405</v>
      </c>
      <c r="Y4" s="2" t="str">
        <f t="shared" ref="Y4:Y24" si="7">IF(U4=0,"VENDIDA","ACTIVA")</f>
        <v>ACTIVA</v>
      </c>
    </row>
    <row r="5" spans="2:26" x14ac:dyDescent="0.25">
      <c r="B5" s="1">
        <f t="shared" ca="1" si="0"/>
        <v>45530</v>
      </c>
      <c r="C5" s="2">
        <f ca="1">VLOOKUP(B5,Tabla4[],2,FALSE)</f>
        <v>4029.75</v>
      </c>
      <c r="D5" s="3">
        <f ca="1">VLOOKUP(B5,Tabla4[],3,FALSE)</f>
        <v>62954.5</v>
      </c>
      <c r="E5" s="2">
        <f ca="1">VLOOKUP(B5,Tabla4[],5,FALSE)</f>
        <v>2688.4</v>
      </c>
      <c r="F5" s="2">
        <f ca="1">VLOOKUP(B5,Tabla4[],4,FALSE)</f>
        <v>2.17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651.9856036837499</v>
      </c>
      <c r="N5" s="10">
        <f t="shared" ca="1" si="1"/>
        <v>-9.1250938275881974E-2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651.9856036837499</v>
      </c>
      <c r="W5" s="2">
        <f t="shared" si="3"/>
        <v>-711.38458935120002</v>
      </c>
      <c r="X5" s="9">
        <f t="shared" ca="1" si="4"/>
        <v>-9.1250938275881974E-2</v>
      </c>
      <c r="Y5" s="2" t="str">
        <f t="shared" si="7"/>
        <v>ACTIVA</v>
      </c>
    </row>
    <row r="6" spans="2:26" x14ac:dyDescent="0.25">
      <c r="B6" s="1">
        <f t="shared" ca="1" si="0"/>
        <v>45530</v>
      </c>
      <c r="C6" s="2">
        <f ca="1">VLOOKUP(B6,Tabla4[],2,FALSE)</f>
        <v>4029.75</v>
      </c>
      <c r="D6" s="3">
        <f ca="1">VLOOKUP(B6,Tabla4[],3,FALSE)</f>
        <v>62954.5</v>
      </c>
      <c r="E6" s="2">
        <f ca="1">VLOOKUP(B6,Tabla4[],5,FALSE)</f>
        <v>2688.4</v>
      </c>
      <c r="F6" s="2">
        <f ca="1">VLOOKUP(B6,Tabla4[],4,FALSE)</f>
        <v>2.17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527.27033373300003</v>
      </c>
      <c r="N6" s="10">
        <f t="shared" ca="1" si="1"/>
        <v>-0.26740206230516006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527.27033373300003</v>
      </c>
      <c r="W6" s="2">
        <f t="shared" si="3"/>
        <v>-713.63816396689595</v>
      </c>
      <c r="X6" s="9">
        <f t="shared" ca="1" si="4"/>
        <v>-0.26740206230516006</v>
      </c>
      <c r="Y6" s="2" t="str">
        <f t="shared" si="7"/>
        <v>ACTIVA</v>
      </c>
    </row>
    <row r="7" spans="2:26" x14ac:dyDescent="0.25">
      <c r="B7" s="1">
        <f t="shared" ca="1" si="0"/>
        <v>45530</v>
      </c>
      <c r="C7" s="2">
        <f ca="1">VLOOKUP(B7,Tabla4[],2,FALSE)</f>
        <v>4029.75</v>
      </c>
      <c r="D7" s="3">
        <f ca="1">VLOOKUP(B7,Tabla4[],3,FALSE)</f>
        <v>62954.5</v>
      </c>
      <c r="E7" s="2">
        <f ca="1">VLOOKUP(B7,Tabla4[],5,FALSE)</f>
        <v>2688.4</v>
      </c>
      <c r="F7" s="2">
        <f ca="1">VLOOKUP(B7,Tabla4[],4,FALSE)</f>
        <v>2.17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667.20705746624992</v>
      </c>
      <c r="N7" s="10">
        <f t="shared" ca="1" si="1"/>
        <v>-5.2887096264624955E-2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667.20705746624992</v>
      </c>
      <c r="W7" s="2">
        <f t="shared" si="3"/>
        <v>-721.88976178291</v>
      </c>
      <c r="X7" s="9">
        <f t="shared" ca="1" si="4"/>
        <v>-5.2887096264624955E-2</v>
      </c>
      <c r="Y7" s="2" t="str">
        <f t="shared" si="7"/>
        <v>ACTIVA</v>
      </c>
    </row>
    <row r="8" spans="2:26" x14ac:dyDescent="0.25">
      <c r="B8" s="1">
        <f t="shared" ca="1" si="0"/>
        <v>45530</v>
      </c>
      <c r="C8" s="2">
        <f ca="1">VLOOKUP(B8,Tabla4[],2,FALSE)</f>
        <v>4029.75</v>
      </c>
      <c r="D8" s="3">
        <f ca="1">VLOOKUP(B8,Tabla4[],3,FALSE)</f>
        <v>62954.5</v>
      </c>
      <c r="E8" s="2">
        <f ca="1">VLOOKUP(B8,Tabla4[],5,FALSE)</f>
        <v>2688.4</v>
      </c>
      <c r="F8" s="2">
        <f ca="1">VLOOKUP(B8,Tabla4[],4,FALSE)</f>
        <v>2.17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338.50855413427502</v>
      </c>
      <c r="N8" s="10">
        <f t="shared" ca="1" si="1"/>
        <v>-0.48699763593380624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338.50855413427502</v>
      </c>
      <c r="W8" s="2">
        <f t="shared" si="3"/>
        <v>-676.17994528545319</v>
      </c>
      <c r="X8" s="9">
        <f t="shared" ca="1" si="4"/>
        <v>-0.48699763593380624</v>
      </c>
      <c r="Y8" s="2" t="str">
        <f t="shared" si="7"/>
        <v>ACTIVA</v>
      </c>
    </row>
    <row r="9" spans="2:26" x14ac:dyDescent="0.25">
      <c r="B9" s="1">
        <f t="shared" ca="1" si="0"/>
        <v>45530</v>
      </c>
      <c r="C9" s="2">
        <f ca="1">VLOOKUP(B9,Tabla4[],2,FALSE)</f>
        <v>4029.75</v>
      </c>
      <c r="D9" s="3">
        <f ca="1">VLOOKUP(B9,Tabla4[],3,FALSE)</f>
        <v>62954.5</v>
      </c>
      <c r="E9" s="2">
        <f ca="1">VLOOKUP(B9,Tabla4[],5,FALSE)</f>
        <v>2688.4</v>
      </c>
      <c r="F9" s="2">
        <f ca="1">VLOOKUP(B9,Tabla4[],4,FALSE)</f>
        <v>2.17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533.01213108000002</v>
      </c>
      <c r="N9" s="10">
        <f t="shared" ca="1" si="1"/>
        <v>-0.23315429617860736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533.01213108000002</v>
      </c>
      <c r="W9" s="2">
        <f t="shared" si="3"/>
        <v>-712.26418846524007</v>
      </c>
      <c r="X9" s="9">
        <f t="shared" ca="1" si="4"/>
        <v>-0.23315429617860736</v>
      </c>
      <c r="Y9" s="2" t="str">
        <f t="shared" si="7"/>
        <v>ACTIVA</v>
      </c>
    </row>
    <row r="10" spans="2:26" x14ac:dyDescent="0.25">
      <c r="B10" s="1">
        <f t="shared" ca="1" si="0"/>
        <v>45530</v>
      </c>
      <c r="C10" s="2">
        <f ca="1">VLOOKUP(B10,Tabla4[],2,FALSE)</f>
        <v>4029.75</v>
      </c>
      <c r="D10" s="3">
        <f ca="1">VLOOKUP(B10,Tabla4[],3,FALSE)</f>
        <v>62954.5</v>
      </c>
      <c r="E10" s="2">
        <f ca="1">VLOOKUP(B10,Tabla4[],5,FALSE)</f>
        <v>2688.4</v>
      </c>
      <c r="F10" s="2">
        <f ca="1">VLOOKUP(B10,Tabla4[],4,FALSE)</f>
        <v>2.17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690.03923813999995</v>
      </c>
      <c r="N10" s="10">
        <f t="shared" ca="1" si="1"/>
        <v>2.4630052798447995E-2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690.03923813999995</v>
      </c>
      <c r="W10" s="2">
        <f t="shared" si="3"/>
        <v>-692.62576284671991</v>
      </c>
      <c r="X10" s="9">
        <f t="shared" ca="1" si="4"/>
        <v>2.4630052798447995E-2</v>
      </c>
      <c r="Y10" s="2" t="str">
        <f t="shared" si="7"/>
        <v>ACTIVA</v>
      </c>
    </row>
    <row r="11" spans="2:26" x14ac:dyDescent="0.25">
      <c r="B11" s="1">
        <f t="shared" ca="1" si="0"/>
        <v>45530</v>
      </c>
      <c r="C11" s="2">
        <f ca="1">VLOOKUP(B11,Tabla4[],2,FALSE)</f>
        <v>4029.75</v>
      </c>
      <c r="D11" s="3">
        <f ca="1">VLOOKUP(B11,Tabla4[],3,FALSE)</f>
        <v>62954.5</v>
      </c>
      <c r="E11" s="2">
        <f ca="1">VLOOKUP(B11,Tabla4[],5,FALSE)</f>
        <v>2688.4</v>
      </c>
      <c r="F11" s="2">
        <f ca="1">VLOOKUP(B11,Tabla4[],4,FALSE)</f>
        <v>2.17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687.50232917624999</v>
      </c>
      <c r="N11" s="10">
        <f t="shared" ca="1" si="1"/>
        <v>3.2491217481721513E-2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687.50232917624999</v>
      </c>
      <c r="W11" s="2">
        <f t="shared" si="3"/>
        <v>-682.28056593911992</v>
      </c>
      <c r="X11" s="9">
        <f t="shared" ca="1" si="4"/>
        <v>3.2491217481721513E-2</v>
      </c>
      <c r="Y11" s="2" t="str">
        <f t="shared" si="7"/>
        <v>ACTIVA</v>
      </c>
    </row>
    <row r="12" spans="2:26" x14ac:dyDescent="0.25">
      <c r="B12" s="1">
        <f t="shared" ca="1" si="0"/>
        <v>45530</v>
      </c>
      <c r="C12" s="2">
        <f ca="1">VLOOKUP(B12,Tabla4[],2,FALSE)</f>
        <v>4029.75</v>
      </c>
      <c r="D12" s="3">
        <f ca="1">VLOOKUP(B12,Tabla4[],3,FALSE)</f>
        <v>62954.5</v>
      </c>
      <c r="E12" s="2">
        <f ca="1">VLOOKUP(B12,Tabla4[],5,FALSE)</f>
        <v>2688.4</v>
      </c>
      <c r="F12" s="2">
        <f ca="1">VLOOKUP(B12,Tabla4[],4,FALSE)</f>
        <v>2.17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768.68341601624991</v>
      </c>
      <c r="N12" s="10">
        <f t="shared" ca="1" si="1"/>
        <v>0.10263878769196276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768.68341601624991</v>
      </c>
      <c r="W12" s="2">
        <f t="shared" si="3"/>
        <v>-705.59026591680004</v>
      </c>
      <c r="X12" s="9">
        <f t="shared" ca="1" si="4"/>
        <v>0.10263878769196276</v>
      </c>
      <c r="Y12" s="2" t="str">
        <f t="shared" si="7"/>
        <v>ACTIVA</v>
      </c>
    </row>
    <row r="13" spans="2:26" x14ac:dyDescent="0.25">
      <c r="B13" s="1">
        <f t="shared" ca="1" si="0"/>
        <v>45530</v>
      </c>
      <c r="C13" s="2">
        <f ca="1">VLOOKUP(B13,Tabla4[],2,FALSE)</f>
        <v>4029.75</v>
      </c>
      <c r="D13" s="3">
        <f ca="1">VLOOKUP(B13,Tabla4[],3,FALSE)</f>
        <v>62954.5</v>
      </c>
      <c r="E13" s="2">
        <f ca="1">VLOOKUP(B13,Tabla4[],5,FALSE)</f>
        <v>2688.4</v>
      </c>
      <c r="F13" s="2">
        <f ca="1">VLOOKUP(B13,Tabla4[],4,FALSE)</f>
        <v>2.17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712.8714188137501</v>
      </c>
      <c r="N13" s="10">
        <f t="shared" ca="1" si="1"/>
        <v>-8.5768878286043255E-5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712.8714188137501</v>
      </c>
      <c r="W13" s="2">
        <f t="shared" si="3"/>
        <v>-706.44677732571006</v>
      </c>
      <c r="X13" s="9">
        <f t="shared" ca="1" si="4"/>
        <v>-8.5768878286043255E-5</v>
      </c>
      <c r="Y13" s="2" t="str">
        <f t="shared" si="7"/>
        <v>ACTIVA</v>
      </c>
    </row>
    <row r="14" spans="2:26" x14ac:dyDescent="0.25">
      <c r="B14" s="1">
        <f t="shared" ca="1" si="0"/>
        <v>45530</v>
      </c>
      <c r="C14" s="2">
        <f ca="1">VLOOKUP(B14,Tabla4[],2,FALSE)</f>
        <v>4029.75</v>
      </c>
      <c r="D14" s="3">
        <f ca="1">VLOOKUP(B14,Tabla4[],3,FALSE)</f>
        <v>62954.5</v>
      </c>
      <c r="E14" s="2">
        <f ca="1">VLOOKUP(B14,Tabla4[],5,FALSE)</f>
        <v>2688.4</v>
      </c>
      <c r="F14" s="2">
        <f ca="1">VLOOKUP(B14,Tabla4[],4,FALSE)</f>
        <v>2.17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548.28747873899999</v>
      </c>
      <c r="N14" s="10">
        <f t="shared" ca="1" si="1"/>
        <v>-0.2040996977331466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548.28747873899999</v>
      </c>
      <c r="W14" s="2">
        <f t="shared" si="3"/>
        <v>-708.50285169316794</v>
      </c>
      <c r="X14" s="9">
        <f t="shared" ca="1" si="4"/>
        <v>-0.2040996977331466</v>
      </c>
      <c r="Y14" s="2" t="str">
        <f t="shared" si="7"/>
        <v>ACTIVA</v>
      </c>
    </row>
    <row r="15" spans="2:26" x14ac:dyDescent="0.25">
      <c r="B15" s="1">
        <f t="shared" ca="1" si="0"/>
        <v>45530</v>
      </c>
      <c r="C15" s="2">
        <f ca="1">VLOOKUP(B15,Tabla4[],2,FALSE)</f>
        <v>4029.75</v>
      </c>
      <c r="D15" s="3">
        <f ca="1">VLOOKUP(B15,Tabla4[],3,FALSE)</f>
        <v>62954.5</v>
      </c>
      <c r="E15" s="2">
        <f ca="1">VLOOKUP(B15,Tabla4[],5,FALSE)</f>
        <v>2688.4</v>
      </c>
      <c r="F15" s="2">
        <f ca="1">VLOOKUP(B15,Tabla4[],4,FALSE)</f>
        <v>2.17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534.52883226599999</v>
      </c>
      <c r="N15" s="10">
        <f t="shared" ca="1" si="1"/>
        <v>-0.19964989892915516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534.52883226599999</v>
      </c>
      <c r="W15" s="2">
        <f t="shared" si="3"/>
        <v>-684.33117524901604</v>
      </c>
      <c r="X15" s="9">
        <f t="shared" ca="1" si="4"/>
        <v>-0.19964989892915516</v>
      </c>
      <c r="Y15" s="2" t="str">
        <f t="shared" si="7"/>
        <v>ACTIVA</v>
      </c>
    </row>
    <row r="16" spans="2:26" x14ac:dyDescent="0.25">
      <c r="B16" s="1">
        <f t="shared" ca="1" si="0"/>
        <v>45530</v>
      </c>
      <c r="C16" s="2">
        <f ca="1">VLOOKUP(B16,Tabla4[],2,FALSE)</f>
        <v>4029.75</v>
      </c>
      <c r="D16" s="3">
        <f ca="1">VLOOKUP(B16,Tabla4[],3,FALSE)</f>
        <v>62954.5</v>
      </c>
      <c r="E16" s="2">
        <f ca="1">VLOOKUP(B16,Tabla4[],5,FALSE)</f>
        <v>2688.4</v>
      </c>
      <c r="F16" s="2">
        <f ca="1">VLOOKUP(B16,Tabla4[],4,FALSE)</f>
        <v>2.17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615.78068151599996</v>
      </c>
      <c r="N16" s="10">
        <f t="shared" ca="1" si="1"/>
        <v>-0.11999999999999997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615.78068151599996</v>
      </c>
      <c r="W16" s="2">
        <f t="shared" si="3"/>
        <v>-708.24207363000005</v>
      </c>
      <c r="X16" s="9">
        <f t="shared" ca="1" si="4"/>
        <v>-0.11999999999999997</v>
      </c>
      <c r="Y16" s="2" t="str">
        <f t="shared" si="7"/>
        <v>ACTIVA</v>
      </c>
    </row>
    <row r="17" spans="2:25" x14ac:dyDescent="0.25">
      <c r="B17" s="1">
        <f t="shared" ca="1" si="0"/>
        <v>45530</v>
      </c>
      <c r="C17" s="2">
        <f ca="1">VLOOKUP(B17,Tabla4[],2,FALSE)</f>
        <v>4029.75</v>
      </c>
      <c r="D17" s="3">
        <f ca="1">VLOOKUP(B17,Tabla4[],3,FALSE)</f>
        <v>62954.5</v>
      </c>
      <c r="E17" s="2">
        <f ca="1">VLOOKUP(B17,Tabla4[],5,FALSE)</f>
        <v>2688.4</v>
      </c>
      <c r="F17" s="2">
        <f ca="1">VLOOKUP(B17,Tabla4[],4,FALSE)</f>
        <v>2.17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569.84630274000006</v>
      </c>
      <c r="N17" s="10">
        <f t="shared" ca="1" si="1"/>
        <v>-0.22257887279141719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569.84630274000006</v>
      </c>
      <c r="W17" s="2">
        <f t="shared" si="3"/>
        <v>-726.32733822540001</v>
      </c>
      <c r="X17" s="9">
        <f t="shared" ca="1" si="4"/>
        <v>-0.22257887279141719</v>
      </c>
      <c r="Y17" s="2" t="str">
        <f t="shared" si="7"/>
        <v>ACTIVA</v>
      </c>
    </row>
    <row r="18" spans="2:25" x14ac:dyDescent="0.25">
      <c r="B18" s="1">
        <f t="shared" ca="1" si="0"/>
        <v>45530</v>
      </c>
      <c r="C18" s="2">
        <f ca="1">VLOOKUP(B18,Tabla4[],2,FALSE)</f>
        <v>4029.75</v>
      </c>
      <c r="D18" s="3">
        <f ca="1">VLOOKUP(B18,Tabla4[],3,FALSE)</f>
        <v>62954.5</v>
      </c>
      <c r="E18" s="2">
        <f ca="1">VLOOKUP(B18,Tabla4[],5,FALSE)</f>
        <v>2688.4</v>
      </c>
      <c r="F18" s="2">
        <f ca="1">VLOOKUP(B18,Tabla4[],4,FALSE)</f>
        <v>2.17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461.06562619057496</v>
      </c>
      <c r="N18" s="12">
        <f t="shared" ca="1" si="1"/>
        <v>-0.36176470588235293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461.06562619057496</v>
      </c>
      <c r="W18" s="2">
        <f t="shared" si="3"/>
        <v>-742.97443934431988</v>
      </c>
      <c r="X18" s="9">
        <f t="shared" ca="1" si="4"/>
        <v>-0.36176470588235293</v>
      </c>
      <c r="Y18" s="2" t="str">
        <f t="shared" si="7"/>
        <v>ACTIVA</v>
      </c>
    </row>
    <row r="19" spans="2:25" x14ac:dyDescent="0.25">
      <c r="B19" s="1">
        <f t="shared" ca="1" si="0"/>
        <v>45530</v>
      </c>
      <c r="C19" s="2">
        <f ca="1">VLOOKUP(B19,Tabla4[],2,FALSE)</f>
        <v>4029.75</v>
      </c>
      <c r="D19" s="3">
        <f ca="1">VLOOKUP(B19,Tabla4[],3,FALSE)</f>
        <v>62954.5</v>
      </c>
      <c r="E19" s="2">
        <f ca="1">VLOOKUP(B19,Tabla4[],5,FALSE)</f>
        <v>2688.4</v>
      </c>
      <c r="F19" s="2">
        <f ca="1">VLOOKUP(B19,Tabla4[],4,FALSE)</f>
        <v>2.17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240.36724851930001</v>
      </c>
      <c r="N19" s="12">
        <f t="shared" ca="1" si="1"/>
        <v>-0.23321554770318026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240.36724851930001</v>
      </c>
      <c r="W19" s="2">
        <f t="shared" si="3"/>
        <v>-321.201220736496</v>
      </c>
      <c r="X19" s="9">
        <f t="shared" ca="1" si="4"/>
        <v>-0.23321554770318026</v>
      </c>
      <c r="Y19" s="2" t="str">
        <f t="shared" si="7"/>
        <v>ACTIVA</v>
      </c>
    </row>
    <row r="20" spans="2:25" hidden="1" x14ac:dyDescent="0.25">
      <c r="B20" s="1">
        <f t="shared" ca="1" si="0"/>
        <v>45530</v>
      </c>
      <c r="C20" s="2">
        <f ca="1">VLOOKUP(B20,Tabla4[],2,FALSE)</f>
        <v>4029.75</v>
      </c>
      <c r="D20" s="3">
        <f ca="1">VLOOKUP(B20,Tabla4[],3,FALSE)</f>
        <v>62954.5</v>
      </c>
      <c r="E20" s="2">
        <f ca="1">VLOOKUP(B20,Tabla4[],5,FALSE)</f>
        <v>2688.4</v>
      </c>
      <c r="F20" s="2">
        <f ca="1">VLOOKUP(B20,Tabla4[],4,FALSE)</f>
        <v>2.17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337.87291224960001</v>
      </c>
      <c r="N20" s="12">
        <f t="shared" ca="1" si="1"/>
        <v>-5.2401746724890876E-2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-5.2401746724890876E-2</v>
      </c>
      <c r="Y20" s="2" t="str">
        <f t="shared" si="7"/>
        <v>VENDIDA</v>
      </c>
    </row>
    <row r="21" spans="2:25" hidden="1" x14ac:dyDescent="0.25">
      <c r="B21" s="1">
        <f t="shared" ca="1" si="0"/>
        <v>45530</v>
      </c>
      <c r="C21" s="2">
        <f ca="1">VLOOKUP(B21,Tabla4[],2,FALSE)</f>
        <v>4029.75</v>
      </c>
      <c r="D21" s="3">
        <f ca="1">VLOOKUP(B21,Tabla4[],3,FALSE)</f>
        <v>62954.5</v>
      </c>
      <c r="E21" s="2">
        <f ca="1">VLOOKUP(B21,Tabla4[],5,FALSE)</f>
        <v>2688.4</v>
      </c>
      <c r="F21" s="2">
        <f ca="1">VLOOKUP(B21,Tabla4[],4,FALSE)</f>
        <v>2.17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324.59709994424998</v>
      </c>
      <c r="N21" s="12">
        <f t="shared" ca="1" si="1"/>
        <v>-0.17175572519083976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-0.17175572519083976</v>
      </c>
      <c r="Y21" s="2" t="str">
        <f t="shared" si="7"/>
        <v>VENDIDA</v>
      </c>
    </row>
    <row r="22" spans="2:25" x14ac:dyDescent="0.25">
      <c r="B22" s="1">
        <f t="shared" ref="B22:B29" ca="1" si="9">TODAY()</f>
        <v>45530</v>
      </c>
      <c r="C22" s="2">
        <f ca="1">VLOOKUP(B22,Tabla4[],2,FALSE)</f>
        <v>4029.75</v>
      </c>
      <c r="D22" s="3">
        <f ca="1">VLOOKUP(B22,Tabla4[],3,FALSE)</f>
        <v>62954.5</v>
      </c>
      <c r="E22" s="2">
        <f ca="1">VLOOKUP(B22,Tabla4[],5,FALSE)</f>
        <v>2688.4</v>
      </c>
      <c r="F22" s="2">
        <f ca="1">VLOOKUP(B22,Tabla4[],4,FALSE)</f>
        <v>2.17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332.86464183262501</v>
      </c>
      <c r="N22" s="12">
        <f t="shared" ref="N22:N29" ca="1" si="11">IF(G22 = "BTC", (D22 - J22) / J22,
 IF(G22 = "ETH", (E22 - J22) / J22,
 IF(G22 = "IO.NET", (F22 - J22) / J22,
 "Moneda no soportada")))</f>
        <v>-0.19330855018587362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0.57145683262498892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-0.19330855018587362</v>
      </c>
      <c r="Y22" s="2" t="str">
        <f t="shared" si="7"/>
        <v>ACTIVA</v>
      </c>
    </row>
    <row r="23" spans="2:25" x14ac:dyDescent="0.25">
      <c r="B23" s="1">
        <f t="shared" ca="1" si="9"/>
        <v>45530</v>
      </c>
      <c r="C23" s="2">
        <f ca="1">VLOOKUP(B23,Tabla4[],2,FALSE)</f>
        <v>4029.75</v>
      </c>
      <c r="D23" s="3">
        <f ca="1">VLOOKUP(B23,Tabla4[],3,FALSE)</f>
        <v>62954.5</v>
      </c>
      <c r="E23" s="2">
        <f ca="1">VLOOKUP(B23,Tabla4[],5,FALSE)</f>
        <v>2688.4</v>
      </c>
      <c r="F23" s="2">
        <f ca="1">VLOOKUP(B23,Tabla4[],4,FALSE)</f>
        <v>2.17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335.14452286402496</v>
      </c>
      <c r="N23" s="12">
        <f t="shared" ca="1" si="11"/>
        <v>-0.20220588235294126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2.8513378640249805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-0.20220588235294126</v>
      </c>
      <c r="Y23" s="2" t="str">
        <f t="shared" si="7"/>
        <v>ACTIVA</v>
      </c>
    </row>
    <row r="24" spans="2:25" x14ac:dyDescent="0.25">
      <c r="B24" s="1">
        <f t="shared" ca="1" si="9"/>
        <v>45530</v>
      </c>
      <c r="C24" s="2">
        <f ca="1">VLOOKUP(B24,Tabla4[],2,FALSE)</f>
        <v>4029.75</v>
      </c>
      <c r="D24" s="3">
        <f ca="1">VLOOKUP(B24,Tabla4[],3,FALSE)</f>
        <v>62954.5</v>
      </c>
      <c r="E24" s="2">
        <f ca="1">VLOOKUP(B24,Tabla4[],5,FALSE)</f>
        <v>2688.4</v>
      </c>
      <c r="F24" s="2">
        <f ca="1">VLOOKUP(B24,Tabla4[],4,FALSE)</f>
        <v>2.17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339.85880125784996</v>
      </c>
      <c r="N24" s="12">
        <f t="shared" ca="1" si="11"/>
        <v>-0.21376811594202896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9.6819740640000216</v>
      </c>
      <c r="W24" s="2">
        <f t="shared" si="14"/>
        <v>8.8385908401840538</v>
      </c>
      <c r="X24" s="9">
        <f t="shared" ca="1" si="15"/>
        <v>-0.21376811594202896</v>
      </c>
      <c r="Y24" s="2" t="str">
        <f t="shared" si="7"/>
        <v>ACTIVA</v>
      </c>
    </row>
    <row r="25" spans="2:25" x14ac:dyDescent="0.25">
      <c r="B25" s="1">
        <f t="shared" ca="1" si="9"/>
        <v>45530</v>
      </c>
      <c r="C25" s="2">
        <f ca="1">VLOOKUP(B25,Tabla4[],2,FALSE)</f>
        <v>4029.75</v>
      </c>
      <c r="D25" s="3">
        <f ca="1">VLOOKUP(B25,Tabla4[],3,FALSE)</f>
        <v>62954.5</v>
      </c>
      <c r="E25" s="2">
        <f ca="1">VLOOKUP(B25,Tabla4[],5,FALSE)</f>
        <v>2688.4</v>
      </c>
      <c r="F25" s="2">
        <f ca="1">VLOOKUP(B25,Tabla4[],4,FALSE)</f>
        <v>2.17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334.13312734357498</v>
      </c>
      <c r="N25" s="12">
        <f t="shared" ca="1" si="11"/>
        <v>-0.22775800711743777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1.83994234357501</v>
      </c>
      <c r="W25" s="2">
        <f t="shared" si="14"/>
        <v>40.44492107583801</v>
      </c>
      <c r="X25" s="9">
        <f t="shared" ca="1" si="15"/>
        <v>-0.22775800711743777</v>
      </c>
      <c r="Y25" s="2" t="str">
        <f t="shared" ref="Y25:Y32" si="16">IF(U25=0,"VENDIDA","ACTIVA")</f>
        <v>ACTIVA</v>
      </c>
    </row>
    <row r="26" spans="2:25" x14ac:dyDescent="0.25">
      <c r="B26" s="1">
        <f t="shared" ca="1" si="9"/>
        <v>45530</v>
      </c>
      <c r="C26" s="2">
        <f ca="1">VLOOKUP(B26,Tabla4[],2,FALSE)</f>
        <v>4029.75</v>
      </c>
      <c r="D26" s="3">
        <f ca="1">VLOOKUP(B26,Tabla4[],3,FALSE)</f>
        <v>62954.5</v>
      </c>
      <c r="E26" s="2">
        <f ca="1">VLOOKUP(B26,Tabla4[],5,FALSE)</f>
        <v>2688.4</v>
      </c>
      <c r="F26" s="2">
        <f ca="1">VLOOKUP(B26,Tabla4[],4,FALSE)</f>
        <v>2.17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337.19389735972499</v>
      </c>
      <c r="N26" s="12">
        <f t="shared" ca="1" si="11"/>
        <v>-0.28720182371220038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337.19389735972499</v>
      </c>
      <c r="W26" s="2">
        <f t="shared" si="14"/>
        <v>-474.99592218630107</v>
      </c>
      <c r="X26" s="9">
        <f t="shared" ca="1" si="15"/>
        <v>-0.28720182371220038</v>
      </c>
      <c r="Y26" s="2" t="str">
        <f t="shared" si="16"/>
        <v>ACTIVA</v>
      </c>
    </row>
    <row r="27" spans="2:25" x14ac:dyDescent="0.25">
      <c r="B27" s="1">
        <f t="shared" ca="1" si="9"/>
        <v>45530</v>
      </c>
      <c r="C27" s="2">
        <f ca="1">VLOOKUP(B27,Tabla4[],2,FALSE)</f>
        <v>4029.75</v>
      </c>
      <c r="D27" s="3">
        <f ca="1">VLOOKUP(B27,Tabla4[],3,FALSE)</f>
        <v>62954.5</v>
      </c>
      <c r="E27" s="2">
        <f ca="1">VLOOKUP(B27,Tabla4[],5,FALSE)</f>
        <v>2688.4</v>
      </c>
      <c r="F27" s="2">
        <f ca="1">VLOOKUP(B27,Tabla4[],4,FALSE)</f>
        <v>2.17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657.05942161125006</v>
      </c>
      <c r="N27" s="12">
        <f t="shared" ca="1" si="11"/>
        <v>-5.7498794073940103E-2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657.05942161125006</v>
      </c>
      <c r="W27" s="2">
        <f t="shared" si="14"/>
        <v>-699.14771612275808</v>
      </c>
      <c r="X27" s="9">
        <f t="shared" ca="1" si="15"/>
        <v>-5.7498794073940103E-2</v>
      </c>
      <c r="Y27" s="2" t="str">
        <f t="shared" si="16"/>
        <v>ACTIVA</v>
      </c>
    </row>
    <row r="28" spans="2:25" x14ac:dyDescent="0.25">
      <c r="B28" s="1">
        <f t="shared" ca="1" si="9"/>
        <v>45530</v>
      </c>
      <c r="C28" s="2">
        <f ca="1">VLOOKUP(B28,Tabla4[],2,FALSE)</f>
        <v>4029.75</v>
      </c>
      <c r="D28" s="3">
        <f ca="1">VLOOKUP(B28,Tabla4[],3,FALSE)</f>
        <v>62954.5</v>
      </c>
      <c r="E28" s="2">
        <f ca="1">VLOOKUP(B28,Tabla4[],5,FALSE)</f>
        <v>2688.4</v>
      </c>
      <c r="F28" s="2">
        <f ca="1">VLOOKUP(B28,Tabla4[],4,FALSE)</f>
        <v>2.17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543.30403198500005</v>
      </c>
      <c r="N28" s="12">
        <f t="shared" ca="1" si="11"/>
        <v>-0.22235399612391885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543.30403198500005</v>
      </c>
      <c r="W28" s="2">
        <f t="shared" si="14"/>
        <v>-700.6597894414499</v>
      </c>
      <c r="X28" s="9">
        <f t="shared" ca="1" si="15"/>
        <v>-0.22235399612391885</v>
      </c>
      <c r="Y28" s="2" t="str">
        <f t="shared" si="16"/>
        <v>ACTIVA</v>
      </c>
    </row>
    <row r="29" spans="2:25" x14ac:dyDescent="0.25">
      <c r="B29" s="1">
        <f t="shared" ca="1" si="9"/>
        <v>45530</v>
      </c>
      <c r="C29" s="2">
        <f ca="1">VLOOKUP(B29,Tabla4[],2,FALSE)</f>
        <v>4029.75</v>
      </c>
      <c r="D29" s="3">
        <f ca="1">VLOOKUP(B29,Tabla4[],3,FALSE)</f>
        <v>62954.5</v>
      </c>
      <c r="E29" s="2">
        <f ca="1">VLOOKUP(B29,Tabla4[],5,FALSE)</f>
        <v>2688.4</v>
      </c>
      <c r="F29" s="2">
        <f ca="1">VLOOKUP(B29,Tabla4[],4,FALSE)</f>
        <v>2.17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259.78847349892499</v>
      </c>
      <c r="N29" s="12">
        <f t="shared" ca="1" si="11"/>
        <v>-0.25684931506849318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259.78847349892499</v>
      </c>
      <c r="W29" s="2">
        <f t="shared" si="14"/>
        <v>-350.58167079212399</v>
      </c>
      <c r="X29" s="9">
        <f t="shared" ca="1" si="15"/>
        <v>-0.25684931506849318</v>
      </c>
      <c r="Y29" s="2" t="str">
        <f t="shared" si="16"/>
        <v>ACTIVA</v>
      </c>
    </row>
    <row r="30" spans="2:25" x14ac:dyDescent="0.25">
      <c r="B30" s="1">
        <f t="shared" ref="B30:B35" ca="1" si="17">TODAY()</f>
        <v>45530</v>
      </c>
      <c r="C30" s="2">
        <f ca="1">VLOOKUP(B30,Tabla4[],2,FALSE)</f>
        <v>4029.75</v>
      </c>
      <c r="D30" s="3">
        <f ca="1">VLOOKUP(B30,Tabla4[],3,FALSE)</f>
        <v>62954.5</v>
      </c>
      <c r="E30" s="2">
        <f ca="1">VLOOKUP(B30,Tabla4[],5,FALSE)</f>
        <v>2688.4</v>
      </c>
      <c r="F30" s="2">
        <f ca="1">VLOOKUP(B30,Tabla4[],4,FALSE)</f>
        <v>2.17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641.83796782875004</v>
      </c>
      <c r="N30" s="12">
        <f t="shared" ref="N30:N35" ca="1" si="19">IF(G30 = "BTC", (D30 - J30) / J30,
 IF(G30 = "ETH", (E30 - J30) / J30,
 IF(G30 = "IO.NET", (F30 - J30) / J30,
 "Moneda no soportada")))</f>
        <v>-8.3367549890652579E-2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641.83796782875004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-8.3367549890652579E-2</v>
      </c>
      <c r="Y30" s="2" t="str">
        <f t="shared" si="16"/>
        <v>ACTIVA</v>
      </c>
    </row>
    <row r="31" spans="2:25" x14ac:dyDescent="0.25">
      <c r="B31" s="1">
        <f t="shared" ca="1" si="17"/>
        <v>45530</v>
      </c>
      <c r="C31" s="2">
        <f ca="1">VLOOKUP(B31,Tabla4[],2,FALSE)</f>
        <v>4029.75</v>
      </c>
      <c r="D31" s="3">
        <f ca="1">VLOOKUP(B31,Tabla4[],3,FALSE)</f>
        <v>62954.5</v>
      </c>
      <c r="E31" s="2">
        <f ca="1">VLOOKUP(B31,Tabla4[],5,FALSE)</f>
        <v>2688.4</v>
      </c>
      <c r="F31" s="2">
        <f ca="1">VLOOKUP(B31,Tabla4[],4,FALSE)</f>
        <v>2.17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567.57125096099992</v>
      </c>
      <c r="N31" s="12">
        <f t="shared" ca="1" si="19"/>
        <v>-0.18914190921429647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567.57125096099992</v>
      </c>
      <c r="W31" s="2">
        <f t="shared" si="22"/>
        <v>-700.01062533089998</v>
      </c>
      <c r="X31" s="9">
        <f t="shared" ca="1" si="23"/>
        <v>-0.18914190921429647</v>
      </c>
      <c r="Y31" s="2" t="str">
        <f t="shared" si="16"/>
        <v>ACTIVA</v>
      </c>
    </row>
    <row r="32" spans="2:25" x14ac:dyDescent="0.25">
      <c r="B32" s="1">
        <f t="shared" ca="1" si="17"/>
        <v>45530</v>
      </c>
      <c r="C32" s="2">
        <f ca="1">VLOOKUP(B32,Tabla4[],2,FALSE)</f>
        <v>4029.75</v>
      </c>
      <c r="D32" s="3">
        <f ca="1">VLOOKUP(B32,Tabla4[],3,FALSE)</f>
        <v>62954.5</v>
      </c>
      <c r="E32" s="2">
        <f ca="1">VLOOKUP(B32,Tabla4[],5,FALSE)</f>
        <v>2688.4</v>
      </c>
      <c r="F32" s="2">
        <f ca="1">VLOOKUP(B32,Tabla4[],4,FALSE)</f>
        <v>2.17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261.96691766332498</v>
      </c>
      <c r="N32" s="12">
        <f t="shared" ca="1" si="19"/>
        <v>-0.25172413793103449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261.96691766332498</v>
      </c>
      <c r="W32" s="2">
        <f t="shared" si="22"/>
        <v>-350.11749431717993</v>
      </c>
      <c r="X32" s="9">
        <f t="shared" ca="1" si="23"/>
        <v>-0.25172413793103449</v>
      </c>
      <c r="Y32" s="2" t="str">
        <f t="shared" si="16"/>
        <v>ACTIVA</v>
      </c>
    </row>
    <row r="33" spans="2:25" x14ac:dyDescent="0.25">
      <c r="B33" s="1">
        <f t="shared" ca="1" si="17"/>
        <v>45530</v>
      </c>
      <c r="C33" s="2">
        <f ca="1">VLOOKUP(B33,Tabla4[],2,FALSE)</f>
        <v>4029.75</v>
      </c>
      <c r="D33" s="3">
        <f ca="1">VLOOKUP(B33,Tabla4[],3,FALSE)</f>
        <v>62954.5</v>
      </c>
      <c r="E33" s="2">
        <f ca="1">VLOOKUP(B33,Tabla4[],5,FALSE)</f>
        <v>2688.4</v>
      </c>
      <c r="F33" s="2">
        <f ca="1">VLOOKUP(B33,Tabla4[],4,FALSE)</f>
        <v>2.17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806.73705047250007</v>
      </c>
      <c r="N33" s="12">
        <f t="shared" ca="1" si="19"/>
        <v>0.17741308946633808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806.73705047250007</v>
      </c>
      <c r="W33" s="2">
        <f t="shared" si="22"/>
        <v>-699.99737650756197</v>
      </c>
      <c r="X33" s="9">
        <f t="shared" ca="1" si="23"/>
        <v>0.17741308946633808</v>
      </c>
      <c r="Y33" s="2" t="str">
        <f t="shared" ref="Y33:Y38" si="24">IF(U33=0,"VENDIDA","ACTIVA")</f>
        <v>ACTIVA</v>
      </c>
    </row>
    <row r="34" spans="2:25" x14ac:dyDescent="0.25">
      <c r="B34" s="1">
        <f t="shared" ca="1" si="17"/>
        <v>45530</v>
      </c>
      <c r="C34" s="2">
        <f ca="1">VLOOKUP(B34,Tabla4[],2,FALSE)</f>
        <v>4029.75</v>
      </c>
      <c r="D34" s="3">
        <f ca="1">VLOOKUP(B34,Tabla4[],3,FALSE)</f>
        <v>62954.5</v>
      </c>
      <c r="E34" s="2">
        <f ca="1">VLOOKUP(B34,Tabla4[],5,FALSE)</f>
        <v>2688.4</v>
      </c>
      <c r="F34" s="2">
        <f ca="1">VLOOKUP(B34,Tabla4[],4,FALSE)</f>
        <v>2.17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775.79265663900003</v>
      </c>
      <c r="N34" s="12">
        <f t="shared" ca="1" si="19"/>
        <v>0.13225347248544883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775.79265663900003</v>
      </c>
      <c r="W34" s="2">
        <f t="shared" si="22"/>
        <v>-699.99553871893795</v>
      </c>
      <c r="X34" s="9">
        <f t="shared" ca="1" si="23"/>
        <v>0.13225347248544883</v>
      </c>
      <c r="Y34" s="2" t="str">
        <f t="shared" si="24"/>
        <v>ACTIVA</v>
      </c>
    </row>
    <row r="35" spans="2:25" x14ac:dyDescent="0.25">
      <c r="B35" s="1">
        <f t="shared" ca="1" si="17"/>
        <v>45530</v>
      </c>
      <c r="C35" s="2">
        <f ca="1">VLOOKUP(B35,Tabla4[],2,FALSE)</f>
        <v>4029.75</v>
      </c>
      <c r="D35" s="3">
        <f ca="1">VLOOKUP(B35,Tabla4[],3,FALSE)</f>
        <v>62954.5</v>
      </c>
      <c r="E35" s="2">
        <f ca="1">VLOOKUP(B35,Tabla4[],5,FALSE)</f>
        <v>2688.4</v>
      </c>
      <c r="F35" s="2">
        <f ca="1">VLOOKUP(B35,Tabla4[],4,FALSE)</f>
        <v>2.17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504.91625912122498</v>
      </c>
      <c r="N35" s="12">
        <f t="shared" ca="1" si="19"/>
        <v>0.47378429774517794</v>
      </c>
      <c r="O35" s="9">
        <v>0.1</v>
      </c>
      <c r="P35" s="9">
        <v>0.3</v>
      </c>
      <c r="Q35" t="str">
        <f t="shared" ca="1" si="20"/>
        <v>VENDER</v>
      </c>
      <c r="T35" s="2"/>
      <c r="U35" s="14">
        <f>Tabla6[[#This Row],[cantidad]]-Tabla6[[#This Row],[CANTIDAD VENDIDA]]</f>
        <v>5.7740630000000001E-2</v>
      </c>
      <c r="V35" s="2">
        <f t="shared" ca="1" si="21"/>
        <v>504.91625912122498</v>
      </c>
      <c r="W35" s="2">
        <f t="shared" si="22"/>
        <v>-350.00858741327886</v>
      </c>
      <c r="X35" s="9">
        <f t="shared" ca="1" si="23"/>
        <v>0.47378429774517794</v>
      </c>
      <c r="Y35" s="2" t="str">
        <f t="shared" si="24"/>
        <v>ACTIVA</v>
      </c>
    </row>
    <row r="36" spans="2:25" x14ac:dyDescent="0.25">
      <c r="B36" s="1">
        <f t="shared" ref="B36:B41" ca="1" si="25">TODAY()</f>
        <v>45530</v>
      </c>
      <c r="C36" s="2">
        <f ca="1">VLOOKUP(B36,Tabla4[],2,FALSE)</f>
        <v>4029.75</v>
      </c>
      <c r="D36" s="3">
        <f ca="1">VLOOKUP(B36,Tabla4[],3,FALSE)</f>
        <v>62954.5</v>
      </c>
      <c r="E36" s="2">
        <f ca="1">VLOOKUP(B36,Tabla4[],5,FALSE)</f>
        <v>2688.4</v>
      </c>
      <c r="F36" s="2">
        <f ca="1">VLOOKUP(B36,Tabla4[],4,FALSE)</f>
        <v>2.17</v>
      </c>
      <c r="G36" t="s">
        <v>15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738.24050845125009</v>
      </c>
      <c r="N36" s="27">
        <f t="shared" ref="N36:N41" ca="1" si="27">IF(G36 = "BTC", (D36 - J36) / J36,
 IF(G36 = "ETH", (E36 - J36) / J36,
 IF(G36 = "IO.NET", (F36 - J36) / J36,
 "Moneda no soportada")))</f>
        <v>6.617086067794134E-2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738.24050845125009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6.617086067794134E-2</v>
      </c>
      <c r="Y36" s="2" t="str">
        <f t="shared" si="24"/>
        <v>ACTIVA</v>
      </c>
    </row>
    <row r="37" spans="2:25" x14ac:dyDescent="0.25">
      <c r="B37" s="1">
        <f t="shared" ca="1" si="25"/>
        <v>45530</v>
      </c>
      <c r="C37" s="2">
        <f ca="1">VLOOKUP(B37,Tabla4[],2,FALSE)</f>
        <v>4029.75</v>
      </c>
      <c r="D37" s="3">
        <f ca="1">VLOOKUP(B37,Tabla4[],3,FALSE)</f>
        <v>62954.5</v>
      </c>
      <c r="E37" s="2">
        <f ca="1">VLOOKUP(B37,Tabla4[],5,FALSE)</f>
        <v>2688.4</v>
      </c>
      <c r="F37" s="2">
        <f ca="1">VLOOKUP(B37,Tabla4[],4,FALSE)</f>
        <v>2.17</v>
      </c>
      <c r="G37" t="s">
        <v>16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703.74935030400013</v>
      </c>
      <c r="N37" s="27">
        <f t="shared" ca="1" si="27"/>
        <v>1.6331468319975909E-2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703.74935030400013</v>
      </c>
      <c r="W37" s="2">
        <f t="shared" si="30"/>
        <v>-700.01513873535998</v>
      </c>
      <c r="X37" s="9">
        <f t="shared" ca="1" si="31"/>
        <v>1.6331468319975909E-2</v>
      </c>
      <c r="Y37" s="2" t="str">
        <f t="shared" si="24"/>
        <v>ACTIVA</v>
      </c>
    </row>
    <row r="38" spans="2:25" x14ac:dyDescent="0.25">
      <c r="B38" s="1">
        <f t="shared" ca="1" si="25"/>
        <v>45530</v>
      </c>
      <c r="C38" s="2">
        <f ca="1">VLOOKUP(B38,Tabla4[],2,FALSE)</f>
        <v>4029.75</v>
      </c>
      <c r="D38" s="3">
        <f ca="1">VLOOKUP(B38,Tabla4[],3,FALSE)</f>
        <v>62954.5</v>
      </c>
      <c r="E38" s="2">
        <f ca="1">VLOOKUP(B38,Tabla4[],5,FALSE)</f>
        <v>2688.4</v>
      </c>
      <c r="F38" s="2">
        <f ca="1">VLOOKUP(B38,Tabla4[],4,FALSE)</f>
        <v>2.17</v>
      </c>
      <c r="G38" t="s">
        <v>42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477.81014211944995</v>
      </c>
      <c r="N38" s="27">
        <f t="shared" ca="1" si="27"/>
        <v>0.38010862790490596</v>
      </c>
      <c r="O38" s="28">
        <v>0.1</v>
      </c>
      <c r="P38" s="28">
        <v>0.3</v>
      </c>
      <c r="Q38" t="str">
        <f t="shared" ca="1" si="28"/>
        <v>VENDER</v>
      </c>
      <c r="T38" s="2"/>
      <c r="U38" s="14">
        <f>Tabla6[[#This Row],[cantidad]]-Tabla6[[#This Row],[CANTIDAD VENDIDA]]</f>
        <v>5.4640859999999999E-2</v>
      </c>
      <c r="V38" s="2">
        <f t="shared" ca="1" si="29"/>
        <v>477.81014211944995</v>
      </c>
      <c r="W38" s="2">
        <f t="shared" si="30"/>
        <v>-349.9990705940495</v>
      </c>
      <c r="X38" s="9">
        <f t="shared" ca="1" si="31"/>
        <v>0.38010862790490596</v>
      </c>
      <c r="Y38" s="2" t="str">
        <f t="shared" si="24"/>
        <v>ACTIVA</v>
      </c>
    </row>
    <row r="39" spans="2:25" x14ac:dyDescent="0.25">
      <c r="B39" s="1">
        <f t="shared" ca="1" si="25"/>
        <v>45530</v>
      </c>
      <c r="C39" s="2">
        <f ca="1">VLOOKUP(B39,Tabla4[],2,FALSE)</f>
        <v>4029.75</v>
      </c>
      <c r="D39" s="3">
        <f ca="1">VLOOKUP(B39,Tabla4[],3,FALSE)</f>
        <v>62954.5</v>
      </c>
      <c r="E39" s="2">
        <f ca="1">VLOOKUP(B39,Tabla4[],5,FALSE)</f>
        <v>2688.4</v>
      </c>
      <c r="F39" s="2">
        <f ca="1">VLOOKUP(B39,Tabla4[],4,FALSE)</f>
        <v>2.17</v>
      </c>
      <c r="G39" t="s">
        <v>15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768.68341601624991</v>
      </c>
      <c r="N39" s="27">
        <f t="shared" ca="1" si="27"/>
        <v>9.8226216684867307E-2</v>
      </c>
      <c r="O39" s="28">
        <v>0.25</v>
      </c>
      <c r="P39" s="28">
        <v>0.5</v>
      </c>
      <c r="Q39" t="str">
        <f t="shared" ca="1" si="28"/>
        <v>MANTENER</v>
      </c>
      <c r="T39" s="2"/>
      <c r="U39" s="14">
        <f>Tabla6[[#This Row],[cantidad]]-Tabla6[[#This Row],[CANTIDAD VENDIDA]]</f>
        <v>3.0299999999999998E-6</v>
      </c>
      <c r="V39" s="2">
        <f t="shared" ca="1" si="29"/>
        <v>768.68341601624991</v>
      </c>
      <c r="W39" s="2">
        <f t="shared" si="30"/>
        <v>-700.00297999823999</v>
      </c>
      <c r="X39" s="9">
        <f t="shared" ca="1" si="31"/>
        <v>9.8226216684867307E-2</v>
      </c>
      <c r="Y39" s="2" t="str">
        <f>IF(U39=0,"VENDIDA","ACTIVA")</f>
        <v>ACTIVA</v>
      </c>
    </row>
    <row r="40" spans="2:25" x14ac:dyDescent="0.25">
      <c r="B40" s="1">
        <f t="shared" ca="1" si="25"/>
        <v>45530</v>
      </c>
      <c r="C40" s="2">
        <f ca="1">VLOOKUP(B40,Tabla4[],2,FALSE)</f>
        <v>4029.75</v>
      </c>
      <c r="D40" s="3">
        <f ca="1">VLOOKUP(B40,Tabla4[],3,FALSE)</f>
        <v>62954.5</v>
      </c>
      <c r="E40" s="2">
        <f ca="1">VLOOKUP(B40,Tabla4[],5,FALSE)</f>
        <v>2688.4</v>
      </c>
      <c r="F40" s="2">
        <f ca="1">VLOOKUP(B40,Tabla4[],4,FALSE)</f>
        <v>2.17</v>
      </c>
      <c r="G40" t="s">
        <v>16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744.591946527</v>
      </c>
      <c r="N40" s="27">
        <f t="shared" ca="1" si="27"/>
        <v>6.3807055378588523E-2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744.591946527</v>
      </c>
      <c r="W40" s="2">
        <f t="shared" si="30"/>
        <v>-700.00259914812</v>
      </c>
      <c r="X40" s="9">
        <f t="shared" ca="1" si="31"/>
        <v>6.3807055378588523E-2</v>
      </c>
      <c r="Y40" s="2" t="str">
        <f>IF(U40=0,"VENDIDA","ACTIVA")</f>
        <v>ACTIVA</v>
      </c>
    </row>
    <row r="41" spans="2:25" x14ac:dyDescent="0.25">
      <c r="B41" s="1">
        <f t="shared" ca="1" si="25"/>
        <v>45530</v>
      </c>
      <c r="C41" s="2">
        <f ca="1">VLOOKUP(B41,Tabla4[],2,FALSE)</f>
        <v>4029.75</v>
      </c>
      <c r="D41" s="3">
        <f ca="1">VLOOKUP(B41,Tabla4[],3,FALSE)</f>
        <v>62954.5</v>
      </c>
      <c r="E41" s="2">
        <f ca="1">VLOOKUP(B41,Tabla4[],5,FALSE)</f>
        <v>2688.4</v>
      </c>
      <c r="F41" s="2">
        <f ca="1">VLOOKUP(B41,Tabla4[],4,FALSE)</f>
        <v>2.17</v>
      </c>
      <c r="G41" t="s">
        <v>42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471.04386586267498</v>
      </c>
      <c r="N41" s="27">
        <f t="shared" ca="1" si="27"/>
        <v>0.34598685026671616</v>
      </c>
      <c r="O41" s="28">
        <v>0.1</v>
      </c>
      <c r="P41" s="28">
        <v>0.3</v>
      </c>
      <c r="Q41" t="str">
        <f t="shared" ca="1" si="28"/>
        <v>VENDER</v>
      </c>
      <c r="T41" s="2"/>
      <c r="U41" s="14">
        <f>Tabla6[[#This Row],[cantidad]]-Tabla6[[#This Row],[CANTIDAD VENDIDA]]</f>
        <v>5.3867089999999999E-2</v>
      </c>
      <c r="V41" s="2">
        <f t="shared" ca="1" si="29"/>
        <v>471.04386586267498</v>
      </c>
      <c r="W41" s="2">
        <f t="shared" si="30"/>
        <v>-349.99732079053973</v>
      </c>
      <c r="X41" s="9">
        <f t="shared" ca="1" si="31"/>
        <v>0.34598685026671616</v>
      </c>
      <c r="Y41" s="2" t="str">
        <f>IF(U41=0,"VENDIDA","ACTIVA")</f>
        <v>ACTIVA</v>
      </c>
    </row>
    <row r="42" spans="2:25" x14ac:dyDescent="0.25">
      <c r="B42" s="1">
        <f ca="1">TODAY()</f>
        <v>45530</v>
      </c>
      <c r="C42" s="2">
        <f ca="1">VLOOKUP(B42,Tabla4[],2,FALSE)</f>
        <v>4029.75</v>
      </c>
      <c r="D42" s="3">
        <f ca="1">VLOOKUP(B42,Tabla4[],3,FALSE)</f>
        <v>62954.5</v>
      </c>
      <c r="E42" s="2">
        <f ca="1">VLOOKUP(B42,Tabla4[],5,FALSE)</f>
        <v>2688.4</v>
      </c>
      <c r="F42" s="2">
        <f ca="1">VLOOKUP(B42,Tabla4[],4,FALSE)</f>
        <v>2.17</v>
      </c>
      <c r="G42" t="s">
        <v>15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ca="1" xml:space="preserve"> K42 * (IF(G42="BTC", D42, IF(G42="ETH", E42, IF(G42="IO.NET", F42, 0)))) * C42</f>
        <v>705.26069192250009</v>
      </c>
      <c r="N42" s="27">
        <f ca="1">IF(G42 = "BTC", (D42 - J42) / J42,
 IF(G42 = "ETH", (E42 - J42) / J42,
 IF(G42 = "IO.NET", (F42 - J42) / J42,
 "Moneda no soportada")))</f>
        <v>7.5138033127950705E-3</v>
      </c>
      <c r="O42" s="28">
        <v>0.25</v>
      </c>
      <c r="P42" s="28">
        <v>0.5</v>
      </c>
      <c r="Q42" s="31" t="str">
        <f ca="1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ca="1">IF(G42="BTC", D42 * U42 * C42, IF(G42="ETH", E42 * U42 * C42, IF(G42="IO.NET", F42 * U42 * C42, 0)))</f>
        <v>705.26069192250009</v>
      </c>
      <c r="W42" s="2">
        <f>IF(G42 = "BTC", ((T42 - L42)), IF(G42 = "ETH", ((T42 - L42)), IF(G42 = "IO.NET", ((T42 - L42)), "Moneda no soportada")))</f>
        <v>-700.00102192500003</v>
      </c>
      <c r="X42" s="32">
        <f ca="1">IF(G42 = "BTC", (((D42 - J42) / J42)),IF(G42 = "ETH", ((E42 - J42) / J42), IF(G42 = "IO.NET", ((F42 - J42) / J42), "Moneda no soportada")))</f>
        <v>7.5138033127950705E-3</v>
      </c>
      <c r="Y42" s="2" t="str">
        <f>IF(U42=0,"VENDIDA","ACTIVA")</f>
        <v>ACTIVA</v>
      </c>
    </row>
    <row r="43" spans="2:25" x14ac:dyDescent="0.25">
      <c r="B43" s="1">
        <f ca="1">TODAY()</f>
        <v>45530</v>
      </c>
      <c r="C43" s="2">
        <f ca="1">VLOOKUP(B43,Tabla4[],2,FALSE)</f>
        <v>4029.75</v>
      </c>
      <c r="D43" s="3">
        <f ca="1">VLOOKUP(B43,Tabla4[],3,FALSE)</f>
        <v>62954.5</v>
      </c>
      <c r="E43" s="2">
        <f ca="1">VLOOKUP(B43,Tabla4[],5,FALSE)</f>
        <v>2688.4</v>
      </c>
      <c r="F43" s="2">
        <f ca="1">VLOOKUP(B43,Tabla4[],4,FALSE)</f>
        <v>2.17</v>
      </c>
      <c r="G43" t="s">
        <v>16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ca="1" xml:space="preserve"> K43 * (IF(G43="BTC", D43, IF(G43="ETH", E43, IF(G43="IO.NET", F43, 0)))) * C43</f>
        <v>704.61603669600004</v>
      </c>
      <c r="N43" s="27">
        <f ca="1">IF(G43 = "BTC", (D43 - J43) / J43,
 IF(G43 = "ETH", (E43 - J43) / J43,
 IF(G43 = "IO.NET", (F43 - J43) / J43,
 "Moneda no soportada")))</f>
        <v>6.5935547160204016E-3</v>
      </c>
      <c r="O43" s="28">
        <v>0.25</v>
      </c>
      <c r="P43" s="28">
        <v>0.5</v>
      </c>
      <c r="Q43" s="31" t="str">
        <f ca="1">IF(N43 &lt; O43, "MANTENER", IF(N43 &lt; P43, "VENTA PARCIAL", "VENDER"))</f>
        <v>MANTENER</v>
      </c>
      <c r="T43" s="2"/>
      <c r="U43" s="14">
        <f>Tabla6[[#This Row],[cantidad]]-Tabla6[[#This Row],[CANTIDAD VENDIDA]]</f>
        <v>6.5040000000000001E-5</v>
      </c>
      <c r="V43" s="2">
        <f ca="1">IF(G43="BTC", D43 * U43 * C43, IF(G43="ETH", E43 * U43 * C43, IF(G43="IO.NET", F43 * U43 * C43, 0)))</f>
        <v>704.61603669600004</v>
      </c>
      <c r="W43" s="2">
        <f>IF(G43 = "BTC", ((T43 - L43)), IF(G43 = "ETH", ((T43 - L43)), IF(G43 = "IO.NET", ((T43 - L43)), "Moneda no soportada")))</f>
        <v>-700.00054480260007</v>
      </c>
      <c r="X43" s="32">
        <f ca="1">IF(G43 = "BTC", (((D43 - J43) / J43)),IF(G43 = "ETH", ((E43 - J43) / J43), IF(G43 = "IO.NET", ((F43 - J43) / J43), "Moneda no soportada")))</f>
        <v>6.5935547160204016E-3</v>
      </c>
      <c r="Y43" s="2" t="str">
        <f>IF(U43=0,"VENDIDA","ACTIVA")</f>
        <v>ACTIVA</v>
      </c>
    </row>
    <row r="44" spans="2:25" x14ac:dyDescent="0.25">
      <c r="B44" s="1">
        <f ca="1">TODAY()</f>
        <v>45530</v>
      </c>
      <c r="C44" s="2">
        <f ca="1">VLOOKUP(B44,Tabla4[],2,FALSE)</f>
        <v>4029.75</v>
      </c>
      <c r="D44" s="3">
        <f ca="1">VLOOKUP(B44,Tabla4[],3,FALSE)</f>
        <v>62954.5</v>
      </c>
      <c r="E44" s="2">
        <f ca="1">VLOOKUP(B44,Tabla4[],5,FALSE)</f>
        <v>2688.4</v>
      </c>
      <c r="F44" s="2">
        <f ca="1">VLOOKUP(B44,Tabla4[],4,FALSE)</f>
        <v>2.17</v>
      </c>
      <c r="G44" t="s">
        <v>42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ca="1" xml:space="preserve"> K44 * (IF(G44="BTC", D44, IF(G44="ETH", E44, IF(G44="IO.NET", F44, 0)))) * C44</f>
        <v>348.92918097029997</v>
      </c>
      <c r="N44" s="27">
        <f ca="1">IF(G44 = "BTC", (D44 - J44) / J44,
 IF(G44 = "ETH", (E44 - J44) / J44,
 IF(G44 = "IO.NET", (F44 - J44) / J44,
 "Moneda no soportada")))</f>
        <v>-3.073473944383382E-3</v>
      </c>
      <c r="O44" s="28">
        <v>0.1</v>
      </c>
      <c r="P44" s="28">
        <v>0.3</v>
      </c>
      <c r="Q44" s="31" t="str">
        <f ca="1">IF(N44 &lt; O44, "MANTENER", IF(N44 &lt; P44, "VENTA PARCIAL", "VENDER"))</f>
        <v>MANTENER</v>
      </c>
      <c r="T44" s="2"/>
      <c r="U44" s="14">
        <f>Tabla6[[#This Row],[cantidad]]-Tabla6[[#This Row],[CANTIDAD VENDIDA]]</f>
        <v>3.9902439999999997E-2</v>
      </c>
      <c r="V44" s="2">
        <f ca="1">IF(G44="BTC", D44 * U44 * C44, IF(G44="ETH", E44 * U44 * C44, IF(G44="IO.NET", F44 * U44 * C44, 0)))</f>
        <v>348.92918097029997</v>
      </c>
      <c r="W44" s="2">
        <f>IF(G44 = "BTC", ((T44 - L44)), IF(G44 = "ETH", ((T44 - L44)), IF(G44 = "IO.NET", ((T44 - L44)), "Moneda no soportada")))</f>
        <v>-350.00491194757706</v>
      </c>
      <c r="X44" s="32">
        <f ca="1">IF(G44 = "BTC", (((D44 - J44) / J44)),IF(G44 = "ETH", ((E44 - J44) / J44), IF(G44 = "IO.NET", ((F44 - J44) / J44), "Moneda no soportada")))</f>
        <v>-3.073473944383382E-3</v>
      </c>
      <c r="Y44" s="2" t="str">
        <f>IF(U44=0,"VENDIDA","ACTIVA")</f>
        <v>ACTIVA</v>
      </c>
    </row>
  </sheetData>
  <conditionalFormatting sqref="B3:Z44">
    <cfRule type="expression" dxfId="13" priority="1">
      <formula>$Y:$Y="VENDIDA"</formula>
    </cfRule>
  </conditionalFormatting>
  <conditionalFormatting sqref="Q1:Q1048576">
    <cfRule type="containsText" dxfId="12" priority="9" operator="containsText" text="VENTA PARCIAL">
      <formula>NOT(ISERROR(SEARCH("VENTA PARCIAL",Q1)))</formula>
    </cfRule>
    <cfRule type="containsText" dxfId="11" priority="10" operator="containsText" text="MANTENER">
      <formula>NOT(ISERROR(SEARCH("MANTENER",Q1)))</formula>
    </cfRule>
  </conditionalFormatting>
  <conditionalFormatting sqref="Q3:Q44">
    <cfRule type="containsText" dxfId="10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9"/>
  <sheetViews>
    <sheetView topLeftCell="E1" workbookViewId="0">
      <selection activeCell="H9" sqref="H9"/>
    </sheetView>
  </sheetViews>
  <sheetFormatPr baseColWidth="10" defaultRowHeight="15" x14ac:dyDescent="0.25"/>
  <cols>
    <col min="4" max="4" width="30.5703125" customWidth="1"/>
    <col min="5" max="5" width="22.140625" customWidth="1"/>
    <col min="6" max="6" width="17.28515625" customWidth="1"/>
    <col min="7" max="7" width="24" customWidth="1"/>
    <col min="8" max="8" width="22.85546875" customWidth="1"/>
    <col min="9" max="9" width="24" customWidth="1"/>
    <col min="10" max="10" width="23" customWidth="1"/>
    <col min="11" max="11" width="16.42578125" customWidth="1"/>
    <col min="12" max="12" width="12" customWidth="1"/>
  </cols>
  <sheetData>
    <row r="2" spans="2:12" x14ac:dyDescent="0.25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 x14ac:dyDescent="0.25">
      <c r="B3" s="1">
        <f t="shared" ref="B3:B4" ca="1" si="0">TODAY()</f>
        <v>45530</v>
      </c>
      <c r="C3" s="1">
        <v>45495</v>
      </c>
      <c r="D3" s="7">
        <v>3983.25</v>
      </c>
      <c r="E3" s="14">
        <v>0.17572713000000001</v>
      </c>
      <c r="F3" s="7">
        <f t="shared" ref="F3:F8" si="1">D3*E3</f>
        <v>699.9650905725</v>
      </c>
      <c r="G3" s="14">
        <f>E3</f>
        <v>0.17572713000000001</v>
      </c>
      <c r="H3" s="7">
        <f ca="1">VLOOKUP(B3,Tabla4[],6,FALSE)</f>
        <v>3932</v>
      </c>
      <c r="I3" s="7">
        <f t="shared" ref="I3:I8" ca="1" si="2">G3*H3</f>
        <v>690.95907516</v>
      </c>
      <c r="J3" s="7">
        <f>F3</f>
        <v>699.9650905725</v>
      </c>
      <c r="K3" s="10">
        <f t="shared" ref="K3:K8" ca="1" si="3">((I3-J3)/J3)</f>
        <v>-1.2866377957697867E-2</v>
      </c>
      <c r="L3" s="7">
        <f>D3*1.1</f>
        <v>4381.5750000000007</v>
      </c>
    </row>
    <row r="4" spans="2:12" x14ac:dyDescent="0.25">
      <c r="B4" s="1">
        <f t="shared" ca="1" si="0"/>
        <v>45530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>G3+E4</f>
        <v>0.20091751000000002</v>
      </c>
      <c r="H4" s="7">
        <f ca="1">VLOOKUP(B4,Tabla4[],6,FALSE)</f>
        <v>3932</v>
      </c>
      <c r="I4" s="7">
        <f t="shared" ca="1" si="2"/>
        <v>790.00764932000004</v>
      </c>
      <c r="J4" s="7">
        <f>F4+J3</f>
        <v>799.96510538510006</v>
      </c>
      <c r="K4" s="10">
        <f t="shared" ca="1" si="3"/>
        <v>-1.244736301379863E-2</v>
      </c>
      <c r="L4" s="7">
        <f t="shared" ref="L4:L6" si="4">D4*1.1</f>
        <v>4366.7470000000003</v>
      </c>
    </row>
    <row r="5" spans="2:12" x14ac:dyDescent="0.25">
      <c r="B5" s="1">
        <f ca="1">TODAY()</f>
        <v>45530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>G4+E5</f>
        <v>0.37532014000000002</v>
      </c>
      <c r="H5" s="7">
        <f ca="1">VLOOKUP(B5,Tabla4[],6,FALSE)</f>
        <v>3932</v>
      </c>
      <c r="I5" s="22">
        <f t="shared" ca="1" si="2"/>
        <v>1475.75879048</v>
      </c>
      <c r="J5" s="8">
        <f>F5+J4</f>
        <v>1499.9649414160999</v>
      </c>
      <c r="K5" s="10">
        <f t="shared" ca="1" si="3"/>
        <v>-1.6137811136603734E-2</v>
      </c>
      <c r="L5" s="7">
        <f t="shared" si="4"/>
        <v>4415.07</v>
      </c>
    </row>
    <row r="6" spans="2:12" x14ac:dyDescent="0.25">
      <c r="B6" s="1">
        <f ca="1">TODAY()</f>
        <v>45530</v>
      </c>
      <c r="C6" s="1">
        <v>45509</v>
      </c>
      <c r="D6" s="7">
        <v>4203.8900000000003</v>
      </c>
      <c r="E6">
        <v>0.16651260000000001</v>
      </c>
      <c r="F6" s="22">
        <f t="shared" si="1"/>
        <v>700.00065401400013</v>
      </c>
      <c r="G6" s="14">
        <f>G5+E6</f>
        <v>0.54183274000000003</v>
      </c>
      <c r="H6" s="7">
        <f ca="1">VLOOKUP(B6,Tabla4[],6,FALSE)</f>
        <v>3932</v>
      </c>
      <c r="I6" s="22">
        <f t="shared" ca="1" si="2"/>
        <v>2130.4863336799999</v>
      </c>
      <c r="J6" s="8">
        <f>F6+J5</f>
        <v>2199.9655954301002</v>
      </c>
      <c r="K6" s="10">
        <f t="shared" ca="1" si="3"/>
        <v>-3.1581976506553887E-2</v>
      </c>
      <c r="L6" s="7">
        <f t="shared" si="4"/>
        <v>4624.2790000000005</v>
      </c>
    </row>
    <row r="7" spans="2:12" x14ac:dyDescent="0.25">
      <c r="B7" s="1">
        <f ca="1">TODAY()</f>
        <v>45530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>G6+E7</f>
        <v>0.71495810999999998</v>
      </c>
      <c r="H7" s="7">
        <f ca="1">VLOOKUP(B7,Tabla4[],6,FALSE)</f>
        <v>3932</v>
      </c>
      <c r="I7" s="22">
        <f t="shared" ca="1" si="2"/>
        <v>2811.2152885199998</v>
      </c>
      <c r="J7" s="8">
        <f>F7+J6</f>
        <v>2899.9651352048004</v>
      </c>
      <c r="K7" s="30">
        <f t="shared" ca="1" si="3"/>
        <v>-3.0603763337497123E-2</v>
      </c>
      <c r="L7" s="8">
        <f>D7*1.1</f>
        <v>4447.6410000000005</v>
      </c>
    </row>
    <row r="8" spans="2:12" x14ac:dyDescent="0.25">
      <c r="B8" s="1">
        <f ca="1">TODAY()</f>
        <v>45530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>G7+E8</f>
        <v>0.89181253999999999</v>
      </c>
      <c r="H8" s="7">
        <f ca="1">VLOOKUP(B8,Tabla4[],6,FALSE)</f>
        <v>3932</v>
      </c>
      <c r="I8" s="22">
        <f t="shared" ca="1" si="2"/>
        <v>3506.6069072800001</v>
      </c>
      <c r="J8" s="8">
        <f>F8+J7</f>
        <v>3599.9655804106005</v>
      </c>
      <c r="K8" s="30">
        <f t="shared" ca="1" si="3"/>
        <v>-2.5933212705870439E-2</v>
      </c>
      <c r="L8" s="8">
        <f>D8*1.1</f>
        <v>4353.866</v>
      </c>
    </row>
    <row r="9" spans="2:12" x14ac:dyDescent="0.25">
      <c r="B9" s="1">
        <f ca="1">TODAY()</f>
        <v>45530</v>
      </c>
      <c r="C9" s="1">
        <v>45530</v>
      </c>
      <c r="D9" s="7">
        <v>3966.68</v>
      </c>
      <c r="E9">
        <v>0.17646977</v>
      </c>
      <c r="F9" s="7">
        <f>D9*E9</f>
        <v>699.99910726359997</v>
      </c>
      <c r="G9" s="14">
        <f>G8+E9</f>
        <v>1.0682823100000001</v>
      </c>
      <c r="H9" s="7">
        <f ca="1">VLOOKUP(B9,Tabla4[],6,FALSE)</f>
        <v>3932</v>
      </c>
      <c r="I9" s="22">
        <f ca="1">G9*H9</f>
        <v>4200.4860429199998</v>
      </c>
      <c r="J9" s="8">
        <f>F9+J8</f>
        <v>4299.9646876742008</v>
      </c>
      <c r="K9" s="30">
        <f ca="1">((I9-J9)/J9)</f>
        <v>-2.3134758534030617E-2</v>
      </c>
      <c r="L9" s="8">
        <f>D9*1.1</f>
        <v>4363.348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"/>
  <sheetViews>
    <sheetView tabSelected="1" workbookViewId="0">
      <selection activeCell="H7" sqref="H7"/>
    </sheetView>
  </sheetViews>
  <sheetFormatPr baseColWidth="10" defaultRowHeight="15" x14ac:dyDescent="0.25"/>
  <cols>
    <col min="3" max="3" width="18.140625" customWidth="1"/>
    <col min="4" max="4" width="19.85546875" customWidth="1"/>
    <col min="5" max="5" width="24" customWidth="1"/>
    <col min="6" max="6" width="21.5703125" customWidth="1"/>
    <col min="7" max="7" width="23.7109375" customWidth="1"/>
    <col min="8" max="8" width="25" customWidth="1"/>
    <col min="9" max="9" width="22.42578125" customWidth="1"/>
    <col min="10" max="10" width="27.7109375" customWidth="1"/>
    <col min="11" max="11" width="21.140625" customWidth="1"/>
    <col min="12" max="12" width="27.28515625" customWidth="1"/>
    <col min="13" max="13" width="24.7109375" customWidth="1"/>
    <col min="14" max="14" width="34.7109375" customWidth="1"/>
    <col min="15" max="15" width="16.42578125" customWidth="1"/>
  </cols>
  <sheetData>
    <row r="2" spans="2:15" x14ac:dyDescent="0.2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 x14ac:dyDescent="0.2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 x14ac:dyDescent="0.2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 x14ac:dyDescent="0.2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 x14ac:dyDescent="0.2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 x14ac:dyDescent="0.2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 x14ac:dyDescent="0.2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 x14ac:dyDescent="0.2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 x14ac:dyDescent="0.2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40"/>
  <sheetViews>
    <sheetView topLeftCell="A22" workbookViewId="0">
      <selection activeCell="G40" sqref="G40"/>
    </sheetView>
  </sheetViews>
  <sheetFormatPr baseColWidth="10" defaultRowHeight="15" x14ac:dyDescent="0.25"/>
  <cols>
    <col min="5" max="5" width="12" bestFit="1" customWidth="1"/>
    <col min="6" max="6" width="12" customWidth="1"/>
    <col min="7" max="7" width="22.42578125" bestFit="1" customWidth="1"/>
  </cols>
  <sheetData>
    <row r="2" spans="2:7" x14ac:dyDescent="0.25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 x14ac:dyDescent="0.25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 x14ac:dyDescent="0.25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 x14ac:dyDescent="0.25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 x14ac:dyDescent="0.25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 x14ac:dyDescent="0.25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 x14ac:dyDescent="0.25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 x14ac:dyDescent="0.25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 x14ac:dyDescent="0.25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 x14ac:dyDescent="0.25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 x14ac:dyDescent="0.25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 x14ac:dyDescent="0.25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 x14ac:dyDescent="0.25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 x14ac:dyDescent="0.25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 x14ac:dyDescent="0.25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 x14ac:dyDescent="0.25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 x14ac:dyDescent="0.25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 x14ac:dyDescent="0.25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 x14ac:dyDescent="0.25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 x14ac:dyDescent="0.25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 x14ac:dyDescent="0.25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 x14ac:dyDescent="0.25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 x14ac:dyDescent="0.25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 x14ac:dyDescent="0.25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 x14ac:dyDescent="0.25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 x14ac:dyDescent="0.25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 x14ac:dyDescent="0.25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 x14ac:dyDescent="0.25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 x14ac:dyDescent="0.25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 x14ac:dyDescent="0.25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  <row r="32" spans="2:7" x14ac:dyDescent="0.25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</row>
    <row r="33" spans="2:7" x14ac:dyDescent="0.25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</row>
    <row r="34" spans="2:7" x14ac:dyDescent="0.25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</row>
    <row r="35" spans="2:7" x14ac:dyDescent="0.25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</row>
    <row r="36" spans="2:7" x14ac:dyDescent="0.25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</row>
    <row r="37" spans="2:7" x14ac:dyDescent="0.25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</row>
    <row r="38" spans="2:7" x14ac:dyDescent="0.25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</row>
    <row r="39" spans="2:7" x14ac:dyDescent="0.25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</row>
    <row r="40" spans="2:7" x14ac:dyDescent="0.25">
      <c r="B40" s="1">
        <v>45530</v>
      </c>
      <c r="C40" s="8">
        <f>VLOOKUP(B40,Tabla4[],2,FALSE)</f>
        <v>4029.75</v>
      </c>
      <c r="D40" s="24">
        <v>515.39</v>
      </c>
      <c r="E40" s="8">
        <f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2"/>
  <sheetViews>
    <sheetView topLeftCell="A37" workbookViewId="0">
      <selection activeCell="L52" sqref="L52"/>
    </sheetView>
  </sheetViews>
  <sheetFormatPr baseColWidth="10" defaultRowHeight="15" x14ac:dyDescent="0.25"/>
  <cols>
    <col min="5" max="5" width="14.5703125" customWidth="1"/>
  </cols>
  <sheetData>
    <row r="2" spans="2:12" x14ac:dyDescent="0.25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 x14ac:dyDescent="0.25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 x14ac:dyDescent="0.25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 x14ac:dyDescent="0.25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 x14ac:dyDescent="0.25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 x14ac:dyDescent="0.25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 x14ac:dyDescent="0.25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 x14ac:dyDescent="0.25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 x14ac:dyDescent="0.25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 x14ac:dyDescent="0.25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 x14ac:dyDescent="0.25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 x14ac:dyDescent="0.25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 x14ac:dyDescent="0.25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 x14ac:dyDescent="0.25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 x14ac:dyDescent="0.25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 x14ac:dyDescent="0.25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 x14ac:dyDescent="0.25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 x14ac:dyDescent="0.25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 x14ac:dyDescent="0.25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 x14ac:dyDescent="0.25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 x14ac:dyDescent="0.25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 x14ac:dyDescent="0.25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 x14ac:dyDescent="0.25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 x14ac:dyDescent="0.25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 x14ac:dyDescent="0.25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 x14ac:dyDescent="0.25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 x14ac:dyDescent="0.25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 x14ac:dyDescent="0.25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 x14ac:dyDescent="0.25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 x14ac:dyDescent="0.25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 x14ac:dyDescent="0.25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 x14ac:dyDescent="0.25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 x14ac:dyDescent="0.25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 x14ac:dyDescent="0.25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 x14ac:dyDescent="0.25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 x14ac:dyDescent="0.25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 x14ac:dyDescent="0.25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 x14ac:dyDescent="0.25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 x14ac:dyDescent="0.25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 x14ac:dyDescent="0.25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 x14ac:dyDescent="0.25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 x14ac:dyDescent="0.25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 x14ac:dyDescent="0.25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 x14ac:dyDescent="0.25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 x14ac:dyDescent="0.25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 x14ac:dyDescent="0.25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 x14ac:dyDescent="0.25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 x14ac:dyDescent="0.25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 x14ac:dyDescent="0.25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 x14ac:dyDescent="0.25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 x14ac:dyDescent="0.25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4"/>
  <sheetViews>
    <sheetView workbookViewId="0">
      <selection activeCell="I18" sqref="I18"/>
    </sheetView>
  </sheetViews>
  <sheetFormatPr baseColWidth="10" defaultRowHeight="15" x14ac:dyDescent="0.25"/>
  <cols>
    <col min="2" max="2" width="18.140625" customWidth="1"/>
    <col min="3" max="3" width="18.5703125" customWidth="1"/>
    <col min="4" max="4" width="18.85546875" customWidth="1"/>
    <col min="5" max="5" width="18.5703125" customWidth="1"/>
    <col min="6" max="6" width="19.42578125" customWidth="1"/>
    <col min="7" max="7" width="20.7109375" customWidth="1"/>
    <col min="8" max="9" width="20.42578125" customWidth="1"/>
    <col min="10" max="10" width="13.140625" customWidth="1"/>
    <col min="11" max="11" width="19.140625" customWidth="1"/>
    <col min="12" max="12" width="20" customWidth="1"/>
    <col min="13" max="13" width="16.7109375" customWidth="1"/>
    <col min="14" max="14" width="27.28515625" customWidth="1"/>
    <col min="15" max="15" width="22.7109375" customWidth="1"/>
    <col min="16" max="16" width="21.7109375" customWidth="1"/>
    <col min="17" max="17" width="33.7109375" customWidth="1"/>
    <col min="18" max="18" width="30.5703125" customWidth="1"/>
    <col min="19" max="19" width="21.7109375" customWidth="1"/>
    <col min="20" max="20" width="17.85546875" customWidth="1"/>
  </cols>
  <sheetData>
    <row r="2" spans="2:20" x14ac:dyDescent="0.25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 x14ac:dyDescent="0.25">
      <c r="B3" s="1">
        <f t="shared" ref="B3:B14" ca="1" si="0">TODAY()</f>
        <v>45530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>
        <f ca="1">VLOOKUP(B3,Tabla2[],3,FALSE)</f>
        <v>515.39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 x14ac:dyDescent="0.25">
      <c r="B4" s="1">
        <f t="shared" ca="1" si="0"/>
        <v>45530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>
        <f ca="1">VLOOKUP(B4,Tabla2[],3,FALSE)</f>
        <v>515.39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 x14ac:dyDescent="0.25">
      <c r="B5" s="1">
        <f t="shared" ca="1" si="0"/>
        <v>45530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>
        <f ca="1">VLOOKUP(B5,Tabla2[],3,FALSE)</f>
        <v>515.39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 x14ac:dyDescent="0.25">
      <c r="B6" s="1">
        <f t="shared" ca="1" si="0"/>
        <v>45530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>
        <f ca="1">VLOOKUP(B6,Tabla2[],3,FALSE)</f>
        <v>515.39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 x14ac:dyDescent="0.25">
      <c r="B7" s="1">
        <f t="shared" ca="1" si="0"/>
        <v>45530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>
        <f ca="1">VLOOKUP(B7,Tabla2[],3,FALSE)</f>
        <v>515.39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 x14ac:dyDescent="0.25">
      <c r="B8" s="1">
        <f t="shared" ca="1" si="0"/>
        <v>45530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>
        <f ca="1">VLOOKUP(B8,Tabla2[],3,FALSE)</f>
        <v>515.39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>
        <f ca="1">ROUND(IF(J8="KO",N8*C8,IF(J8="JNJ",N8*D8,IF(J8="PG",N8*E8,IF(J8="PEP",N8*F8,IF(J8="MSFT",N8*G8,IF(J8="MCD",N8*H8,IF(J8="VOO",N8*I8,0))))))),2)</f>
        <v>7.83</v>
      </c>
      <c r="P8" s="18"/>
      <c r="Q8" s="7"/>
      <c r="R8" s="7">
        <f t="shared" si="3"/>
        <v>0</v>
      </c>
      <c r="S8" s="7">
        <f t="shared" ca="1" si="4"/>
        <v>0.13</v>
      </c>
      <c r="T8" s="9">
        <f t="shared" ca="1" si="5"/>
        <v>0.02</v>
      </c>
    </row>
    <row r="9" spans="2:20" x14ac:dyDescent="0.25">
      <c r="B9" s="1">
        <f t="shared" ca="1" si="0"/>
        <v>45530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>
        <f ca="1">VLOOKUP(B9,Tabla2[],3,FALSE)</f>
        <v>515.39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 x14ac:dyDescent="0.25">
      <c r="B10" s="1">
        <f t="shared" ca="1" si="0"/>
        <v>45530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>
        <f ca="1">VLOOKUP(B10,Tabla2[],3,FALSE)</f>
        <v>515.39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 x14ac:dyDescent="0.25">
      <c r="B11" s="1">
        <f t="shared" ca="1" si="0"/>
        <v>45530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>
        <f ca="1">VLOOKUP(B11,Tabla2[],3,FALSE)</f>
        <v>515.39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 x14ac:dyDescent="0.25">
      <c r="B12" s="1">
        <f t="shared" ca="1" si="0"/>
        <v>45530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>
        <f ca="1">VLOOKUP(B12,Tabla2[],3,FALSE)</f>
        <v>515.39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 x14ac:dyDescent="0.25">
      <c r="B13" s="1">
        <f t="shared" ca="1" si="0"/>
        <v>45530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>
        <f ca="1">VLOOKUP(B13,Tabla2[],3,FALSE)</f>
        <v>515.39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 x14ac:dyDescent="0.25">
      <c r="B14" s="1">
        <f t="shared" ca="1" si="0"/>
        <v>45530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>
        <f ca="1">VLOOKUP(B14,Tabla2[],3,FALSE)</f>
        <v>515.39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2024-04-08T04:15:12Z</dcterms:created>
  <dcterms:modified xsi:type="dcterms:W3CDTF">2024-08-27T02:53:40Z</dcterms:modified>
</cp:coreProperties>
</file>