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ebastian\proyectos2024\documentos\"/>
    </mc:Choice>
  </mc:AlternateContent>
  <xr:revisionPtr revIDLastSave="0" documentId="13_ncr:1_{7D52953F-C2BF-487A-BEEB-8C3982DA150F}" xr6:coauthVersionLast="47" xr6:coauthVersionMax="47" xr10:uidLastSave="{00000000-0000-0000-0000-000000000000}"/>
  <bookViews>
    <workbookView xWindow="-120" yWindow="-120" windowWidth="20640" windowHeight="11160" tabRatio="748" xr2:uid="{00000000-000D-0000-FFFF-FFFF00000000}"/>
  </bookViews>
  <sheets>
    <sheet name="PORTAFOLIO" sheetId="13" r:id="rId1"/>
    <sheet name="Reporte mes cuenta de ahorro" sheetId="1" r:id="rId2"/>
    <sheet name="CRIPTOS" sheetId="5" r:id="rId3"/>
    <sheet name="reportePorCompra" sheetId="9" r:id="rId4"/>
    <sheet name="USDT" sheetId="10" r:id="rId5"/>
    <sheet name="inventarioCripto" sheetId="11" r:id="rId6"/>
    <sheet name="Inv Bolsa" sheetId="7" r:id="rId7"/>
    <sheet name="BOLSA" sheetId="6" r:id="rId8"/>
    <sheet name="simulacionBolsa" sheetId="12" r:id="rId9"/>
  </sheets>
  <definedNames>
    <definedName name="BOLSA">Tabla1[]</definedName>
    <definedName name="PRECIOS">Tabla4[]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C34" i="7"/>
  <c r="E34" i="7"/>
  <c r="F34" i="7" s="1"/>
  <c r="C47" i="6"/>
  <c r="C46" i="6"/>
  <c r="C33" i="7"/>
  <c r="G33" i="7" s="1"/>
  <c r="E33" i="7"/>
  <c r="F33" i="7"/>
  <c r="C45" i="6"/>
  <c r="C32" i="7"/>
  <c r="G32" i="7" s="1"/>
  <c r="E32" i="7"/>
  <c r="F32" i="7" s="1"/>
  <c r="C44" i="6"/>
  <c r="C31" i="7"/>
  <c r="G31" i="7" s="1"/>
  <c r="E31" i="7"/>
  <c r="F31" i="7"/>
  <c r="C43" i="6"/>
  <c r="C30" i="7"/>
  <c r="G30" i="7" s="1"/>
  <c r="E30" i="7"/>
  <c r="F30" i="7"/>
  <c r="G3" i="11"/>
  <c r="K3" i="11"/>
  <c r="B7" i="10"/>
  <c r="H7" i="10" s="1"/>
  <c r="I7" i="10" s="1"/>
  <c r="F7" i="10"/>
  <c r="J7" i="10" s="1"/>
  <c r="G7" i="10"/>
  <c r="L7" i="10"/>
  <c r="B38" i="9"/>
  <c r="C38" i="9" s="1"/>
  <c r="I38" i="9"/>
  <c r="L38" i="9" s="1"/>
  <c r="W38" i="9" s="1"/>
  <c r="U38" i="9"/>
  <c r="Y38" i="9"/>
  <c r="B37" i="9"/>
  <c r="C37" i="9" s="1"/>
  <c r="I37" i="9"/>
  <c r="L37" i="9" s="1"/>
  <c r="W37" i="9" s="1"/>
  <c r="U37" i="9"/>
  <c r="Y37" i="9" s="1"/>
  <c r="B36" i="9"/>
  <c r="C36" i="9" s="1"/>
  <c r="I36" i="9"/>
  <c r="L36" i="9" s="1"/>
  <c r="W36" i="9" s="1"/>
  <c r="U36" i="9"/>
  <c r="Y36" i="9" s="1"/>
  <c r="C29" i="7"/>
  <c r="G29" i="7" s="1"/>
  <c r="E29" i="7"/>
  <c r="F29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28" i="7"/>
  <c r="E28" i="7"/>
  <c r="F28" i="7" s="1"/>
  <c r="C27" i="7"/>
  <c r="G27" i="7" s="1"/>
  <c r="E27" i="7"/>
  <c r="F27" i="7"/>
  <c r="C26" i="7"/>
  <c r="E26" i="7"/>
  <c r="F26" i="7" s="1"/>
  <c r="G34" i="7" l="1"/>
  <c r="K7" i="10"/>
  <c r="F38" i="9"/>
  <c r="M38" i="9" s="1"/>
  <c r="E38" i="9"/>
  <c r="D38" i="9"/>
  <c r="F37" i="9"/>
  <c r="E37" i="9"/>
  <c r="N37" i="9" s="1"/>
  <c r="Q37" i="9" s="1"/>
  <c r="D37" i="9"/>
  <c r="F36" i="9"/>
  <c r="E36" i="9"/>
  <c r="D36" i="9"/>
  <c r="G28" i="7"/>
  <c r="G26" i="7"/>
  <c r="C25" i="7"/>
  <c r="E25" i="7"/>
  <c r="F25" i="7"/>
  <c r="L4" i="10"/>
  <c r="L5" i="10"/>
  <c r="L6" i="10"/>
  <c r="C24" i="7"/>
  <c r="G24" i="7" s="1"/>
  <c r="E24" i="7"/>
  <c r="F24" i="7" s="1"/>
  <c r="B6" i="10"/>
  <c r="H6" i="10" s="1"/>
  <c r="F6" i="10"/>
  <c r="B35" i="9"/>
  <c r="C35" i="9" s="1"/>
  <c r="I35" i="9"/>
  <c r="L35" i="9" s="1"/>
  <c r="W35" i="9" s="1"/>
  <c r="U35" i="9"/>
  <c r="Y35" i="9" s="1"/>
  <c r="B34" i="9"/>
  <c r="C34" i="9" s="1"/>
  <c r="I34" i="9"/>
  <c r="L34" i="9" s="1"/>
  <c r="W34" i="9" s="1"/>
  <c r="U34" i="9"/>
  <c r="Y34" i="9" s="1"/>
  <c r="I32" i="9"/>
  <c r="L32" i="9" s="1"/>
  <c r="W32" i="9" s="1"/>
  <c r="B33" i="9"/>
  <c r="C33" i="9" s="1"/>
  <c r="I33" i="9"/>
  <c r="L33" i="9" s="1"/>
  <c r="W33" i="9" s="1"/>
  <c r="U33" i="9"/>
  <c r="Y33" i="9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E23" i="7"/>
  <c r="F23" i="7"/>
  <c r="N5" i="13"/>
  <c r="M3" i="13"/>
  <c r="M5" i="13"/>
  <c r="M4" i="13"/>
  <c r="L3" i="13"/>
  <c r="L5" i="13"/>
  <c r="L4" i="13"/>
  <c r="E22" i="7"/>
  <c r="F22" i="7" s="1"/>
  <c r="M3" i="11"/>
  <c r="G7" i="11"/>
  <c r="G10" i="1"/>
  <c r="I10" i="1"/>
  <c r="J10" i="1" s="1"/>
  <c r="G9" i="1"/>
  <c r="I9" i="1"/>
  <c r="J9" i="1" s="1"/>
  <c r="G8" i="1"/>
  <c r="I8" i="1"/>
  <c r="J8" i="1" s="1"/>
  <c r="G7" i="1"/>
  <c r="I7" i="1"/>
  <c r="J7" i="1" s="1"/>
  <c r="G6" i="1"/>
  <c r="I6" i="1"/>
  <c r="J6" i="1" s="1"/>
  <c r="G5" i="1"/>
  <c r="I5" i="1"/>
  <c r="J5" i="1" s="1"/>
  <c r="G4" i="1"/>
  <c r="I4" i="1"/>
  <c r="J4" i="1" s="1"/>
  <c r="G3" i="1"/>
  <c r="I3" i="1"/>
  <c r="J3" i="1" s="1"/>
  <c r="G10" i="11"/>
  <c r="O10" i="11" s="1"/>
  <c r="K10" i="11"/>
  <c r="L10" i="11"/>
  <c r="N10" i="11" s="1"/>
  <c r="M10" i="11"/>
  <c r="G9" i="11"/>
  <c r="K9" i="11"/>
  <c r="L9" i="11"/>
  <c r="N9" i="11" s="1"/>
  <c r="M9" i="11"/>
  <c r="G8" i="11"/>
  <c r="K8" i="11"/>
  <c r="L8" i="11"/>
  <c r="N8" i="11" s="1"/>
  <c r="M8" i="11"/>
  <c r="K7" i="11"/>
  <c r="O7" i="11" s="1"/>
  <c r="L7" i="11"/>
  <c r="N7" i="11" s="1"/>
  <c r="M7" i="11"/>
  <c r="E21" i="7"/>
  <c r="F21" i="7" s="1"/>
  <c r="E20" i="7"/>
  <c r="F20" i="7" s="1"/>
  <c r="E19" i="7"/>
  <c r="F19" i="7" s="1"/>
  <c r="B5" i="10"/>
  <c r="H5" i="10" s="1"/>
  <c r="F5" i="10"/>
  <c r="J5" i="10" s="1"/>
  <c r="B32" i="9"/>
  <c r="C32" i="9" s="1"/>
  <c r="U32" i="9"/>
  <c r="Y32" i="9" s="1"/>
  <c r="I16" i="9"/>
  <c r="L16" i="9" s="1"/>
  <c r="W16" i="9" s="1"/>
  <c r="B31" i="9"/>
  <c r="C31" i="9" s="1"/>
  <c r="I31" i="9"/>
  <c r="L31" i="9" s="1"/>
  <c r="W31" i="9" s="1"/>
  <c r="U31" i="9"/>
  <c r="Y31" i="9" s="1"/>
  <c r="B30" i="9"/>
  <c r="C30" i="9" s="1"/>
  <c r="I30" i="9"/>
  <c r="L30" i="9" s="1"/>
  <c r="W30" i="9" s="1"/>
  <c r="U30" i="9"/>
  <c r="Y30" i="9" s="1"/>
  <c r="E18" i="7"/>
  <c r="F18" i="7" s="1"/>
  <c r="E17" i="7"/>
  <c r="F17" i="7" s="1"/>
  <c r="E16" i="7"/>
  <c r="F16" i="7" s="1"/>
  <c r="F4" i="10"/>
  <c r="B3" i="10"/>
  <c r="H3" i="10" s="1"/>
  <c r="B4" i="10"/>
  <c r="H4" i="10" s="1"/>
  <c r="E3" i="7"/>
  <c r="F3" i="7" s="1"/>
  <c r="E4" i="7"/>
  <c r="F4" i="7" s="1"/>
  <c r="E5" i="7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E14" i="7"/>
  <c r="F14" i="7" s="1"/>
  <c r="E15" i="7"/>
  <c r="F15" i="7" s="1"/>
  <c r="N3" i="12"/>
  <c r="N4" i="12"/>
  <c r="R4" i="12" s="1"/>
  <c r="N5" i="12"/>
  <c r="R5" i="12" s="1"/>
  <c r="N6" i="12"/>
  <c r="R6" i="12" s="1"/>
  <c r="N7" i="12"/>
  <c r="R7" i="12" s="1"/>
  <c r="N8" i="12"/>
  <c r="R8" i="12" s="1"/>
  <c r="N9" i="12"/>
  <c r="R9" i="12" s="1"/>
  <c r="N10" i="12"/>
  <c r="R10" i="12" s="1"/>
  <c r="N11" i="12"/>
  <c r="N12" i="12"/>
  <c r="R12" i="12" s="1"/>
  <c r="N13" i="12"/>
  <c r="R13" i="12" s="1"/>
  <c r="N14" i="12"/>
  <c r="R14" i="12" s="1"/>
  <c r="F13" i="7"/>
  <c r="R3" i="12"/>
  <c r="R11" i="12"/>
  <c r="B8" i="12"/>
  <c r="C8" i="12" s="1"/>
  <c r="B14" i="12"/>
  <c r="C14" i="12" s="1"/>
  <c r="B13" i="12"/>
  <c r="C13" i="12" s="1"/>
  <c r="B12" i="12"/>
  <c r="C12" i="12" s="1"/>
  <c r="B11" i="12"/>
  <c r="C11" i="12" s="1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D3" i="12" s="1"/>
  <c r="M6" i="11"/>
  <c r="G6" i="11"/>
  <c r="B29" i="9"/>
  <c r="C29" i="9" s="1"/>
  <c r="I29" i="9"/>
  <c r="L29" i="9" s="1"/>
  <c r="W29" i="9" s="1"/>
  <c r="U29" i="9"/>
  <c r="Y29" i="9" s="1"/>
  <c r="B28" i="9"/>
  <c r="C28" i="9" s="1"/>
  <c r="I28" i="9"/>
  <c r="L28" i="9" s="1"/>
  <c r="W28" i="9" s="1"/>
  <c r="U28" i="9"/>
  <c r="Y28" i="9" s="1"/>
  <c r="B27" i="9"/>
  <c r="C27" i="9" s="1"/>
  <c r="I27" i="9"/>
  <c r="L27" i="9" s="1"/>
  <c r="W27" i="9" s="1"/>
  <c r="U27" i="9"/>
  <c r="Y27" i="9" s="1"/>
  <c r="M4" i="11"/>
  <c r="M5" i="11"/>
  <c r="L4" i="11"/>
  <c r="N4" i="11" s="1"/>
  <c r="L5" i="11"/>
  <c r="N5" i="11" s="1"/>
  <c r="L6" i="11"/>
  <c r="N6" i="11" s="1"/>
  <c r="K4" i="11"/>
  <c r="K5" i="11"/>
  <c r="O5" i="11" s="1"/>
  <c r="K6" i="11"/>
  <c r="G4" i="11"/>
  <c r="G5" i="11"/>
  <c r="L3" i="11"/>
  <c r="N3" i="11" s="1"/>
  <c r="G3" i="10"/>
  <c r="G4" i="10" s="1"/>
  <c r="G5" i="10" s="1"/>
  <c r="G6" i="10" s="1"/>
  <c r="F3" i="10"/>
  <c r="J3" i="10" s="1"/>
  <c r="J4" i="10" s="1"/>
  <c r="L3" i="10"/>
  <c r="B26" i="9"/>
  <c r="C26" i="9" s="1"/>
  <c r="L26" i="9"/>
  <c r="W26" i="9" s="1"/>
  <c r="U26" i="9"/>
  <c r="Y26" i="9" s="1"/>
  <c r="B25" i="9"/>
  <c r="C25" i="9" s="1"/>
  <c r="I25" i="9"/>
  <c r="L25" i="9" s="1"/>
  <c r="W25" i="9" s="1"/>
  <c r="U25" i="9"/>
  <c r="Y25" i="9" s="1"/>
  <c r="F11" i="7"/>
  <c r="F5" i="7"/>
  <c r="B24" i="9"/>
  <c r="C24" i="9" s="1"/>
  <c r="I24" i="9"/>
  <c r="L24" i="9" s="1"/>
  <c r="W24" i="9" s="1"/>
  <c r="U24" i="9"/>
  <c r="Y24" i="9" s="1"/>
  <c r="B23" i="9"/>
  <c r="C23" i="9" s="1"/>
  <c r="I23" i="9"/>
  <c r="L23" i="9" s="1"/>
  <c r="W23" i="9" s="1"/>
  <c r="U23" i="9"/>
  <c r="Y23" i="9" s="1"/>
  <c r="B22" i="9"/>
  <c r="C22" i="9" s="1"/>
  <c r="I22" i="9"/>
  <c r="L22" i="9" s="1"/>
  <c r="W22" i="9" s="1"/>
  <c r="U22" i="9"/>
  <c r="Y22" i="9" s="1"/>
  <c r="B21" i="9"/>
  <c r="C21" i="9" s="1"/>
  <c r="I21" i="9"/>
  <c r="L21" i="9" s="1"/>
  <c r="W21" i="9" s="1"/>
  <c r="U21" i="9"/>
  <c r="Y21" i="9" s="1"/>
  <c r="B20" i="9"/>
  <c r="C20" i="9" s="1"/>
  <c r="I20" i="9"/>
  <c r="L20" i="9" s="1"/>
  <c r="W20" i="9" s="1"/>
  <c r="U20" i="9"/>
  <c r="Y20" i="9" s="1"/>
  <c r="B19" i="9"/>
  <c r="C19" i="9" s="1"/>
  <c r="I19" i="9"/>
  <c r="L19" i="9" s="1"/>
  <c r="W19" i="9" s="1"/>
  <c r="U19" i="9"/>
  <c r="Y19" i="9" s="1"/>
  <c r="B18" i="9"/>
  <c r="C18" i="9" s="1"/>
  <c r="I18" i="9"/>
  <c r="L18" i="9" s="1"/>
  <c r="W18" i="9" s="1"/>
  <c r="U18" i="9"/>
  <c r="Y18" i="9" s="1"/>
  <c r="B17" i="9"/>
  <c r="C17" i="9" s="1"/>
  <c r="I17" i="9"/>
  <c r="L17" i="9" s="1"/>
  <c r="W17" i="9" s="1"/>
  <c r="U17" i="9"/>
  <c r="Y17" i="9" s="1"/>
  <c r="B16" i="9"/>
  <c r="C16" i="9" s="1"/>
  <c r="U16" i="9"/>
  <c r="Y16" i="9" s="1"/>
  <c r="B15" i="9"/>
  <c r="C15" i="9" s="1"/>
  <c r="I15" i="9"/>
  <c r="L15" i="9" s="1"/>
  <c r="W15" i="9" s="1"/>
  <c r="U15" i="9"/>
  <c r="Y15" i="9" s="1"/>
  <c r="B14" i="9"/>
  <c r="D14" i="9" s="1"/>
  <c r="I14" i="9"/>
  <c r="L14" i="9" s="1"/>
  <c r="W14" i="9" s="1"/>
  <c r="U14" i="9"/>
  <c r="Y14" i="9" s="1"/>
  <c r="B13" i="9"/>
  <c r="C13" i="9" s="1"/>
  <c r="I13" i="9"/>
  <c r="L13" i="9" s="1"/>
  <c r="W13" i="9" s="1"/>
  <c r="U13" i="9"/>
  <c r="Y13" i="9" s="1"/>
  <c r="B12" i="9"/>
  <c r="C12" i="9" s="1"/>
  <c r="I12" i="9"/>
  <c r="L12" i="9" s="1"/>
  <c r="W12" i="9" s="1"/>
  <c r="U12" i="9"/>
  <c r="Y12" i="9" s="1"/>
  <c r="I3" i="9"/>
  <c r="L3" i="9" s="1"/>
  <c r="W3" i="9" s="1"/>
  <c r="I4" i="9"/>
  <c r="L4" i="9" s="1"/>
  <c r="W4" i="9" s="1"/>
  <c r="I5" i="9"/>
  <c r="L5" i="9" s="1"/>
  <c r="W5" i="9" s="1"/>
  <c r="I6" i="9"/>
  <c r="L6" i="9" s="1"/>
  <c r="W6" i="9" s="1"/>
  <c r="I7" i="9"/>
  <c r="L7" i="9" s="1"/>
  <c r="W7" i="9" s="1"/>
  <c r="I8" i="9"/>
  <c r="L8" i="9" s="1"/>
  <c r="W8" i="9" s="1"/>
  <c r="I9" i="9"/>
  <c r="L9" i="9" s="1"/>
  <c r="W9" i="9" s="1"/>
  <c r="I10" i="9"/>
  <c r="L10" i="9" s="1"/>
  <c r="W10" i="9" s="1"/>
  <c r="I11" i="9"/>
  <c r="B11" i="9"/>
  <c r="C11" i="9" s="1"/>
  <c r="U11" i="9"/>
  <c r="Y11" i="9" s="1"/>
  <c r="B10" i="9"/>
  <c r="C10" i="9" s="1"/>
  <c r="U10" i="9"/>
  <c r="Y10" i="9" s="1"/>
  <c r="B9" i="9"/>
  <c r="C9" i="9" s="1"/>
  <c r="U9" i="9"/>
  <c r="Y9" i="9" s="1"/>
  <c r="B8" i="9"/>
  <c r="C8" i="9" s="1"/>
  <c r="U8" i="9"/>
  <c r="Y8" i="9" s="1"/>
  <c r="B7" i="9"/>
  <c r="C7" i="9" s="1"/>
  <c r="U7" i="9"/>
  <c r="Y7" i="9" s="1"/>
  <c r="B6" i="9"/>
  <c r="C6" i="9" s="1"/>
  <c r="U6" i="9"/>
  <c r="Y6" i="9" s="1"/>
  <c r="U5" i="9"/>
  <c r="Y5" i="9" s="1"/>
  <c r="B5" i="9"/>
  <c r="C5" i="9" s="1"/>
  <c r="B4" i="9"/>
  <c r="C4" i="9" s="1"/>
  <c r="B3" i="9"/>
  <c r="E3" i="9" s="1"/>
  <c r="U4" i="9"/>
  <c r="Y4" i="9" s="1"/>
  <c r="U3" i="9"/>
  <c r="Y3" i="9" s="1"/>
  <c r="M37" i="9" l="1"/>
  <c r="V38" i="9"/>
  <c r="N38" i="9"/>
  <c r="Q38" i="9" s="1"/>
  <c r="X38" i="9"/>
  <c r="X37" i="9"/>
  <c r="V37" i="9"/>
  <c r="N36" i="9"/>
  <c r="Q36" i="9" s="1"/>
  <c r="X36" i="9"/>
  <c r="V36" i="9"/>
  <c r="M36" i="9"/>
  <c r="G25" i="7"/>
  <c r="G21" i="7"/>
  <c r="G17" i="7"/>
  <c r="G13" i="7"/>
  <c r="G9" i="7"/>
  <c r="G5" i="7"/>
  <c r="I6" i="10"/>
  <c r="K6" i="10" s="1"/>
  <c r="I4" i="10"/>
  <c r="K4" i="10" s="1"/>
  <c r="I5" i="10"/>
  <c r="K5" i="10" s="1"/>
  <c r="O8" i="11"/>
  <c r="O9" i="11"/>
  <c r="G20" i="7"/>
  <c r="G16" i="7"/>
  <c r="G12" i="7"/>
  <c r="G8" i="7"/>
  <c r="G4" i="7"/>
  <c r="G23" i="7"/>
  <c r="G19" i="7"/>
  <c r="G15" i="7"/>
  <c r="G11" i="7"/>
  <c r="G7" i="7"/>
  <c r="G3" i="7"/>
  <c r="O4" i="11"/>
  <c r="O3" i="11"/>
  <c r="G22" i="7"/>
  <c r="G18" i="7"/>
  <c r="G14" i="7"/>
  <c r="G10" i="7"/>
  <c r="G6" i="7"/>
  <c r="J6" i="10"/>
  <c r="F35" i="9"/>
  <c r="X35" i="9" s="1"/>
  <c r="E35" i="9"/>
  <c r="D35" i="9"/>
  <c r="F34" i="9"/>
  <c r="E34" i="9"/>
  <c r="N34" i="9" s="1"/>
  <c r="Q34" i="9" s="1"/>
  <c r="D34" i="9"/>
  <c r="F33" i="9"/>
  <c r="E33" i="9"/>
  <c r="D33" i="9"/>
  <c r="I11" i="12"/>
  <c r="I7" i="12"/>
  <c r="I6" i="12"/>
  <c r="I14" i="12"/>
  <c r="I10" i="12"/>
  <c r="I13" i="12"/>
  <c r="I9" i="12"/>
  <c r="I5" i="12"/>
  <c r="I12" i="12"/>
  <c r="I8" i="12"/>
  <c r="O8" i="12" s="1"/>
  <c r="I4" i="12"/>
  <c r="I3" i="12"/>
  <c r="C3" i="9"/>
  <c r="N3" i="13"/>
  <c r="N4" i="13"/>
  <c r="M6" i="13"/>
  <c r="O6" i="13" s="1"/>
  <c r="L6" i="13"/>
  <c r="O3" i="13"/>
  <c r="F32" i="9"/>
  <c r="M32" i="9" s="1"/>
  <c r="E32" i="9"/>
  <c r="D32" i="9"/>
  <c r="F31" i="9"/>
  <c r="E31" i="9"/>
  <c r="N31" i="9" s="1"/>
  <c r="Q31" i="9" s="1"/>
  <c r="D31" i="9"/>
  <c r="F30" i="9"/>
  <c r="E30" i="9"/>
  <c r="D30" i="9"/>
  <c r="O9" i="12"/>
  <c r="S9" i="12" s="1"/>
  <c r="T9" i="12" s="1"/>
  <c r="F8" i="12"/>
  <c r="E8" i="12"/>
  <c r="H8" i="12"/>
  <c r="D8" i="12"/>
  <c r="G8" i="12"/>
  <c r="H3" i="12"/>
  <c r="F14" i="12"/>
  <c r="E14" i="12"/>
  <c r="H14" i="12"/>
  <c r="D14" i="12"/>
  <c r="G14" i="12"/>
  <c r="O14" i="12" s="1"/>
  <c r="S14" i="12" s="1"/>
  <c r="T14" i="12" s="1"/>
  <c r="F13" i="12"/>
  <c r="E13" i="12"/>
  <c r="H13" i="12"/>
  <c r="O13" i="12" s="1"/>
  <c r="S13" i="12" s="1"/>
  <c r="T13" i="12" s="1"/>
  <c r="D13" i="12"/>
  <c r="G13" i="12"/>
  <c r="F12" i="12"/>
  <c r="O12" i="12" s="1"/>
  <c r="S12" i="12" s="1"/>
  <c r="T12" i="12" s="1"/>
  <c r="E12" i="12"/>
  <c r="H12" i="12"/>
  <c r="D12" i="12"/>
  <c r="G12" i="12"/>
  <c r="F11" i="12"/>
  <c r="E11" i="12"/>
  <c r="O11" i="12" s="1"/>
  <c r="S11" i="12" s="1"/>
  <c r="T11" i="12" s="1"/>
  <c r="H11" i="12"/>
  <c r="D11" i="12"/>
  <c r="G11" i="12"/>
  <c r="F10" i="12"/>
  <c r="E10" i="12"/>
  <c r="H10" i="12"/>
  <c r="D10" i="12"/>
  <c r="O10" i="12" s="1"/>
  <c r="S10" i="12" s="1"/>
  <c r="T10" i="12" s="1"/>
  <c r="G10" i="12"/>
  <c r="F9" i="12"/>
  <c r="E9" i="12"/>
  <c r="H9" i="12"/>
  <c r="D9" i="12"/>
  <c r="G9" i="12"/>
  <c r="F7" i="12"/>
  <c r="E7" i="12"/>
  <c r="H7" i="12"/>
  <c r="O7" i="12" s="1"/>
  <c r="D7" i="12"/>
  <c r="G7" i="12"/>
  <c r="F6" i="12"/>
  <c r="O6" i="12" s="1"/>
  <c r="S6" i="12" s="1"/>
  <c r="T6" i="12" s="1"/>
  <c r="E6" i="12"/>
  <c r="H6" i="12"/>
  <c r="D6" i="12"/>
  <c r="G6" i="12"/>
  <c r="F5" i="12"/>
  <c r="E5" i="12"/>
  <c r="O5" i="12" s="1"/>
  <c r="S5" i="12" s="1"/>
  <c r="T5" i="12" s="1"/>
  <c r="H5" i="12"/>
  <c r="D5" i="12"/>
  <c r="G5" i="12"/>
  <c r="F4" i="12"/>
  <c r="E4" i="12"/>
  <c r="H4" i="12"/>
  <c r="D4" i="12"/>
  <c r="O4" i="12" s="1"/>
  <c r="S4" i="12" s="1"/>
  <c r="T4" i="12" s="1"/>
  <c r="G4" i="12"/>
  <c r="G3" i="12"/>
  <c r="F3" i="12"/>
  <c r="E3" i="12"/>
  <c r="C3" i="12"/>
  <c r="O3" i="12" s="1"/>
  <c r="S3" i="12" s="1"/>
  <c r="T3" i="12" s="1"/>
  <c r="O6" i="11"/>
  <c r="F29" i="9"/>
  <c r="X29" i="9" s="1"/>
  <c r="E29" i="9"/>
  <c r="D29" i="9"/>
  <c r="F28" i="9"/>
  <c r="E28" i="9"/>
  <c r="N28" i="9" s="1"/>
  <c r="Q28" i="9" s="1"/>
  <c r="D28" i="9"/>
  <c r="F27" i="9"/>
  <c r="E27" i="9"/>
  <c r="D27" i="9"/>
  <c r="I3" i="10"/>
  <c r="K3" i="10" s="1"/>
  <c r="F26" i="9"/>
  <c r="X26" i="9" s="1"/>
  <c r="E26" i="9"/>
  <c r="D26" i="9"/>
  <c r="F25" i="9"/>
  <c r="V25" i="9" s="1"/>
  <c r="E25" i="9"/>
  <c r="D25" i="9"/>
  <c r="F24" i="9"/>
  <c r="M24" i="9" s="1"/>
  <c r="E24" i="9"/>
  <c r="D24" i="9"/>
  <c r="F23" i="9"/>
  <c r="M23" i="9" s="1"/>
  <c r="E23" i="9"/>
  <c r="D23" i="9"/>
  <c r="F22" i="9"/>
  <c r="E22" i="9"/>
  <c r="D22" i="9"/>
  <c r="F21" i="9"/>
  <c r="X21" i="9" s="1"/>
  <c r="E21" i="9"/>
  <c r="D21" i="9"/>
  <c r="F20" i="9"/>
  <c r="E20" i="9"/>
  <c r="D20" i="9"/>
  <c r="F19" i="9"/>
  <c r="X19" i="9" s="1"/>
  <c r="E19" i="9"/>
  <c r="D19" i="9"/>
  <c r="F18" i="9"/>
  <c r="X18" i="9" s="1"/>
  <c r="E18" i="9"/>
  <c r="D18" i="9"/>
  <c r="F17" i="9"/>
  <c r="E17" i="9"/>
  <c r="X17" i="9" s="1"/>
  <c r="D17" i="9"/>
  <c r="F16" i="9"/>
  <c r="E16" i="9"/>
  <c r="X16" i="9" s="1"/>
  <c r="D16" i="9"/>
  <c r="F15" i="9"/>
  <c r="E15" i="9"/>
  <c r="X15" i="9" s="1"/>
  <c r="D15" i="9"/>
  <c r="F14" i="9"/>
  <c r="E14" i="9"/>
  <c r="X14" i="9" s="1"/>
  <c r="C14" i="9"/>
  <c r="F13" i="9"/>
  <c r="E13" i="9"/>
  <c r="D13" i="9"/>
  <c r="X13" i="9" s="1"/>
  <c r="F12" i="9"/>
  <c r="E12" i="9"/>
  <c r="D12" i="9"/>
  <c r="X12" i="9" s="1"/>
  <c r="L11" i="9"/>
  <c r="W11" i="9" s="1"/>
  <c r="F11" i="9"/>
  <c r="E11" i="9"/>
  <c r="D11" i="9"/>
  <c r="X11" i="9" s="1"/>
  <c r="F10" i="9"/>
  <c r="E10" i="9"/>
  <c r="D10" i="9"/>
  <c r="X10" i="9" s="1"/>
  <c r="F9" i="9"/>
  <c r="D9" i="9"/>
  <c r="E9" i="9"/>
  <c r="X9" i="9" s="1"/>
  <c r="F8" i="9"/>
  <c r="X8" i="9" s="1"/>
  <c r="E8" i="9"/>
  <c r="D8" i="9"/>
  <c r="F7" i="9"/>
  <c r="E7" i="9"/>
  <c r="D7" i="9"/>
  <c r="X7" i="9" s="1"/>
  <c r="F6" i="9"/>
  <c r="E6" i="9"/>
  <c r="X6" i="9" s="1"/>
  <c r="D6" i="9"/>
  <c r="F5" i="9"/>
  <c r="E5" i="9"/>
  <c r="D5" i="9"/>
  <c r="X5" i="9" s="1"/>
  <c r="F3" i="9"/>
  <c r="F4" i="9"/>
  <c r="E4" i="9"/>
  <c r="X4" i="9" s="1"/>
  <c r="D4" i="9"/>
  <c r="D3" i="9"/>
  <c r="X3" i="9" s="1"/>
  <c r="V35" i="9" l="1"/>
  <c r="M35" i="9"/>
  <c r="N35" i="9"/>
  <c r="Q35" i="9" s="1"/>
  <c r="X34" i="9"/>
  <c r="V34" i="9"/>
  <c r="M34" i="9"/>
  <c r="N33" i="9"/>
  <c r="Q33" i="9" s="1"/>
  <c r="X33" i="9"/>
  <c r="V33" i="9"/>
  <c r="M33" i="9"/>
  <c r="O5" i="13"/>
  <c r="N6" i="13"/>
  <c r="O4" i="13"/>
  <c r="V31" i="9"/>
  <c r="V32" i="9"/>
  <c r="N32" i="9"/>
  <c r="Q32" i="9" s="1"/>
  <c r="X32" i="9"/>
  <c r="X31" i="9"/>
  <c r="M31" i="9"/>
  <c r="N30" i="9"/>
  <c r="Q30" i="9" s="1"/>
  <c r="X30" i="9"/>
  <c r="V30" i="9"/>
  <c r="M30" i="9"/>
  <c r="S7" i="12"/>
  <c r="T7" i="12" s="1"/>
  <c r="V29" i="9"/>
  <c r="N29" i="9"/>
  <c r="Q29" i="9" s="1"/>
  <c r="M29" i="9"/>
  <c r="X28" i="9"/>
  <c r="M28" i="9"/>
  <c r="V28" i="9"/>
  <c r="N27" i="9"/>
  <c r="Q27" i="9" s="1"/>
  <c r="X27" i="9"/>
  <c r="V27" i="9"/>
  <c r="M27" i="9"/>
  <c r="M26" i="9"/>
  <c r="V26" i="9"/>
  <c r="N26" i="9"/>
  <c r="Q26" i="9" s="1"/>
  <c r="M25" i="9"/>
  <c r="N25" i="9"/>
  <c r="Q25" i="9" s="1"/>
  <c r="X25" i="9"/>
  <c r="X20" i="9"/>
  <c r="V20" i="9"/>
  <c r="V24" i="9"/>
  <c r="N24" i="9"/>
  <c r="Q24" i="9" s="1"/>
  <c r="X24" i="9"/>
  <c r="V23" i="9"/>
  <c r="N23" i="9"/>
  <c r="Q23" i="9" s="1"/>
  <c r="X23" i="9"/>
  <c r="M22" i="9"/>
  <c r="X22" i="9"/>
  <c r="V22" i="9"/>
  <c r="N22" i="9"/>
  <c r="Q22" i="9" s="1"/>
  <c r="N3" i="9"/>
  <c r="Q3" i="9" s="1"/>
  <c r="V18" i="9"/>
  <c r="M4" i="9"/>
  <c r="V4" i="9"/>
  <c r="M6" i="9"/>
  <c r="V6" i="9"/>
  <c r="M9" i="9"/>
  <c r="V9" i="9"/>
  <c r="V14" i="9"/>
  <c r="M19" i="9"/>
  <c r="V19" i="9"/>
  <c r="M7" i="9"/>
  <c r="V7" i="9"/>
  <c r="M11" i="9"/>
  <c r="V11" i="9"/>
  <c r="M12" i="9"/>
  <c r="V12" i="9"/>
  <c r="M17" i="9"/>
  <c r="V17" i="9"/>
  <c r="M5" i="9"/>
  <c r="V5" i="9"/>
  <c r="M15" i="9"/>
  <c r="V15" i="9"/>
  <c r="M20" i="9"/>
  <c r="M13" i="9"/>
  <c r="V13" i="9"/>
  <c r="N8" i="9"/>
  <c r="Q8" i="9" s="1"/>
  <c r="V8" i="9"/>
  <c r="M10" i="9"/>
  <c r="V10" i="9"/>
  <c r="M16" i="9"/>
  <c r="V16" i="9"/>
  <c r="M21" i="9"/>
  <c r="V21" i="9"/>
  <c r="V3" i="9"/>
  <c r="M14" i="9"/>
  <c r="M3" i="9"/>
  <c r="M8" i="9"/>
  <c r="N18" i="9"/>
  <c r="Q18" i="9" s="1"/>
  <c r="M18" i="9"/>
  <c r="N21" i="9"/>
  <c r="Q21" i="9" s="1"/>
  <c r="N20" i="9"/>
  <c r="Q20" i="9" s="1"/>
  <c r="N19" i="9"/>
  <c r="Q19" i="9" s="1"/>
  <c r="N17" i="9"/>
  <c r="Q17" i="9" s="1"/>
  <c r="N16" i="9"/>
  <c r="Q16" i="9" s="1"/>
  <c r="N15" i="9"/>
  <c r="Q15" i="9" s="1"/>
  <c r="N14" i="9"/>
  <c r="Q14" i="9" s="1"/>
  <c r="N13" i="9"/>
  <c r="Q13" i="9" s="1"/>
  <c r="N12" i="9"/>
  <c r="Q12" i="9" s="1"/>
  <c r="N11" i="9"/>
  <c r="Q11" i="9" s="1"/>
  <c r="N10" i="9"/>
  <c r="Q10" i="9" s="1"/>
  <c r="N9" i="9"/>
  <c r="Q9" i="9" s="1"/>
  <c r="N7" i="9"/>
  <c r="Q7" i="9" s="1"/>
  <c r="N6" i="9"/>
  <c r="Q6" i="9" s="1"/>
  <c r="N5" i="9"/>
  <c r="Q5" i="9" s="1"/>
  <c r="N4" i="9"/>
  <c r="Q4" i="9" s="1"/>
  <c r="S8" i="12" l="1"/>
  <c r="T8" i="12" s="1"/>
</calcChain>
</file>

<file path=xl/sharedStrings.xml><?xml version="1.0" encoding="utf-8"?>
<sst xmlns="http://schemas.openxmlformats.org/spreadsheetml/2006/main" count="239" uniqueCount="114">
  <si>
    <t>FECHA</t>
  </si>
  <si>
    <t>TOTAL</t>
  </si>
  <si>
    <t>DÓLAR</t>
  </si>
  <si>
    <t>BITCOIN</t>
  </si>
  <si>
    <t>ETHEREUM</t>
  </si>
  <si>
    <t>io.net</t>
  </si>
  <si>
    <t>S&amp;P 500</t>
  </si>
  <si>
    <t>NASDAQ-100</t>
  </si>
  <si>
    <t>KO</t>
  </si>
  <si>
    <t>JNJ</t>
  </si>
  <si>
    <t>PG</t>
  </si>
  <si>
    <t>PEP</t>
  </si>
  <si>
    <t>MCD</t>
  </si>
  <si>
    <t>MSFT</t>
  </si>
  <si>
    <t>VOO</t>
  </si>
  <si>
    <t>BTC</t>
  </si>
  <si>
    <t>ETH</t>
  </si>
  <si>
    <t>moneda</t>
  </si>
  <si>
    <t>precio de compra</t>
  </si>
  <si>
    <t>cantidad</t>
  </si>
  <si>
    <t>rentabilidad</t>
  </si>
  <si>
    <t>precio actual dólar</t>
  </si>
  <si>
    <t>precio actual btc</t>
  </si>
  <si>
    <t>precio actul eth</t>
  </si>
  <si>
    <t>precio actual io.net</t>
  </si>
  <si>
    <t>meta1</t>
  </si>
  <si>
    <t>META2</t>
  </si>
  <si>
    <t>FECHA DE VENTA</t>
  </si>
  <si>
    <t>PRECIO DE VENTA</t>
  </si>
  <si>
    <t>GANANCIA/PERDIDA</t>
  </si>
  <si>
    <t>NOTAS</t>
  </si>
  <si>
    <t>ACCION</t>
  </si>
  <si>
    <t>CANTIDAD VENDIDA</t>
  </si>
  <si>
    <t>COSTO DE COMPRA</t>
  </si>
  <si>
    <t>PRECIO DEL DÓLAR, DIA COMPRA</t>
  </si>
  <si>
    <t>VALOR ACTUAL INV</t>
  </si>
  <si>
    <t>INVENTARIO</t>
  </si>
  <si>
    <t>VALOR ACTUAL</t>
  </si>
  <si>
    <t>RENTABILIDAD TOTAL</t>
  </si>
  <si>
    <t>ESTADO DE LA INVERSION</t>
  </si>
  <si>
    <t>FECHA COMPRA</t>
  </si>
  <si>
    <t>fecha act</t>
  </si>
  <si>
    <t>IO.NET</t>
  </si>
  <si>
    <t>GAN/PER</t>
  </si>
  <si>
    <t>CANTIDAD COPRADA</t>
  </si>
  <si>
    <t>CONTO EN COP</t>
  </si>
  <si>
    <t>PRECIO DEL USD,DIA COMPRA</t>
  </si>
  <si>
    <t>VALOR ACTUAL EN COP</t>
  </si>
  <si>
    <t>RENTABILIDAD</t>
  </si>
  <si>
    <t>CANTIDAD TOTAL(USD)</t>
  </si>
  <si>
    <t>PRECIO ACTUAL(USD)</t>
  </si>
  <si>
    <t>META 10%</t>
  </si>
  <si>
    <t>COSTO TOTAL EN COP</t>
  </si>
  <si>
    <t>MES</t>
  </si>
  <si>
    <t>CRIPTOMONEDA</t>
  </si>
  <si>
    <t>CANTIDAD INICIAL</t>
  </si>
  <si>
    <t>PRECIO INICIAL USD</t>
  </si>
  <si>
    <t>VALOR INICIAL EN COP</t>
  </si>
  <si>
    <t>CANTIDAD A FIN DE MES</t>
  </si>
  <si>
    <t>PRECIO A FIN DE MES(USD)</t>
  </si>
  <si>
    <t>PRECIO FINAL(COP)</t>
  </si>
  <si>
    <t>DIFERENCIA DE CANTIDAD</t>
  </si>
  <si>
    <t>DIFERENCIA EN PRECIO</t>
  </si>
  <si>
    <t>PRECIO DE LA DIFERENCIA EN COP</t>
  </si>
  <si>
    <t>USDT</t>
  </si>
  <si>
    <t>JULIO</t>
  </si>
  <si>
    <t>PRECIO DÓLAR INICIAL</t>
  </si>
  <si>
    <t>PRECIO DÓLAR FINAL</t>
  </si>
  <si>
    <t>FECHA ACTUAL</t>
  </si>
  <si>
    <t>PRECIO ACT KO</t>
  </si>
  <si>
    <t>PRECIO ACT JNJ</t>
  </si>
  <si>
    <t>PRECIO ACT PG</t>
  </si>
  <si>
    <t>PRECIO ACT PEP</t>
  </si>
  <si>
    <t>PRECIO ACT MSFT</t>
  </si>
  <si>
    <t>PRECIO ACT MCD</t>
  </si>
  <si>
    <t>EMPRESA</t>
  </si>
  <si>
    <t>PRECIO COMPRA</t>
  </si>
  <si>
    <t>VALOR ACTUAL INVE</t>
  </si>
  <si>
    <t>FECHA DIVIDENDO</t>
  </si>
  <si>
    <t>GANACIA/PERDIDA</t>
  </si>
  <si>
    <t>FECHA ACT</t>
  </si>
  <si>
    <t>CAPITAL INVE</t>
  </si>
  <si>
    <t>CANTIDAD DE ACCIONES</t>
  </si>
  <si>
    <t>VALOR DIVIDENDO POR ACCION</t>
  </si>
  <si>
    <t>TOTAL DIVIDENDO RECIBIDO</t>
  </si>
  <si>
    <t>PRECIO ACT VOO</t>
  </si>
  <si>
    <t>AGOSTO</t>
  </si>
  <si>
    <t>CUENTA</t>
  </si>
  <si>
    <t>CAPITAL INVERTIDO</t>
  </si>
  <si>
    <t>INTERES OBTENIDO</t>
  </si>
  <si>
    <t>PORCENTAJE DE INTERES</t>
  </si>
  <si>
    <t>RETIROS DE CAPITAL</t>
  </si>
  <si>
    <t>TOTAL CAPITAL FIN DE MES</t>
  </si>
  <si>
    <t>MARZO</t>
  </si>
  <si>
    <t>UALA</t>
  </si>
  <si>
    <t>ABRIL</t>
  </si>
  <si>
    <t>MAYO</t>
  </si>
  <si>
    <t>LULO</t>
  </si>
  <si>
    <t>JUNIO</t>
  </si>
  <si>
    <t>TIPO DE INVERSION</t>
  </si>
  <si>
    <t>CAPITAL A FIN DE MES</t>
  </si>
  <si>
    <t>CAPITAL A INICIO DE MES</t>
  </si>
  <si>
    <t>CUENTA DE AHORRO</t>
  </si>
  <si>
    <t>NOMBRE</t>
  </si>
  <si>
    <t>BOLSA</t>
  </si>
  <si>
    <t>CAPITAL INICIAL TOTAL</t>
  </si>
  <si>
    <t>CAPITAL FINAL TOTAL</t>
  </si>
  <si>
    <t>% DEL TOTAL CAPITAL</t>
  </si>
  <si>
    <t>CRIPTOMONEDAS</t>
  </si>
  <si>
    <t>TOTAL G/P</t>
  </si>
  <si>
    <t>CAPITAL INVERTIDO ESTE MES</t>
  </si>
  <si>
    <t>PRECIO DEL DÓLAR</t>
  </si>
  <si>
    <t>VALOR INVERSION 1</t>
  </si>
  <si>
    <t>VALOR EN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</si>
</sst>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  <numFmt numFmtId="165" formatCode="_-[$$-240A]\ * #,##0.00_-;\-[$$-240A]\ * #,##0.00_-;_-[$$-240A]\ * &quot;-&quot;??_-;_-@_-"/>
    <numFmt numFmtId="166" formatCode="0.000%"/>
    <numFmt numFmtId="167" formatCode="0.00000000"/>
    <numFmt numFmtId="168" formatCode="_-* #,##0.000_-;\-* #,##0.000_-;_-* &quot;-&quot;??_-;_-@_-"/>
    <numFmt numFmtId="169" formatCode="_-&quot;$&quot;\ * #,##0.00_-;\-&quot;$&quot;\ * #,##0.00_-;_-&quot;$&quot;\ * &quot;-&quot;??????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horizontal="left" vertical="center"/>
    </xf>
    <xf numFmtId="44" fontId="0" fillId="0" borderId="0" xfId="2" applyFont="1" applyFill="1"/>
    <xf numFmtId="44" fontId="0" fillId="0" borderId="0" xfId="2" applyFont="1"/>
    <xf numFmtId="4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44" fontId="0" fillId="0" borderId="0" xfId="1" applyNumberFormat="1" applyFont="1"/>
    <xf numFmtId="167" fontId="0" fillId="0" borderId="0" xfId="2" applyNumberFormat="1" applyFont="1"/>
    <xf numFmtId="0" fontId="0" fillId="0" borderId="0" xfId="0" applyAlignment="1">
      <alignment horizontal="center" vertical="center"/>
    </xf>
    <xf numFmtId="43" fontId="0" fillId="0" borderId="0" xfId="0" applyNumberFormat="1"/>
    <xf numFmtId="43" fontId="0" fillId="0" borderId="0" xfId="2" applyNumberFormat="1" applyFont="1"/>
    <xf numFmtId="43" fontId="2" fillId="0" borderId="0" xfId="0" applyNumberFormat="1" applyFont="1"/>
    <xf numFmtId="168" fontId="0" fillId="0" borderId="0" xfId="2" applyNumberFormat="1" applyFont="1"/>
    <xf numFmtId="169" fontId="0" fillId="0" borderId="0" xfId="0" applyNumberFormat="1"/>
    <xf numFmtId="0" fontId="2" fillId="0" borderId="0" xfId="0" applyFont="1"/>
    <xf numFmtId="44" fontId="4" fillId="0" borderId="0" xfId="2" applyFont="1" applyFill="1"/>
    <xf numFmtId="0" fontId="4" fillId="0" borderId="0" xfId="1" applyNumberFormat="1" applyFont="1"/>
    <xf numFmtId="165" fontId="4" fillId="0" borderId="0" xfId="1" applyNumberFormat="1" applyFont="1"/>
    <xf numFmtId="166" fontId="4" fillId="0" borderId="0" xfId="1" applyNumberFormat="1" applyFont="1"/>
    <xf numFmtId="9" fontId="4" fillId="0" borderId="0" xfId="1" applyFont="1"/>
    <xf numFmtId="44" fontId="4" fillId="0" borderId="0" xfId="2" applyFont="1"/>
    <xf numFmtId="10" fontId="4" fillId="0" borderId="0" xfId="1" applyNumberFormat="1" applyFont="1"/>
  </cellXfs>
  <cellStyles count="3">
    <cellStyle name="Moneda" xfId="2" builtinId="4"/>
    <cellStyle name="Normal" xfId="0" builtinId="0"/>
    <cellStyle name="Porcentaje" xfId="1" builtinId="5"/>
  </cellStyles>
  <dxfs count="103"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3" formatCode="0%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8" formatCode="_-* #,##0.000_-;\-* #,##0.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numFmt numFmtId="19" formatCode="d/mm/yyyy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5" formatCode="_-* #,##0.00_-;\-* #,##0.00_-;_-* &quot;-&quot;??_-;_-@_-"/>
    </dxf>
    <dxf>
      <numFmt numFmtId="19" formatCode="d/mm/yyyy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  <numFmt numFmtId="35" formatCode="_-* #,##0.00_-;\-* #,##0.00_-;_-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alignment horizontal="left" vertical="center" textRotation="0" wrapText="0" indent="0" justifyLastLine="0" shrinkToFit="0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theme="9" tint="0.39997558519241921"/>
        </patternFill>
      </fill>
    </dxf>
    <dxf>
      <numFmt numFmtId="34" formatCode="_-&quot;$&quot;\ * #,##0.00_-;\-&quot;$&quot;\ * #,##0.00_-;_-&quot;$&quot;\ * &quot;-&quot;??_-;_-@_-"/>
    </dxf>
    <dxf>
      <numFmt numFmtId="19" formatCode="d/mm/yyyy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4" formatCode="0.00%"/>
    </dxf>
    <dxf>
      <numFmt numFmtId="2" formatCode="0.00"/>
    </dxf>
    <dxf>
      <numFmt numFmtId="19" formatCode="d/mm/yyyy"/>
    </dxf>
    <dxf>
      <numFmt numFmtId="19" formatCode="d/mm/yyyy"/>
    </dxf>
    <dxf>
      <numFmt numFmtId="164" formatCode="&quot;$&quot;\ #,##0.00"/>
    </dxf>
    <dxf>
      <numFmt numFmtId="13" formatCode="0%"/>
    </dxf>
    <dxf>
      <numFmt numFmtId="164" formatCode="&quot;$&quot;\ #,##0.00"/>
    </dxf>
    <dxf>
      <numFmt numFmtId="164" formatCode="&quot;$&quot;\ #,##0.00"/>
    </dxf>
    <dxf>
      <numFmt numFmtId="167" formatCode="0.000000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5" formatCode="_-[$$-240A]\ * #,##0.00_-;\-[$$-240A]\ * #,##0.00_-;_-[$$-240A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64" formatCode="&quot;$&quot;\ #,##0.00"/>
    </dxf>
    <dxf>
      <numFmt numFmtId="165" formatCode="_-[$$-240A]\ * #,##0.00_-;\-[$$-240A]\ * #,##0.00_-;_-[$$-240A]\ * &quot;-&quot;??_-;_-@_-"/>
    </dxf>
    <dxf>
      <numFmt numFmtId="164" formatCode="&quot;$&quot;\ #,##0.00"/>
    </dxf>
    <dxf>
      <numFmt numFmtId="19" formatCode="d/mm/yyyy"/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3B3B"/>
        </patternFill>
      </fill>
    </dxf>
    <dxf>
      <font>
        <color auto="1"/>
      </font>
      <fill>
        <patternFill>
          <bgColor rgb="FFFFD44B"/>
        </patternFill>
      </fill>
    </dxf>
    <dxf>
      <fill>
        <patternFill>
          <bgColor rgb="FFFF0000"/>
        </patternFill>
      </fill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65" formatCode="_-[$$-240A]\ * #,##0.00_-;\-[$$-240A]\ * #,##0.00_-;_-[$$-240A]\ * &quot;-&quot;??_-;_-@_-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0.000%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theme="0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0"/>
      </font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-0.499984740745262"/>
        </patternFill>
      </fill>
    </dxf>
    <dxf>
      <font>
        <color theme="1"/>
      </font>
      <fill>
        <patternFill>
          <bgColor theme="4" tint="0.39994506668294322"/>
        </patternFill>
      </fill>
    </dxf>
    <dxf>
      <fill>
        <patternFill>
          <bgColor theme="4" tint="-0.49998474074526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fill>
        <patternFill>
          <bgColor theme="4" tint="0.39994506668294322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499984740745262"/>
        </patternFill>
      </fill>
    </dxf>
  </dxfs>
  <tableStyles count="5" defaultTableStyle="TableStyleMedium2" defaultPivotStyle="PivotStyleLight16">
    <tableStyle name="Estilo de tabla 1" pivot="0" count="3" xr9:uid="{00000000-0011-0000-FFFF-FFFF00000000}">
      <tableStyleElement type="wholeTable" dxfId="102"/>
      <tableStyleElement type="headerRow" dxfId="101"/>
      <tableStyleElement type="secondRowStripe" dxfId="100"/>
    </tableStyle>
    <tableStyle name="Estilo de tabla 2" pivot="0" count="5" xr9:uid="{00000000-0011-0000-FFFF-FFFF01000000}">
      <tableStyleElement type="wholeTable" dxfId="99"/>
      <tableStyleElement type="headerRow" dxfId="98"/>
      <tableStyleElement type="firstRowStripe" dxfId="97"/>
      <tableStyleElement type="secondRowStripe" dxfId="96"/>
      <tableStyleElement type="firstColumnStripe" dxfId="95"/>
    </tableStyle>
    <tableStyle name="Estilo de tabla 3" pivot="0" count="3" xr9:uid="{00000000-0011-0000-FFFF-FFFF02000000}">
      <tableStyleElement type="headerRow" dxfId="94"/>
      <tableStyleElement type="firstRowStripe" dxfId="93"/>
      <tableStyleElement type="secondRowStripe" dxfId="92"/>
    </tableStyle>
    <tableStyle name="Estilo de tabla 4" pivot="0" count="4" xr9:uid="{00000000-0011-0000-FFFF-FFFF03000000}">
      <tableStyleElement type="wholeTable" dxfId="91"/>
      <tableStyleElement type="headerRow" dxfId="90"/>
      <tableStyleElement type="firstRowStripe" dxfId="89"/>
      <tableStyleElement type="secondRowStripe" dxfId="88"/>
    </tableStyle>
    <tableStyle name="Estilo de tabla 5" pivot="0" count="4" xr9:uid="{00000000-0011-0000-FFFF-FFFF04000000}">
      <tableStyleElement type="wholeTable" dxfId="87"/>
      <tableStyleElement type="headerRow" dxfId="86"/>
      <tableStyleElement type="firstRowStripe" dxfId="85"/>
      <tableStyleElement type="secondRowStripe" dxfId="84"/>
    </tableStyle>
  </tableStyles>
  <colors>
    <mruColors>
      <color rgb="FFFF3B3B"/>
      <color rgb="FFFFD44B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CRIPTOS!$C$2</c:f>
              <c:strCache>
                <c:ptCount val="1"/>
                <c:pt idx="0">
                  <c:v>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CRIPTOS!$B$3:$B$117</c:f>
              <c:numCache>
                <c:formatCode>m/d/yyyy</c:formatCode>
                <c:ptCount val="115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</c:numCache>
            </c:numRef>
          </c:cat>
          <c:val>
            <c:numRef>
              <c:f>CRIPTOS!$C$3:$C$117</c:f>
              <c:numCache>
                <c:formatCode>_-[$$-240A]\ * #,##0.00_-;\-[$$-240A]\ * #,##0.00_-;_-[$$-240A]\ * "-"??_-;_-@_-</c:formatCode>
                <c:ptCount val="115"/>
                <c:pt idx="0">
                  <c:v>3912.77</c:v>
                </c:pt>
                <c:pt idx="1">
                  <c:v>3910.09</c:v>
                </c:pt>
                <c:pt idx="2">
                  <c:v>3906.66</c:v>
                </c:pt>
                <c:pt idx="3">
                  <c:v>3954.52</c:v>
                </c:pt>
                <c:pt idx="4">
                  <c:v>3959.14</c:v>
                </c:pt>
                <c:pt idx="5">
                  <c:v>3965.23</c:v>
                </c:pt>
                <c:pt idx="6">
                  <c:v>3965.23</c:v>
                </c:pt>
                <c:pt idx="7">
                  <c:v>3899.11</c:v>
                </c:pt>
                <c:pt idx="8">
                  <c:v>3866.12</c:v>
                </c:pt>
                <c:pt idx="9">
                  <c:v>3910.78</c:v>
                </c:pt>
                <c:pt idx="10">
                  <c:v>3914.91</c:v>
                </c:pt>
                <c:pt idx="11">
                  <c:v>3876.29</c:v>
                </c:pt>
                <c:pt idx="12">
                  <c:v>3884.06</c:v>
                </c:pt>
                <c:pt idx="13">
                  <c:v>3884.06</c:v>
                </c:pt>
                <c:pt idx="14">
                  <c:v>3899.49</c:v>
                </c:pt>
                <c:pt idx="15">
                  <c:v>3892.43</c:v>
                </c:pt>
                <c:pt idx="16">
                  <c:v>3887.67</c:v>
                </c:pt>
                <c:pt idx="17">
                  <c:v>3889.78</c:v>
                </c:pt>
                <c:pt idx="18">
                  <c:v>3893.04</c:v>
                </c:pt>
                <c:pt idx="19">
                  <c:v>3886.61</c:v>
                </c:pt>
                <c:pt idx="20">
                  <c:v>3886.63</c:v>
                </c:pt>
                <c:pt idx="21">
                  <c:v>3875.84</c:v>
                </c:pt>
                <c:pt idx="22">
                  <c:v>3884.72</c:v>
                </c:pt>
                <c:pt idx="23">
                  <c:v>3835.2</c:v>
                </c:pt>
                <c:pt idx="24">
                  <c:v>3824.57</c:v>
                </c:pt>
                <c:pt idx="25">
                  <c:v>3825.81</c:v>
                </c:pt>
                <c:pt idx="26">
                  <c:v>3807.16</c:v>
                </c:pt>
                <c:pt idx="27">
                  <c:v>3907.16</c:v>
                </c:pt>
                <c:pt idx="28">
                  <c:v>3834.1</c:v>
                </c:pt>
                <c:pt idx="29">
                  <c:v>3823.33</c:v>
                </c:pt>
                <c:pt idx="30">
                  <c:v>3823.33</c:v>
                </c:pt>
                <c:pt idx="31">
                  <c:v>3815.89</c:v>
                </c:pt>
                <c:pt idx="32">
                  <c:v>3826.91</c:v>
                </c:pt>
                <c:pt idx="33">
                  <c:v>3865.43</c:v>
                </c:pt>
                <c:pt idx="34">
                  <c:v>3864.74</c:v>
                </c:pt>
                <c:pt idx="35">
                  <c:v>3864.74</c:v>
                </c:pt>
                <c:pt idx="36">
                  <c:v>3879.67</c:v>
                </c:pt>
                <c:pt idx="37">
                  <c:v>3871.11</c:v>
                </c:pt>
                <c:pt idx="38">
                  <c:v>3840.64</c:v>
                </c:pt>
                <c:pt idx="39">
                  <c:v>3864.68</c:v>
                </c:pt>
                <c:pt idx="40">
                  <c:v>3849.44</c:v>
                </c:pt>
                <c:pt idx="41">
                  <c:v>3857.24</c:v>
                </c:pt>
                <c:pt idx="42">
                  <c:v>3857.42</c:v>
                </c:pt>
                <c:pt idx="43">
                  <c:v>3869.91</c:v>
                </c:pt>
                <c:pt idx="44">
                  <c:v>3860.88</c:v>
                </c:pt>
                <c:pt idx="45">
                  <c:v>3925.64</c:v>
                </c:pt>
                <c:pt idx="46">
                  <c:v>3931.5</c:v>
                </c:pt>
                <c:pt idx="47">
                  <c:v>3961.4</c:v>
                </c:pt>
                <c:pt idx="48">
                  <c:v>3967.4</c:v>
                </c:pt>
                <c:pt idx="49">
                  <c:v>3967.4</c:v>
                </c:pt>
                <c:pt idx="50">
                  <c:v>3995.66</c:v>
                </c:pt>
                <c:pt idx="51">
                  <c:v>3838.72</c:v>
                </c:pt>
                <c:pt idx="52">
                  <c:v>3965.25</c:v>
                </c:pt>
                <c:pt idx="53">
                  <c:v>4042.4</c:v>
                </c:pt>
                <c:pt idx="54">
                  <c:v>4153.17</c:v>
                </c:pt>
                <c:pt idx="55">
                  <c:v>4140.0600000000004</c:v>
                </c:pt>
                <c:pt idx="56">
                  <c:v>4140.0600000000004</c:v>
                </c:pt>
                <c:pt idx="57">
                  <c:v>4129.43</c:v>
                </c:pt>
                <c:pt idx="58">
                  <c:v>4124.49</c:v>
                </c:pt>
                <c:pt idx="59">
                  <c:v>4146.2</c:v>
                </c:pt>
                <c:pt idx="60">
                  <c:v>4163.8</c:v>
                </c:pt>
                <c:pt idx="61">
                  <c:v>4167.01</c:v>
                </c:pt>
                <c:pt idx="62">
                  <c:v>4163.3100000000004</c:v>
                </c:pt>
                <c:pt idx="63">
                  <c:v>4163.3100000000004</c:v>
                </c:pt>
                <c:pt idx="64">
                  <c:v>4144.4799999999996</c:v>
                </c:pt>
                <c:pt idx="65">
                  <c:v>4094.7</c:v>
                </c:pt>
                <c:pt idx="66">
                  <c:v>4095.53</c:v>
                </c:pt>
                <c:pt idx="67">
                  <c:v>4140.1899999999996</c:v>
                </c:pt>
                <c:pt idx="68">
                  <c:v>4129.08</c:v>
                </c:pt>
                <c:pt idx="69">
                  <c:v>4119.8999999999996</c:v>
                </c:pt>
                <c:pt idx="70">
                  <c:v>4106.37</c:v>
                </c:pt>
                <c:pt idx="71">
                  <c:v>4090.5</c:v>
                </c:pt>
                <c:pt idx="72">
                  <c:v>4082.28</c:v>
                </c:pt>
                <c:pt idx="73">
                  <c:v>4082.28</c:v>
                </c:pt>
                <c:pt idx="74">
                  <c:v>4078.65</c:v>
                </c:pt>
                <c:pt idx="75">
                  <c:v>4049.27</c:v>
                </c:pt>
                <c:pt idx="76">
                  <c:v>4009.91</c:v>
                </c:pt>
                <c:pt idx="77">
                  <c:v>3955.21</c:v>
                </c:pt>
                <c:pt idx="78">
                  <c:v>3975.25</c:v>
                </c:pt>
                <c:pt idx="79">
                  <c:v>3963.67</c:v>
                </c:pt>
                <c:pt idx="80">
                  <c:v>3963.67</c:v>
                </c:pt>
                <c:pt idx="81">
                  <c:v>3993.09</c:v>
                </c:pt>
                <c:pt idx="82">
                  <c:v>3953.88</c:v>
                </c:pt>
                <c:pt idx="83">
                  <c:v>3972.87</c:v>
                </c:pt>
                <c:pt idx="84">
                  <c:v>3999.25</c:v>
                </c:pt>
                <c:pt idx="85">
                  <c:v>4047.22</c:v>
                </c:pt>
                <c:pt idx="86">
                  <c:v>4046.27</c:v>
                </c:pt>
                <c:pt idx="87">
                  <c:v>4046.27</c:v>
                </c:pt>
                <c:pt idx="88">
                  <c:v>4041.33</c:v>
                </c:pt>
                <c:pt idx="89">
                  <c:v>3995.01</c:v>
                </c:pt>
                <c:pt idx="90">
                  <c:v>4014.08</c:v>
                </c:pt>
                <c:pt idx="91">
                  <c:v>4044.19</c:v>
                </c:pt>
                <c:pt idx="92">
                  <c:v>4042.31</c:v>
                </c:pt>
                <c:pt idx="93">
                  <c:v>4037.98</c:v>
                </c:pt>
                <c:pt idx="94">
                  <c:v>4037.98</c:v>
                </c:pt>
                <c:pt idx="95">
                  <c:v>4030.02</c:v>
                </c:pt>
                <c:pt idx="96">
                  <c:v>4077.08</c:v>
                </c:pt>
                <c:pt idx="97">
                  <c:v>4077.07</c:v>
                </c:pt>
                <c:pt idx="98">
                  <c:v>4045.51</c:v>
                </c:pt>
                <c:pt idx="99">
                  <c:v>4064.07</c:v>
                </c:pt>
                <c:pt idx="100">
                  <c:v>4052</c:v>
                </c:pt>
                <c:pt idx="101">
                  <c:v>4052</c:v>
                </c:pt>
                <c:pt idx="102">
                  <c:v>4116.91</c:v>
                </c:pt>
                <c:pt idx="103">
                  <c:v>4155.3100000000004</c:v>
                </c:pt>
                <c:pt idx="104">
                  <c:v>4140.09</c:v>
                </c:pt>
                <c:pt idx="105">
                  <c:v>4148.24</c:v>
                </c:pt>
                <c:pt idx="106">
                  <c:v>4063.32</c:v>
                </c:pt>
                <c:pt idx="107">
                  <c:v>4057.55</c:v>
                </c:pt>
                <c:pt idx="108">
                  <c:v>4057.55</c:v>
                </c:pt>
                <c:pt idx="109">
                  <c:v>4073.83</c:v>
                </c:pt>
                <c:pt idx="110">
                  <c:v>4046.96</c:v>
                </c:pt>
                <c:pt idx="111">
                  <c:v>4038.46</c:v>
                </c:pt>
                <c:pt idx="112">
                  <c:v>4037.16</c:v>
                </c:pt>
                <c:pt idx="113">
                  <c:v>4014.8</c:v>
                </c:pt>
                <c:pt idx="114">
                  <c:v>3999.63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0-49B5-936A-4D0D158A972C}"/>
            </c:ext>
          </c:extLst>
        </c:ser>
        <c:ser>
          <c:idx val="1"/>
          <c:order val="1"/>
          <c:tx>
            <c:strRef>
              <c:f>CRIPTOS!$D$2</c:f>
              <c:strCache>
                <c:ptCount val="1"/>
                <c:pt idx="0">
                  <c:v>BITCOIN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CRIPTOS!$B$3:$B$117</c:f>
              <c:numCache>
                <c:formatCode>m/d/yyyy</c:formatCode>
                <c:ptCount val="115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</c:numCache>
            </c:numRef>
          </c:cat>
          <c:val>
            <c:numRef>
              <c:f>CRIPTOS!$D$3:$D$117</c:f>
              <c:numCache>
                <c:formatCode>_-[$$-240A]\ * #,##0.00_-;\-[$$-240A]\ * #,##0.00_-;_-[$$-240A]\ * "-"??_-;_-@_-</c:formatCode>
                <c:ptCount val="115"/>
                <c:pt idx="0">
                  <c:v>66429</c:v>
                </c:pt>
                <c:pt idx="1">
                  <c:v>66429</c:v>
                </c:pt>
                <c:pt idx="2">
                  <c:v>66651</c:v>
                </c:pt>
                <c:pt idx="3">
                  <c:v>64247</c:v>
                </c:pt>
                <c:pt idx="4">
                  <c:v>64262</c:v>
                </c:pt>
                <c:pt idx="5">
                  <c:v>64262</c:v>
                </c:pt>
                <c:pt idx="6">
                  <c:v>64262</c:v>
                </c:pt>
                <c:pt idx="7">
                  <c:v>62651</c:v>
                </c:pt>
                <c:pt idx="8">
                  <c:v>63665</c:v>
                </c:pt>
                <c:pt idx="9">
                  <c:v>60239</c:v>
                </c:pt>
                <c:pt idx="10">
                  <c:v>57733</c:v>
                </c:pt>
                <c:pt idx="11">
                  <c:v>59715</c:v>
                </c:pt>
                <c:pt idx="12">
                  <c:v>59715</c:v>
                </c:pt>
                <c:pt idx="13">
                  <c:v>59715</c:v>
                </c:pt>
                <c:pt idx="14">
                  <c:v>64047</c:v>
                </c:pt>
                <c:pt idx="15">
                  <c:v>63488</c:v>
                </c:pt>
                <c:pt idx="16">
                  <c:v>62410</c:v>
                </c:pt>
                <c:pt idx="17">
                  <c:v>61611</c:v>
                </c:pt>
                <c:pt idx="18">
                  <c:v>63035</c:v>
                </c:pt>
                <c:pt idx="19">
                  <c:v>63035</c:v>
                </c:pt>
                <c:pt idx="20">
                  <c:v>63035</c:v>
                </c:pt>
                <c:pt idx="21">
                  <c:v>61620</c:v>
                </c:pt>
                <c:pt idx="22">
                  <c:v>62663</c:v>
                </c:pt>
                <c:pt idx="23">
                  <c:v>62058</c:v>
                </c:pt>
                <c:pt idx="24">
                  <c:v>65932</c:v>
                </c:pt>
                <c:pt idx="25">
                  <c:v>65932</c:v>
                </c:pt>
                <c:pt idx="26">
                  <c:v>65932</c:v>
                </c:pt>
                <c:pt idx="27">
                  <c:v>65932</c:v>
                </c:pt>
                <c:pt idx="28">
                  <c:v>71061</c:v>
                </c:pt>
                <c:pt idx="29">
                  <c:v>69820.39</c:v>
                </c:pt>
                <c:pt idx="30">
                  <c:v>71061</c:v>
                </c:pt>
                <c:pt idx="31">
                  <c:v>69820.39</c:v>
                </c:pt>
                <c:pt idx="32">
                  <c:v>67894.8</c:v>
                </c:pt>
                <c:pt idx="33">
                  <c:v>68270.3</c:v>
                </c:pt>
                <c:pt idx="34">
                  <c:v>69162.5</c:v>
                </c:pt>
                <c:pt idx="35">
                  <c:v>69068.899999999994</c:v>
                </c:pt>
                <c:pt idx="36">
                  <c:v>69906.399999999994</c:v>
                </c:pt>
                <c:pt idx="37">
                  <c:v>68284.7</c:v>
                </c:pt>
                <c:pt idx="38">
                  <c:v>67458.899999999994</c:v>
                </c:pt>
                <c:pt idx="39">
                  <c:v>69144.5</c:v>
                </c:pt>
                <c:pt idx="40">
                  <c:v>68269.22</c:v>
                </c:pt>
                <c:pt idx="41">
                  <c:v>67839.77</c:v>
                </c:pt>
                <c:pt idx="42">
                  <c:v>68409.16</c:v>
                </c:pt>
                <c:pt idx="43">
                  <c:v>68500.160000000003</c:v>
                </c:pt>
                <c:pt idx="44">
                  <c:v>69306.850000000006</c:v>
                </c:pt>
                <c:pt idx="45">
                  <c:v>71131.899999999994</c:v>
                </c:pt>
                <c:pt idx="46">
                  <c:v>70947</c:v>
                </c:pt>
                <c:pt idx="47">
                  <c:v>69485.8</c:v>
                </c:pt>
                <c:pt idx="48">
                  <c:v>69204</c:v>
                </c:pt>
                <c:pt idx="49">
                  <c:v>69813.7</c:v>
                </c:pt>
                <c:pt idx="50">
                  <c:v>69276</c:v>
                </c:pt>
                <c:pt idx="51">
                  <c:v>67166</c:v>
                </c:pt>
                <c:pt idx="52">
                  <c:v>68264</c:v>
                </c:pt>
                <c:pt idx="53">
                  <c:v>66943</c:v>
                </c:pt>
                <c:pt idx="54">
                  <c:v>66113</c:v>
                </c:pt>
                <c:pt idx="55">
                  <c:v>66136.259999999995</c:v>
                </c:pt>
                <c:pt idx="56">
                  <c:v>66445.600000000006</c:v>
                </c:pt>
                <c:pt idx="57">
                  <c:v>66469.899999999994</c:v>
                </c:pt>
                <c:pt idx="58">
                  <c:v>65432.12</c:v>
                </c:pt>
                <c:pt idx="59">
                  <c:v>65172.6</c:v>
                </c:pt>
                <c:pt idx="60">
                  <c:v>64627.6</c:v>
                </c:pt>
                <c:pt idx="61">
                  <c:v>64265.599999999999</c:v>
                </c:pt>
                <c:pt idx="62">
                  <c:v>64384</c:v>
                </c:pt>
                <c:pt idx="63">
                  <c:v>63211.3</c:v>
                </c:pt>
                <c:pt idx="64">
                  <c:v>61441.2</c:v>
                </c:pt>
                <c:pt idx="65">
                  <c:v>61993.7</c:v>
                </c:pt>
                <c:pt idx="66">
                  <c:v>61003.7</c:v>
                </c:pt>
                <c:pt idx="67">
                  <c:v>61413.599999999999</c:v>
                </c:pt>
                <c:pt idx="68">
                  <c:v>60973.4</c:v>
                </c:pt>
                <c:pt idx="69">
                  <c:v>59061.1</c:v>
                </c:pt>
                <c:pt idx="70">
                  <c:v>55446.6</c:v>
                </c:pt>
                <c:pt idx="71">
                  <c:v>56219.6</c:v>
                </c:pt>
                <c:pt idx="72">
                  <c:v>57945.2</c:v>
                </c:pt>
                <c:pt idx="73">
                  <c:v>55221.3</c:v>
                </c:pt>
                <c:pt idx="74">
                  <c:v>57094.400000000001</c:v>
                </c:pt>
                <c:pt idx="75">
                  <c:v>57712.4</c:v>
                </c:pt>
                <c:pt idx="76">
                  <c:v>57603.8</c:v>
                </c:pt>
                <c:pt idx="77">
                  <c:v>57474.5</c:v>
                </c:pt>
                <c:pt idx="78">
                  <c:v>58298.6</c:v>
                </c:pt>
                <c:pt idx="79">
                  <c:v>58849.3</c:v>
                </c:pt>
                <c:pt idx="80">
                  <c:v>60034.5</c:v>
                </c:pt>
                <c:pt idx="81">
                  <c:v>62959.9</c:v>
                </c:pt>
                <c:pt idx="82">
                  <c:v>65801.899999999994</c:v>
                </c:pt>
                <c:pt idx="83">
                  <c:v>64680.7</c:v>
                </c:pt>
                <c:pt idx="84">
                  <c:v>63807.07</c:v>
                </c:pt>
                <c:pt idx="85">
                  <c:v>66691.899999999994</c:v>
                </c:pt>
                <c:pt idx="86">
                  <c:v>66500</c:v>
                </c:pt>
                <c:pt idx="87">
                  <c:v>67922</c:v>
                </c:pt>
                <c:pt idx="88">
                  <c:v>67584.800000000003</c:v>
                </c:pt>
                <c:pt idx="89">
                  <c:v>66098.2</c:v>
                </c:pt>
                <c:pt idx="90">
                  <c:v>66001.73</c:v>
                </c:pt>
                <c:pt idx="91">
                  <c:v>67119.75</c:v>
                </c:pt>
                <c:pt idx="92">
                  <c:v>67984.95</c:v>
                </c:pt>
                <c:pt idx="93">
                  <c:v>69261.740000000005</c:v>
                </c:pt>
                <c:pt idx="94">
                  <c:v>67994.039999999994</c:v>
                </c:pt>
                <c:pt idx="95">
                  <c:v>67509.06</c:v>
                </c:pt>
                <c:pt idx="96">
                  <c:v>66507.94</c:v>
                </c:pt>
                <c:pt idx="97">
                  <c:v>64820</c:v>
                </c:pt>
                <c:pt idx="98">
                  <c:v>64080</c:v>
                </c:pt>
                <c:pt idx="99">
                  <c:v>63407.6</c:v>
                </c:pt>
                <c:pt idx="100">
                  <c:v>61257.3</c:v>
                </c:pt>
                <c:pt idx="101">
                  <c:v>60700</c:v>
                </c:pt>
                <c:pt idx="102">
                  <c:v>53674.2</c:v>
                </c:pt>
                <c:pt idx="103">
                  <c:v>56479.199999999997</c:v>
                </c:pt>
                <c:pt idx="104">
                  <c:v>54972.800000000003</c:v>
                </c:pt>
                <c:pt idx="105">
                  <c:v>61685.99</c:v>
                </c:pt>
                <c:pt idx="106">
                  <c:v>60441.57</c:v>
                </c:pt>
                <c:pt idx="107">
                  <c:v>60551.9</c:v>
                </c:pt>
                <c:pt idx="108">
                  <c:v>60509.9</c:v>
                </c:pt>
                <c:pt idx="109">
                  <c:v>59274.9</c:v>
                </c:pt>
                <c:pt idx="110">
                  <c:v>60747.1</c:v>
                </c:pt>
                <c:pt idx="111">
                  <c:v>58409.9</c:v>
                </c:pt>
                <c:pt idx="112">
                  <c:v>57582.6</c:v>
                </c:pt>
                <c:pt idx="113">
                  <c:v>58716</c:v>
                </c:pt>
                <c:pt idx="114">
                  <c:v>59598.2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0-49B5-936A-4D0D158A972C}"/>
            </c:ext>
          </c:extLst>
        </c:ser>
        <c:ser>
          <c:idx val="2"/>
          <c:order val="2"/>
          <c:tx>
            <c:strRef>
              <c:f>CRIPTOS!$E$2</c:f>
              <c:strCache>
                <c:ptCount val="1"/>
                <c:pt idx="0">
                  <c:v>io.net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CRIPTOS!$B$3:$B$117</c:f>
              <c:numCache>
                <c:formatCode>m/d/yyyy</c:formatCode>
                <c:ptCount val="115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</c:numCache>
            </c:numRef>
          </c:cat>
          <c:val>
            <c:numRef>
              <c:f>CRIPTOS!$E$3:$E$117</c:f>
              <c:numCache>
                <c:formatCode>_-[$$-240A]\ * #,##0.00_-;\-[$$-240A]\ * #,##0.00_-;_-[$$-240A]\ * "-"??_-;_-@_-</c:formatCode>
                <c:ptCount val="115"/>
                <c:pt idx="52">
                  <c:v>5.68</c:v>
                </c:pt>
                <c:pt idx="53">
                  <c:v>4.9000000000000004</c:v>
                </c:pt>
                <c:pt idx="54">
                  <c:v>4.9800000000000004</c:v>
                </c:pt>
                <c:pt idx="55">
                  <c:v>5.35</c:v>
                </c:pt>
                <c:pt idx="56">
                  <c:v>4.28</c:v>
                </c:pt>
                <c:pt idx="57">
                  <c:v>4.2300000000000004</c:v>
                </c:pt>
                <c:pt idx="58">
                  <c:v>3.94</c:v>
                </c:pt>
                <c:pt idx="59">
                  <c:v>3.93</c:v>
                </c:pt>
                <c:pt idx="60">
                  <c:v>4</c:v>
                </c:pt>
                <c:pt idx="61">
                  <c:v>3.89</c:v>
                </c:pt>
                <c:pt idx="62">
                  <c:v>3.77</c:v>
                </c:pt>
                <c:pt idx="63">
                  <c:v>3.27</c:v>
                </c:pt>
                <c:pt idx="64">
                  <c:v>3.4</c:v>
                </c:pt>
                <c:pt idx="65">
                  <c:v>3.56</c:v>
                </c:pt>
                <c:pt idx="66">
                  <c:v>3.52</c:v>
                </c:pt>
                <c:pt idx="67">
                  <c:v>3.67</c:v>
                </c:pt>
                <c:pt idx="68">
                  <c:v>2.83</c:v>
                </c:pt>
                <c:pt idx="69">
                  <c:v>2.7</c:v>
                </c:pt>
                <c:pt idx="70">
                  <c:v>2.0299999999999998</c:v>
                </c:pt>
                <c:pt idx="71">
                  <c:v>2.11</c:v>
                </c:pt>
                <c:pt idx="72">
                  <c:v>2.39</c:v>
                </c:pt>
                <c:pt idx="73">
                  <c:v>2.09</c:v>
                </c:pt>
                <c:pt idx="74">
                  <c:v>2.29</c:v>
                </c:pt>
                <c:pt idx="75">
                  <c:v>2.29</c:v>
                </c:pt>
                <c:pt idx="76">
                  <c:v>2.37</c:v>
                </c:pt>
                <c:pt idx="77">
                  <c:v>2.4900000000000002</c:v>
                </c:pt>
                <c:pt idx="78">
                  <c:v>2.62</c:v>
                </c:pt>
                <c:pt idx="79">
                  <c:v>2.4</c:v>
                </c:pt>
                <c:pt idx="80">
                  <c:v>2.4</c:v>
                </c:pt>
                <c:pt idx="81">
                  <c:v>2.6</c:v>
                </c:pt>
                <c:pt idx="82">
                  <c:v>2.76</c:v>
                </c:pt>
                <c:pt idx="83">
                  <c:v>2.76</c:v>
                </c:pt>
                <c:pt idx="84">
                  <c:v>2.93</c:v>
                </c:pt>
                <c:pt idx="85">
                  <c:v>2.92</c:v>
                </c:pt>
                <c:pt idx="86">
                  <c:v>3.01</c:v>
                </c:pt>
                <c:pt idx="87">
                  <c:v>3.03</c:v>
                </c:pt>
                <c:pt idx="88">
                  <c:v>2.81</c:v>
                </c:pt>
                <c:pt idx="89">
                  <c:v>2.65</c:v>
                </c:pt>
                <c:pt idx="90">
                  <c:v>2.74</c:v>
                </c:pt>
                <c:pt idx="91">
                  <c:v>2.79</c:v>
                </c:pt>
                <c:pt idx="92">
                  <c:v>2.98</c:v>
                </c:pt>
                <c:pt idx="93">
                  <c:v>2.99</c:v>
                </c:pt>
                <c:pt idx="94">
                  <c:v>2.98</c:v>
                </c:pt>
                <c:pt idx="95">
                  <c:v>2.77</c:v>
                </c:pt>
                <c:pt idx="96">
                  <c:v>2.68</c:v>
                </c:pt>
                <c:pt idx="97">
                  <c:v>2.44</c:v>
                </c:pt>
                <c:pt idx="98">
                  <c:v>2.21</c:v>
                </c:pt>
                <c:pt idx="99">
                  <c:v>2.0299999999999998</c:v>
                </c:pt>
                <c:pt idx="100">
                  <c:v>1.89</c:v>
                </c:pt>
                <c:pt idx="101">
                  <c:v>1.83</c:v>
                </c:pt>
                <c:pt idx="102">
                  <c:v>1.5</c:v>
                </c:pt>
                <c:pt idx="103">
                  <c:v>1.77</c:v>
                </c:pt>
                <c:pt idx="104">
                  <c:v>1.6</c:v>
                </c:pt>
                <c:pt idx="105">
                  <c:v>1.9</c:v>
                </c:pt>
                <c:pt idx="106">
                  <c:v>1.66</c:v>
                </c:pt>
                <c:pt idx="107">
                  <c:v>1.67</c:v>
                </c:pt>
                <c:pt idx="108">
                  <c:v>1.61</c:v>
                </c:pt>
                <c:pt idx="109">
                  <c:v>1.59</c:v>
                </c:pt>
                <c:pt idx="110">
                  <c:v>1.64</c:v>
                </c:pt>
                <c:pt idx="111">
                  <c:v>1.66</c:v>
                </c:pt>
                <c:pt idx="112">
                  <c:v>1.57</c:v>
                </c:pt>
                <c:pt idx="113">
                  <c:v>1.62</c:v>
                </c:pt>
                <c:pt idx="114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0-49B5-936A-4D0D158A972C}"/>
            </c:ext>
          </c:extLst>
        </c:ser>
        <c:ser>
          <c:idx val="3"/>
          <c:order val="3"/>
          <c:tx>
            <c:strRef>
              <c:f>CRIPTOS!$F$2</c:f>
              <c:strCache>
                <c:ptCount val="1"/>
                <c:pt idx="0">
                  <c:v>ETHEREUM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CRIPTOS!$B$3:$B$117</c:f>
              <c:numCache>
                <c:formatCode>m/d/yyyy</c:formatCode>
                <c:ptCount val="115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</c:numCache>
            </c:numRef>
          </c:cat>
          <c:val>
            <c:numRef>
              <c:f>CRIPTOS!$F$3:$F$117</c:f>
              <c:numCache>
                <c:formatCode>_-[$$-240A]\ * #,##0.00_-;\-[$$-240A]\ * #,##0.00_-;_-[$$-240A]\ * "-"??_-;_-@_-</c:formatCode>
                <c:ptCount val="115"/>
                <c:pt idx="45">
                  <c:v>3865.9</c:v>
                </c:pt>
                <c:pt idx="46">
                  <c:v>3801.31</c:v>
                </c:pt>
                <c:pt idx="47">
                  <c:v>3688.46</c:v>
                </c:pt>
                <c:pt idx="48">
                  <c:v>3669.88</c:v>
                </c:pt>
                <c:pt idx="49">
                  <c:v>3706.5</c:v>
                </c:pt>
                <c:pt idx="50">
                  <c:v>3669.68</c:v>
                </c:pt>
                <c:pt idx="51">
                  <c:v>3488.53</c:v>
                </c:pt>
                <c:pt idx="52">
                  <c:v>3562.81</c:v>
                </c:pt>
                <c:pt idx="53">
                  <c:v>3483.94</c:v>
                </c:pt>
                <c:pt idx="54">
                  <c:v>3513.24</c:v>
                </c:pt>
                <c:pt idx="55">
                  <c:v>3536.35</c:v>
                </c:pt>
                <c:pt idx="56">
                  <c:v>3552.76</c:v>
                </c:pt>
                <c:pt idx="57">
                  <c:v>3505.79</c:v>
                </c:pt>
                <c:pt idx="58">
                  <c:v>3550.4</c:v>
                </c:pt>
                <c:pt idx="59">
                  <c:v>3546.75</c:v>
                </c:pt>
                <c:pt idx="60">
                  <c:v>3502.79</c:v>
                </c:pt>
                <c:pt idx="61">
                  <c:v>3504.63</c:v>
                </c:pt>
                <c:pt idx="62">
                  <c:v>3517.46</c:v>
                </c:pt>
                <c:pt idx="63">
                  <c:v>3417.88</c:v>
                </c:pt>
                <c:pt idx="64">
                  <c:v>3377.81</c:v>
                </c:pt>
                <c:pt idx="65">
                  <c:v>3409.31</c:v>
                </c:pt>
                <c:pt idx="66">
                  <c:v>3388.2</c:v>
                </c:pt>
                <c:pt idx="67">
                  <c:v>3444.26</c:v>
                </c:pt>
                <c:pt idx="68">
                  <c:v>3359.03</c:v>
                </c:pt>
                <c:pt idx="69">
                  <c:v>3241.13</c:v>
                </c:pt>
                <c:pt idx="70">
                  <c:v>2930.85</c:v>
                </c:pt>
                <c:pt idx="71">
                  <c:v>2969.23</c:v>
                </c:pt>
                <c:pt idx="72">
                  <c:v>3043.45</c:v>
                </c:pt>
                <c:pt idx="73">
                  <c:v>2887.08</c:v>
                </c:pt>
                <c:pt idx="74">
                  <c:v>3055</c:v>
                </c:pt>
                <c:pt idx="75">
                  <c:v>3064.35</c:v>
                </c:pt>
                <c:pt idx="76">
                  <c:v>3105.54</c:v>
                </c:pt>
                <c:pt idx="77">
                  <c:v>3113.12</c:v>
                </c:pt>
                <c:pt idx="78">
                  <c:v>3132.19</c:v>
                </c:pt>
                <c:pt idx="79">
                  <c:v>3157.26</c:v>
                </c:pt>
                <c:pt idx="80">
                  <c:v>3204.71</c:v>
                </c:pt>
                <c:pt idx="81">
                  <c:v>3458.1</c:v>
                </c:pt>
                <c:pt idx="82">
                  <c:v>3486.6</c:v>
                </c:pt>
                <c:pt idx="83">
                  <c:v>3454.6</c:v>
                </c:pt>
                <c:pt idx="84">
                  <c:v>3417.6</c:v>
                </c:pt>
                <c:pt idx="85">
                  <c:v>3503.6</c:v>
                </c:pt>
                <c:pt idx="86">
                  <c:v>3487.95</c:v>
                </c:pt>
                <c:pt idx="87">
                  <c:v>3515.71</c:v>
                </c:pt>
                <c:pt idx="88">
                  <c:v>3476.12</c:v>
                </c:pt>
                <c:pt idx="89">
                  <c:v>3416.83</c:v>
                </c:pt>
                <c:pt idx="90">
                  <c:v>3373.7</c:v>
                </c:pt>
                <c:pt idx="91">
                  <c:v>3245</c:v>
                </c:pt>
                <c:pt idx="92">
                  <c:v>3264.6</c:v>
                </c:pt>
                <c:pt idx="93">
                  <c:v>3319.84</c:v>
                </c:pt>
                <c:pt idx="94">
                  <c:v>3253.7</c:v>
                </c:pt>
                <c:pt idx="95">
                  <c:v>3343.8</c:v>
                </c:pt>
                <c:pt idx="96">
                  <c:v>3328.4</c:v>
                </c:pt>
                <c:pt idx="97">
                  <c:v>3230.4</c:v>
                </c:pt>
                <c:pt idx="98">
                  <c:v>3150.45</c:v>
                </c:pt>
                <c:pt idx="99">
                  <c:v>2999.7</c:v>
                </c:pt>
                <c:pt idx="100">
                  <c:v>2964.1</c:v>
                </c:pt>
                <c:pt idx="101">
                  <c:v>2917.9</c:v>
                </c:pt>
                <c:pt idx="102">
                  <c:v>2400.77</c:v>
                </c:pt>
                <c:pt idx="103">
                  <c:v>2544.6999999999998</c:v>
                </c:pt>
                <c:pt idx="104">
                  <c:v>2354.17</c:v>
                </c:pt>
                <c:pt idx="105">
                  <c:v>2683.9</c:v>
                </c:pt>
                <c:pt idx="106">
                  <c:v>2605.6</c:v>
                </c:pt>
                <c:pt idx="107">
                  <c:v>2599.52</c:v>
                </c:pt>
                <c:pt idx="108">
                  <c:v>2646.52</c:v>
                </c:pt>
                <c:pt idx="109">
                  <c:v>2605.27</c:v>
                </c:pt>
                <c:pt idx="110">
                  <c:v>2706.9</c:v>
                </c:pt>
                <c:pt idx="111">
                  <c:v>2650.94</c:v>
                </c:pt>
                <c:pt idx="112">
                  <c:v>2572.8000000000002</c:v>
                </c:pt>
                <c:pt idx="113">
                  <c:v>2610.4</c:v>
                </c:pt>
                <c:pt idx="114">
                  <c:v>2622.8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7-45B2-BF71-1C562316B80A}"/>
            </c:ext>
          </c:extLst>
        </c:ser>
        <c:ser>
          <c:idx val="4"/>
          <c:order val="4"/>
          <c:tx>
            <c:strRef>
              <c:f>CRIPTOS!$G$2</c:f>
              <c:strCache>
                <c:ptCount val="1"/>
                <c:pt idx="0">
                  <c:v>USDT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CRIPTOS!$B$3:$B$117</c:f>
              <c:numCache>
                <c:formatCode>m/d/yyyy</c:formatCode>
                <c:ptCount val="115"/>
                <c:pt idx="0">
                  <c:v>45404</c:v>
                </c:pt>
                <c:pt idx="1">
                  <c:v>45405</c:v>
                </c:pt>
                <c:pt idx="2">
                  <c:v>45406</c:v>
                </c:pt>
                <c:pt idx="3">
                  <c:v>45407</c:v>
                </c:pt>
                <c:pt idx="4">
                  <c:v>45408</c:v>
                </c:pt>
                <c:pt idx="5">
                  <c:v>45409</c:v>
                </c:pt>
                <c:pt idx="6">
                  <c:v>45410</c:v>
                </c:pt>
                <c:pt idx="7">
                  <c:v>45411</c:v>
                </c:pt>
                <c:pt idx="8">
                  <c:v>45412</c:v>
                </c:pt>
                <c:pt idx="9">
                  <c:v>45413</c:v>
                </c:pt>
                <c:pt idx="10">
                  <c:v>45414</c:v>
                </c:pt>
                <c:pt idx="11">
                  <c:v>45415</c:v>
                </c:pt>
                <c:pt idx="12">
                  <c:v>45416</c:v>
                </c:pt>
                <c:pt idx="13">
                  <c:v>45417</c:v>
                </c:pt>
                <c:pt idx="14">
                  <c:v>45418</c:v>
                </c:pt>
                <c:pt idx="15">
                  <c:v>45419</c:v>
                </c:pt>
                <c:pt idx="16">
                  <c:v>45420</c:v>
                </c:pt>
                <c:pt idx="17">
                  <c:v>45421</c:v>
                </c:pt>
                <c:pt idx="18">
                  <c:v>45422</c:v>
                </c:pt>
                <c:pt idx="19">
                  <c:v>45423</c:v>
                </c:pt>
                <c:pt idx="20">
                  <c:v>45424</c:v>
                </c:pt>
                <c:pt idx="21">
                  <c:v>45425</c:v>
                </c:pt>
                <c:pt idx="22">
                  <c:v>45426</c:v>
                </c:pt>
                <c:pt idx="23">
                  <c:v>45427</c:v>
                </c:pt>
                <c:pt idx="24">
                  <c:v>45428</c:v>
                </c:pt>
                <c:pt idx="25">
                  <c:v>45429</c:v>
                </c:pt>
                <c:pt idx="26">
                  <c:v>45430</c:v>
                </c:pt>
                <c:pt idx="27">
                  <c:v>45431</c:v>
                </c:pt>
                <c:pt idx="28">
                  <c:v>45432</c:v>
                </c:pt>
                <c:pt idx="29">
                  <c:v>45432</c:v>
                </c:pt>
                <c:pt idx="30">
                  <c:v>45433</c:v>
                </c:pt>
                <c:pt idx="31">
                  <c:v>45434</c:v>
                </c:pt>
                <c:pt idx="32">
                  <c:v>45435</c:v>
                </c:pt>
                <c:pt idx="33">
                  <c:v>45436</c:v>
                </c:pt>
                <c:pt idx="34">
                  <c:v>45437</c:v>
                </c:pt>
                <c:pt idx="35">
                  <c:v>45438</c:v>
                </c:pt>
                <c:pt idx="36">
                  <c:v>45439</c:v>
                </c:pt>
                <c:pt idx="37">
                  <c:v>45440</c:v>
                </c:pt>
                <c:pt idx="38">
                  <c:v>45441</c:v>
                </c:pt>
                <c:pt idx="39">
                  <c:v>45442</c:v>
                </c:pt>
                <c:pt idx="40">
                  <c:v>45443</c:v>
                </c:pt>
                <c:pt idx="41">
                  <c:v>45444</c:v>
                </c:pt>
                <c:pt idx="42">
                  <c:v>45445</c:v>
                </c:pt>
                <c:pt idx="43">
                  <c:v>45446</c:v>
                </c:pt>
                <c:pt idx="44">
                  <c:v>45447</c:v>
                </c:pt>
                <c:pt idx="45">
                  <c:v>45448</c:v>
                </c:pt>
                <c:pt idx="46">
                  <c:v>45449</c:v>
                </c:pt>
                <c:pt idx="47">
                  <c:v>45450</c:v>
                </c:pt>
                <c:pt idx="48">
                  <c:v>45451</c:v>
                </c:pt>
                <c:pt idx="49">
                  <c:v>45452</c:v>
                </c:pt>
                <c:pt idx="50">
                  <c:v>45453</c:v>
                </c:pt>
                <c:pt idx="51">
                  <c:v>45454</c:v>
                </c:pt>
                <c:pt idx="52">
                  <c:v>45455</c:v>
                </c:pt>
                <c:pt idx="53">
                  <c:v>45456</c:v>
                </c:pt>
                <c:pt idx="54">
                  <c:v>45457</c:v>
                </c:pt>
                <c:pt idx="55">
                  <c:v>45458</c:v>
                </c:pt>
                <c:pt idx="56">
                  <c:v>45459</c:v>
                </c:pt>
                <c:pt idx="57">
                  <c:v>45460</c:v>
                </c:pt>
                <c:pt idx="58">
                  <c:v>45461</c:v>
                </c:pt>
                <c:pt idx="59">
                  <c:v>45462</c:v>
                </c:pt>
                <c:pt idx="60">
                  <c:v>45463</c:v>
                </c:pt>
                <c:pt idx="61">
                  <c:v>45464</c:v>
                </c:pt>
                <c:pt idx="62">
                  <c:v>45465</c:v>
                </c:pt>
                <c:pt idx="63">
                  <c:v>45466</c:v>
                </c:pt>
                <c:pt idx="64">
                  <c:v>45467</c:v>
                </c:pt>
                <c:pt idx="65">
                  <c:v>45468</c:v>
                </c:pt>
                <c:pt idx="66">
                  <c:v>45469</c:v>
                </c:pt>
                <c:pt idx="67">
                  <c:v>45470</c:v>
                </c:pt>
                <c:pt idx="68">
                  <c:v>45475</c:v>
                </c:pt>
                <c:pt idx="69">
                  <c:v>45476</c:v>
                </c:pt>
                <c:pt idx="70">
                  <c:v>45477</c:v>
                </c:pt>
                <c:pt idx="71">
                  <c:v>45478</c:v>
                </c:pt>
                <c:pt idx="72">
                  <c:v>45479</c:v>
                </c:pt>
                <c:pt idx="73">
                  <c:v>45480</c:v>
                </c:pt>
                <c:pt idx="74">
                  <c:v>45481</c:v>
                </c:pt>
                <c:pt idx="75">
                  <c:v>45482</c:v>
                </c:pt>
                <c:pt idx="76">
                  <c:v>45483</c:v>
                </c:pt>
                <c:pt idx="77">
                  <c:v>45484</c:v>
                </c:pt>
                <c:pt idx="78">
                  <c:v>45485</c:v>
                </c:pt>
                <c:pt idx="79">
                  <c:v>45486</c:v>
                </c:pt>
                <c:pt idx="80">
                  <c:v>45487</c:v>
                </c:pt>
                <c:pt idx="81">
                  <c:v>45488</c:v>
                </c:pt>
                <c:pt idx="82">
                  <c:v>45489</c:v>
                </c:pt>
                <c:pt idx="83">
                  <c:v>45490</c:v>
                </c:pt>
                <c:pt idx="84">
                  <c:v>45491</c:v>
                </c:pt>
                <c:pt idx="85">
                  <c:v>45492</c:v>
                </c:pt>
                <c:pt idx="86">
                  <c:v>45493</c:v>
                </c:pt>
                <c:pt idx="87">
                  <c:v>45494</c:v>
                </c:pt>
                <c:pt idx="88">
                  <c:v>45495</c:v>
                </c:pt>
                <c:pt idx="89">
                  <c:v>45496</c:v>
                </c:pt>
                <c:pt idx="90">
                  <c:v>45497</c:v>
                </c:pt>
                <c:pt idx="91">
                  <c:v>45498</c:v>
                </c:pt>
                <c:pt idx="92">
                  <c:v>45499</c:v>
                </c:pt>
                <c:pt idx="93">
                  <c:v>45500</c:v>
                </c:pt>
                <c:pt idx="94">
                  <c:v>45501</c:v>
                </c:pt>
                <c:pt idx="95">
                  <c:v>45502</c:v>
                </c:pt>
                <c:pt idx="96">
                  <c:v>45503</c:v>
                </c:pt>
                <c:pt idx="97">
                  <c:v>45504</c:v>
                </c:pt>
                <c:pt idx="98">
                  <c:v>45505</c:v>
                </c:pt>
                <c:pt idx="99">
                  <c:v>45506</c:v>
                </c:pt>
                <c:pt idx="100">
                  <c:v>45507</c:v>
                </c:pt>
                <c:pt idx="101">
                  <c:v>45508</c:v>
                </c:pt>
                <c:pt idx="102">
                  <c:v>45509</c:v>
                </c:pt>
                <c:pt idx="103">
                  <c:v>45510</c:v>
                </c:pt>
                <c:pt idx="104">
                  <c:v>45511</c:v>
                </c:pt>
                <c:pt idx="105">
                  <c:v>45512</c:v>
                </c:pt>
                <c:pt idx="106">
                  <c:v>45513</c:v>
                </c:pt>
                <c:pt idx="107">
                  <c:v>45514</c:v>
                </c:pt>
                <c:pt idx="108">
                  <c:v>45515</c:v>
                </c:pt>
                <c:pt idx="109">
                  <c:v>45516</c:v>
                </c:pt>
                <c:pt idx="110">
                  <c:v>45517</c:v>
                </c:pt>
                <c:pt idx="111">
                  <c:v>45518</c:v>
                </c:pt>
                <c:pt idx="112">
                  <c:v>45519</c:v>
                </c:pt>
                <c:pt idx="113">
                  <c:v>45520</c:v>
                </c:pt>
                <c:pt idx="114">
                  <c:v>45521</c:v>
                </c:pt>
              </c:numCache>
            </c:numRef>
          </c:cat>
          <c:val>
            <c:numRef>
              <c:f>CRIPTOS!$G$3:$G$117</c:f>
              <c:numCache>
                <c:formatCode>_-[$$-240A]\ * #,##0.00_-;\-[$$-240A]\ * #,##0.00_-;_-[$$-240A]\ * "-"??_-;_-@_-</c:formatCode>
                <c:ptCount val="115"/>
                <c:pt idx="89">
                  <c:v>3956</c:v>
                </c:pt>
                <c:pt idx="90">
                  <c:v>3983</c:v>
                </c:pt>
                <c:pt idx="91">
                  <c:v>3969</c:v>
                </c:pt>
                <c:pt idx="92">
                  <c:v>3950</c:v>
                </c:pt>
                <c:pt idx="93">
                  <c:v>3924.76</c:v>
                </c:pt>
                <c:pt idx="94">
                  <c:v>3960</c:v>
                </c:pt>
                <c:pt idx="95">
                  <c:v>4000</c:v>
                </c:pt>
                <c:pt idx="96">
                  <c:v>4021</c:v>
                </c:pt>
                <c:pt idx="97">
                  <c:v>3992</c:v>
                </c:pt>
                <c:pt idx="98">
                  <c:v>4004</c:v>
                </c:pt>
                <c:pt idx="99">
                  <c:v>4072</c:v>
                </c:pt>
                <c:pt idx="100">
                  <c:v>4074</c:v>
                </c:pt>
                <c:pt idx="101">
                  <c:v>4070</c:v>
                </c:pt>
                <c:pt idx="102">
                  <c:v>4179</c:v>
                </c:pt>
                <c:pt idx="103">
                  <c:v>4099</c:v>
                </c:pt>
                <c:pt idx="104">
                  <c:v>4080</c:v>
                </c:pt>
                <c:pt idx="105">
                  <c:v>4020</c:v>
                </c:pt>
                <c:pt idx="106">
                  <c:v>4014</c:v>
                </c:pt>
                <c:pt idx="107">
                  <c:v>4021</c:v>
                </c:pt>
                <c:pt idx="108">
                  <c:v>4002</c:v>
                </c:pt>
                <c:pt idx="109">
                  <c:v>4043.31</c:v>
                </c:pt>
                <c:pt idx="110">
                  <c:v>3980</c:v>
                </c:pt>
                <c:pt idx="111">
                  <c:v>3965</c:v>
                </c:pt>
                <c:pt idx="112">
                  <c:v>3959</c:v>
                </c:pt>
                <c:pt idx="113">
                  <c:v>3966</c:v>
                </c:pt>
                <c:pt idx="114">
                  <c:v>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28F-BE26-1F11B322E5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5428656"/>
        <c:axId val="817511968"/>
      </c:lineChart>
      <c:dateAx>
        <c:axId val="685428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1968"/>
        <c:crosses val="autoZero"/>
        <c:auto val="1"/>
        <c:lblOffset val="100"/>
        <c:baseTimeUnit val="days"/>
      </c:dateAx>
      <c:valAx>
        <c:axId val="817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4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 Bolsa'!$C$2</c:f>
              <c:strCache>
                <c:ptCount val="1"/>
                <c:pt idx="0">
                  <c:v>PRECIO DEL DÓLAR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Bolsa'!$B$3:$B$34</c:f>
              <c:numCache>
                <c:formatCode>m/d/yyyy</c:formatCode>
                <c:ptCount val="3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</c:numCache>
            </c:numRef>
          </c:cat>
          <c:val>
            <c:numRef>
              <c:f>'Inv Bolsa'!$C$3:$C$34</c:f>
              <c:numCache>
                <c:formatCode>_("$"* #,##0.00_);_("$"* \(#,##0.00\);_("$"* "-"??_);_(@_)</c:formatCode>
                <c:ptCount val="32"/>
                <c:pt idx="0">
                  <c:v>4090.5</c:v>
                </c:pt>
                <c:pt idx="1">
                  <c:v>4078.65</c:v>
                </c:pt>
                <c:pt idx="2">
                  <c:v>4049.27</c:v>
                </c:pt>
                <c:pt idx="3">
                  <c:v>4009.91</c:v>
                </c:pt>
                <c:pt idx="4">
                  <c:v>3955.21</c:v>
                </c:pt>
                <c:pt idx="5">
                  <c:v>3975.25</c:v>
                </c:pt>
                <c:pt idx="6">
                  <c:v>3993.09</c:v>
                </c:pt>
                <c:pt idx="7">
                  <c:v>3953.88</c:v>
                </c:pt>
                <c:pt idx="8">
                  <c:v>3972.87</c:v>
                </c:pt>
                <c:pt idx="9">
                  <c:v>3999.25</c:v>
                </c:pt>
                <c:pt idx="10">
                  <c:v>4047.22</c:v>
                </c:pt>
                <c:pt idx="11">
                  <c:v>4041.33</c:v>
                </c:pt>
                <c:pt idx="12">
                  <c:v>3995.01</c:v>
                </c:pt>
                <c:pt idx="13">
                  <c:v>4014.08</c:v>
                </c:pt>
                <c:pt idx="14">
                  <c:v>4044.19</c:v>
                </c:pt>
                <c:pt idx="15">
                  <c:v>4042.31</c:v>
                </c:pt>
                <c:pt idx="16">
                  <c:v>4030.02</c:v>
                </c:pt>
                <c:pt idx="17">
                  <c:v>4077.08</c:v>
                </c:pt>
                <c:pt idx="18">
                  <c:v>4077.07</c:v>
                </c:pt>
                <c:pt idx="19">
                  <c:v>4045.51</c:v>
                </c:pt>
                <c:pt idx="20">
                  <c:v>4064.07</c:v>
                </c:pt>
                <c:pt idx="21">
                  <c:v>3925.64</c:v>
                </c:pt>
                <c:pt idx="22">
                  <c:v>4155.3100000000004</c:v>
                </c:pt>
                <c:pt idx="23">
                  <c:v>4140.09</c:v>
                </c:pt>
                <c:pt idx="24">
                  <c:v>4148.24</c:v>
                </c:pt>
                <c:pt idx="25">
                  <c:v>4063.32</c:v>
                </c:pt>
                <c:pt idx="26">
                  <c:v>4057.55</c:v>
                </c:pt>
                <c:pt idx="27">
                  <c:v>4073.83</c:v>
                </c:pt>
                <c:pt idx="28">
                  <c:v>4046.96</c:v>
                </c:pt>
                <c:pt idx="29">
                  <c:v>4038.46</c:v>
                </c:pt>
                <c:pt idx="30">
                  <c:v>4037.16</c:v>
                </c:pt>
                <c:pt idx="31">
                  <c:v>4014.8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461F-AA13-6F100B07A507}"/>
            </c:ext>
          </c:extLst>
        </c:ser>
        <c:ser>
          <c:idx val="1"/>
          <c:order val="1"/>
          <c:tx>
            <c:strRef>
              <c:f>'Inv Bolsa'!$D$2</c:f>
              <c:strCache>
                <c:ptCount val="1"/>
                <c:pt idx="0">
                  <c:v>VOO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Bolsa'!$B$3:$B$34</c:f>
              <c:numCache>
                <c:formatCode>m/d/yyyy</c:formatCode>
                <c:ptCount val="3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</c:numCache>
            </c:numRef>
          </c:cat>
          <c:val>
            <c:numRef>
              <c:f>'Inv Bolsa'!$D$3:$D$34</c:f>
              <c:numCache>
                <c:formatCode>_("$"* #,##0.00_);_("$"* \(#,##0.00\);_("$"* "-"??_);_(@_)</c:formatCode>
                <c:ptCount val="32"/>
                <c:pt idx="0">
                  <c:v>507.08</c:v>
                </c:pt>
                <c:pt idx="1">
                  <c:v>510.33</c:v>
                </c:pt>
                <c:pt idx="2">
                  <c:v>510.89</c:v>
                </c:pt>
                <c:pt idx="3">
                  <c:v>514.4</c:v>
                </c:pt>
                <c:pt idx="4">
                  <c:v>511.39</c:v>
                </c:pt>
                <c:pt idx="5">
                  <c:v>514.54999999999995</c:v>
                </c:pt>
                <c:pt idx="6">
                  <c:v>516.11</c:v>
                </c:pt>
                <c:pt idx="7">
                  <c:v>519.04</c:v>
                </c:pt>
                <c:pt idx="8">
                  <c:v>511.79</c:v>
                </c:pt>
                <c:pt idx="9">
                  <c:v>507.94</c:v>
                </c:pt>
                <c:pt idx="10">
                  <c:v>504.55</c:v>
                </c:pt>
                <c:pt idx="11">
                  <c:v>509.79</c:v>
                </c:pt>
                <c:pt idx="12">
                  <c:v>508.94</c:v>
                </c:pt>
                <c:pt idx="13">
                  <c:v>497.29</c:v>
                </c:pt>
                <c:pt idx="14">
                  <c:v>494.78</c:v>
                </c:pt>
                <c:pt idx="15">
                  <c:v>500.33</c:v>
                </c:pt>
                <c:pt idx="16">
                  <c:v>500.7</c:v>
                </c:pt>
                <c:pt idx="17">
                  <c:v>498.08</c:v>
                </c:pt>
                <c:pt idx="18">
                  <c:v>505.93</c:v>
                </c:pt>
                <c:pt idx="19">
                  <c:v>499.03</c:v>
                </c:pt>
                <c:pt idx="20">
                  <c:v>489.91</c:v>
                </c:pt>
                <c:pt idx="21">
                  <c:v>475.2</c:v>
                </c:pt>
                <c:pt idx="22">
                  <c:v>479.94</c:v>
                </c:pt>
                <c:pt idx="23">
                  <c:v>476.61</c:v>
                </c:pt>
                <c:pt idx="24">
                  <c:v>487.73</c:v>
                </c:pt>
                <c:pt idx="25">
                  <c:v>489.82</c:v>
                </c:pt>
                <c:pt idx="26">
                  <c:v>489.82</c:v>
                </c:pt>
                <c:pt idx="27">
                  <c:v>490.07</c:v>
                </c:pt>
                <c:pt idx="28">
                  <c:v>498.21</c:v>
                </c:pt>
                <c:pt idx="29">
                  <c:v>499.8</c:v>
                </c:pt>
                <c:pt idx="30">
                  <c:v>508.38</c:v>
                </c:pt>
                <c:pt idx="31">
                  <c:v>509.45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1-461F-AA13-6F100B07A507}"/>
            </c:ext>
          </c:extLst>
        </c:ser>
        <c:ser>
          <c:idx val="2"/>
          <c:order val="2"/>
          <c:tx>
            <c:strRef>
              <c:f>'Inv Bolsa'!$E$2</c:f>
              <c:strCache>
                <c:ptCount val="1"/>
                <c:pt idx="0">
                  <c:v>VALOR INVERSION 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Bolsa'!$B$3:$B$34</c:f>
              <c:numCache>
                <c:formatCode>m/d/yyyy</c:formatCode>
                <c:ptCount val="3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</c:numCache>
            </c:numRef>
          </c:cat>
          <c:val>
            <c:numRef>
              <c:f>'Inv Bolsa'!$E$3:$E$34</c:f>
              <c:numCache>
                <c:formatCode>_("$"* #,##0.00_);_("$"* \(#,##0.00\);_("$"* "-"??_);_(@_)</c:formatCode>
                <c:ptCount val="32"/>
                <c:pt idx="0">
                  <c:v>7.6974743999999999</c:v>
                </c:pt>
                <c:pt idx="1">
                  <c:v>7.7468094000000001</c:v>
                </c:pt>
                <c:pt idx="2">
                  <c:v>7.7553102000000003</c:v>
                </c:pt>
                <c:pt idx="3">
                  <c:v>7.808592</c:v>
                </c:pt>
                <c:pt idx="4">
                  <c:v>7.7629001999999998</c:v>
                </c:pt>
                <c:pt idx="5">
                  <c:v>7.8108689999999994</c:v>
                </c:pt>
                <c:pt idx="6">
                  <c:v>7.8345498000000005</c:v>
                </c:pt>
                <c:pt idx="7">
                  <c:v>7.8790271999999995</c:v>
                </c:pt>
                <c:pt idx="8">
                  <c:v>7.7689722000000003</c:v>
                </c:pt>
                <c:pt idx="9">
                  <c:v>7.7105292000000007</c:v>
                </c:pt>
                <c:pt idx="10">
                  <c:v>7.6590690000000006</c:v>
                </c:pt>
                <c:pt idx="11">
                  <c:v>7.7386122000000004</c:v>
                </c:pt>
                <c:pt idx="12">
                  <c:v>7.7257092000000007</c:v>
                </c:pt>
                <c:pt idx="13">
                  <c:v>7.5488622000000003</c:v>
                </c:pt>
                <c:pt idx="14">
                  <c:v>7.5107603999999997</c:v>
                </c:pt>
                <c:pt idx="15">
                  <c:v>7.5950094000000004</c:v>
                </c:pt>
                <c:pt idx="16">
                  <c:v>7.6006260000000001</c:v>
                </c:pt>
                <c:pt idx="17">
                  <c:v>7.5608544000000002</c:v>
                </c:pt>
                <c:pt idx="18">
                  <c:v>7.6800174000000005</c:v>
                </c:pt>
                <c:pt idx="19">
                  <c:v>7.5752753999999998</c:v>
                </c:pt>
                <c:pt idx="20">
                  <c:v>7.4368338000000005</c:v>
                </c:pt>
                <c:pt idx="21">
                  <c:v>7.2135360000000004</c:v>
                </c:pt>
                <c:pt idx="22">
                  <c:v>7.2854892000000007</c:v>
                </c:pt>
                <c:pt idx="23">
                  <c:v>7.2349398000000003</c:v>
                </c:pt>
                <c:pt idx="24">
                  <c:v>7.4037414000000004</c:v>
                </c:pt>
                <c:pt idx="25">
                  <c:v>7.4354676</c:v>
                </c:pt>
                <c:pt idx="26">
                  <c:v>7.4354676</c:v>
                </c:pt>
                <c:pt idx="27">
                  <c:v>7.4392626000000002</c:v>
                </c:pt>
                <c:pt idx="28">
                  <c:v>7.5628278</c:v>
                </c:pt>
                <c:pt idx="29">
                  <c:v>7.5869640000000009</c:v>
                </c:pt>
                <c:pt idx="30">
                  <c:v>7.7172084000000005</c:v>
                </c:pt>
                <c:pt idx="31">
                  <c:v>7.7334510000000005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B-4E81-8DB4-D282ACD52EF7}"/>
            </c:ext>
          </c:extLst>
        </c:ser>
        <c:ser>
          <c:idx val="3"/>
          <c:order val="3"/>
          <c:tx>
            <c:strRef>
              <c:f>'Inv Bolsa'!$F$2</c:f>
              <c:strCache>
                <c:ptCount val="1"/>
                <c:pt idx="0">
                  <c:v>GAN/PER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Bolsa'!$B$3:$B$34</c:f>
              <c:numCache>
                <c:formatCode>m/d/yyyy</c:formatCode>
                <c:ptCount val="3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</c:numCache>
            </c:numRef>
          </c:cat>
          <c:val>
            <c:numRef>
              <c:f>'Inv Bolsa'!$F$3:$F$34</c:f>
              <c:numCache>
                <c:formatCode>_("$"* #,##0.00_);_("$"* \(#,##0.00\);_("$"* "-"??_);_(@_)</c:formatCode>
                <c:ptCount val="32"/>
                <c:pt idx="0">
                  <c:v>-2.5256000000002388E-3</c:v>
                </c:pt>
                <c:pt idx="1">
                  <c:v>4.680939999999989E-2</c:v>
                </c:pt>
                <c:pt idx="2">
                  <c:v>5.5310200000000087E-2</c:v>
                </c:pt>
                <c:pt idx="3">
                  <c:v>0.1085919999999998</c:v>
                </c:pt>
                <c:pt idx="4">
                  <c:v>6.2900199999999629E-2</c:v>
                </c:pt>
                <c:pt idx="5">
                  <c:v>0.11086899999999922</c:v>
                </c:pt>
                <c:pt idx="6">
                  <c:v>0.13454980000000027</c:v>
                </c:pt>
                <c:pt idx="7">
                  <c:v>0.17902719999999928</c:v>
                </c:pt>
                <c:pt idx="8">
                  <c:v>6.897220000000015E-2</c:v>
                </c:pt>
                <c:pt idx="9">
                  <c:v>1.0529200000000571E-2</c:v>
                </c:pt>
                <c:pt idx="10">
                  <c:v>-4.0930999999999607E-2</c:v>
                </c:pt>
                <c:pt idx="11">
                  <c:v>3.8612200000000207E-2</c:v>
                </c:pt>
                <c:pt idx="12">
                  <c:v>2.5709200000000543E-2</c:v>
                </c:pt>
                <c:pt idx="13">
                  <c:v>-0.15113779999999988</c:v>
                </c:pt>
                <c:pt idx="14">
                  <c:v>-0.18923960000000051</c:v>
                </c:pt>
                <c:pt idx="15">
                  <c:v>-0.10499059999999982</c:v>
                </c:pt>
                <c:pt idx="16">
                  <c:v>-9.9374000000000073E-2</c:v>
                </c:pt>
                <c:pt idx="17">
                  <c:v>-0.13914559999999998</c:v>
                </c:pt>
                <c:pt idx="18">
                  <c:v>-1.9982599999999628E-2</c:v>
                </c:pt>
                <c:pt idx="19">
                  <c:v>-0.12472460000000041</c:v>
                </c:pt>
                <c:pt idx="20">
                  <c:v>-0.26316619999999968</c:v>
                </c:pt>
                <c:pt idx="21">
                  <c:v>-0.48646399999999979</c:v>
                </c:pt>
                <c:pt idx="22">
                  <c:v>-0.41451079999999951</c:v>
                </c:pt>
                <c:pt idx="23">
                  <c:v>-0.46506019999999992</c:v>
                </c:pt>
                <c:pt idx="24">
                  <c:v>-0.29625859999999982</c:v>
                </c:pt>
                <c:pt idx="25">
                  <c:v>-0.26453240000000022</c:v>
                </c:pt>
                <c:pt idx="26">
                  <c:v>-0.26453240000000022</c:v>
                </c:pt>
                <c:pt idx="27">
                  <c:v>-0.26073740000000001</c:v>
                </c:pt>
                <c:pt idx="28">
                  <c:v>-0.13717220000000019</c:v>
                </c:pt>
                <c:pt idx="29">
                  <c:v>-0.11303599999999925</c:v>
                </c:pt>
                <c:pt idx="30">
                  <c:v>1.7208400000000346E-2</c:v>
                </c:pt>
                <c:pt idx="31">
                  <c:v>3.3451000000000342E-2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B-485C-9373-F604CDCFFE39}"/>
            </c:ext>
          </c:extLst>
        </c:ser>
        <c:ser>
          <c:idx val="4"/>
          <c:order val="4"/>
          <c:tx>
            <c:strRef>
              <c:f>'Inv Bolsa'!$G$2</c:f>
              <c:strCache>
                <c:ptCount val="1"/>
                <c:pt idx="0">
                  <c:v>VALOR EN COP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'Inv Bolsa'!$B$3:$B$34</c:f>
              <c:numCache>
                <c:formatCode>m/d/yyyy</c:formatCode>
                <c:ptCount val="32"/>
                <c:pt idx="0">
                  <c:v>45478</c:v>
                </c:pt>
                <c:pt idx="1">
                  <c:v>45481</c:v>
                </c:pt>
                <c:pt idx="2">
                  <c:v>45482</c:v>
                </c:pt>
                <c:pt idx="3">
                  <c:v>45483</c:v>
                </c:pt>
                <c:pt idx="4">
                  <c:v>45484</c:v>
                </c:pt>
                <c:pt idx="5">
                  <c:v>45485</c:v>
                </c:pt>
                <c:pt idx="6">
                  <c:v>45488</c:v>
                </c:pt>
                <c:pt idx="7">
                  <c:v>45489</c:v>
                </c:pt>
                <c:pt idx="8">
                  <c:v>45490</c:v>
                </c:pt>
                <c:pt idx="9">
                  <c:v>45491</c:v>
                </c:pt>
                <c:pt idx="10">
                  <c:v>45492</c:v>
                </c:pt>
                <c:pt idx="11">
                  <c:v>45495</c:v>
                </c:pt>
                <c:pt idx="12">
                  <c:v>45496</c:v>
                </c:pt>
                <c:pt idx="13">
                  <c:v>45497</c:v>
                </c:pt>
                <c:pt idx="14">
                  <c:v>45498</c:v>
                </c:pt>
                <c:pt idx="15">
                  <c:v>45499</c:v>
                </c:pt>
                <c:pt idx="16">
                  <c:v>45502</c:v>
                </c:pt>
                <c:pt idx="17">
                  <c:v>45503</c:v>
                </c:pt>
                <c:pt idx="18">
                  <c:v>45504</c:v>
                </c:pt>
                <c:pt idx="19">
                  <c:v>45505</c:v>
                </c:pt>
                <c:pt idx="20">
                  <c:v>45506</c:v>
                </c:pt>
                <c:pt idx="21">
                  <c:v>45448</c:v>
                </c:pt>
                <c:pt idx="22">
                  <c:v>45510</c:v>
                </c:pt>
                <c:pt idx="23">
                  <c:v>45511</c:v>
                </c:pt>
                <c:pt idx="24">
                  <c:v>45512</c:v>
                </c:pt>
                <c:pt idx="25">
                  <c:v>45513</c:v>
                </c:pt>
                <c:pt idx="26">
                  <c:v>45514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</c:numCache>
            </c:numRef>
          </c:cat>
          <c:val>
            <c:numRef>
              <c:f>'Inv Bolsa'!$G$3:$G$34</c:f>
              <c:numCache>
                <c:formatCode>_("$"* #,##0.00_);_("$"* \(#,##0.00\);_("$"* "-"??_);_(@_)</c:formatCode>
                <c:ptCount val="32"/>
                <c:pt idx="0">
                  <c:v>31486.519033199998</c:v>
                </c:pt>
                <c:pt idx="1">
                  <c:v>31596.52415931</c:v>
                </c:pt>
                <c:pt idx="2">
                  <c:v>31403.344933554003</c:v>
                </c:pt>
                <c:pt idx="3">
                  <c:v>31311.751146719998</c:v>
                </c:pt>
                <c:pt idx="4">
                  <c:v>30703.900500042</c:v>
                </c:pt>
                <c:pt idx="5">
                  <c:v>31050.156992249998</c:v>
                </c:pt>
                <c:pt idx="6">
                  <c:v>31284.062460882004</c:v>
                </c:pt>
                <c:pt idx="7">
                  <c:v>31152.728065535997</c:v>
                </c:pt>
                <c:pt idx="8">
                  <c:v>30865.116584214</c:v>
                </c:pt>
                <c:pt idx="9">
                  <c:v>30836.333903100003</c:v>
                </c:pt>
                <c:pt idx="10">
                  <c:v>30997.937238180002</c:v>
                </c:pt>
                <c:pt idx="11">
                  <c:v>31274.285642226001</c:v>
                </c:pt>
                <c:pt idx="12">
                  <c:v>30864.285511092006</c:v>
                </c:pt>
                <c:pt idx="13">
                  <c:v>30301.736779776002</c:v>
                </c:pt>
                <c:pt idx="14">
                  <c:v>30374.942102075998</c:v>
                </c:pt>
                <c:pt idx="15">
                  <c:v>30701.382447714001</c:v>
                </c:pt>
                <c:pt idx="16">
                  <c:v>30630.67479252</c:v>
                </c:pt>
                <c:pt idx="17">
                  <c:v>30826.208257152</c:v>
                </c:pt>
                <c:pt idx="18">
                  <c:v>31311.968541018003</c:v>
                </c:pt>
                <c:pt idx="19">
                  <c:v>30645.852383453999</c:v>
                </c:pt>
                <c:pt idx="20">
                  <c:v>30223.813141566003</c:v>
                </c:pt>
                <c:pt idx="21">
                  <c:v>28317.745463039999</c:v>
                </c:pt>
                <c:pt idx="22">
                  <c:v>30273.466127652006</c:v>
                </c:pt>
                <c:pt idx="23">
                  <c:v>29953.301916582001</c:v>
                </c:pt>
                <c:pt idx="24">
                  <c:v>30712.496225136001</c:v>
                </c:pt>
                <c:pt idx="25">
                  <c:v>30212.684208432001</c:v>
                </c:pt>
                <c:pt idx="26">
                  <c:v>30169.781560380001</c:v>
                </c:pt>
                <c:pt idx="27">
                  <c:v>30306.291157758002</c:v>
                </c:pt>
                <c:pt idx="28">
                  <c:v>30606.461593487998</c:v>
                </c:pt>
                <c:pt idx="29">
                  <c:v>30639.650635440004</c:v>
                </c:pt>
                <c:pt idx="30">
                  <c:v>31155.605064144002</c:v>
                </c:pt>
                <c:pt idx="31">
                  <c:v>31048.259074800004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B-485C-9373-F604CDCF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20128"/>
        <c:axId val="817521760"/>
      </c:lineChart>
      <c:dateAx>
        <c:axId val="8175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1760"/>
        <c:crosses val="autoZero"/>
        <c:auto val="1"/>
        <c:lblOffset val="100"/>
        <c:baseTimeUnit val="days"/>
      </c:dateAx>
      <c:valAx>
        <c:axId val="8175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BOLSA!$C$2</c:f>
              <c:strCache>
                <c:ptCount val="1"/>
                <c:pt idx="0">
                  <c:v>DÓLAR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BOLSA!$B$3:$B$47</c:f>
              <c:numCache>
                <c:formatCode>m/d/yyyy</c:formatCode>
                <c:ptCount val="4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</c:numCache>
            </c:numRef>
          </c:cat>
          <c:val>
            <c:numRef>
              <c:f>BOLSA!$C$3:$C$47</c:f>
              <c:numCache>
                <c:formatCode>_-[$$-240A]\ * #,##0.00_-;\-[$$-240A]\ * #,##0.00_-;_-[$$-240A]\ * "-"??_-;_-@_-</c:formatCode>
                <c:ptCount val="45"/>
                <c:pt idx="0">
                  <c:v>4129.43</c:v>
                </c:pt>
                <c:pt idx="1">
                  <c:v>4124.49</c:v>
                </c:pt>
                <c:pt idx="2">
                  <c:v>4146.2</c:v>
                </c:pt>
                <c:pt idx="3">
                  <c:v>4163.8</c:v>
                </c:pt>
                <c:pt idx="4">
                  <c:v>4167.01</c:v>
                </c:pt>
                <c:pt idx="5">
                  <c:v>4144.4799999999996</c:v>
                </c:pt>
                <c:pt idx="6">
                  <c:v>4094.7</c:v>
                </c:pt>
                <c:pt idx="7">
                  <c:v>4095.53</c:v>
                </c:pt>
                <c:pt idx="8">
                  <c:v>4140.1899999999996</c:v>
                </c:pt>
                <c:pt idx="9">
                  <c:v>#N/A</c:v>
                </c:pt>
                <c:pt idx="10">
                  <c:v>#N/A</c:v>
                </c:pt>
                <c:pt idx="11">
                  <c:v>4129.08</c:v>
                </c:pt>
                <c:pt idx="12">
                  <c:v>4119.8999999999996</c:v>
                </c:pt>
                <c:pt idx="13">
                  <c:v>4106.37</c:v>
                </c:pt>
                <c:pt idx="14">
                  <c:v>4090.5</c:v>
                </c:pt>
                <c:pt idx="15">
                  <c:v>4078.65</c:v>
                </c:pt>
                <c:pt idx="16">
                  <c:v>4049.27</c:v>
                </c:pt>
                <c:pt idx="17">
                  <c:v>4009.91</c:v>
                </c:pt>
                <c:pt idx="18">
                  <c:v>3955.21</c:v>
                </c:pt>
                <c:pt idx="19">
                  <c:v>3975.25</c:v>
                </c:pt>
                <c:pt idx="20">
                  <c:v>3993.09</c:v>
                </c:pt>
                <c:pt idx="21">
                  <c:v>3953.88</c:v>
                </c:pt>
                <c:pt idx="22">
                  <c:v>3972.87</c:v>
                </c:pt>
                <c:pt idx="23">
                  <c:v>3999.25</c:v>
                </c:pt>
                <c:pt idx="24">
                  <c:v>4047.22</c:v>
                </c:pt>
                <c:pt idx="25">
                  <c:v>4041.33</c:v>
                </c:pt>
                <c:pt idx="26">
                  <c:v>3995.01</c:v>
                </c:pt>
                <c:pt idx="27">
                  <c:v>4014.08</c:v>
                </c:pt>
                <c:pt idx="28">
                  <c:v>4044.19</c:v>
                </c:pt>
                <c:pt idx="29">
                  <c:v>4042.31</c:v>
                </c:pt>
                <c:pt idx="30">
                  <c:v>4030.02</c:v>
                </c:pt>
                <c:pt idx="31">
                  <c:v>4077.08</c:v>
                </c:pt>
                <c:pt idx="32">
                  <c:v>4077.07</c:v>
                </c:pt>
                <c:pt idx="33">
                  <c:v>4045.51</c:v>
                </c:pt>
                <c:pt idx="34">
                  <c:v>4064.07</c:v>
                </c:pt>
                <c:pt idx="35">
                  <c:v>4116.91</c:v>
                </c:pt>
                <c:pt idx="36">
                  <c:v>4155.3100000000004</c:v>
                </c:pt>
                <c:pt idx="37">
                  <c:v>4140.09</c:v>
                </c:pt>
                <c:pt idx="38">
                  <c:v>4148.24</c:v>
                </c:pt>
                <c:pt idx="39">
                  <c:v>4063.32</c:v>
                </c:pt>
                <c:pt idx="40">
                  <c:v>4073.83</c:v>
                </c:pt>
                <c:pt idx="41">
                  <c:v>4046.96</c:v>
                </c:pt>
                <c:pt idx="42">
                  <c:v>4038.46</c:v>
                </c:pt>
                <c:pt idx="43">
                  <c:v>4037.16</c:v>
                </c:pt>
                <c:pt idx="44">
                  <c:v>4014.8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98C-A6C2-DEF6B2EB6215}"/>
            </c:ext>
          </c:extLst>
        </c:ser>
        <c:ser>
          <c:idx val="1"/>
          <c:order val="1"/>
          <c:tx>
            <c:strRef>
              <c:f>BOLSA!$D$2</c:f>
              <c:strCache>
                <c:ptCount val="1"/>
                <c:pt idx="0">
                  <c:v>S&amp;P 500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BOLSA!$B$3:$B$47</c:f>
              <c:numCache>
                <c:formatCode>m/d/yyyy</c:formatCode>
                <c:ptCount val="4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</c:numCache>
            </c:numRef>
          </c:cat>
          <c:val>
            <c:numRef>
              <c:f>BOLSA!$D$3:$D$47</c:f>
              <c:numCache>
                <c:formatCode>_-[$$-240A]\ * #,##0.00_-;\-[$$-240A]\ * #,##0.00_-;_-[$$-240A]\ * "-"??_-;_-@_-</c:formatCode>
                <c:ptCount val="45"/>
                <c:pt idx="0">
                  <c:v>5473.23</c:v>
                </c:pt>
                <c:pt idx="1">
                  <c:v>5487.03</c:v>
                </c:pt>
                <c:pt idx="2">
                  <c:v>5483.03</c:v>
                </c:pt>
                <c:pt idx="3">
                  <c:v>5473.16</c:v>
                </c:pt>
                <c:pt idx="4">
                  <c:v>5464.61</c:v>
                </c:pt>
                <c:pt idx="5">
                  <c:v>5447.87</c:v>
                </c:pt>
                <c:pt idx="6">
                  <c:v>5469.3</c:v>
                </c:pt>
                <c:pt idx="7">
                  <c:v>5477.9</c:v>
                </c:pt>
                <c:pt idx="8">
                  <c:v>5482.87</c:v>
                </c:pt>
                <c:pt idx="9">
                  <c:v>5465.2</c:v>
                </c:pt>
                <c:pt idx="10">
                  <c:v>5475.22</c:v>
                </c:pt>
                <c:pt idx="11">
                  <c:v>5509.01</c:v>
                </c:pt>
                <c:pt idx="12">
                  <c:v>5537.01</c:v>
                </c:pt>
                <c:pt idx="13">
                  <c:v>5537.01</c:v>
                </c:pt>
                <c:pt idx="14">
                  <c:v>5567.2</c:v>
                </c:pt>
                <c:pt idx="15">
                  <c:v>5572.86</c:v>
                </c:pt>
                <c:pt idx="16">
                  <c:v>5576.97</c:v>
                </c:pt>
                <c:pt idx="17">
                  <c:v>5616.45</c:v>
                </c:pt>
                <c:pt idx="18">
                  <c:v>5584.55</c:v>
                </c:pt>
                <c:pt idx="19">
                  <c:v>5615.34</c:v>
                </c:pt>
                <c:pt idx="20">
                  <c:v>5631.21</c:v>
                </c:pt>
                <c:pt idx="21">
                  <c:v>5667.21</c:v>
                </c:pt>
                <c:pt idx="22">
                  <c:v>5588.28</c:v>
                </c:pt>
                <c:pt idx="23">
                  <c:v>5544.28</c:v>
                </c:pt>
                <c:pt idx="24">
                  <c:v>5504.99</c:v>
                </c:pt>
                <c:pt idx="25">
                  <c:v>5564.4</c:v>
                </c:pt>
                <c:pt idx="26">
                  <c:v>5555.75</c:v>
                </c:pt>
                <c:pt idx="27">
                  <c:v>5427.12</c:v>
                </c:pt>
                <c:pt idx="28">
                  <c:v>5399.23</c:v>
                </c:pt>
                <c:pt idx="29">
                  <c:v>5459.09</c:v>
                </c:pt>
                <c:pt idx="30">
                  <c:v>5463.55</c:v>
                </c:pt>
                <c:pt idx="31">
                  <c:v>5436.45</c:v>
                </c:pt>
                <c:pt idx="32">
                  <c:v>5522.29</c:v>
                </c:pt>
                <c:pt idx="33">
                  <c:v>5446.69</c:v>
                </c:pt>
                <c:pt idx="34">
                  <c:v>5346.55</c:v>
                </c:pt>
                <c:pt idx="35">
                  <c:v>5186.34</c:v>
                </c:pt>
                <c:pt idx="36">
                  <c:v>5240.04</c:v>
                </c:pt>
                <c:pt idx="37">
                  <c:v>5199.51</c:v>
                </c:pt>
                <c:pt idx="38">
                  <c:v>5319.3</c:v>
                </c:pt>
                <c:pt idx="39">
                  <c:v>5344.15</c:v>
                </c:pt>
                <c:pt idx="40">
                  <c:v>5344.38</c:v>
                </c:pt>
                <c:pt idx="41">
                  <c:v>5434.44</c:v>
                </c:pt>
                <c:pt idx="42">
                  <c:v>5455.2</c:v>
                </c:pt>
                <c:pt idx="43">
                  <c:v>5543.21</c:v>
                </c:pt>
                <c:pt idx="44">
                  <c:v>5554.26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98C-A6C2-DEF6B2EB6215}"/>
            </c:ext>
          </c:extLst>
        </c:ser>
        <c:ser>
          <c:idx val="2"/>
          <c:order val="2"/>
          <c:tx>
            <c:strRef>
              <c:f>BOLSA!$E$2</c:f>
              <c:strCache>
                <c:ptCount val="1"/>
                <c:pt idx="0">
                  <c:v>NASDAQ-100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BOLSA!$B$3:$B$47</c:f>
              <c:numCache>
                <c:formatCode>m/d/yyyy</c:formatCode>
                <c:ptCount val="4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</c:numCache>
            </c:numRef>
          </c:cat>
          <c:val>
            <c:numRef>
              <c:f>BOLSA!$E$3:$E$47</c:f>
              <c:numCache>
                <c:formatCode>_-[$$-240A]\ * #,##0.00_-;\-[$$-240A]\ * #,##0.00_-;_-[$$-240A]\ * "-"??_-;_-@_-</c:formatCode>
                <c:ptCount val="45"/>
                <c:pt idx="0">
                  <c:v>17857.02</c:v>
                </c:pt>
                <c:pt idx="1">
                  <c:v>19947.25</c:v>
                </c:pt>
                <c:pt idx="2">
                  <c:v>19984.25</c:v>
                </c:pt>
                <c:pt idx="3">
                  <c:v>19781.080000000002</c:v>
                </c:pt>
                <c:pt idx="4">
                  <c:v>19734.099999999999</c:v>
                </c:pt>
                <c:pt idx="5">
                  <c:v>19474.62</c:v>
                </c:pt>
                <c:pt idx="6">
                  <c:v>19701.13</c:v>
                </c:pt>
                <c:pt idx="7">
                  <c:v>19751.05</c:v>
                </c:pt>
                <c:pt idx="8">
                  <c:v>19789.03</c:v>
                </c:pt>
                <c:pt idx="9">
                  <c:v>19718.73</c:v>
                </c:pt>
                <c:pt idx="10">
                  <c:v>19809</c:v>
                </c:pt>
                <c:pt idx="11">
                  <c:v>20011.89</c:v>
                </c:pt>
                <c:pt idx="12">
                  <c:v>20186.63</c:v>
                </c:pt>
                <c:pt idx="13">
                  <c:v>20186.63</c:v>
                </c:pt>
                <c:pt idx="14">
                  <c:v>20391.97</c:v>
                </c:pt>
                <c:pt idx="15">
                  <c:v>20439.54</c:v>
                </c:pt>
                <c:pt idx="16">
                  <c:v>20453.02</c:v>
                </c:pt>
                <c:pt idx="17">
                  <c:v>20630.990000000002</c:v>
                </c:pt>
                <c:pt idx="18">
                  <c:v>20211.36</c:v>
                </c:pt>
                <c:pt idx="19">
                  <c:v>20331.490000000002</c:v>
                </c:pt>
                <c:pt idx="20">
                  <c:v>20386.88</c:v>
                </c:pt>
                <c:pt idx="21">
                  <c:v>20398.62</c:v>
                </c:pt>
                <c:pt idx="22">
                  <c:v>19799.14</c:v>
                </c:pt>
                <c:pt idx="23">
                  <c:v>19705.09</c:v>
                </c:pt>
                <c:pt idx="24">
                  <c:v>19522.62</c:v>
                </c:pt>
                <c:pt idx="25">
                  <c:v>19822.87</c:v>
                </c:pt>
                <c:pt idx="26">
                  <c:v>19754.34</c:v>
                </c:pt>
                <c:pt idx="27">
                  <c:v>19032.39</c:v>
                </c:pt>
                <c:pt idx="28">
                  <c:v>18830.580000000002</c:v>
                </c:pt>
                <c:pt idx="29">
                  <c:v>19023.66</c:v>
                </c:pt>
                <c:pt idx="30">
                  <c:v>19059.490000000002</c:v>
                </c:pt>
                <c:pt idx="31">
                  <c:v>18796.27</c:v>
                </c:pt>
                <c:pt idx="32">
                  <c:v>19362.43</c:v>
                </c:pt>
                <c:pt idx="33">
                  <c:v>18890.39</c:v>
                </c:pt>
                <c:pt idx="34">
                  <c:v>18440.849999999999</c:v>
                </c:pt>
                <c:pt idx="35">
                  <c:v>17895.16</c:v>
                </c:pt>
                <c:pt idx="36">
                  <c:v>18077.919999999998</c:v>
                </c:pt>
                <c:pt idx="37">
                  <c:v>17867.37</c:v>
                </c:pt>
                <c:pt idx="38">
                  <c:v>18413.82</c:v>
                </c:pt>
                <c:pt idx="39">
                  <c:v>18513.099999999999</c:v>
                </c:pt>
                <c:pt idx="40">
                  <c:v>18542.03</c:v>
                </c:pt>
                <c:pt idx="41">
                  <c:v>19006.43</c:v>
                </c:pt>
                <c:pt idx="42">
                  <c:v>19022.68</c:v>
                </c:pt>
                <c:pt idx="43">
                  <c:v>19490.150000000001</c:v>
                </c:pt>
                <c:pt idx="44">
                  <c:v>19508.52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98C-A6C2-DEF6B2EB62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2304"/>
        <c:axId val="817516864"/>
      </c:lineChart>
      <c:dateAx>
        <c:axId val="81752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6864"/>
        <c:crosses val="autoZero"/>
        <c:auto val="1"/>
        <c:lblOffset val="100"/>
        <c:baseTimeUnit val="days"/>
      </c:dateAx>
      <c:valAx>
        <c:axId val="81751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ACCIONES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BOLSA!$F$2</c:f>
              <c:strCache>
                <c:ptCount val="1"/>
                <c:pt idx="0">
                  <c:v>KO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BOLSA!$B$3:$B$47</c:f>
              <c:numCache>
                <c:formatCode>m/d/yyyy</c:formatCode>
                <c:ptCount val="4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</c:numCache>
            </c:numRef>
          </c:cat>
          <c:val>
            <c:numRef>
              <c:f>BOLSA!$F$3:$F$47</c:f>
              <c:numCache>
                <c:formatCode>_-[$$-240A]\ * #,##0.00_-;\-[$$-240A]\ * #,##0.00_-;_-[$$-240A]\ * "-"??_-;_-@_-</c:formatCode>
                <c:ptCount val="45"/>
                <c:pt idx="0">
                  <c:v>62.62</c:v>
                </c:pt>
                <c:pt idx="1">
                  <c:v>62.63</c:v>
                </c:pt>
                <c:pt idx="2">
                  <c:v>62.63</c:v>
                </c:pt>
                <c:pt idx="3">
                  <c:v>62.18</c:v>
                </c:pt>
                <c:pt idx="4">
                  <c:v>62.77</c:v>
                </c:pt>
                <c:pt idx="5">
                  <c:v>63.97</c:v>
                </c:pt>
                <c:pt idx="6">
                  <c:v>63.84</c:v>
                </c:pt>
                <c:pt idx="7">
                  <c:v>64.05</c:v>
                </c:pt>
                <c:pt idx="8">
                  <c:v>63.91</c:v>
                </c:pt>
                <c:pt idx="9">
                  <c:v>63.59</c:v>
                </c:pt>
                <c:pt idx="10">
                  <c:v>63.32</c:v>
                </c:pt>
                <c:pt idx="11">
                  <c:v>63.15</c:v>
                </c:pt>
                <c:pt idx="12">
                  <c:v>63.33</c:v>
                </c:pt>
                <c:pt idx="13">
                  <c:v>63.33</c:v>
                </c:pt>
                <c:pt idx="14">
                  <c:v>63.76</c:v>
                </c:pt>
                <c:pt idx="15">
                  <c:v>62.96</c:v>
                </c:pt>
                <c:pt idx="16">
                  <c:v>62.69</c:v>
                </c:pt>
                <c:pt idx="17">
                  <c:v>62.59</c:v>
                </c:pt>
                <c:pt idx="18">
                  <c:v>63.1</c:v>
                </c:pt>
                <c:pt idx="19">
                  <c:v>63.72</c:v>
                </c:pt>
                <c:pt idx="20">
                  <c:v>63.41</c:v>
                </c:pt>
                <c:pt idx="21">
                  <c:v>64.27</c:v>
                </c:pt>
                <c:pt idx="22">
                  <c:v>65.209999999999994</c:v>
                </c:pt>
                <c:pt idx="23">
                  <c:v>65.19</c:v>
                </c:pt>
                <c:pt idx="24">
                  <c:v>65.290000000000006</c:v>
                </c:pt>
                <c:pt idx="25">
                  <c:v>64.77</c:v>
                </c:pt>
                <c:pt idx="26">
                  <c:v>64.959999999999994</c:v>
                </c:pt>
                <c:pt idx="27">
                  <c:v>65.81</c:v>
                </c:pt>
                <c:pt idx="28">
                  <c:v>66.069999999999993</c:v>
                </c:pt>
                <c:pt idx="29">
                  <c:v>67.05</c:v>
                </c:pt>
                <c:pt idx="30">
                  <c:v>66.83</c:v>
                </c:pt>
                <c:pt idx="31">
                  <c:v>67.680000000000007</c:v>
                </c:pt>
                <c:pt idx="32">
                  <c:v>66.739999999999995</c:v>
                </c:pt>
                <c:pt idx="33">
                  <c:v>67.959999999999994</c:v>
                </c:pt>
                <c:pt idx="34">
                  <c:v>69.33</c:v>
                </c:pt>
                <c:pt idx="35">
                  <c:v>68.099999999999994</c:v>
                </c:pt>
                <c:pt idx="36">
                  <c:v>68.05</c:v>
                </c:pt>
                <c:pt idx="37">
                  <c:v>68.459999999999994</c:v>
                </c:pt>
                <c:pt idx="38">
                  <c:v>68.73</c:v>
                </c:pt>
                <c:pt idx="39">
                  <c:v>68.680000000000007</c:v>
                </c:pt>
                <c:pt idx="40">
                  <c:v>68.17</c:v>
                </c:pt>
                <c:pt idx="41">
                  <c:v>68.459999999999994</c:v>
                </c:pt>
                <c:pt idx="42">
                  <c:v>68.58</c:v>
                </c:pt>
                <c:pt idx="43">
                  <c:v>68.650000000000006</c:v>
                </c:pt>
                <c:pt idx="44">
                  <c:v>69.180000000000007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066-B239-09FE80CECF66}"/>
            </c:ext>
          </c:extLst>
        </c:ser>
        <c:ser>
          <c:idx val="1"/>
          <c:order val="1"/>
          <c:tx>
            <c:strRef>
              <c:f>BOLSA!$G$2</c:f>
              <c:strCache>
                <c:ptCount val="1"/>
                <c:pt idx="0">
                  <c:v>JNJ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BOLSA!$B$3:$B$47</c:f>
              <c:numCache>
                <c:formatCode>m/d/yyyy</c:formatCode>
                <c:ptCount val="4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</c:numCache>
            </c:numRef>
          </c:cat>
          <c:val>
            <c:numRef>
              <c:f>BOLSA!$G$3:$G$47</c:f>
              <c:numCache>
                <c:formatCode>_-[$$-240A]\ * #,##0.00_-;\-[$$-240A]\ * #,##0.00_-;_-[$$-240A]\ * "-"??_-;_-@_-</c:formatCode>
                <c:ptCount val="45"/>
                <c:pt idx="0">
                  <c:v>145.94999999999999</c:v>
                </c:pt>
                <c:pt idx="1">
                  <c:v>145.65</c:v>
                </c:pt>
                <c:pt idx="2">
                  <c:v>145.65</c:v>
                </c:pt>
                <c:pt idx="3">
                  <c:v>147.78</c:v>
                </c:pt>
                <c:pt idx="4">
                  <c:v>148.75</c:v>
                </c:pt>
                <c:pt idx="5">
                  <c:v>149.12</c:v>
                </c:pt>
                <c:pt idx="6">
                  <c:v>147.19</c:v>
                </c:pt>
                <c:pt idx="7">
                  <c:v>146.82</c:v>
                </c:pt>
                <c:pt idx="8">
                  <c:v>145.80000000000001</c:v>
                </c:pt>
                <c:pt idx="9">
                  <c:v>145.9</c:v>
                </c:pt>
                <c:pt idx="10">
                  <c:v>146.34</c:v>
                </c:pt>
                <c:pt idx="11">
                  <c:v>146.03</c:v>
                </c:pt>
                <c:pt idx="12">
                  <c:v>145.69</c:v>
                </c:pt>
                <c:pt idx="13">
                  <c:v>145.69</c:v>
                </c:pt>
                <c:pt idx="14">
                  <c:v>146.47999999999999</c:v>
                </c:pt>
                <c:pt idx="15">
                  <c:v>145.47999999999999</c:v>
                </c:pt>
                <c:pt idx="16">
                  <c:v>147.05000000000001</c:v>
                </c:pt>
                <c:pt idx="17">
                  <c:v>148.62</c:v>
                </c:pt>
                <c:pt idx="18">
                  <c:v>149.69999999999999</c:v>
                </c:pt>
                <c:pt idx="19">
                  <c:v>149.88999999999999</c:v>
                </c:pt>
                <c:pt idx="20">
                  <c:v>149.24</c:v>
                </c:pt>
                <c:pt idx="21">
                  <c:v>151.01</c:v>
                </c:pt>
                <c:pt idx="22">
                  <c:v>156.58000000000001</c:v>
                </c:pt>
                <c:pt idx="23">
                  <c:v>155.41999999999999</c:v>
                </c:pt>
                <c:pt idx="24">
                  <c:v>154.69</c:v>
                </c:pt>
                <c:pt idx="25">
                  <c:v>154.24</c:v>
                </c:pt>
                <c:pt idx="26">
                  <c:v>152.35</c:v>
                </c:pt>
                <c:pt idx="27">
                  <c:v>156.28</c:v>
                </c:pt>
                <c:pt idx="28">
                  <c:v>159.63999999999999</c:v>
                </c:pt>
                <c:pt idx="29">
                  <c:v>160.63999999999999</c:v>
                </c:pt>
                <c:pt idx="30">
                  <c:v>158.56</c:v>
                </c:pt>
                <c:pt idx="31">
                  <c:v>161.33000000000001</c:v>
                </c:pt>
                <c:pt idx="32">
                  <c:v>157.85</c:v>
                </c:pt>
                <c:pt idx="33">
                  <c:v>160.76</c:v>
                </c:pt>
                <c:pt idx="34">
                  <c:v>164.14</c:v>
                </c:pt>
                <c:pt idx="35">
                  <c:v>161.25</c:v>
                </c:pt>
                <c:pt idx="36">
                  <c:v>158.97</c:v>
                </c:pt>
                <c:pt idx="37">
                  <c:v>158.9</c:v>
                </c:pt>
                <c:pt idx="38">
                  <c:v>160.22</c:v>
                </c:pt>
                <c:pt idx="39">
                  <c:v>160.62</c:v>
                </c:pt>
                <c:pt idx="40">
                  <c:v>159.88</c:v>
                </c:pt>
                <c:pt idx="41">
                  <c:v>158.38999999999999</c:v>
                </c:pt>
                <c:pt idx="42">
                  <c:v>158.47999999999999</c:v>
                </c:pt>
                <c:pt idx="43">
                  <c:v>159.09</c:v>
                </c:pt>
                <c:pt idx="44">
                  <c:v>159.38999999999999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066-B239-09FE80CECF66}"/>
            </c:ext>
          </c:extLst>
        </c:ser>
        <c:ser>
          <c:idx val="2"/>
          <c:order val="2"/>
          <c:tx>
            <c:strRef>
              <c:f>BOLSA!$H$2</c:f>
              <c:strCache>
                <c:ptCount val="1"/>
                <c:pt idx="0">
                  <c:v>PG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BOLSA!$B$3:$B$47</c:f>
              <c:numCache>
                <c:formatCode>m/d/yyyy</c:formatCode>
                <c:ptCount val="4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</c:numCache>
            </c:numRef>
          </c:cat>
          <c:val>
            <c:numRef>
              <c:f>BOLSA!$H$3:$H$47</c:f>
              <c:numCache>
                <c:formatCode>_-[$$-240A]\ * #,##0.00_-;\-[$$-240A]\ * #,##0.00_-;_-[$$-240A]\ * "-"??_-;_-@_-</c:formatCode>
                <c:ptCount val="45"/>
                <c:pt idx="0">
                  <c:v>167.5</c:v>
                </c:pt>
                <c:pt idx="1">
                  <c:v>168.56</c:v>
                </c:pt>
                <c:pt idx="2">
                  <c:v>168.56</c:v>
                </c:pt>
                <c:pt idx="3">
                  <c:v>167.67</c:v>
                </c:pt>
                <c:pt idx="4">
                  <c:v>168.26</c:v>
                </c:pt>
                <c:pt idx="5">
                  <c:v>168.45</c:v>
                </c:pt>
                <c:pt idx="6">
                  <c:v>166.85</c:v>
                </c:pt>
                <c:pt idx="7">
                  <c:v>167.45</c:v>
                </c:pt>
                <c:pt idx="8">
                  <c:v>166.62</c:v>
                </c:pt>
                <c:pt idx="9">
                  <c:v>164.68</c:v>
                </c:pt>
                <c:pt idx="10">
                  <c:v>162.9</c:v>
                </c:pt>
                <c:pt idx="11">
                  <c:v>163.9</c:v>
                </c:pt>
                <c:pt idx="12">
                  <c:v>163.83000000000001</c:v>
                </c:pt>
                <c:pt idx="13">
                  <c:v>163.83000000000001</c:v>
                </c:pt>
                <c:pt idx="14">
                  <c:v>165.21</c:v>
                </c:pt>
                <c:pt idx="15">
                  <c:v>166.52</c:v>
                </c:pt>
                <c:pt idx="16">
                  <c:v>165.66</c:v>
                </c:pt>
                <c:pt idx="17">
                  <c:v>166.56</c:v>
                </c:pt>
                <c:pt idx="18">
                  <c:v>165.54</c:v>
                </c:pt>
                <c:pt idx="19">
                  <c:v>166.61</c:v>
                </c:pt>
                <c:pt idx="20">
                  <c:v>164.58</c:v>
                </c:pt>
                <c:pt idx="21">
                  <c:v>166.95</c:v>
                </c:pt>
                <c:pt idx="22">
                  <c:v>169.44</c:v>
                </c:pt>
                <c:pt idx="23">
                  <c:v>168.44</c:v>
                </c:pt>
                <c:pt idx="24">
                  <c:v>167.96</c:v>
                </c:pt>
                <c:pt idx="25">
                  <c:v>168.25</c:v>
                </c:pt>
                <c:pt idx="26">
                  <c:v>166.62</c:v>
                </c:pt>
                <c:pt idx="27">
                  <c:v>168</c:v>
                </c:pt>
                <c:pt idx="28">
                  <c:v>166.9</c:v>
                </c:pt>
                <c:pt idx="29">
                  <c:v>169.11</c:v>
                </c:pt>
                <c:pt idx="30">
                  <c:v>169.93</c:v>
                </c:pt>
                <c:pt idx="31">
                  <c:v>161.69999999999999</c:v>
                </c:pt>
                <c:pt idx="32">
                  <c:v>160.76</c:v>
                </c:pt>
                <c:pt idx="33">
                  <c:v>165.69</c:v>
                </c:pt>
                <c:pt idx="34">
                  <c:v>170.08</c:v>
                </c:pt>
                <c:pt idx="35">
                  <c:v>168.06</c:v>
                </c:pt>
                <c:pt idx="36">
                  <c:v>168.09</c:v>
                </c:pt>
                <c:pt idx="37">
                  <c:v>170.02</c:v>
                </c:pt>
                <c:pt idx="38">
                  <c:v>170.87</c:v>
                </c:pt>
                <c:pt idx="39">
                  <c:v>170.54</c:v>
                </c:pt>
                <c:pt idx="40">
                  <c:v>166.81</c:v>
                </c:pt>
                <c:pt idx="41">
                  <c:v>167.29</c:v>
                </c:pt>
                <c:pt idx="42">
                  <c:v>168.8</c:v>
                </c:pt>
                <c:pt idx="43">
                  <c:v>167.92</c:v>
                </c:pt>
                <c:pt idx="44">
                  <c:v>167.89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1A-4066-B239-09FE80CECF66}"/>
            </c:ext>
          </c:extLst>
        </c:ser>
        <c:ser>
          <c:idx val="3"/>
          <c:order val="3"/>
          <c:tx>
            <c:strRef>
              <c:f>BOLSA!$I$2</c:f>
              <c:strCache>
                <c:ptCount val="1"/>
                <c:pt idx="0">
                  <c:v>PEP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BOLSA!$B$3:$B$47</c:f>
              <c:numCache>
                <c:formatCode>m/d/yyyy</c:formatCode>
                <c:ptCount val="4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</c:numCache>
            </c:numRef>
          </c:cat>
          <c:val>
            <c:numRef>
              <c:f>BOLSA!$I$3:$I$47</c:f>
              <c:numCache>
                <c:formatCode>_-[$$-240A]\ * #,##0.00_-;\-[$$-240A]\ * #,##0.00_-;_-[$$-240A]\ * "-"??_-;_-@_-</c:formatCode>
                <c:ptCount val="45"/>
                <c:pt idx="0">
                  <c:v>166.14</c:v>
                </c:pt>
                <c:pt idx="1">
                  <c:v>166.48</c:v>
                </c:pt>
                <c:pt idx="2">
                  <c:v>166.48</c:v>
                </c:pt>
                <c:pt idx="3">
                  <c:v>166.68</c:v>
                </c:pt>
                <c:pt idx="4">
                  <c:v>167.28</c:v>
                </c:pt>
                <c:pt idx="5">
                  <c:v>168.08</c:v>
                </c:pt>
                <c:pt idx="6">
                  <c:v>167.35</c:v>
                </c:pt>
                <c:pt idx="7">
                  <c:v>166.74</c:v>
                </c:pt>
                <c:pt idx="8">
                  <c:v>166.26</c:v>
                </c:pt>
                <c:pt idx="9">
                  <c:v>165.09</c:v>
                </c:pt>
                <c:pt idx="10">
                  <c:v>163.28</c:v>
                </c:pt>
                <c:pt idx="11">
                  <c:v>163.58000000000001</c:v>
                </c:pt>
                <c:pt idx="12">
                  <c:v>162.6</c:v>
                </c:pt>
                <c:pt idx="13">
                  <c:v>162.6</c:v>
                </c:pt>
                <c:pt idx="14">
                  <c:v>164.39</c:v>
                </c:pt>
                <c:pt idx="15">
                  <c:v>162.12</c:v>
                </c:pt>
                <c:pt idx="16">
                  <c:v>161.9</c:v>
                </c:pt>
                <c:pt idx="17">
                  <c:v>162.91999999999999</c:v>
                </c:pt>
                <c:pt idx="18">
                  <c:v>163.95</c:v>
                </c:pt>
                <c:pt idx="19">
                  <c:v>166.38</c:v>
                </c:pt>
                <c:pt idx="20">
                  <c:v>163.86</c:v>
                </c:pt>
                <c:pt idx="21">
                  <c:v>164.76</c:v>
                </c:pt>
                <c:pt idx="22">
                  <c:v>169.89</c:v>
                </c:pt>
                <c:pt idx="23">
                  <c:v>170.37</c:v>
                </c:pt>
                <c:pt idx="24">
                  <c:v>169.36</c:v>
                </c:pt>
                <c:pt idx="25">
                  <c:v>167.66</c:v>
                </c:pt>
                <c:pt idx="26">
                  <c:v>166.28</c:v>
                </c:pt>
                <c:pt idx="27">
                  <c:v>168.17</c:v>
                </c:pt>
                <c:pt idx="28">
                  <c:v>171.02</c:v>
                </c:pt>
                <c:pt idx="29">
                  <c:v>172.75</c:v>
                </c:pt>
                <c:pt idx="30">
                  <c:v>173.21</c:v>
                </c:pt>
                <c:pt idx="31">
                  <c:v>173.18</c:v>
                </c:pt>
                <c:pt idx="32">
                  <c:v>172.67</c:v>
                </c:pt>
                <c:pt idx="33">
                  <c:v>174.96</c:v>
                </c:pt>
                <c:pt idx="34">
                  <c:v>178.04</c:v>
                </c:pt>
                <c:pt idx="35">
                  <c:v>174.04</c:v>
                </c:pt>
                <c:pt idx="36">
                  <c:v>172.49</c:v>
                </c:pt>
                <c:pt idx="37">
                  <c:v>171.79</c:v>
                </c:pt>
                <c:pt idx="38">
                  <c:v>172.37</c:v>
                </c:pt>
                <c:pt idx="39">
                  <c:v>172.39</c:v>
                </c:pt>
                <c:pt idx="40">
                  <c:v>171.42</c:v>
                </c:pt>
                <c:pt idx="41">
                  <c:v>172.37</c:v>
                </c:pt>
                <c:pt idx="42">
                  <c:v>173.31</c:v>
                </c:pt>
                <c:pt idx="43">
                  <c:v>172.52</c:v>
                </c:pt>
                <c:pt idx="44">
                  <c:v>172.62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A-4066-B239-09FE80CECF66}"/>
            </c:ext>
          </c:extLst>
        </c:ser>
        <c:ser>
          <c:idx val="4"/>
          <c:order val="4"/>
          <c:tx>
            <c:strRef>
              <c:f>BOLSA!$J$2</c:f>
              <c:strCache>
                <c:ptCount val="1"/>
                <c:pt idx="0">
                  <c:v>MSFT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BOLSA!$B$3:$B$47</c:f>
              <c:numCache>
                <c:formatCode>m/d/yyyy</c:formatCode>
                <c:ptCount val="4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</c:numCache>
            </c:numRef>
          </c:cat>
          <c:val>
            <c:numRef>
              <c:f>BOLSA!$J$3:$J$47</c:f>
              <c:numCache>
                <c:formatCode>_-[$$-240A]\ * #,##0.00_-;\-[$$-240A]\ * #,##0.00_-;_-[$$-240A]\ * "-"??_-;_-@_-</c:formatCode>
                <c:ptCount val="45"/>
                <c:pt idx="12">
                  <c:v>460.77</c:v>
                </c:pt>
                <c:pt idx="13">
                  <c:v>460.77</c:v>
                </c:pt>
                <c:pt idx="14">
                  <c:v>467.56</c:v>
                </c:pt>
                <c:pt idx="15">
                  <c:v>466.24</c:v>
                </c:pt>
                <c:pt idx="16">
                  <c:v>459.54</c:v>
                </c:pt>
                <c:pt idx="17">
                  <c:v>463.95</c:v>
                </c:pt>
                <c:pt idx="18">
                  <c:v>454.7</c:v>
                </c:pt>
                <c:pt idx="19">
                  <c:v>453.55</c:v>
                </c:pt>
                <c:pt idx="20">
                  <c:v>453.96</c:v>
                </c:pt>
                <c:pt idx="21">
                  <c:v>449.52</c:v>
                </c:pt>
                <c:pt idx="22">
                  <c:v>443.52</c:v>
                </c:pt>
                <c:pt idx="23">
                  <c:v>440.37</c:v>
                </c:pt>
                <c:pt idx="24">
                  <c:v>437.11</c:v>
                </c:pt>
                <c:pt idx="25">
                  <c:v>442.94</c:v>
                </c:pt>
                <c:pt idx="26">
                  <c:v>444.85</c:v>
                </c:pt>
                <c:pt idx="27">
                  <c:v>428.9</c:v>
                </c:pt>
                <c:pt idx="28">
                  <c:v>418.4</c:v>
                </c:pt>
                <c:pt idx="29">
                  <c:v>425.27</c:v>
                </c:pt>
                <c:pt idx="30">
                  <c:v>426.73</c:v>
                </c:pt>
                <c:pt idx="31">
                  <c:v>422.92</c:v>
                </c:pt>
                <c:pt idx="32">
                  <c:v>418.35</c:v>
                </c:pt>
                <c:pt idx="33">
                  <c:v>417.11</c:v>
                </c:pt>
                <c:pt idx="34">
                  <c:v>408.49</c:v>
                </c:pt>
                <c:pt idx="35">
                  <c:v>395.15</c:v>
                </c:pt>
                <c:pt idx="36">
                  <c:v>399.61</c:v>
                </c:pt>
                <c:pt idx="37">
                  <c:v>398.43</c:v>
                </c:pt>
                <c:pt idx="38">
                  <c:v>402.69</c:v>
                </c:pt>
                <c:pt idx="39">
                  <c:v>406.02</c:v>
                </c:pt>
                <c:pt idx="40">
                  <c:v>406.06</c:v>
                </c:pt>
                <c:pt idx="41">
                  <c:v>414.01</c:v>
                </c:pt>
                <c:pt idx="42">
                  <c:v>416.86</c:v>
                </c:pt>
                <c:pt idx="43">
                  <c:v>421.03</c:v>
                </c:pt>
                <c:pt idx="44">
                  <c:v>418.47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A-4066-B239-09FE80CECF66}"/>
            </c:ext>
          </c:extLst>
        </c:ser>
        <c:ser>
          <c:idx val="5"/>
          <c:order val="5"/>
          <c:tx>
            <c:strRef>
              <c:f>BOLSA!$K$2</c:f>
              <c:strCache>
                <c:ptCount val="1"/>
                <c:pt idx="0">
                  <c:v>MCD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BOLSA!$B$3:$B$47</c:f>
              <c:numCache>
                <c:formatCode>m/d/yyyy</c:formatCode>
                <c:ptCount val="45"/>
                <c:pt idx="0">
                  <c:v>45460</c:v>
                </c:pt>
                <c:pt idx="1">
                  <c:v>45461</c:v>
                </c:pt>
                <c:pt idx="2">
                  <c:v>45462</c:v>
                </c:pt>
                <c:pt idx="3">
                  <c:v>45463</c:v>
                </c:pt>
                <c:pt idx="4">
                  <c:v>45464</c:v>
                </c:pt>
                <c:pt idx="5">
                  <c:v>45467</c:v>
                </c:pt>
                <c:pt idx="6">
                  <c:v>45468</c:v>
                </c:pt>
                <c:pt idx="7">
                  <c:v>45469</c:v>
                </c:pt>
                <c:pt idx="8">
                  <c:v>45470</c:v>
                </c:pt>
                <c:pt idx="9">
                  <c:v>45471</c:v>
                </c:pt>
                <c:pt idx="10">
                  <c:v>45474</c:v>
                </c:pt>
                <c:pt idx="11">
                  <c:v>45475</c:v>
                </c:pt>
                <c:pt idx="12">
                  <c:v>45476</c:v>
                </c:pt>
                <c:pt idx="13">
                  <c:v>45477</c:v>
                </c:pt>
                <c:pt idx="14">
                  <c:v>45478</c:v>
                </c:pt>
                <c:pt idx="15">
                  <c:v>45481</c:v>
                </c:pt>
                <c:pt idx="16">
                  <c:v>45482</c:v>
                </c:pt>
                <c:pt idx="17">
                  <c:v>45483</c:v>
                </c:pt>
                <c:pt idx="18">
                  <c:v>45484</c:v>
                </c:pt>
                <c:pt idx="19">
                  <c:v>45485</c:v>
                </c:pt>
                <c:pt idx="20">
                  <c:v>45488</c:v>
                </c:pt>
                <c:pt idx="21">
                  <c:v>45489</c:v>
                </c:pt>
                <c:pt idx="22">
                  <c:v>45490</c:v>
                </c:pt>
                <c:pt idx="23">
                  <c:v>45491</c:v>
                </c:pt>
                <c:pt idx="24">
                  <c:v>45492</c:v>
                </c:pt>
                <c:pt idx="25">
                  <c:v>45495</c:v>
                </c:pt>
                <c:pt idx="26">
                  <c:v>45496</c:v>
                </c:pt>
                <c:pt idx="27">
                  <c:v>45497</c:v>
                </c:pt>
                <c:pt idx="28">
                  <c:v>45498</c:v>
                </c:pt>
                <c:pt idx="29">
                  <c:v>45499</c:v>
                </c:pt>
                <c:pt idx="30">
                  <c:v>45502</c:v>
                </c:pt>
                <c:pt idx="31">
                  <c:v>45503</c:v>
                </c:pt>
                <c:pt idx="32">
                  <c:v>45504</c:v>
                </c:pt>
                <c:pt idx="33">
                  <c:v>45505</c:v>
                </c:pt>
                <c:pt idx="34">
                  <c:v>45506</c:v>
                </c:pt>
                <c:pt idx="35">
                  <c:v>45509</c:v>
                </c:pt>
                <c:pt idx="36">
                  <c:v>45510</c:v>
                </c:pt>
                <c:pt idx="37">
                  <c:v>45511</c:v>
                </c:pt>
                <c:pt idx="38">
                  <c:v>45512</c:v>
                </c:pt>
                <c:pt idx="39">
                  <c:v>45513</c:v>
                </c:pt>
                <c:pt idx="40">
                  <c:v>45516</c:v>
                </c:pt>
                <c:pt idx="41">
                  <c:v>45517</c:v>
                </c:pt>
                <c:pt idx="42">
                  <c:v>45518</c:v>
                </c:pt>
                <c:pt idx="43">
                  <c:v>45519</c:v>
                </c:pt>
                <c:pt idx="44">
                  <c:v>45520</c:v>
                </c:pt>
              </c:numCache>
            </c:numRef>
          </c:cat>
          <c:val>
            <c:numRef>
              <c:f>BOLSA!$K$3:$K$47</c:f>
              <c:numCache>
                <c:formatCode>_-[$$-240A]\ * #,##0.00_-;\-[$$-240A]\ * #,##0.00_-;_-[$$-240A]\ * "-"??_-;_-@_-</c:formatCode>
                <c:ptCount val="45"/>
                <c:pt idx="0">
                  <c:v>253.51</c:v>
                </c:pt>
                <c:pt idx="1">
                  <c:v>250.79</c:v>
                </c:pt>
                <c:pt idx="2">
                  <c:v>250.79</c:v>
                </c:pt>
                <c:pt idx="3">
                  <c:v>253.8</c:v>
                </c:pt>
                <c:pt idx="4">
                  <c:v>259.39</c:v>
                </c:pt>
                <c:pt idx="5">
                  <c:v>260.38</c:v>
                </c:pt>
                <c:pt idx="6">
                  <c:v>257.38</c:v>
                </c:pt>
                <c:pt idx="7">
                  <c:v>257.83</c:v>
                </c:pt>
                <c:pt idx="8">
                  <c:v>258.17</c:v>
                </c:pt>
                <c:pt idx="9">
                  <c:v>253.56</c:v>
                </c:pt>
                <c:pt idx="10">
                  <c:v>249.81</c:v>
                </c:pt>
                <c:pt idx="11">
                  <c:v>247.79</c:v>
                </c:pt>
                <c:pt idx="12">
                  <c:v>250</c:v>
                </c:pt>
                <c:pt idx="13">
                  <c:v>250</c:v>
                </c:pt>
                <c:pt idx="14">
                  <c:v>251.09</c:v>
                </c:pt>
                <c:pt idx="15">
                  <c:v>247.85</c:v>
                </c:pt>
                <c:pt idx="16">
                  <c:v>245.82</c:v>
                </c:pt>
                <c:pt idx="17">
                  <c:v>248.89</c:v>
                </c:pt>
                <c:pt idx="18">
                  <c:v>254.8</c:v>
                </c:pt>
                <c:pt idx="19">
                  <c:v>253.9</c:v>
                </c:pt>
                <c:pt idx="20">
                  <c:v>251.53</c:v>
                </c:pt>
                <c:pt idx="21">
                  <c:v>257.27</c:v>
                </c:pt>
                <c:pt idx="22">
                  <c:v>261</c:v>
                </c:pt>
                <c:pt idx="23">
                  <c:v>259.52</c:v>
                </c:pt>
                <c:pt idx="24">
                  <c:v>257.27999999999997</c:v>
                </c:pt>
                <c:pt idx="25">
                  <c:v>259.54000000000002</c:v>
                </c:pt>
                <c:pt idx="26">
                  <c:v>254.05</c:v>
                </c:pt>
                <c:pt idx="27">
                  <c:v>253.37</c:v>
                </c:pt>
                <c:pt idx="28">
                  <c:v>251.46</c:v>
                </c:pt>
                <c:pt idx="29">
                  <c:v>252</c:v>
                </c:pt>
                <c:pt idx="30">
                  <c:v>261.42</c:v>
                </c:pt>
                <c:pt idx="31">
                  <c:v>266.44</c:v>
                </c:pt>
                <c:pt idx="32">
                  <c:v>265.39999999999998</c:v>
                </c:pt>
                <c:pt idx="33">
                  <c:v>268.75</c:v>
                </c:pt>
                <c:pt idx="34">
                  <c:v>276.69</c:v>
                </c:pt>
                <c:pt idx="35">
                  <c:v>268.45</c:v>
                </c:pt>
                <c:pt idx="36">
                  <c:v>270.06</c:v>
                </c:pt>
                <c:pt idx="37">
                  <c:v>269.37</c:v>
                </c:pt>
                <c:pt idx="38">
                  <c:v>271.19</c:v>
                </c:pt>
                <c:pt idx="39">
                  <c:v>267.91000000000003</c:v>
                </c:pt>
                <c:pt idx="40">
                  <c:v>269.45999999999998</c:v>
                </c:pt>
                <c:pt idx="41">
                  <c:v>270.31</c:v>
                </c:pt>
                <c:pt idx="42">
                  <c:v>271.14999999999998</c:v>
                </c:pt>
                <c:pt idx="43">
                  <c:v>274.87</c:v>
                </c:pt>
                <c:pt idx="44">
                  <c:v>278.49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A-4066-B239-09FE80CECF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7523936"/>
        <c:axId val="817517408"/>
      </c:lineChart>
      <c:dateAx>
        <c:axId val="81752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17408"/>
        <c:crosses val="autoZero"/>
        <c:auto val="1"/>
        <c:lblOffset val="100"/>
        <c:baseTimeUnit val="days"/>
      </c:dateAx>
      <c:valAx>
        <c:axId val="8175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240A]\ * #,##0.00_-;\-[$$-240A]\ * #,##0.00_-;_-[$$-240A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175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0</xdr:row>
      <xdr:rowOff>185735</xdr:rowOff>
    </xdr:from>
    <xdr:to>
      <xdr:col>31</xdr:col>
      <xdr:colOff>504824</xdr:colOff>
      <xdr:row>36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2835F9-C7F3-545E-FB04-06952DB0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166687</xdr:rowOff>
    </xdr:from>
    <xdr:to>
      <xdr:col>28</xdr:col>
      <xdr:colOff>638174</xdr:colOff>
      <xdr:row>15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115F50-93D4-B74E-FD40-A1C1BD9D4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3</xdr:row>
      <xdr:rowOff>33337</xdr:rowOff>
    </xdr:from>
    <xdr:to>
      <xdr:col>30</xdr:col>
      <xdr:colOff>314324</xdr:colOff>
      <xdr:row>17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3444A9-0FAA-5A85-BA8C-E32A7989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119061</xdr:rowOff>
    </xdr:from>
    <xdr:to>
      <xdr:col>30</xdr:col>
      <xdr:colOff>342900</xdr:colOff>
      <xdr:row>40</xdr:row>
      <xdr:rowOff>104774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A95013C-61DC-82BC-67A7-CED15256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a8" displayName="Tabla8" ref="B2:I16" totalsRowShown="0">
  <autoFilter ref="B2:I16" xr:uid="{00000000-0009-0000-0100-000008000000}"/>
  <tableColumns count="8">
    <tableColumn id="1" xr3:uid="{00000000-0010-0000-0000-000001000000}" name="MES"/>
    <tableColumn id="2" xr3:uid="{00000000-0010-0000-0000-000002000000}" name="TIPO DE INVERSION"/>
    <tableColumn id="7" xr3:uid="{00000000-0010-0000-0000-000007000000}" name="NOMBRE"/>
    <tableColumn id="3" xr3:uid="{00000000-0010-0000-0000-000003000000}" name="CAPITAL A INICIO DE MES" dataCellStyle="Moneda"/>
    <tableColumn id="8" xr3:uid="{00000000-0010-0000-0000-000008000000}" name="CAPITAL INVERTIDO ESTE MES" dataDxfId="83" dataCellStyle="Moneda"/>
    <tableColumn id="4" xr3:uid="{00000000-0010-0000-0000-000004000000}" name="CAPITAL A FIN DE MES" dataCellStyle="Moneda"/>
    <tableColumn id="5" xr3:uid="{00000000-0010-0000-0000-000005000000}" name="GANANCIA/PERDIDA" dataCellStyle="Moneda">
      <calculatedColumnFormula>(Tabla8[[#This Row],[CAPITAL A FIN DE MES]]-(Tabla8[[#This Row],[CAPITAL A INICIO DE MES]]+Tabla8[[#This Row],[CAPITAL INVERTIDO ESTE MES]]))</calculatedColumnFormula>
    </tableColumn>
    <tableColumn id="6" xr3:uid="{00000000-0010-0000-0000-000006000000}" name="RENTABILIDAD"/>
  </tableColumns>
  <tableStyleInfo name="Estilo de tabla 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9000000}" name="Tabla3" displayName="Tabla3" ref="B2:T14" totalsRowShown="0" headerRowDxfId="21">
  <autoFilter ref="B2:T14" xr:uid="{00000000-0009-0000-0100-000003000000}"/>
  <tableColumns count="19">
    <tableColumn id="1" xr3:uid="{00000000-0010-0000-0900-000001000000}" name="FECHA ACTUAL" dataDxfId="20">
      <calculatedColumnFormula>TODAY()</calculatedColumnFormula>
    </tableColumn>
    <tableColumn id="2" xr3:uid="{00000000-0010-0000-0900-000002000000}" name="PRECIO ACT KO" dataDxfId="19" dataCellStyle="Moneda">
      <calculatedColumnFormula>VLOOKUP(B3,Tabla1[],5,FALSE)</calculatedColumnFormula>
    </tableColumn>
    <tableColumn id="3" xr3:uid="{00000000-0010-0000-0900-000003000000}" name="PRECIO ACT JNJ" dataDxfId="18">
      <calculatedColumnFormula>VLOOKUP(B3,Tabla1[],6,FALSE)</calculatedColumnFormula>
    </tableColumn>
    <tableColumn id="4" xr3:uid="{00000000-0010-0000-0900-000004000000}" name="PRECIO ACT PG" dataDxfId="17">
      <calculatedColumnFormula>VLOOKUP(B3,Tabla1[],7,FALSE)</calculatedColumnFormula>
    </tableColumn>
    <tableColumn id="5" xr3:uid="{00000000-0010-0000-0900-000005000000}" name="PRECIO ACT PEP" dataDxfId="16">
      <calculatedColumnFormula>VLOOKUP(B3,Tabla1[],8,FALSE)</calculatedColumnFormula>
    </tableColumn>
    <tableColumn id="6" xr3:uid="{00000000-0010-0000-0900-000006000000}" name="PRECIO ACT MSFT" dataDxfId="15">
      <calculatedColumnFormula>VLOOKUP(B3,Tabla1[],9,FALSE)</calculatedColumnFormula>
    </tableColumn>
    <tableColumn id="7" xr3:uid="{00000000-0010-0000-0900-000007000000}" name="PRECIO ACT MCD" dataDxfId="14">
      <calculatedColumnFormula>VLOOKUP(B3,Tabla1[],10,FALSE)</calculatedColumnFormula>
    </tableColumn>
    <tableColumn id="20" xr3:uid="{00000000-0010-0000-0900-000014000000}" name="PRECIO ACT VOO" dataDxfId="13">
      <calculatedColumnFormula>VLOOKUP(B3,Tabla2[],3,FALSE)</calculatedColumnFormula>
    </tableColumn>
    <tableColumn id="8" xr3:uid="{00000000-0010-0000-0900-000008000000}" name="EMPRESA" dataDxfId="12"/>
    <tableColumn id="9" xr3:uid="{00000000-0010-0000-0900-000009000000}" name="FECHA COMPRA" dataDxfId="11"/>
    <tableColumn id="10" xr3:uid="{00000000-0010-0000-0900-00000A000000}" name="PRECIO COMPRA" dataDxfId="10" dataCellStyle="Moneda"/>
    <tableColumn id="11" xr3:uid="{00000000-0010-0000-0900-00000B000000}" name="CAPITAL INVE" dataDxfId="9" dataCellStyle="Moneda"/>
    <tableColumn id="12" xr3:uid="{00000000-0010-0000-0900-00000C000000}" name="CANTIDAD DE ACCIONES" dataDxfId="8" dataCellStyle="Moneda">
      <calculatedColumnFormula>(M3/L3)</calculatedColumnFormula>
    </tableColumn>
    <tableColumn id="13" xr3:uid="{00000000-0010-0000-0900-00000D000000}" name="VALOR ACTUAL INVE" dataDxfId="7" dataCellStyle="Moneda">
      <calculatedColumnFormula>ROUND(IF(J3="KO",N3*C3,IF(J3="JNJ",N3*D3,IF(J3="PG",N3*E3,IF(J3="PEP",N3*F3,IF(J3="MSFT",N3*G3,IF(J3="MCD",N3*H3,IF(J3="VOO",N3*I3,0))))))),2)</calculatedColumnFormula>
    </tableColumn>
    <tableColumn id="14" xr3:uid="{00000000-0010-0000-0900-00000E000000}" name="FECHA DIVIDENDO" dataDxfId="6"/>
    <tableColumn id="15" xr3:uid="{00000000-0010-0000-0900-00000F000000}" name="VALOR DIVIDENDO POR ACCION" dataDxfId="5" dataCellStyle="Moneda"/>
    <tableColumn id="16" xr3:uid="{00000000-0010-0000-0900-000010000000}" name="TOTAL DIVIDENDO RECIBIDO" dataDxfId="4" dataCellStyle="Moneda">
      <calculatedColumnFormula>ROUND(Q3*N3,2)</calculatedColumnFormula>
    </tableColumn>
    <tableColumn id="17" xr3:uid="{00000000-0010-0000-0900-000011000000}" name="GANACIA/PERDIDA" dataDxfId="3" dataCellStyle="Moneda">
      <calculatedColumnFormula>ROUND(O3-M3,2)</calculatedColumnFormula>
    </tableColumn>
    <tableColumn id="18" xr3:uid="{00000000-0010-0000-0900-000012000000}" name="RENTABILIDAD" dataDxfId="2" dataCellStyle="Porcentaje">
      <calculatedColumnFormula>ROUND((S3+R3)/M3,2)</calculatedColumnFormula>
    </tableColumn>
  </tableColumns>
  <tableStyleInfo name="Estilo de tabla 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a10" displayName="Tabla10" ref="K2:O6" totalsRowShown="0">
  <autoFilter ref="K2:O6" xr:uid="{00000000-0009-0000-0100-00000A000000}"/>
  <tableColumns count="5">
    <tableColumn id="1" xr3:uid="{00000000-0010-0000-0100-000001000000}" name="TIPO DE INVERSION"/>
    <tableColumn id="2" xr3:uid="{00000000-0010-0000-0100-000002000000}" name="CAPITAL INICIAL TOTAL" dataCellStyle="Moneda"/>
    <tableColumn id="3" xr3:uid="{00000000-0010-0000-0100-000003000000}" name="CAPITAL FINAL TOTAL" dataCellStyle="Moneda"/>
    <tableColumn id="6" xr3:uid="{00000000-0010-0000-0100-000006000000}" name="TOTAL G/P" dataDxfId="82" dataCellStyle="Moneda">
      <calculatedColumnFormula>SUMIF(C:C,"CRIPTOMONEDA",H:H)</calculatedColumnFormula>
    </tableColumn>
    <tableColumn id="4" xr3:uid="{00000000-0010-0000-0100-000004000000}" name="% DEL TOTAL CAPITAL" dataDxfId="81" dataCellStyle="Porcentaje">
      <calculatedColumnFormula>M3/SUM(M3:M5)</calculatedColumnFormula>
    </tableColumn>
  </tableColumns>
  <tableStyleInfo name="Estilo de tabla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B2:J10" totalsRowShown="0" headerRowDxfId="80">
  <autoFilter ref="B2:J10" xr:uid="{00000000-0009-0000-0100-000007000000}"/>
  <tableColumns count="9">
    <tableColumn id="1" xr3:uid="{00000000-0010-0000-0200-000001000000}" name="MES"/>
    <tableColumn id="2" xr3:uid="{00000000-0010-0000-0200-000002000000}" name="CUENTA"/>
    <tableColumn id="3" xr3:uid="{00000000-0010-0000-0200-000003000000}" name="CANTIDAD INICIAL" dataDxfId="79"/>
    <tableColumn id="4" xr3:uid="{00000000-0010-0000-0200-000004000000}" name="CAPITAL INVERTIDO" dataDxfId="78"/>
    <tableColumn id="5" xr3:uid="{00000000-0010-0000-0200-000005000000}" name="INTERES OBTENIDO" dataDxfId="77"/>
    <tableColumn id="6" xr3:uid="{00000000-0010-0000-0200-000006000000}" name="PORCENTAJE DE INTERES" dataDxfId="76" dataCellStyle="Porcentaje">
      <calculatedColumnFormula>(F3/(D3+E3))</calculatedColumnFormula>
    </tableColumn>
    <tableColumn id="7" xr3:uid="{00000000-0010-0000-0200-000007000000}" name="RETIROS DE CAPITAL" dataDxfId="75"/>
    <tableColumn id="8" xr3:uid="{00000000-0010-0000-0200-000008000000}" name="TOTAL CAPITAL FIN DE MES" dataDxfId="74">
      <calculatedColumnFormula>D3+E3+F3-H3</calculatedColumnFormula>
    </tableColumn>
    <tableColumn id="9" xr3:uid="{00000000-0010-0000-0200-000009000000}" name="RENTABILIDAD" dataDxfId="73" dataCellStyle="Porcentaje">
      <calculatedColumnFormula>((I3-(D3+E3))/(D3+E3))</calculatedColumnFormula>
    </tableColumn>
  </tableColumns>
  <tableStyleInfo name="Estilo de tabla 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2:G117" totalsRowShown="0">
  <autoFilter ref="B2:G117" xr:uid="{00000000-0009-0000-0100-000004000000}"/>
  <tableColumns count="6">
    <tableColumn id="1" xr3:uid="{00000000-0010-0000-0300-000001000000}" name="FECHA" dataDxfId="72"/>
    <tableColumn id="2" xr3:uid="{00000000-0010-0000-0300-000002000000}" name="DÓLAR" dataDxfId="71"/>
    <tableColumn id="3" xr3:uid="{00000000-0010-0000-0300-000003000000}" name="BITCOIN" dataDxfId="70"/>
    <tableColumn id="5" xr3:uid="{00000000-0010-0000-0300-000005000000}" name="io.net" dataDxfId="69"/>
    <tableColumn id="4" xr3:uid="{00000000-0010-0000-0300-000004000000}" name="ETHEREUM" dataDxfId="68"/>
    <tableColumn id="6" xr3:uid="{00000000-0010-0000-0300-000006000000}" name="USDT" dataDxfId="67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Z38" totalsRowShown="0">
  <autoFilter ref="B2:Z38" xr:uid="{00000000-0009-0000-0100-000006000000}">
    <filterColumn colId="23">
      <filters>
        <filter val="ACTIVA"/>
      </filters>
    </filterColumn>
  </autoFilter>
  <tableColumns count="25">
    <tableColumn id="1" xr3:uid="{00000000-0010-0000-0400-000001000000}" name="fecha act" dataDxfId="62">
      <calculatedColumnFormula>TODAY()</calculatedColumnFormula>
    </tableColumn>
    <tableColumn id="2" xr3:uid="{00000000-0010-0000-0400-000002000000}" name="precio actual dólar" dataDxfId="61">
      <calculatedColumnFormula>VLOOKUP(B3,Tabla4[],2,FALSE)</calculatedColumnFormula>
    </tableColumn>
    <tableColumn id="3" xr3:uid="{00000000-0010-0000-0400-000003000000}" name="precio actual btc" dataDxfId="60">
      <calculatedColumnFormula>VLOOKUP(B3,Tabla4[],3,FALSE)</calculatedColumnFormula>
    </tableColumn>
    <tableColumn id="4" xr3:uid="{00000000-0010-0000-0400-000004000000}" name="precio actul eth" dataDxfId="59">
      <calculatedColumnFormula>VLOOKUP(B3,Tabla4[],5,FALSE)</calculatedColumnFormula>
    </tableColumn>
    <tableColumn id="5" xr3:uid="{00000000-0010-0000-0400-000005000000}" name="precio actual io.net" dataDxfId="58">
      <calculatedColumnFormula>VLOOKUP(B3,Tabla4[],4,FALSE)</calculatedColumnFormula>
    </tableColumn>
    <tableColumn id="6" xr3:uid="{00000000-0010-0000-0400-000006000000}" name="moneda"/>
    <tableColumn id="27" xr3:uid="{00000000-0010-0000-0400-00001B000000}" name="FECHA COMPRA"/>
    <tableColumn id="20" xr3:uid="{00000000-0010-0000-0400-000014000000}" name="PRECIO DEL DÓLAR, DIA COMPRA" dataDxfId="57">
      <calculatedColumnFormula>VLOOKUP(H3,Tabla4[],2,FALSE)</calculatedColumnFormula>
    </tableColumn>
    <tableColumn id="7" xr3:uid="{00000000-0010-0000-0400-000007000000}" name="precio de compra" dataDxfId="56"/>
    <tableColumn id="8" xr3:uid="{00000000-0010-0000-0400-000008000000}" name="cantidad" dataDxfId="55" dataCellStyle="Porcentaje"/>
    <tableColumn id="18" xr3:uid="{00000000-0010-0000-0400-000012000000}" name="COSTO DE COMPRA" dataDxfId="54" dataCellStyle="Porcentaje">
      <calculatedColumnFormula>Tabla6[[#This Row],[precio de compra]]*Tabla6[[#This Row],[cantidad]]*Tabla6[[#This Row],[PRECIO DEL DÓLAR, DIA COMPRA]]</calculatedColumnFormula>
    </tableColumn>
    <tableColumn id="21" xr3:uid="{00000000-0010-0000-0400-000015000000}" name="VALOR ACTUAL INV" dataDxfId="53" dataCellStyle="Porcentaje">
      <calculatedColumnFormula xml:space="preserve"> K3 * (IF(G3="BTC", D3, IF(G3="ETH", E3, IF(G3="IO.NET", F3, 0)))) * C3</calculatedColumnFormula>
    </tableColumn>
    <tableColumn id="9" xr3:uid="{00000000-0010-0000-0400-000009000000}" name="rentabilidad" dataDxfId="52" dataCellStyle="Porcentaje">
      <calculatedColumnFormula>IF(G3 = "BTC", (D3 - J3) / J3,
 IF(G3 = "ETH", (E3 - J3) / J3,
 IF(G3 = "IO.NET", (F3 - J3) / J3,
 "Moneda no soportada")))</calculatedColumnFormula>
    </tableColumn>
    <tableColumn id="10" xr3:uid="{00000000-0010-0000-0400-00000A000000}" name="meta1" dataDxfId="51" dataCellStyle="Porcentaje"/>
    <tableColumn id="11" xr3:uid="{00000000-0010-0000-0400-00000B000000}" name="META2" dataDxfId="50" dataCellStyle="Porcentaje"/>
    <tableColumn id="12" xr3:uid="{00000000-0010-0000-0400-00000C000000}" name="ACCION" dataDxfId="49">
      <calculatedColumnFormula>IF(N3 &lt; O3, "MANTENER", IF(N3 &lt; P3, "VENTA PARCIAL", "VENDER"))</calculatedColumnFormula>
    </tableColumn>
    <tableColumn id="13" xr3:uid="{00000000-0010-0000-0400-00000D000000}" name="FECHA DE VENTA"/>
    <tableColumn id="17" xr3:uid="{00000000-0010-0000-0400-000011000000}" name="CANTIDAD VENDIDA"/>
    <tableColumn id="14" xr3:uid="{00000000-0010-0000-0400-00000E000000}" name="PRECIO DE VENTA" dataDxfId="48"/>
    <tableColumn id="23" xr3:uid="{00000000-0010-0000-0400-000017000000}" name="INVENTARIO" dataDxfId="47">
      <calculatedColumnFormula>Tabla6[[#This Row],[cantidad]]-Tabla6[[#This Row],[CANTIDAD VENDIDA]]</calculatedColumnFormula>
    </tableColumn>
    <tableColumn id="24" xr3:uid="{00000000-0010-0000-0400-000018000000}" name="VALOR ACTUAL" dataDxfId="46">
      <calculatedColumnFormula>IF(G3="BTC", D3 * U3 * C3, IF(G3="ETH", E3 * U3 * C3, IF(G3="IO.NET", F3 * U3 * C3, 0)))</calculatedColumnFormula>
    </tableColumn>
    <tableColumn id="15" xr3:uid="{00000000-0010-0000-0400-00000F000000}" name="GANANCIA/PERDIDA" dataDxfId="45">
      <calculatedColumnFormula>IF(G3 = "BTC", ((T3 - L3)), IF(G3 = "ETH", ((T3 - L3)), IF(G3 = "IO.NET", ((T3 - L3)), "Moneda no soportada")))</calculatedColumnFormula>
    </tableColumn>
    <tableColumn id="25" xr3:uid="{00000000-0010-0000-0400-000019000000}" name="RENTABILIDAD TOTAL" dataDxfId="44" dataCellStyle="Porcentaje">
      <calculatedColumnFormula>IF(G3 = "BTC", (((D3 - J3) / J3)),IF(G3 = "ETH", ((E3 - J3) / J3), IF(G3 = "IO.NET", ((F3 - J3) / J3), "Moneda no soportada")))</calculatedColumnFormula>
    </tableColumn>
    <tableColumn id="26" xr3:uid="{00000000-0010-0000-0400-00001A000000}" name="ESTADO DE LA INVERSION" dataDxfId="43">
      <calculatedColumnFormula>IF(U3=0,"VENDIDA","ACTIVA")</calculatedColumnFormula>
    </tableColumn>
    <tableColumn id="16" xr3:uid="{00000000-0010-0000-0400-000010000000}" name="NOTAS"/>
  </tableColumns>
  <tableStyleInfo name="Estilo de tabla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a5" displayName="Tabla5" ref="B2:L7" totalsRowShown="0">
  <autoFilter ref="B2:L7" xr:uid="{00000000-0009-0000-0100-000005000000}"/>
  <tableColumns count="11">
    <tableColumn id="1" xr3:uid="{00000000-0010-0000-0500-000001000000}" name="FECHA ACT" dataDxfId="42">
      <calculatedColumnFormula>TODAY()</calculatedColumnFormula>
    </tableColumn>
    <tableColumn id="11" xr3:uid="{00000000-0010-0000-0500-00000B000000}" name="FECHA COMPRA" dataDxfId="41"/>
    <tableColumn id="2" xr3:uid="{00000000-0010-0000-0500-000002000000}" name="PRECIO DEL USD,DIA COMPRA"/>
    <tableColumn id="3" xr3:uid="{00000000-0010-0000-0500-000003000000}" name="CANTIDAD COPRADA"/>
    <tableColumn id="4" xr3:uid="{00000000-0010-0000-0500-000004000000}" name="CONTO EN COP">
      <calculatedColumnFormula>D3*E3</calculatedColumnFormula>
    </tableColumn>
    <tableColumn id="5" xr3:uid="{00000000-0010-0000-0500-000005000000}" name="CANTIDAD TOTAL(USD)" dataDxfId="40">
      <calculatedColumnFormula>G2+E3</calculatedColumnFormula>
    </tableColumn>
    <tableColumn id="6" xr3:uid="{00000000-0010-0000-0500-000006000000}" name="PRECIO ACTUAL(USD)">
      <calculatedColumnFormula>VLOOKUP(B3,Tabla4[],6,FALSE)</calculatedColumnFormula>
    </tableColumn>
    <tableColumn id="7" xr3:uid="{00000000-0010-0000-0500-000007000000}" name="VALOR ACTUAL EN COP">
      <calculatedColumnFormula>G3*H3</calculatedColumnFormula>
    </tableColumn>
    <tableColumn id="8" xr3:uid="{00000000-0010-0000-0500-000008000000}" name="COSTO TOTAL EN COP">
      <calculatedColumnFormula>F3+J2</calculatedColumnFormula>
    </tableColumn>
    <tableColumn id="9" xr3:uid="{00000000-0010-0000-0500-000009000000}" name="RENTABILIDAD" dataDxfId="39" dataCellStyle="Porcentaje">
      <calculatedColumnFormula>((I3-J3)/J3)</calculatedColumnFormula>
    </tableColumn>
    <tableColumn id="10" xr3:uid="{00000000-0010-0000-0500-00000A000000}" name="META 10%">
      <calculatedColumnFormula>D3*1.1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B2:O10" totalsRowShown="0">
  <autoFilter ref="B2:O10" xr:uid="{00000000-0009-0000-0100-000009000000}"/>
  <tableColumns count="14">
    <tableColumn id="1" xr3:uid="{00000000-0010-0000-0600-000001000000}" name="MES" dataDxfId="38"/>
    <tableColumn id="2" xr3:uid="{00000000-0010-0000-0600-000002000000}" name="CRIPTOMONEDA"/>
    <tableColumn id="3" xr3:uid="{00000000-0010-0000-0600-000003000000}" name="CANTIDAD INICIAL"/>
    <tableColumn id="4" xr3:uid="{00000000-0010-0000-0600-000004000000}" name="PRECIO DÓLAR INICIAL"/>
    <tableColumn id="5" xr3:uid="{00000000-0010-0000-0600-000005000000}" name="PRECIO INICIAL USD" dataCellStyle="Moneda"/>
    <tableColumn id="6" xr3:uid="{00000000-0010-0000-0600-000006000000}" name="VALOR INICIAL EN COP">
      <calculatedColumnFormula>D3*F3*E3</calculatedColumnFormula>
    </tableColumn>
    <tableColumn id="7" xr3:uid="{00000000-0010-0000-0600-000007000000}" name="CANTIDAD A FIN DE MES"/>
    <tableColumn id="8" xr3:uid="{00000000-0010-0000-0600-000008000000}" name="PRECIO DÓLAR FINAL"/>
    <tableColumn id="9" xr3:uid="{00000000-0010-0000-0600-000009000000}" name="PRECIO A FIN DE MES(USD)"/>
    <tableColumn id="10" xr3:uid="{00000000-0010-0000-0600-00000A000000}" name="PRECIO FINAL(COP)">
      <calculatedColumnFormula>H3*J3*I3</calculatedColumnFormula>
    </tableColumn>
    <tableColumn id="11" xr3:uid="{00000000-0010-0000-0600-00000B000000}" name="DIFERENCIA DE CANTIDAD">
      <calculatedColumnFormula>H3-D3</calculatedColumnFormula>
    </tableColumn>
    <tableColumn id="12" xr3:uid="{00000000-0010-0000-0600-00000C000000}" name="DIFERENCIA EN PRECIO">
      <calculatedColumnFormula>J3-F3</calculatedColumnFormula>
    </tableColumn>
    <tableColumn id="13" xr3:uid="{00000000-0010-0000-0600-00000D000000}" name="PRECIO DE LA DIFERENCIA EN COP">
      <calculatedColumnFormula>L3*J3*I3</calculatedColumnFormula>
    </tableColumn>
    <tableColumn id="14" xr3:uid="{00000000-0010-0000-0600-00000E000000}" name="RENTABILIDAD">
      <calculatedColumnFormula>(K3-G3)/G3</calculatedColumnFormula>
    </tableColumn>
  </tableColumns>
  <tableStyleInfo name="Estilo de tabla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a2" displayName="Tabla2" ref="B2:G34" totalsRowShown="0">
  <autoFilter ref="B2:G34" xr:uid="{00000000-0009-0000-0100-000002000000}"/>
  <tableColumns count="6">
    <tableColumn id="1" xr3:uid="{00000000-0010-0000-0700-000001000000}" name="FECHA" dataDxfId="37"/>
    <tableColumn id="5" xr3:uid="{00000000-0010-0000-0700-000005000000}" name="PRECIO DEL DÓLAR" dataDxfId="36">
      <calculatedColumnFormula>VLOOKUP(B3,Tabla4[],2,FALSE)</calculatedColumnFormula>
    </tableColumn>
    <tableColumn id="2" xr3:uid="{00000000-0010-0000-0700-000002000000}" name="VOO" dataDxfId="35" dataCellStyle="Moneda"/>
    <tableColumn id="3" xr3:uid="{00000000-0010-0000-0700-000003000000}" name="VALOR INVERSION 1" dataDxfId="34">
      <calculatedColumnFormula>0.01518 * D3</calculatedColumnFormula>
    </tableColumn>
    <tableColumn id="4" xr3:uid="{00000000-0010-0000-0700-000004000000}" name="GAN/PER" dataDxfId="33">
      <calculatedColumnFormula>Tabla2[[#This Row],[VALOR INVERSION 1]]-7.7</calculatedColumnFormula>
    </tableColumn>
    <tableColumn id="6" xr3:uid="{00000000-0010-0000-0700-000006000000}" name="VALOR EN COP" dataDxfId="32">
      <calculatedColumnFormula>Tabla2[[#This Row],[VALOR INVERSION 1]]*Tabla2[[#This Row],[PRECIO DEL DÓLAR]]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abla1" displayName="Tabla1" ref="B2:K47" totalsRowShown="0" headerRowDxfId="31">
  <autoFilter ref="B2:K47" xr:uid="{00000000-0009-0000-0100-000001000000}"/>
  <tableColumns count="10">
    <tableColumn id="1" xr3:uid="{00000000-0010-0000-0800-000001000000}" name="FECHA"/>
    <tableColumn id="2" xr3:uid="{00000000-0010-0000-0800-000002000000}" name="DÓLAR" dataDxfId="30">
      <calculatedColumnFormula>VLOOKUP(B3,Tabla4[],2,FALSE)</calculatedColumnFormula>
    </tableColumn>
    <tableColumn id="3" xr3:uid="{00000000-0010-0000-0800-000003000000}" name="S&amp;P 500" dataDxfId="29"/>
    <tableColumn id="4" xr3:uid="{00000000-0010-0000-0800-000004000000}" name="NASDAQ-100" dataDxfId="28"/>
    <tableColumn id="5" xr3:uid="{00000000-0010-0000-0800-000005000000}" name="KO" dataDxfId="27"/>
    <tableColumn id="6" xr3:uid="{00000000-0010-0000-0800-000006000000}" name="JNJ" dataDxfId="26"/>
    <tableColumn id="7" xr3:uid="{00000000-0010-0000-0800-000007000000}" name="PG" dataDxfId="25"/>
    <tableColumn id="8" xr3:uid="{00000000-0010-0000-0800-000008000000}" name="PEP" dataDxfId="24"/>
    <tableColumn id="13" xr3:uid="{00000000-0010-0000-0800-00000D000000}" name="MSFT" dataDxfId="23"/>
    <tableColumn id="9" xr3:uid="{00000000-0010-0000-0800-000009000000}" name="MCD" dataDxfId="2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tabSelected="1" workbookViewId="0">
      <selection activeCell="H3" sqref="H3"/>
    </sheetView>
  </sheetViews>
  <sheetFormatPr baseColWidth="10" defaultRowHeight="15" x14ac:dyDescent="0.25"/>
  <cols>
    <col min="3" max="4" width="20.85546875" customWidth="1"/>
    <col min="5" max="6" width="25.85546875" customWidth="1"/>
    <col min="7" max="7" width="22.85546875" customWidth="1"/>
    <col min="8" max="8" width="21.7109375" customWidth="1"/>
    <col min="9" max="9" width="16.42578125" customWidth="1"/>
    <col min="11" max="11" width="20.85546875" customWidth="1"/>
    <col min="12" max="12" width="23.7109375" customWidth="1"/>
    <col min="13" max="14" width="22.140625" customWidth="1"/>
    <col min="15" max="15" width="22.5703125" customWidth="1"/>
  </cols>
  <sheetData>
    <row r="2" spans="2:15" x14ac:dyDescent="0.25">
      <c r="B2" t="s">
        <v>53</v>
      </c>
      <c r="C2" t="s">
        <v>99</v>
      </c>
      <c r="D2" t="s">
        <v>103</v>
      </c>
      <c r="E2" t="s">
        <v>101</v>
      </c>
      <c r="F2" t="s">
        <v>110</v>
      </c>
      <c r="G2" t="s">
        <v>100</v>
      </c>
      <c r="H2" t="s">
        <v>29</v>
      </c>
      <c r="I2" t="s">
        <v>48</v>
      </c>
      <c r="K2" t="s">
        <v>99</v>
      </c>
      <c r="L2" t="s">
        <v>105</v>
      </c>
      <c r="M2" t="s">
        <v>106</v>
      </c>
      <c r="N2" t="s">
        <v>109</v>
      </c>
      <c r="O2" t="s">
        <v>107</v>
      </c>
    </row>
    <row r="3" spans="2:15" x14ac:dyDescent="0.25">
      <c r="B3" t="s">
        <v>65</v>
      </c>
      <c r="C3" t="s">
        <v>102</v>
      </c>
      <c r="D3" t="s">
        <v>94</v>
      </c>
      <c r="E3" s="7">
        <v>18566.62</v>
      </c>
      <c r="F3" s="7">
        <v>6200</v>
      </c>
      <c r="G3" s="7">
        <v>24997.599999999999</v>
      </c>
      <c r="H3" s="7">
        <f>(Tabla8[[#This Row],[CAPITAL A FIN DE MES]]-(Tabla8[[#This Row],[CAPITAL A INICIO DE MES]]+Tabla8[[#This Row],[CAPITAL INVERTIDO ESTE MES]]))</f>
        <v>230.97999999999956</v>
      </c>
      <c r="K3" t="s">
        <v>102</v>
      </c>
      <c r="L3" s="7">
        <f>SUMIF(C:C,"CUENTA DE AHORRO",E:E)</f>
        <v>45037.35</v>
      </c>
      <c r="M3" s="7">
        <f>SUMIF(C:C,"CUENTA DE AHORRO",G:G)</f>
        <v>25740.73</v>
      </c>
      <c r="N3" s="7">
        <f>SUMIF(C:C,"CUENTA DE AHORRO",H:H)</f>
        <v>-37496.619999999995</v>
      </c>
      <c r="O3" s="9">
        <f>M3/SUM(M3:M5)</f>
        <v>0.36574904245808215</v>
      </c>
    </row>
    <row r="4" spans="2:15" x14ac:dyDescent="0.25">
      <c r="B4" t="s">
        <v>65</v>
      </c>
      <c r="C4" t="s">
        <v>102</v>
      </c>
      <c r="D4" t="s">
        <v>97</v>
      </c>
      <c r="E4" s="7">
        <v>730</v>
      </c>
      <c r="F4" s="7"/>
      <c r="G4" s="7">
        <v>743.13</v>
      </c>
      <c r="H4" s="7">
        <f>(Tabla8[[#This Row],[CAPITAL A FIN DE MES]]-(Tabla8[[#This Row],[CAPITAL A INICIO DE MES]]+Tabla8[[#This Row],[CAPITAL INVERTIDO ESTE MES]]))</f>
        <v>13.129999999999995</v>
      </c>
      <c r="K4" t="s">
        <v>108</v>
      </c>
      <c r="L4" s="7">
        <f>SUMIF(C:C,"CRIPTOMONEDA",E:E)</f>
        <v>26948.260000000002</v>
      </c>
      <c r="M4" s="7">
        <f>SUMIF(C:C,"CRIPTOMONEDA",G:G)</f>
        <v>13972.429999999998</v>
      </c>
      <c r="N4" s="7">
        <f>SUMIF(C:C,"CRIPTOMONEDA",H:H)</f>
        <v>-22175.83</v>
      </c>
      <c r="O4" s="9">
        <f t="shared" ref="O4" si="0">M4/SUM(M4:M6)</f>
        <v>0.12148300694401998</v>
      </c>
    </row>
    <row r="5" spans="2:15" x14ac:dyDescent="0.25">
      <c r="B5" t="s">
        <v>65</v>
      </c>
      <c r="C5" t="s">
        <v>54</v>
      </c>
      <c r="D5" t="s">
        <v>15</v>
      </c>
      <c r="E5" s="7">
        <v>5738.44</v>
      </c>
      <c r="F5" s="7">
        <v>1400</v>
      </c>
      <c r="G5" s="7">
        <v>6780.1</v>
      </c>
      <c r="H5" s="7">
        <f>(Tabla8[[#This Row],[CAPITAL A FIN DE MES]]-(Tabla8[[#This Row],[CAPITAL A INICIO DE MES]]+Tabla8[[#This Row],[CAPITAL INVERTIDO ESTE MES]]))</f>
        <v>-358.33999999999924</v>
      </c>
      <c r="K5" t="s">
        <v>104</v>
      </c>
      <c r="L5" s="7">
        <f>SUMIF(C:C,"BOLSA",E:E)</f>
        <v>62161.81</v>
      </c>
      <c r="M5" s="7">
        <f>SUMIF(C:C,"BOLSA",G:G)</f>
        <v>30664.959999999999</v>
      </c>
      <c r="N5" s="7">
        <f>SUMIF(C:C,"BOLSA",H:H)</f>
        <v>-31496.85</v>
      </c>
      <c r="O5" s="9">
        <f>M5/SUM(M5:M8)</f>
        <v>0.30348401889570276</v>
      </c>
    </row>
    <row r="6" spans="2:15" x14ac:dyDescent="0.25">
      <c r="B6" t="s">
        <v>65</v>
      </c>
      <c r="C6" t="s">
        <v>54</v>
      </c>
      <c r="D6" t="s">
        <v>16</v>
      </c>
      <c r="E6" s="7">
        <v>2943.49</v>
      </c>
      <c r="F6" s="7">
        <v>1400</v>
      </c>
      <c r="G6" s="7">
        <v>3150.45</v>
      </c>
      <c r="H6" s="7">
        <f>(Tabla8[[#This Row],[CAPITAL A FIN DE MES]]-(Tabla8[[#This Row],[CAPITAL A INICIO DE MES]]+Tabla8[[#This Row],[CAPITAL INVERTIDO ESTE MES]]))</f>
        <v>-1193.04</v>
      </c>
      <c r="K6" t="s">
        <v>1</v>
      </c>
      <c r="L6" s="7">
        <f>SUM(L3:L5)</f>
        <v>134147.41999999998</v>
      </c>
      <c r="M6" s="7">
        <f>SUM(M3:M5)</f>
        <v>70378.12</v>
      </c>
      <c r="N6" s="7">
        <f>SUM(N3:N5)</f>
        <v>-91169.299999999988</v>
      </c>
      <c r="O6" s="9">
        <f>M6/SUM(M6:M9)</f>
        <v>1</v>
      </c>
    </row>
    <row r="7" spans="2:15" x14ac:dyDescent="0.25">
      <c r="B7" t="s">
        <v>65</v>
      </c>
      <c r="C7" t="s">
        <v>54</v>
      </c>
      <c r="D7" t="s">
        <v>64</v>
      </c>
      <c r="E7" s="7">
        <v>700</v>
      </c>
      <c r="F7" s="7">
        <v>800</v>
      </c>
      <c r="G7" s="7">
        <v>1506.4</v>
      </c>
      <c r="H7" s="7">
        <f>(Tabla8[[#This Row],[CAPITAL A FIN DE MES]]-(Tabla8[[#This Row],[CAPITAL A INICIO DE MES]]+Tabla8[[#This Row],[CAPITAL INVERTIDO ESTE MES]]))</f>
        <v>6.4000000000000909</v>
      </c>
      <c r="L7" s="7"/>
      <c r="M7" s="7"/>
      <c r="N7" s="7"/>
      <c r="O7" s="9"/>
    </row>
    <row r="8" spans="2:15" x14ac:dyDescent="0.25">
      <c r="B8" t="s">
        <v>65</v>
      </c>
      <c r="C8" t="s">
        <v>54</v>
      </c>
      <c r="D8" t="s">
        <v>42</v>
      </c>
      <c r="E8" s="7">
        <v>2778.27</v>
      </c>
      <c r="F8" s="7">
        <v>700</v>
      </c>
      <c r="G8" s="7">
        <v>2535.48</v>
      </c>
      <c r="H8" s="7">
        <f>(Tabla8[[#This Row],[CAPITAL A FIN DE MES]]-(Tabla8[[#This Row],[CAPITAL A INICIO DE MES]]+Tabla8[[#This Row],[CAPITAL INVERTIDO ESTE MES]]))</f>
        <v>-942.79</v>
      </c>
    </row>
    <row r="9" spans="2:15" x14ac:dyDescent="0.25">
      <c r="B9" t="s">
        <v>65</v>
      </c>
      <c r="C9" t="s">
        <v>104</v>
      </c>
      <c r="D9" t="s">
        <v>14</v>
      </c>
      <c r="E9" s="7">
        <v>31496.85</v>
      </c>
      <c r="F9" s="7"/>
      <c r="G9" s="7">
        <v>30664.959999999999</v>
      </c>
      <c r="H9" s="7">
        <f>(Tabla8[[#This Row],[CAPITAL A FIN DE MES]]-(Tabla8[[#This Row],[CAPITAL A INICIO DE MES]]+Tabla8[[#This Row],[CAPITAL INVERTIDO ESTE MES]]))</f>
        <v>-831.88999999999942</v>
      </c>
    </row>
    <row r="10" spans="2:15" x14ac:dyDescent="0.25">
      <c r="B10" t="s">
        <v>86</v>
      </c>
      <c r="C10" t="s">
        <v>102</v>
      </c>
      <c r="D10" t="s">
        <v>94</v>
      </c>
      <c r="E10" s="7">
        <v>24997.599999999999</v>
      </c>
      <c r="F10" s="7">
        <v>6000</v>
      </c>
      <c r="G10" s="7"/>
      <c r="H10" s="7">
        <f>(Tabla8[[#This Row],[CAPITAL A FIN DE MES]]-(Tabla8[[#This Row],[CAPITAL A INICIO DE MES]]+Tabla8[[#This Row],[CAPITAL INVERTIDO ESTE MES]]))</f>
        <v>-30997.599999999999</v>
      </c>
    </row>
    <row r="11" spans="2:15" x14ac:dyDescent="0.25">
      <c r="B11" t="s">
        <v>86</v>
      </c>
      <c r="C11" t="s">
        <v>102</v>
      </c>
      <c r="D11" t="s">
        <v>97</v>
      </c>
      <c r="E11" s="7">
        <v>743.13</v>
      </c>
      <c r="F11" s="7">
        <v>6000</v>
      </c>
      <c r="G11" s="7"/>
      <c r="H11" s="7">
        <f>(Tabla8[[#This Row],[CAPITAL A FIN DE MES]]-(Tabla8[[#This Row],[CAPITAL A INICIO DE MES]]+Tabla8[[#This Row],[CAPITAL INVERTIDO ESTE MES]]))</f>
        <v>-6743.13</v>
      </c>
    </row>
    <row r="12" spans="2:15" x14ac:dyDescent="0.25">
      <c r="B12" t="s">
        <v>86</v>
      </c>
      <c r="C12" t="s">
        <v>54</v>
      </c>
      <c r="D12" t="s">
        <v>15</v>
      </c>
      <c r="E12" s="7">
        <v>6780.1</v>
      </c>
      <c r="F12" s="7">
        <v>1400</v>
      </c>
      <c r="G12" s="7"/>
      <c r="H12" s="7">
        <f>(Tabla8[[#This Row],[CAPITAL A FIN DE MES]]-(Tabla8[[#This Row],[CAPITAL A INICIO DE MES]]+Tabla8[[#This Row],[CAPITAL INVERTIDO ESTE MES]]))</f>
        <v>-8180.1</v>
      </c>
    </row>
    <row r="13" spans="2:15" x14ac:dyDescent="0.25">
      <c r="B13" t="s">
        <v>86</v>
      </c>
      <c r="C13" t="s">
        <v>54</v>
      </c>
      <c r="D13" t="s">
        <v>16</v>
      </c>
      <c r="E13" s="7">
        <v>3942.9</v>
      </c>
      <c r="F13" s="7">
        <v>1400</v>
      </c>
      <c r="G13" s="7"/>
      <c r="H13" s="7">
        <f>(Tabla8[[#This Row],[CAPITAL A FIN DE MES]]-(Tabla8[[#This Row],[CAPITAL A INICIO DE MES]]+Tabla8[[#This Row],[CAPITAL INVERTIDO ESTE MES]]))</f>
        <v>-5342.9</v>
      </c>
    </row>
    <row r="14" spans="2:15" x14ac:dyDescent="0.25">
      <c r="B14" t="s">
        <v>86</v>
      </c>
      <c r="C14" t="s">
        <v>54</v>
      </c>
      <c r="D14" t="s">
        <v>42</v>
      </c>
      <c r="E14" s="7">
        <v>2535.48</v>
      </c>
      <c r="F14" s="7">
        <v>700</v>
      </c>
      <c r="G14" s="7"/>
      <c r="H14" s="7">
        <f>(Tabla8[[#This Row],[CAPITAL A FIN DE MES]]-(Tabla8[[#This Row],[CAPITAL A INICIO DE MES]]+Tabla8[[#This Row],[CAPITAL INVERTIDO ESTE MES]]))</f>
        <v>-3235.48</v>
      </c>
    </row>
    <row r="15" spans="2:15" x14ac:dyDescent="0.25">
      <c r="B15" t="s">
        <v>86</v>
      </c>
      <c r="C15" t="s">
        <v>54</v>
      </c>
      <c r="D15" t="s">
        <v>64</v>
      </c>
      <c r="E15" s="7">
        <v>1529.58</v>
      </c>
      <c r="F15" s="7">
        <v>1400</v>
      </c>
      <c r="G15" s="7"/>
      <c r="H15" s="7">
        <f>(Tabla8[[#This Row],[CAPITAL A FIN DE MES]]-(Tabla8[[#This Row],[CAPITAL A INICIO DE MES]]+Tabla8[[#This Row],[CAPITAL INVERTIDO ESTE MES]]))</f>
        <v>-2929.58</v>
      </c>
    </row>
    <row r="16" spans="2:15" x14ac:dyDescent="0.25">
      <c r="B16" t="s">
        <v>86</v>
      </c>
      <c r="C16" t="s">
        <v>104</v>
      </c>
      <c r="D16" t="s">
        <v>14</v>
      </c>
      <c r="E16" s="7">
        <v>30664.959999999999</v>
      </c>
      <c r="F16" s="7"/>
      <c r="G16" s="7"/>
      <c r="H16" s="7">
        <f>(Tabla8[[#This Row],[CAPITAL A FIN DE MES]]-(Tabla8[[#This Row],[CAPITAL A INICIO DE MES]]+Tabla8[[#This Row],[CAPITAL INVERTIDO ESTE MES]]))</f>
        <v>-30664.959999999999</v>
      </c>
    </row>
  </sheetData>
  <conditionalFormatting sqref="H1:H1048576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ignoredErrors>
    <ignoredError sqref="N3 N5:N6 H3" calculatedColumn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"/>
  <sheetViews>
    <sheetView workbookViewId="0">
      <selection activeCell="F19" sqref="F19"/>
    </sheetView>
  </sheetViews>
  <sheetFormatPr baseColWidth="10" defaultRowHeight="15" x14ac:dyDescent="0.25"/>
  <cols>
    <col min="2" max="2" width="17.140625" bestFit="1" customWidth="1"/>
    <col min="3" max="3" width="13.28515625" bestFit="1" customWidth="1"/>
    <col min="4" max="4" width="19.85546875" customWidth="1"/>
    <col min="5" max="5" width="21" customWidth="1"/>
    <col min="6" max="6" width="20.85546875" customWidth="1"/>
    <col min="7" max="7" width="26.140625" customWidth="1"/>
    <col min="8" max="8" width="21.85546875" customWidth="1"/>
    <col min="9" max="9" width="27.28515625" customWidth="1"/>
    <col min="10" max="10" width="16.42578125" customWidth="1"/>
    <col min="30" max="30" width="12.140625" bestFit="1" customWidth="1"/>
    <col min="31" max="31" width="14.28515625" bestFit="1" customWidth="1"/>
  </cols>
  <sheetData>
    <row r="2" spans="2:10" x14ac:dyDescent="0.25">
      <c r="B2" s="23" t="s">
        <v>53</v>
      </c>
      <c r="C2" s="23" t="s">
        <v>87</v>
      </c>
      <c r="D2" s="23" t="s">
        <v>55</v>
      </c>
      <c r="E2" s="23" t="s">
        <v>88</v>
      </c>
      <c r="F2" s="23" t="s">
        <v>89</v>
      </c>
      <c r="G2" s="23" t="s">
        <v>90</v>
      </c>
      <c r="H2" s="23" t="s">
        <v>91</v>
      </c>
      <c r="I2" s="23" t="s">
        <v>92</v>
      </c>
      <c r="J2" s="23" t="s">
        <v>48</v>
      </c>
    </row>
    <row r="3" spans="2:10" x14ac:dyDescent="0.25">
      <c r="B3" t="s">
        <v>93</v>
      </c>
      <c r="C3" t="s">
        <v>94</v>
      </c>
      <c r="D3" s="2">
        <v>200</v>
      </c>
      <c r="E3" s="2"/>
      <c r="F3" s="2">
        <v>1.1399999999999999</v>
      </c>
      <c r="G3" s="12">
        <f t="shared" ref="G3:G10" si="0">(F3/(D3+E3))</f>
        <v>5.6999999999999993E-3</v>
      </c>
      <c r="H3" s="2"/>
      <c r="I3" s="2">
        <f t="shared" ref="I3:I10" si="1">D3+E3+F3-H3</f>
        <v>201.14</v>
      </c>
      <c r="J3" s="12">
        <f t="shared" ref="J3:J10" si="2">((I3-(D3+E3))/(D3+E3))</f>
        <v>5.6999999999999317E-3</v>
      </c>
    </row>
    <row r="4" spans="2:10" x14ac:dyDescent="0.25">
      <c r="B4" t="s">
        <v>95</v>
      </c>
      <c r="C4" t="s">
        <v>94</v>
      </c>
      <c r="D4" s="2">
        <v>200</v>
      </c>
      <c r="E4" s="2">
        <v>8700</v>
      </c>
      <c r="F4" s="2">
        <v>76.849999999999994</v>
      </c>
      <c r="G4" s="12">
        <f t="shared" si="0"/>
        <v>8.6348314606741559E-3</v>
      </c>
      <c r="H4" s="2"/>
      <c r="I4" s="2">
        <f t="shared" si="1"/>
        <v>8976.85</v>
      </c>
      <c r="J4" s="12">
        <f t="shared" si="2"/>
        <v>8.6348314606741975E-3</v>
      </c>
    </row>
    <row r="5" spans="2:10" x14ac:dyDescent="0.25">
      <c r="B5" t="s">
        <v>96</v>
      </c>
      <c r="C5" t="s">
        <v>94</v>
      </c>
      <c r="D5" s="2">
        <v>8976.85</v>
      </c>
      <c r="E5" s="2">
        <v>3099.99</v>
      </c>
      <c r="F5" s="2">
        <v>111.91</v>
      </c>
      <c r="G5" s="12">
        <f t="shared" si="0"/>
        <v>9.2664968650739751E-3</v>
      </c>
      <c r="H5" s="2"/>
      <c r="I5" s="2">
        <f t="shared" si="1"/>
        <v>12188.75</v>
      </c>
      <c r="J5" s="12">
        <f t="shared" si="2"/>
        <v>9.2664968650739647E-3</v>
      </c>
    </row>
    <row r="6" spans="2:10" x14ac:dyDescent="0.25">
      <c r="B6" t="s">
        <v>98</v>
      </c>
      <c r="C6" t="s">
        <v>94</v>
      </c>
      <c r="D6" s="2">
        <v>12188.75</v>
      </c>
      <c r="E6" s="2">
        <v>6200</v>
      </c>
      <c r="F6" s="2">
        <v>177.87</v>
      </c>
      <c r="G6" s="12">
        <f t="shared" si="0"/>
        <v>9.6727618788661554E-3</v>
      </c>
      <c r="H6" s="2"/>
      <c r="I6" s="2">
        <f t="shared" si="1"/>
        <v>18566.62</v>
      </c>
      <c r="J6" s="12">
        <f t="shared" si="2"/>
        <v>9.6727618788660999E-3</v>
      </c>
    </row>
    <row r="7" spans="2:10" x14ac:dyDescent="0.25">
      <c r="B7" t="s">
        <v>65</v>
      </c>
      <c r="C7" t="s">
        <v>94</v>
      </c>
      <c r="D7" s="2">
        <v>18566.62</v>
      </c>
      <c r="E7" s="2">
        <v>6200</v>
      </c>
      <c r="F7" s="2">
        <v>230.98</v>
      </c>
      <c r="G7" s="12">
        <f t="shared" si="0"/>
        <v>9.326262525932081E-3</v>
      </c>
      <c r="H7" s="2"/>
      <c r="I7" s="2">
        <f t="shared" si="1"/>
        <v>24997.599999999999</v>
      </c>
      <c r="J7" s="12">
        <f t="shared" si="2"/>
        <v>9.3262625259320636E-3</v>
      </c>
    </row>
    <row r="8" spans="2:10" x14ac:dyDescent="0.25">
      <c r="B8" t="s">
        <v>65</v>
      </c>
      <c r="C8" t="s">
        <v>97</v>
      </c>
      <c r="D8" s="2">
        <v>730</v>
      </c>
      <c r="E8" s="2"/>
      <c r="F8" s="2">
        <v>13.73</v>
      </c>
      <c r="G8" s="12">
        <f t="shared" si="0"/>
        <v>1.8808219178082192E-2</v>
      </c>
      <c r="H8" s="2"/>
      <c r="I8" s="2">
        <f t="shared" si="1"/>
        <v>743.73</v>
      </c>
      <c r="J8" s="12">
        <f t="shared" si="2"/>
        <v>1.8808219178082217E-2</v>
      </c>
    </row>
    <row r="9" spans="2:10" x14ac:dyDescent="0.25">
      <c r="B9" t="s">
        <v>86</v>
      </c>
      <c r="C9" t="s">
        <v>94</v>
      </c>
      <c r="D9" s="2">
        <v>24997.599999999999</v>
      </c>
      <c r="E9" s="2">
        <v>6000</v>
      </c>
      <c r="F9" s="2"/>
      <c r="G9" s="12">
        <f t="shared" si="0"/>
        <v>0</v>
      </c>
      <c r="H9" s="2"/>
      <c r="I9" s="2">
        <f t="shared" si="1"/>
        <v>30997.599999999999</v>
      </c>
      <c r="J9" s="12">
        <f t="shared" si="2"/>
        <v>0</v>
      </c>
    </row>
    <row r="10" spans="2:10" x14ac:dyDescent="0.25">
      <c r="B10" t="s">
        <v>86</v>
      </c>
      <c r="C10" t="s">
        <v>97</v>
      </c>
      <c r="D10" s="2">
        <v>743.73</v>
      </c>
      <c r="E10" s="2">
        <v>6000</v>
      </c>
      <c r="F10" s="2"/>
      <c r="G10" s="12">
        <f t="shared" si="0"/>
        <v>0</v>
      </c>
      <c r="H10" s="2"/>
      <c r="I10" s="2">
        <f t="shared" si="1"/>
        <v>6743.73</v>
      </c>
      <c r="J10" s="12">
        <f t="shared" si="2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17"/>
  <sheetViews>
    <sheetView topLeftCell="A105" zoomScaleNormal="100" workbookViewId="0">
      <selection activeCell="H117" sqref="H117"/>
    </sheetView>
  </sheetViews>
  <sheetFormatPr baseColWidth="10" defaultRowHeight="15" x14ac:dyDescent="0.25"/>
  <cols>
    <col min="3" max="3" width="11.5703125" bestFit="1" customWidth="1"/>
    <col min="4" max="4" width="12" bestFit="1" customWidth="1"/>
    <col min="5" max="5" width="12" customWidth="1"/>
    <col min="6" max="7" width="13.140625" customWidth="1"/>
  </cols>
  <sheetData>
    <row r="2" spans="2:7" x14ac:dyDescent="0.25">
      <c r="B2" t="s">
        <v>0</v>
      </c>
      <c r="C2" t="s">
        <v>2</v>
      </c>
      <c r="D2" t="s">
        <v>3</v>
      </c>
      <c r="E2" t="s">
        <v>5</v>
      </c>
      <c r="F2" t="s">
        <v>4</v>
      </c>
      <c r="G2" t="s">
        <v>64</v>
      </c>
    </row>
    <row r="3" spans="2:7" x14ac:dyDescent="0.25">
      <c r="B3" s="1">
        <v>45404</v>
      </c>
      <c r="C3" s="3">
        <v>3912.77</v>
      </c>
      <c r="D3" s="3">
        <v>66429</v>
      </c>
      <c r="E3" s="3"/>
      <c r="F3" s="3"/>
      <c r="G3" s="3"/>
    </row>
    <row r="4" spans="2:7" x14ac:dyDescent="0.25">
      <c r="B4" s="1">
        <v>45405</v>
      </c>
      <c r="C4" s="3">
        <v>3910.09</v>
      </c>
      <c r="D4" s="3">
        <v>66429</v>
      </c>
      <c r="E4" s="3"/>
      <c r="F4" s="3"/>
      <c r="G4" s="3"/>
    </row>
    <row r="5" spans="2:7" x14ac:dyDescent="0.25">
      <c r="B5" s="1">
        <v>45406</v>
      </c>
      <c r="C5" s="3">
        <v>3906.66</v>
      </c>
      <c r="D5" s="3">
        <v>66651</v>
      </c>
      <c r="E5" s="3"/>
      <c r="F5" s="3"/>
      <c r="G5" s="3"/>
    </row>
    <row r="6" spans="2:7" x14ac:dyDescent="0.25">
      <c r="B6" s="1">
        <v>45407</v>
      </c>
      <c r="C6" s="3">
        <v>3954.52</v>
      </c>
      <c r="D6" s="3">
        <v>64247</v>
      </c>
      <c r="E6" s="3"/>
      <c r="F6" s="3"/>
      <c r="G6" s="3"/>
    </row>
    <row r="7" spans="2:7" x14ac:dyDescent="0.25">
      <c r="B7" s="1">
        <v>45408</v>
      </c>
      <c r="C7" s="3">
        <v>3959.14</v>
      </c>
      <c r="D7" s="3">
        <v>64262</v>
      </c>
      <c r="E7" s="3"/>
      <c r="F7" s="3"/>
      <c r="G7" s="3"/>
    </row>
    <row r="8" spans="2:7" x14ac:dyDescent="0.25">
      <c r="B8" s="1">
        <v>45409</v>
      </c>
      <c r="C8" s="3">
        <v>3965.23</v>
      </c>
      <c r="D8" s="3">
        <v>64262</v>
      </c>
      <c r="E8" s="3"/>
      <c r="F8" s="3"/>
      <c r="G8" s="3"/>
    </row>
    <row r="9" spans="2:7" x14ac:dyDescent="0.25">
      <c r="B9" s="1">
        <v>45410</v>
      </c>
      <c r="C9" s="3">
        <v>3965.23</v>
      </c>
      <c r="D9" s="3">
        <v>64262</v>
      </c>
      <c r="E9" s="3"/>
      <c r="F9" s="3"/>
      <c r="G9" s="3"/>
    </row>
    <row r="10" spans="2:7" x14ac:dyDescent="0.25">
      <c r="B10" s="1">
        <v>45411</v>
      </c>
      <c r="C10" s="3">
        <v>3899.11</v>
      </c>
      <c r="D10" s="3">
        <v>62651</v>
      </c>
      <c r="E10" s="3"/>
      <c r="F10" s="3"/>
      <c r="G10" s="3"/>
    </row>
    <row r="11" spans="2:7" x14ac:dyDescent="0.25">
      <c r="B11" s="1">
        <v>45412</v>
      </c>
      <c r="C11" s="3">
        <v>3866.12</v>
      </c>
      <c r="D11" s="3">
        <v>63665</v>
      </c>
      <c r="E11" s="3"/>
      <c r="F11" s="3"/>
      <c r="G11" s="3"/>
    </row>
    <row r="12" spans="2:7" x14ac:dyDescent="0.25">
      <c r="B12" s="1">
        <v>45413</v>
      </c>
      <c r="C12" s="3">
        <v>3910.78</v>
      </c>
      <c r="D12" s="3">
        <v>60239</v>
      </c>
      <c r="E12" s="3"/>
      <c r="F12" s="3"/>
      <c r="G12" s="3"/>
    </row>
    <row r="13" spans="2:7" x14ac:dyDescent="0.25">
      <c r="B13" s="1">
        <v>45414</v>
      </c>
      <c r="C13" s="3">
        <v>3914.91</v>
      </c>
      <c r="D13" s="3">
        <v>57733</v>
      </c>
      <c r="E13" s="3"/>
      <c r="F13" s="3"/>
      <c r="G13" s="3"/>
    </row>
    <row r="14" spans="2:7" x14ac:dyDescent="0.25">
      <c r="B14" s="1">
        <v>45415</v>
      </c>
      <c r="C14" s="3">
        <v>3876.29</v>
      </c>
      <c r="D14" s="3">
        <v>59715</v>
      </c>
      <c r="E14" s="3"/>
      <c r="F14" s="3"/>
      <c r="G14" s="3"/>
    </row>
    <row r="15" spans="2:7" x14ac:dyDescent="0.25">
      <c r="B15" s="1">
        <v>45416</v>
      </c>
      <c r="C15" s="3">
        <v>3884.06</v>
      </c>
      <c r="D15" s="3">
        <v>59715</v>
      </c>
      <c r="E15" s="3"/>
      <c r="F15" s="3"/>
      <c r="G15" s="3"/>
    </row>
    <row r="16" spans="2:7" x14ac:dyDescent="0.25">
      <c r="B16" s="1">
        <v>45417</v>
      </c>
      <c r="C16" s="3">
        <v>3884.06</v>
      </c>
      <c r="D16" s="3">
        <v>59715</v>
      </c>
      <c r="E16" s="3"/>
      <c r="F16" s="3"/>
      <c r="G16" s="3"/>
    </row>
    <row r="17" spans="2:7" x14ac:dyDescent="0.25">
      <c r="B17" s="1">
        <v>45418</v>
      </c>
      <c r="C17" s="3">
        <v>3899.49</v>
      </c>
      <c r="D17" s="3">
        <v>64047</v>
      </c>
      <c r="E17" s="3"/>
      <c r="F17" s="3"/>
      <c r="G17" s="3"/>
    </row>
    <row r="18" spans="2:7" x14ac:dyDescent="0.25">
      <c r="B18" s="1">
        <v>45419</v>
      </c>
      <c r="C18" s="3">
        <v>3892.43</v>
      </c>
      <c r="D18" s="3">
        <v>63488</v>
      </c>
      <c r="E18" s="3"/>
      <c r="F18" s="3"/>
      <c r="G18" s="3"/>
    </row>
    <row r="19" spans="2:7" x14ac:dyDescent="0.25">
      <c r="B19" s="1">
        <v>45420</v>
      </c>
      <c r="C19" s="3">
        <v>3887.67</v>
      </c>
      <c r="D19" s="3">
        <v>62410</v>
      </c>
      <c r="E19" s="3"/>
      <c r="F19" s="3"/>
      <c r="G19" s="3"/>
    </row>
    <row r="20" spans="2:7" x14ac:dyDescent="0.25">
      <c r="B20" s="1">
        <v>45421</v>
      </c>
      <c r="C20" s="3">
        <v>3889.78</v>
      </c>
      <c r="D20" s="3">
        <v>61611</v>
      </c>
      <c r="E20" s="3"/>
      <c r="F20" s="3"/>
      <c r="G20" s="3"/>
    </row>
    <row r="21" spans="2:7" x14ac:dyDescent="0.25">
      <c r="B21" s="1">
        <v>45422</v>
      </c>
      <c r="C21" s="3">
        <v>3893.04</v>
      </c>
      <c r="D21" s="3">
        <v>63035</v>
      </c>
      <c r="E21" s="3"/>
      <c r="F21" s="3"/>
      <c r="G21" s="3"/>
    </row>
    <row r="22" spans="2:7" x14ac:dyDescent="0.25">
      <c r="B22" s="1">
        <v>45423</v>
      </c>
      <c r="C22" s="3">
        <v>3886.61</v>
      </c>
      <c r="D22" s="3">
        <v>63035</v>
      </c>
      <c r="E22" s="3"/>
      <c r="F22" s="3"/>
      <c r="G22" s="3"/>
    </row>
    <row r="23" spans="2:7" x14ac:dyDescent="0.25">
      <c r="B23" s="1">
        <v>45424</v>
      </c>
      <c r="C23" s="3">
        <v>3886.63</v>
      </c>
      <c r="D23" s="3">
        <v>63035</v>
      </c>
      <c r="E23" s="3"/>
      <c r="F23" s="3"/>
      <c r="G23" s="3"/>
    </row>
    <row r="24" spans="2:7" x14ac:dyDescent="0.25">
      <c r="B24" s="1">
        <v>45425</v>
      </c>
      <c r="C24" s="3">
        <v>3875.84</v>
      </c>
      <c r="D24" s="3">
        <v>61620</v>
      </c>
      <c r="E24" s="3"/>
      <c r="F24" s="3"/>
      <c r="G24" s="3"/>
    </row>
    <row r="25" spans="2:7" x14ac:dyDescent="0.25">
      <c r="B25" s="1">
        <v>45426</v>
      </c>
      <c r="C25" s="3">
        <v>3884.72</v>
      </c>
      <c r="D25" s="3">
        <v>62663</v>
      </c>
      <c r="E25" s="3"/>
      <c r="F25" s="3"/>
      <c r="G25" s="3"/>
    </row>
    <row r="26" spans="2:7" x14ac:dyDescent="0.25">
      <c r="B26" s="1">
        <v>45427</v>
      </c>
      <c r="C26" s="3">
        <v>3835.2</v>
      </c>
      <c r="D26" s="3">
        <v>62058</v>
      </c>
      <c r="E26" s="3"/>
      <c r="F26" s="3"/>
      <c r="G26" s="3"/>
    </row>
    <row r="27" spans="2:7" x14ac:dyDescent="0.25">
      <c r="B27" s="1">
        <v>45428</v>
      </c>
      <c r="C27" s="3">
        <v>3824.57</v>
      </c>
      <c r="D27" s="3">
        <v>65932</v>
      </c>
      <c r="E27" s="3"/>
      <c r="F27" s="3"/>
      <c r="G27" s="3"/>
    </row>
    <row r="28" spans="2:7" x14ac:dyDescent="0.25">
      <c r="B28" s="1">
        <v>45429</v>
      </c>
      <c r="C28" s="3">
        <v>3825.81</v>
      </c>
      <c r="D28" s="3">
        <v>65932</v>
      </c>
      <c r="E28" s="3"/>
      <c r="F28" s="3"/>
      <c r="G28" s="3"/>
    </row>
    <row r="29" spans="2:7" x14ac:dyDescent="0.25">
      <c r="B29" s="1">
        <v>45430</v>
      </c>
      <c r="C29" s="3">
        <v>3807.16</v>
      </c>
      <c r="D29" s="3">
        <v>65932</v>
      </c>
      <c r="E29" s="3"/>
      <c r="F29" s="3"/>
      <c r="G29" s="3"/>
    </row>
    <row r="30" spans="2:7" x14ac:dyDescent="0.25">
      <c r="B30" s="1">
        <v>45431</v>
      </c>
      <c r="C30" s="3">
        <v>3907.16</v>
      </c>
      <c r="D30" s="3">
        <v>65932</v>
      </c>
      <c r="E30" s="3"/>
      <c r="F30" s="3"/>
      <c r="G30" s="3"/>
    </row>
    <row r="31" spans="2:7" x14ac:dyDescent="0.25">
      <c r="B31" s="1">
        <v>45432</v>
      </c>
      <c r="C31" s="3">
        <v>3834.1</v>
      </c>
      <c r="D31" s="3">
        <v>71061</v>
      </c>
      <c r="E31" s="3"/>
      <c r="F31" s="3"/>
      <c r="G31" s="3"/>
    </row>
    <row r="32" spans="2:7" x14ac:dyDescent="0.25">
      <c r="B32" s="1">
        <v>45432</v>
      </c>
      <c r="C32" s="3">
        <v>3823.33</v>
      </c>
      <c r="D32" s="3">
        <v>69820.39</v>
      </c>
      <c r="E32" s="3"/>
      <c r="F32" s="3"/>
      <c r="G32" s="3"/>
    </row>
    <row r="33" spans="2:7" x14ac:dyDescent="0.25">
      <c r="B33" s="1">
        <v>45433</v>
      </c>
      <c r="C33" s="3">
        <v>3823.33</v>
      </c>
      <c r="D33" s="3">
        <v>71061</v>
      </c>
      <c r="E33" s="3"/>
      <c r="F33" s="3"/>
      <c r="G33" s="3"/>
    </row>
    <row r="34" spans="2:7" x14ac:dyDescent="0.25">
      <c r="B34" s="1">
        <v>45434</v>
      </c>
      <c r="C34" s="3">
        <v>3815.89</v>
      </c>
      <c r="D34" s="3">
        <v>69820.39</v>
      </c>
      <c r="E34" s="3"/>
      <c r="F34" s="3"/>
      <c r="G34" s="3"/>
    </row>
    <row r="35" spans="2:7" x14ac:dyDescent="0.25">
      <c r="B35" s="1">
        <v>45435</v>
      </c>
      <c r="C35" s="3">
        <v>3826.91</v>
      </c>
      <c r="D35" s="3">
        <v>67894.8</v>
      </c>
      <c r="E35" s="3"/>
      <c r="F35" s="3"/>
      <c r="G35" s="3"/>
    </row>
    <row r="36" spans="2:7" x14ac:dyDescent="0.25">
      <c r="B36" s="1">
        <v>45436</v>
      </c>
      <c r="C36" s="3">
        <v>3865.43</v>
      </c>
      <c r="D36" s="3">
        <v>68270.3</v>
      </c>
      <c r="E36" s="3"/>
      <c r="F36" s="3"/>
      <c r="G36" s="3"/>
    </row>
    <row r="37" spans="2:7" x14ac:dyDescent="0.25">
      <c r="B37" s="1">
        <v>45437</v>
      </c>
      <c r="C37" s="3">
        <v>3864.74</v>
      </c>
      <c r="D37" s="3">
        <v>69162.5</v>
      </c>
      <c r="E37" s="3"/>
      <c r="F37" s="3"/>
      <c r="G37" s="3"/>
    </row>
    <row r="38" spans="2:7" x14ac:dyDescent="0.25">
      <c r="B38" s="1">
        <v>45438</v>
      </c>
      <c r="C38" s="3">
        <v>3864.74</v>
      </c>
      <c r="D38" s="3">
        <v>69068.899999999994</v>
      </c>
      <c r="E38" s="3"/>
      <c r="F38" s="3"/>
      <c r="G38" s="3"/>
    </row>
    <row r="39" spans="2:7" x14ac:dyDescent="0.25">
      <c r="B39" s="1">
        <v>45439</v>
      </c>
      <c r="C39" s="3">
        <v>3879.67</v>
      </c>
      <c r="D39" s="3">
        <v>69906.399999999994</v>
      </c>
      <c r="E39" s="3"/>
      <c r="F39" s="3"/>
      <c r="G39" s="3"/>
    </row>
    <row r="40" spans="2:7" x14ac:dyDescent="0.25">
      <c r="B40" s="1">
        <v>45440</v>
      </c>
      <c r="C40" s="3">
        <v>3871.11</v>
      </c>
      <c r="D40" s="3">
        <v>68284.7</v>
      </c>
      <c r="E40" s="3"/>
      <c r="F40" s="3"/>
      <c r="G40" s="3"/>
    </row>
    <row r="41" spans="2:7" x14ac:dyDescent="0.25">
      <c r="B41" s="1">
        <v>45441</v>
      </c>
      <c r="C41" s="3">
        <v>3840.64</v>
      </c>
      <c r="D41" s="3">
        <v>67458.899999999994</v>
      </c>
      <c r="E41" s="3"/>
      <c r="F41" s="3"/>
      <c r="G41" s="3"/>
    </row>
    <row r="42" spans="2:7" x14ac:dyDescent="0.25">
      <c r="B42" s="1">
        <v>45442</v>
      </c>
      <c r="C42" s="3">
        <v>3864.68</v>
      </c>
      <c r="D42" s="3">
        <v>69144.5</v>
      </c>
      <c r="E42" s="3"/>
      <c r="F42" s="3"/>
      <c r="G42" s="3"/>
    </row>
    <row r="43" spans="2:7" x14ac:dyDescent="0.25">
      <c r="B43" s="1">
        <v>45443</v>
      </c>
      <c r="C43" s="3">
        <v>3849.44</v>
      </c>
      <c r="D43" s="3">
        <v>68269.22</v>
      </c>
      <c r="E43" s="3"/>
      <c r="F43" s="3"/>
      <c r="G43" s="3"/>
    </row>
    <row r="44" spans="2:7" x14ac:dyDescent="0.25">
      <c r="B44" s="1">
        <v>45444</v>
      </c>
      <c r="C44" s="3">
        <v>3857.24</v>
      </c>
      <c r="D44" s="3">
        <v>67839.77</v>
      </c>
      <c r="E44" s="3"/>
      <c r="F44" s="3"/>
      <c r="G44" s="3"/>
    </row>
    <row r="45" spans="2:7" x14ac:dyDescent="0.25">
      <c r="B45" s="1">
        <v>45445</v>
      </c>
      <c r="C45" s="3">
        <v>3857.42</v>
      </c>
      <c r="D45" s="3">
        <v>68409.16</v>
      </c>
      <c r="E45" s="3"/>
      <c r="F45" s="3"/>
      <c r="G45" s="3"/>
    </row>
    <row r="46" spans="2:7" x14ac:dyDescent="0.25">
      <c r="B46" s="1">
        <v>45446</v>
      </c>
      <c r="C46" s="3">
        <v>3869.91</v>
      </c>
      <c r="D46" s="3">
        <v>68500.160000000003</v>
      </c>
      <c r="E46" s="3"/>
      <c r="F46" s="3"/>
      <c r="G46" s="3"/>
    </row>
    <row r="47" spans="2:7" x14ac:dyDescent="0.25">
      <c r="B47" s="1">
        <v>45447</v>
      </c>
      <c r="C47" s="3">
        <v>3860.88</v>
      </c>
      <c r="D47" s="3">
        <v>69306.850000000006</v>
      </c>
      <c r="E47" s="3"/>
      <c r="F47" s="3"/>
      <c r="G47" s="3"/>
    </row>
    <row r="48" spans="2:7" x14ac:dyDescent="0.25">
      <c r="B48" s="1">
        <v>45448</v>
      </c>
      <c r="C48" s="3">
        <v>3925.64</v>
      </c>
      <c r="D48" s="3">
        <v>71131.899999999994</v>
      </c>
      <c r="E48" s="3"/>
      <c r="F48" s="3">
        <v>3865.9</v>
      </c>
      <c r="G48" s="3"/>
    </row>
    <row r="49" spans="2:7" x14ac:dyDescent="0.25">
      <c r="B49" s="1">
        <v>45449</v>
      </c>
      <c r="C49" s="3">
        <v>3931.5</v>
      </c>
      <c r="D49" s="4">
        <v>70947</v>
      </c>
      <c r="E49" s="4"/>
      <c r="F49" s="4">
        <v>3801.31</v>
      </c>
      <c r="G49" s="4"/>
    </row>
    <row r="50" spans="2:7" x14ac:dyDescent="0.25">
      <c r="B50" s="1">
        <v>45450</v>
      </c>
      <c r="C50" s="3">
        <v>3961.4</v>
      </c>
      <c r="D50" s="3">
        <v>69485.8</v>
      </c>
      <c r="E50" s="3"/>
      <c r="F50" s="3">
        <v>3688.46</v>
      </c>
      <c r="G50" s="3"/>
    </row>
    <row r="51" spans="2:7" x14ac:dyDescent="0.25">
      <c r="B51" s="1">
        <v>45451</v>
      </c>
      <c r="C51" s="3">
        <v>3967.4</v>
      </c>
      <c r="D51" s="3">
        <v>69204</v>
      </c>
      <c r="E51" s="3"/>
      <c r="F51" s="3">
        <v>3669.88</v>
      </c>
      <c r="G51" s="3"/>
    </row>
    <row r="52" spans="2:7" x14ac:dyDescent="0.25">
      <c r="B52" s="1">
        <v>45452</v>
      </c>
      <c r="C52" s="3">
        <v>3967.4</v>
      </c>
      <c r="D52" s="3">
        <v>69813.7</v>
      </c>
      <c r="E52" s="3"/>
      <c r="F52" s="3">
        <v>3706.5</v>
      </c>
      <c r="G52" s="3"/>
    </row>
    <row r="53" spans="2:7" x14ac:dyDescent="0.25">
      <c r="B53" s="1">
        <v>45453</v>
      </c>
      <c r="C53" s="3">
        <v>3995.66</v>
      </c>
      <c r="D53" s="4">
        <v>69276</v>
      </c>
      <c r="E53" s="4"/>
      <c r="F53" s="4">
        <v>3669.68</v>
      </c>
      <c r="G53" s="4"/>
    </row>
    <row r="54" spans="2:7" x14ac:dyDescent="0.25">
      <c r="B54" s="1">
        <v>45454</v>
      </c>
      <c r="C54" s="3">
        <v>3838.72</v>
      </c>
      <c r="D54" s="3">
        <v>67166</v>
      </c>
      <c r="E54" s="3"/>
      <c r="F54" s="3">
        <v>3488.53</v>
      </c>
      <c r="G54" s="3"/>
    </row>
    <row r="55" spans="2:7" x14ac:dyDescent="0.25">
      <c r="B55" s="1">
        <v>45455</v>
      </c>
      <c r="C55" s="3">
        <v>3965.25</v>
      </c>
      <c r="D55" s="3">
        <v>68264</v>
      </c>
      <c r="E55" s="3">
        <v>5.68</v>
      </c>
      <c r="F55" s="3">
        <v>3562.81</v>
      </c>
      <c r="G55" s="3"/>
    </row>
    <row r="56" spans="2:7" x14ac:dyDescent="0.25">
      <c r="B56" s="1">
        <v>45456</v>
      </c>
      <c r="C56" s="3">
        <v>4042.4</v>
      </c>
      <c r="D56" s="3">
        <v>66943</v>
      </c>
      <c r="E56" s="3">
        <v>4.9000000000000004</v>
      </c>
      <c r="F56" s="3">
        <v>3483.94</v>
      </c>
      <c r="G56" s="3"/>
    </row>
    <row r="57" spans="2:7" x14ac:dyDescent="0.25">
      <c r="B57" s="1">
        <v>45457</v>
      </c>
      <c r="C57" s="3">
        <v>4153.17</v>
      </c>
      <c r="D57" s="3">
        <v>66113</v>
      </c>
      <c r="E57" s="3">
        <v>4.9800000000000004</v>
      </c>
      <c r="F57" s="3">
        <v>3513.24</v>
      </c>
      <c r="G57" s="3"/>
    </row>
    <row r="58" spans="2:7" x14ac:dyDescent="0.25">
      <c r="B58" s="1">
        <v>45458</v>
      </c>
      <c r="C58" s="3">
        <v>4140.0600000000004</v>
      </c>
      <c r="D58" s="3">
        <v>66136.259999999995</v>
      </c>
      <c r="E58" s="3">
        <v>5.35</v>
      </c>
      <c r="F58" s="3">
        <v>3536.35</v>
      </c>
      <c r="G58" s="3"/>
    </row>
    <row r="59" spans="2:7" x14ac:dyDescent="0.25">
      <c r="B59" s="1">
        <v>45459</v>
      </c>
      <c r="C59" s="3">
        <v>4140.0600000000004</v>
      </c>
      <c r="D59" s="3">
        <v>66445.600000000006</v>
      </c>
      <c r="E59" s="3">
        <v>4.28</v>
      </c>
      <c r="F59" s="3">
        <v>3552.76</v>
      </c>
      <c r="G59" s="3"/>
    </row>
    <row r="60" spans="2:7" x14ac:dyDescent="0.25">
      <c r="B60" s="1">
        <v>45460</v>
      </c>
      <c r="C60" s="3">
        <v>4129.43</v>
      </c>
      <c r="D60" s="4">
        <v>66469.899999999994</v>
      </c>
      <c r="E60" s="4">
        <v>4.2300000000000004</v>
      </c>
      <c r="F60" s="4">
        <v>3505.79</v>
      </c>
      <c r="G60" s="4"/>
    </row>
    <row r="61" spans="2:7" x14ac:dyDescent="0.25">
      <c r="B61" s="1">
        <v>45461</v>
      </c>
      <c r="C61" s="3">
        <v>4124.49</v>
      </c>
      <c r="D61" s="3">
        <v>65432.12</v>
      </c>
      <c r="E61" s="3">
        <v>3.94</v>
      </c>
      <c r="F61" s="3">
        <v>3550.4</v>
      </c>
      <c r="G61" s="3"/>
    </row>
    <row r="62" spans="2:7" x14ac:dyDescent="0.25">
      <c r="B62" s="1">
        <v>45462</v>
      </c>
      <c r="C62" s="3">
        <v>4146.2</v>
      </c>
      <c r="D62" s="3">
        <v>65172.6</v>
      </c>
      <c r="E62" s="3">
        <v>3.93</v>
      </c>
      <c r="F62" s="3">
        <v>3546.75</v>
      </c>
      <c r="G62" s="3"/>
    </row>
    <row r="63" spans="2:7" x14ac:dyDescent="0.25">
      <c r="B63" s="1">
        <v>45463</v>
      </c>
      <c r="C63" s="3">
        <v>4163.8</v>
      </c>
      <c r="D63" s="3">
        <v>64627.6</v>
      </c>
      <c r="E63" s="3">
        <v>4</v>
      </c>
      <c r="F63" s="3">
        <v>3502.79</v>
      </c>
      <c r="G63" s="3"/>
    </row>
    <row r="64" spans="2:7" x14ac:dyDescent="0.25">
      <c r="B64" s="1">
        <v>45464</v>
      </c>
      <c r="C64" s="3">
        <v>4167.01</v>
      </c>
      <c r="D64" s="3">
        <v>64265.599999999999</v>
      </c>
      <c r="E64" s="3">
        <v>3.89</v>
      </c>
      <c r="F64" s="3">
        <v>3504.63</v>
      </c>
      <c r="G64" s="3"/>
    </row>
    <row r="65" spans="2:7" x14ac:dyDescent="0.25">
      <c r="B65" s="1">
        <v>45465</v>
      </c>
      <c r="C65" s="3">
        <v>4163.3100000000004</v>
      </c>
      <c r="D65" s="3">
        <v>64384</v>
      </c>
      <c r="E65" s="3">
        <v>3.77</v>
      </c>
      <c r="F65" s="3">
        <v>3517.46</v>
      </c>
      <c r="G65" s="3"/>
    </row>
    <row r="66" spans="2:7" x14ac:dyDescent="0.25">
      <c r="B66" s="1">
        <v>45466</v>
      </c>
      <c r="C66" s="3">
        <v>4163.3100000000004</v>
      </c>
      <c r="D66" s="3">
        <v>63211.3</v>
      </c>
      <c r="E66" s="3">
        <v>3.27</v>
      </c>
      <c r="F66" s="3">
        <v>3417.88</v>
      </c>
      <c r="G66" s="3"/>
    </row>
    <row r="67" spans="2:7" x14ac:dyDescent="0.25">
      <c r="B67" s="1">
        <v>45467</v>
      </c>
      <c r="C67" s="3">
        <v>4144.4799999999996</v>
      </c>
      <c r="D67" s="4">
        <v>61441.2</v>
      </c>
      <c r="E67" s="4">
        <v>3.4</v>
      </c>
      <c r="F67" s="4">
        <v>3377.81</v>
      </c>
      <c r="G67" s="4"/>
    </row>
    <row r="68" spans="2:7" x14ac:dyDescent="0.25">
      <c r="B68" s="1">
        <v>45468</v>
      </c>
      <c r="C68" s="3">
        <v>4094.7</v>
      </c>
      <c r="D68" s="3">
        <v>61993.7</v>
      </c>
      <c r="E68" s="3">
        <v>3.56</v>
      </c>
      <c r="F68" s="3">
        <v>3409.31</v>
      </c>
      <c r="G68" s="3"/>
    </row>
    <row r="69" spans="2:7" x14ac:dyDescent="0.25">
      <c r="B69" s="1">
        <v>45469</v>
      </c>
      <c r="C69" s="3">
        <v>4095.53</v>
      </c>
      <c r="D69" s="3">
        <v>61003.7</v>
      </c>
      <c r="E69" s="3">
        <v>3.52</v>
      </c>
      <c r="F69" s="3">
        <v>3388.2</v>
      </c>
      <c r="G69" s="3"/>
    </row>
    <row r="70" spans="2:7" x14ac:dyDescent="0.25">
      <c r="B70" s="1">
        <v>45470</v>
      </c>
      <c r="C70" s="3">
        <v>4140.1899999999996</v>
      </c>
      <c r="D70" s="3">
        <v>61413.599999999999</v>
      </c>
      <c r="E70" s="3">
        <v>3.67</v>
      </c>
      <c r="F70" s="3">
        <v>3444.26</v>
      </c>
      <c r="G70" s="3"/>
    </row>
    <row r="71" spans="2:7" x14ac:dyDescent="0.25">
      <c r="B71" s="1">
        <v>45475</v>
      </c>
      <c r="C71" s="3">
        <v>4129.08</v>
      </c>
      <c r="D71" s="4">
        <v>60973.4</v>
      </c>
      <c r="E71" s="4">
        <v>2.83</v>
      </c>
      <c r="F71" s="4">
        <v>3359.03</v>
      </c>
      <c r="G71" s="4"/>
    </row>
    <row r="72" spans="2:7" x14ac:dyDescent="0.25">
      <c r="B72" s="1">
        <v>45476</v>
      </c>
      <c r="C72" s="3">
        <v>4119.8999999999996</v>
      </c>
      <c r="D72" s="3">
        <v>59061.1</v>
      </c>
      <c r="E72" s="3">
        <v>2.7</v>
      </c>
      <c r="F72" s="3">
        <v>3241.13</v>
      </c>
      <c r="G72" s="3"/>
    </row>
    <row r="73" spans="2:7" x14ac:dyDescent="0.25">
      <c r="B73" s="1">
        <v>45477</v>
      </c>
      <c r="C73" s="3">
        <v>4106.37</v>
      </c>
      <c r="D73" s="3">
        <v>55446.6</v>
      </c>
      <c r="E73" s="3">
        <v>2.0299999999999998</v>
      </c>
      <c r="F73" s="3">
        <v>2930.85</v>
      </c>
      <c r="G73" s="3"/>
    </row>
    <row r="74" spans="2:7" x14ac:dyDescent="0.25">
      <c r="B74" s="1">
        <v>45478</v>
      </c>
      <c r="C74" s="3">
        <v>4090.5</v>
      </c>
      <c r="D74" s="3">
        <v>56219.6</v>
      </c>
      <c r="E74" s="3">
        <v>2.11</v>
      </c>
      <c r="F74" s="3">
        <v>2969.23</v>
      </c>
      <c r="G74" s="3"/>
    </row>
    <row r="75" spans="2:7" x14ac:dyDescent="0.25">
      <c r="B75" s="1">
        <v>45479</v>
      </c>
      <c r="C75" s="3">
        <v>4082.28</v>
      </c>
      <c r="D75" s="3">
        <v>57945.2</v>
      </c>
      <c r="E75" s="3">
        <v>2.39</v>
      </c>
      <c r="F75" s="3">
        <v>3043.45</v>
      </c>
      <c r="G75" s="3"/>
    </row>
    <row r="76" spans="2:7" x14ac:dyDescent="0.25">
      <c r="B76" s="1">
        <v>45480</v>
      </c>
      <c r="C76" s="3">
        <v>4082.28</v>
      </c>
      <c r="D76" s="3">
        <v>55221.3</v>
      </c>
      <c r="E76" s="3">
        <v>2.09</v>
      </c>
      <c r="F76" s="3">
        <v>2887.08</v>
      </c>
      <c r="G76" s="3"/>
    </row>
    <row r="77" spans="2:7" x14ac:dyDescent="0.25">
      <c r="B77" s="1">
        <v>45481</v>
      </c>
      <c r="C77" s="3">
        <v>4078.65</v>
      </c>
      <c r="D77" s="4">
        <v>57094.400000000001</v>
      </c>
      <c r="E77" s="4">
        <v>2.29</v>
      </c>
      <c r="F77" s="4">
        <v>3055</v>
      </c>
      <c r="G77" s="4"/>
    </row>
    <row r="78" spans="2:7" x14ac:dyDescent="0.25">
      <c r="B78" s="1">
        <v>45482</v>
      </c>
      <c r="C78" s="3">
        <v>4049.27</v>
      </c>
      <c r="D78" s="3">
        <v>57712.4</v>
      </c>
      <c r="E78" s="3">
        <v>2.29</v>
      </c>
      <c r="F78" s="3">
        <v>3064.35</v>
      </c>
      <c r="G78" s="3"/>
    </row>
    <row r="79" spans="2:7" x14ac:dyDescent="0.25">
      <c r="B79" s="1">
        <v>45483</v>
      </c>
      <c r="C79" s="3">
        <v>4009.91</v>
      </c>
      <c r="D79" s="3">
        <v>57603.8</v>
      </c>
      <c r="E79" s="3">
        <v>2.37</v>
      </c>
      <c r="F79" s="3">
        <v>3105.54</v>
      </c>
      <c r="G79" s="3"/>
    </row>
    <row r="80" spans="2:7" x14ac:dyDescent="0.25">
      <c r="B80" s="1">
        <v>45484</v>
      </c>
      <c r="C80" s="3">
        <v>3955.21</v>
      </c>
      <c r="D80" s="3">
        <v>57474.5</v>
      </c>
      <c r="E80" s="3">
        <v>2.4900000000000002</v>
      </c>
      <c r="F80" s="3">
        <v>3113.12</v>
      </c>
      <c r="G80" s="3"/>
    </row>
    <row r="81" spans="2:7" x14ac:dyDescent="0.25">
      <c r="B81" s="1">
        <v>45485</v>
      </c>
      <c r="C81" s="3">
        <v>3975.25</v>
      </c>
      <c r="D81" s="3">
        <v>58298.6</v>
      </c>
      <c r="E81" s="3">
        <v>2.62</v>
      </c>
      <c r="F81" s="3">
        <v>3132.19</v>
      </c>
      <c r="G81" s="3"/>
    </row>
    <row r="82" spans="2:7" x14ac:dyDescent="0.25">
      <c r="B82" s="1">
        <v>45486</v>
      </c>
      <c r="C82" s="3">
        <v>3963.67</v>
      </c>
      <c r="D82" s="3">
        <v>58849.3</v>
      </c>
      <c r="E82" s="3">
        <v>2.4</v>
      </c>
      <c r="F82" s="3">
        <v>3157.26</v>
      </c>
      <c r="G82" s="3"/>
    </row>
    <row r="83" spans="2:7" x14ac:dyDescent="0.25">
      <c r="B83" s="1">
        <v>45487</v>
      </c>
      <c r="C83" s="3">
        <v>3963.67</v>
      </c>
      <c r="D83" s="3">
        <v>60034.5</v>
      </c>
      <c r="E83" s="3">
        <v>2.4</v>
      </c>
      <c r="F83" s="3">
        <v>3204.71</v>
      </c>
      <c r="G83" s="3"/>
    </row>
    <row r="84" spans="2:7" x14ac:dyDescent="0.25">
      <c r="B84" s="1">
        <v>45488</v>
      </c>
      <c r="C84" s="3">
        <v>3993.09</v>
      </c>
      <c r="D84" s="4">
        <v>62959.9</v>
      </c>
      <c r="E84" s="4">
        <v>2.6</v>
      </c>
      <c r="F84" s="4">
        <v>3458.1</v>
      </c>
      <c r="G84" s="4"/>
    </row>
    <row r="85" spans="2:7" x14ac:dyDescent="0.25">
      <c r="B85" s="1">
        <v>45489</v>
      </c>
      <c r="C85" s="3">
        <v>3953.88</v>
      </c>
      <c r="D85" s="3">
        <v>65801.899999999994</v>
      </c>
      <c r="E85" s="3">
        <v>2.76</v>
      </c>
      <c r="F85" s="3">
        <v>3486.6</v>
      </c>
      <c r="G85" s="3"/>
    </row>
    <row r="86" spans="2:7" x14ac:dyDescent="0.25">
      <c r="B86" s="1">
        <v>45490</v>
      </c>
      <c r="C86" s="3">
        <v>3972.87</v>
      </c>
      <c r="D86" s="3">
        <v>64680.7</v>
      </c>
      <c r="E86" s="3">
        <v>2.76</v>
      </c>
      <c r="F86" s="3">
        <v>3454.6</v>
      </c>
      <c r="G86" s="3"/>
    </row>
    <row r="87" spans="2:7" x14ac:dyDescent="0.25">
      <c r="B87" s="1">
        <v>45491</v>
      </c>
      <c r="C87" s="3">
        <v>3999.25</v>
      </c>
      <c r="D87" s="3">
        <v>63807.07</v>
      </c>
      <c r="E87" s="3">
        <v>2.93</v>
      </c>
      <c r="F87" s="3">
        <v>3417.6</v>
      </c>
      <c r="G87" s="3"/>
    </row>
    <row r="88" spans="2:7" x14ac:dyDescent="0.25">
      <c r="B88" s="1">
        <v>45492</v>
      </c>
      <c r="C88" s="3">
        <v>4047.22</v>
      </c>
      <c r="D88" s="3">
        <v>66691.899999999994</v>
      </c>
      <c r="E88" s="3">
        <v>2.92</v>
      </c>
      <c r="F88" s="3">
        <v>3503.6</v>
      </c>
      <c r="G88" s="3"/>
    </row>
    <row r="89" spans="2:7" x14ac:dyDescent="0.25">
      <c r="B89" s="1">
        <v>45493</v>
      </c>
      <c r="C89" s="3">
        <v>4046.27</v>
      </c>
      <c r="D89" s="3">
        <v>66500</v>
      </c>
      <c r="E89" s="3">
        <v>3.01</v>
      </c>
      <c r="F89" s="3">
        <v>3487.95</v>
      </c>
      <c r="G89" s="3"/>
    </row>
    <row r="90" spans="2:7" x14ac:dyDescent="0.25">
      <c r="B90" s="1">
        <v>45494</v>
      </c>
      <c r="C90" s="3">
        <v>4046.27</v>
      </c>
      <c r="D90" s="3">
        <v>67922</v>
      </c>
      <c r="E90" s="3">
        <v>3.03</v>
      </c>
      <c r="F90" s="3">
        <v>3515.71</v>
      </c>
      <c r="G90" s="3"/>
    </row>
    <row r="91" spans="2:7" x14ac:dyDescent="0.25">
      <c r="B91" s="1">
        <v>45495</v>
      </c>
      <c r="C91" s="3">
        <v>4041.33</v>
      </c>
      <c r="D91" s="4">
        <v>67584.800000000003</v>
      </c>
      <c r="E91" s="4">
        <v>2.81</v>
      </c>
      <c r="F91" s="4">
        <v>3476.12</v>
      </c>
      <c r="G91" s="4"/>
    </row>
    <row r="92" spans="2:7" x14ac:dyDescent="0.25">
      <c r="B92" s="1">
        <v>45496</v>
      </c>
      <c r="C92" s="3">
        <v>3995.01</v>
      </c>
      <c r="D92" s="3">
        <v>66098.2</v>
      </c>
      <c r="E92" s="3">
        <v>2.65</v>
      </c>
      <c r="F92" s="3">
        <v>3416.83</v>
      </c>
      <c r="G92" s="3">
        <v>3956</v>
      </c>
    </row>
    <row r="93" spans="2:7" x14ac:dyDescent="0.25">
      <c r="B93" s="1">
        <v>45497</v>
      </c>
      <c r="C93" s="3">
        <v>4014.08</v>
      </c>
      <c r="D93" s="3">
        <v>66001.73</v>
      </c>
      <c r="E93" s="3">
        <v>2.74</v>
      </c>
      <c r="F93" s="3">
        <v>3373.7</v>
      </c>
      <c r="G93" s="3">
        <v>3983</v>
      </c>
    </row>
    <row r="94" spans="2:7" x14ac:dyDescent="0.25">
      <c r="B94" s="1">
        <v>45498</v>
      </c>
      <c r="C94" s="3">
        <v>4044.19</v>
      </c>
      <c r="D94" s="3">
        <v>67119.75</v>
      </c>
      <c r="E94" s="3">
        <v>2.79</v>
      </c>
      <c r="F94" s="3">
        <v>3245</v>
      </c>
      <c r="G94" s="3">
        <v>3969</v>
      </c>
    </row>
    <row r="95" spans="2:7" x14ac:dyDescent="0.25">
      <c r="B95" s="1">
        <v>45499</v>
      </c>
      <c r="C95" s="3">
        <v>4042.31</v>
      </c>
      <c r="D95" s="3">
        <v>67984.95</v>
      </c>
      <c r="E95" s="3">
        <v>2.98</v>
      </c>
      <c r="F95" s="3">
        <v>3264.6</v>
      </c>
      <c r="G95" s="3">
        <v>3950</v>
      </c>
    </row>
    <row r="96" spans="2:7" x14ac:dyDescent="0.25">
      <c r="B96" s="1">
        <v>45500</v>
      </c>
      <c r="C96" s="3">
        <v>4037.98</v>
      </c>
      <c r="D96" s="3">
        <v>69261.740000000005</v>
      </c>
      <c r="E96" s="3">
        <v>2.99</v>
      </c>
      <c r="F96" s="3">
        <v>3319.84</v>
      </c>
      <c r="G96" s="3">
        <v>3924.76</v>
      </c>
    </row>
    <row r="97" spans="2:7" x14ac:dyDescent="0.25">
      <c r="B97" s="1">
        <v>45501</v>
      </c>
      <c r="C97" s="3">
        <v>4037.98</v>
      </c>
      <c r="D97" s="3">
        <v>67994.039999999994</v>
      </c>
      <c r="E97" s="3">
        <v>2.98</v>
      </c>
      <c r="F97" s="3">
        <v>3253.7</v>
      </c>
      <c r="G97" s="3">
        <v>3960</v>
      </c>
    </row>
    <row r="98" spans="2:7" x14ac:dyDescent="0.25">
      <c r="B98" s="1">
        <v>45502</v>
      </c>
      <c r="C98" s="3">
        <v>4030.02</v>
      </c>
      <c r="D98" s="4">
        <v>67509.06</v>
      </c>
      <c r="E98" s="4">
        <v>2.77</v>
      </c>
      <c r="F98" s="4">
        <v>3343.8</v>
      </c>
      <c r="G98" s="4">
        <v>4000</v>
      </c>
    </row>
    <row r="99" spans="2:7" x14ac:dyDescent="0.25">
      <c r="B99" s="1">
        <v>45503</v>
      </c>
      <c r="C99" s="3">
        <v>4077.08</v>
      </c>
      <c r="D99" s="3">
        <v>66507.94</v>
      </c>
      <c r="E99" s="3">
        <v>2.68</v>
      </c>
      <c r="F99" s="3">
        <v>3328.4</v>
      </c>
      <c r="G99" s="3">
        <v>4021</v>
      </c>
    </row>
    <row r="100" spans="2:7" x14ac:dyDescent="0.25">
      <c r="B100" s="1">
        <v>45504</v>
      </c>
      <c r="C100" s="3">
        <v>4077.07</v>
      </c>
      <c r="D100" s="3">
        <v>64820</v>
      </c>
      <c r="E100" s="3">
        <v>2.44</v>
      </c>
      <c r="F100" s="3">
        <v>3230.4</v>
      </c>
      <c r="G100" s="3">
        <v>3992</v>
      </c>
    </row>
    <row r="101" spans="2:7" x14ac:dyDescent="0.25">
      <c r="B101" s="1">
        <v>45505</v>
      </c>
      <c r="C101" s="3">
        <v>4045.51</v>
      </c>
      <c r="D101" s="3">
        <v>64080</v>
      </c>
      <c r="E101" s="3">
        <v>2.21</v>
      </c>
      <c r="F101" s="3">
        <v>3150.45</v>
      </c>
      <c r="G101" s="3">
        <v>4004</v>
      </c>
    </row>
    <row r="102" spans="2:7" x14ac:dyDescent="0.25">
      <c r="B102" s="1">
        <v>45506</v>
      </c>
      <c r="C102" s="3">
        <v>4064.07</v>
      </c>
      <c r="D102" s="3">
        <v>63407.6</v>
      </c>
      <c r="E102" s="3">
        <v>2.0299999999999998</v>
      </c>
      <c r="F102" s="3">
        <v>2999.7</v>
      </c>
      <c r="G102" s="3">
        <v>4072</v>
      </c>
    </row>
    <row r="103" spans="2:7" x14ac:dyDescent="0.25">
      <c r="B103" s="1">
        <v>45507</v>
      </c>
      <c r="C103" s="3">
        <v>4052</v>
      </c>
      <c r="D103" s="3">
        <v>61257.3</v>
      </c>
      <c r="E103" s="3">
        <v>1.89</v>
      </c>
      <c r="F103" s="3">
        <v>2964.1</v>
      </c>
      <c r="G103" s="3">
        <v>4074</v>
      </c>
    </row>
    <row r="104" spans="2:7" x14ac:dyDescent="0.25">
      <c r="B104" s="1">
        <v>45508</v>
      </c>
      <c r="C104" s="3">
        <v>4052</v>
      </c>
      <c r="D104" s="3">
        <v>60700</v>
      </c>
      <c r="E104" s="3">
        <v>1.83</v>
      </c>
      <c r="F104" s="3">
        <v>2917.9</v>
      </c>
      <c r="G104" s="3">
        <v>4070</v>
      </c>
    </row>
    <row r="105" spans="2:7" x14ac:dyDescent="0.25">
      <c r="B105" s="1">
        <v>45509</v>
      </c>
      <c r="C105" s="3">
        <v>4116.91</v>
      </c>
      <c r="D105" s="4">
        <v>53674.2</v>
      </c>
      <c r="E105" s="4">
        <v>1.5</v>
      </c>
      <c r="F105" s="4">
        <v>2400.77</v>
      </c>
      <c r="G105" s="4">
        <v>4179</v>
      </c>
    </row>
    <row r="106" spans="2:7" x14ac:dyDescent="0.25">
      <c r="B106" s="1">
        <v>45510</v>
      </c>
      <c r="C106" s="3">
        <v>4155.3100000000004</v>
      </c>
      <c r="D106" s="3">
        <v>56479.199999999997</v>
      </c>
      <c r="E106" s="3">
        <v>1.77</v>
      </c>
      <c r="F106" s="3">
        <v>2544.6999999999998</v>
      </c>
      <c r="G106" s="3">
        <v>4099</v>
      </c>
    </row>
    <row r="107" spans="2:7" x14ac:dyDescent="0.25">
      <c r="B107" s="1">
        <v>45511</v>
      </c>
      <c r="C107" s="3">
        <v>4140.09</v>
      </c>
      <c r="D107" s="3">
        <v>54972.800000000003</v>
      </c>
      <c r="E107" s="3">
        <v>1.6</v>
      </c>
      <c r="F107" s="3">
        <v>2354.17</v>
      </c>
      <c r="G107" s="3">
        <v>4080</v>
      </c>
    </row>
    <row r="108" spans="2:7" x14ac:dyDescent="0.25">
      <c r="B108" s="1">
        <v>45512</v>
      </c>
      <c r="C108" s="3">
        <v>4148.24</v>
      </c>
      <c r="D108" s="3">
        <v>61685.99</v>
      </c>
      <c r="E108" s="3">
        <v>1.9</v>
      </c>
      <c r="F108" s="3">
        <v>2683.9</v>
      </c>
      <c r="G108" s="3">
        <v>4020</v>
      </c>
    </row>
    <row r="109" spans="2:7" x14ac:dyDescent="0.25">
      <c r="B109" s="1">
        <v>45513</v>
      </c>
      <c r="C109" s="3">
        <v>4063.32</v>
      </c>
      <c r="D109" s="3">
        <v>60441.57</v>
      </c>
      <c r="E109" s="3">
        <v>1.66</v>
      </c>
      <c r="F109" s="3">
        <v>2605.6</v>
      </c>
      <c r="G109" s="3">
        <v>4014</v>
      </c>
    </row>
    <row r="110" spans="2:7" x14ac:dyDescent="0.25">
      <c r="B110" s="1">
        <v>45514</v>
      </c>
      <c r="C110" s="3">
        <v>4057.55</v>
      </c>
      <c r="D110" s="3">
        <v>60551.9</v>
      </c>
      <c r="E110" s="3">
        <v>1.67</v>
      </c>
      <c r="F110" s="3">
        <v>2599.52</v>
      </c>
      <c r="G110" s="3">
        <v>4021</v>
      </c>
    </row>
    <row r="111" spans="2:7" x14ac:dyDescent="0.25">
      <c r="B111" s="1">
        <v>45515</v>
      </c>
      <c r="C111" s="3">
        <v>4057.55</v>
      </c>
      <c r="D111" s="3">
        <v>60509.9</v>
      </c>
      <c r="E111" s="3">
        <v>1.61</v>
      </c>
      <c r="F111" s="3">
        <v>2646.52</v>
      </c>
      <c r="G111" s="3">
        <v>4002</v>
      </c>
    </row>
    <row r="112" spans="2:7" x14ac:dyDescent="0.25">
      <c r="B112" s="1">
        <v>45516</v>
      </c>
      <c r="C112" s="3">
        <v>4073.83</v>
      </c>
      <c r="D112" s="4">
        <v>59274.9</v>
      </c>
      <c r="E112" s="4">
        <v>1.59</v>
      </c>
      <c r="F112" s="4">
        <v>2605.27</v>
      </c>
      <c r="G112" s="4">
        <v>4043.31</v>
      </c>
    </row>
    <row r="113" spans="2:7" x14ac:dyDescent="0.25">
      <c r="B113" s="1">
        <v>45517</v>
      </c>
      <c r="C113" s="3">
        <v>4046.96</v>
      </c>
      <c r="D113" s="3">
        <v>60747.1</v>
      </c>
      <c r="E113" s="3">
        <v>1.64</v>
      </c>
      <c r="F113" s="3">
        <v>2706.9</v>
      </c>
      <c r="G113" s="3">
        <v>3980</v>
      </c>
    </row>
    <row r="114" spans="2:7" x14ac:dyDescent="0.25">
      <c r="B114" s="1">
        <v>45518</v>
      </c>
      <c r="C114" s="3">
        <v>4038.46</v>
      </c>
      <c r="D114" s="3">
        <v>58409.9</v>
      </c>
      <c r="E114" s="3">
        <v>1.66</v>
      </c>
      <c r="F114" s="3">
        <v>2650.94</v>
      </c>
      <c r="G114" s="3">
        <v>3965</v>
      </c>
    </row>
    <row r="115" spans="2:7" x14ac:dyDescent="0.25">
      <c r="B115" s="1">
        <v>45519</v>
      </c>
      <c r="C115" s="3">
        <v>4037.16</v>
      </c>
      <c r="D115" s="3">
        <v>57582.6</v>
      </c>
      <c r="E115" s="3">
        <v>1.57</v>
      </c>
      <c r="F115" s="3">
        <v>2572.8000000000002</v>
      </c>
      <c r="G115" s="3">
        <v>3959</v>
      </c>
    </row>
    <row r="116" spans="2:7" x14ac:dyDescent="0.25">
      <c r="B116" s="1">
        <v>45520</v>
      </c>
      <c r="C116" s="3">
        <v>4014.8</v>
      </c>
      <c r="D116" s="3">
        <v>58716</v>
      </c>
      <c r="E116" s="3">
        <v>1.62</v>
      </c>
      <c r="F116" s="3">
        <v>2610.4</v>
      </c>
      <c r="G116" s="3">
        <v>3966</v>
      </c>
    </row>
    <row r="117" spans="2:7" x14ac:dyDescent="0.25">
      <c r="B117" s="1">
        <v>45521</v>
      </c>
      <c r="C117" s="3">
        <v>3999.63</v>
      </c>
      <c r="D117" s="3">
        <v>59598.2</v>
      </c>
      <c r="E117" s="3">
        <v>1.76</v>
      </c>
      <c r="F117" s="3">
        <v>2622.8</v>
      </c>
      <c r="G117" s="3">
        <v>3967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38"/>
  <sheetViews>
    <sheetView topLeftCell="A19" workbookViewId="0">
      <selection activeCell="Q38" sqref="Q38"/>
    </sheetView>
  </sheetViews>
  <sheetFormatPr baseColWidth="10" defaultRowHeight="15" x14ac:dyDescent="0.25"/>
  <cols>
    <col min="3" max="3" width="19.7109375" customWidth="1"/>
    <col min="4" max="4" width="18" customWidth="1"/>
    <col min="5" max="5" width="17.140625" customWidth="1"/>
    <col min="6" max="6" width="20.42578125" customWidth="1"/>
    <col min="9" max="9" width="19.7109375" customWidth="1"/>
    <col min="10" max="10" width="18.7109375" customWidth="1"/>
    <col min="12" max="12" width="20.140625" bestFit="1" customWidth="1"/>
    <col min="13" max="13" width="18.28515625" bestFit="1" customWidth="1"/>
    <col min="14" max="14" width="14" customWidth="1"/>
    <col min="17" max="17" width="15.5703125" bestFit="1" customWidth="1"/>
    <col min="18" max="19" width="18.5703125" customWidth="1"/>
    <col min="20" max="22" width="19.42578125" customWidth="1"/>
    <col min="23" max="25" width="21.7109375" customWidth="1"/>
  </cols>
  <sheetData>
    <row r="2" spans="2:26" x14ac:dyDescent="0.25">
      <c r="B2" t="s">
        <v>41</v>
      </c>
      <c r="C2" t="s">
        <v>21</v>
      </c>
      <c r="D2" t="s">
        <v>22</v>
      </c>
      <c r="E2" t="s">
        <v>23</v>
      </c>
      <c r="F2" t="s">
        <v>24</v>
      </c>
      <c r="G2" t="s">
        <v>17</v>
      </c>
      <c r="H2" t="s">
        <v>40</v>
      </c>
      <c r="I2" t="s">
        <v>34</v>
      </c>
      <c r="J2" t="s">
        <v>18</v>
      </c>
      <c r="K2" t="s">
        <v>19</v>
      </c>
      <c r="L2" t="s">
        <v>33</v>
      </c>
      <c r="M2" t="s">
        <v>35</v>
      </c>
      <c r="N2" t="s">
        <v>20</v>
      </c>
      <c r="O2" t="s">
        <v>25</v>
      </c>
      <c r="P2" t="s">
        <v>26</v>
      </c>
      <c r="Q2" t="s">
        <v>31</v>
      </c>
      <c r="R2" t="s">
        <v>27</v>
      </c>
      <c r="S2" t="s">
        <v>32</v>
      </c>
      <c r="T2" t="s">
        <v>28</v>
      </c>
      <c r="U2" t="s">
        <v>36</v>
      </c>
      <c r="V2" t="s">
        <v>37</v>
      </c>
      <c r="W2" t="s">
        <v>29</v>
      </c>
      <c r="X2" t="s">
        <v>38</v>
      </c>
      <c r="Y2" t="s">
        <v>39</v>
      </c>
      <c r="Z2" t="s">
        <v>30</v>
      </c>
    </row>
    <row r="3" spans="2:26" x14ac:dyDescent="0.25">
      <c r="B3" s="1">
        <f t="shared" ref="B3:B21" ca="1" si="0">TODAY()</f>
        <v>45521</v>
      </c>
      <c r="C3" s="2">
        <f ca="1">VLOOKUP(B3,Tabla4[],2,FALSE)</f>
        <v>3999.63</v>
      </c>
      <c r="D3" s="3">
        <f ca="1">VLOOKUP(B3,Tabla4[],3,FALSE)</f>
        <v>59598.2</v>
      </c>
      <c r="E3" s="2">
        <f ca="1">VLOOKUP(B3,Tabla4[],5,FALSE)</f>
        <v>2622.8</v>
      </c>
      <c r="F3" s="2">
        <f ca="1">VLOOKUP(B3,Tabla4[],4,FALSE)</f>
        <v>1.76</v>
      </c>
      <c r="G3" t="s">
        <v>15</v>
      </c>
      <c r="H3" s="1">
        <v>45449</v>
      </c>
      <c r="I3" s="3">
        <f>VLOOKUP(H3,Tabla4[],2,FALSE)</f>
        <v>3931.5</v>
      </c>
      <c r="J3" s="3">
        <v>70947</v>
      </c>
      <c r="K3" s="11">
        <v>2.52E-6</v>
      </c>
      <c r="L3" s="13">
        <f>Tabla6[[#This Row],[precio de compra]]*Tabla6[[#This Row],[cantidad]]*Tabla6[[#This Row],[PRECIO DEL DÓLAR, DIA COMPRA]]</f>
        <v>702.89888885999994</v>
      </c>
      <c r="M3" s="13">
        <f ca="1" xml:space="preserve"> K3 * (IF(G3="BTC", D3, IF(G3="ETH", E3, IF(G3="IO.NET", F3, 0)))) * C3</f>
        <v>600.69428663832002</v>
      </c>
      <c r="N3" s="10">
        <f t="shared" ref="N3:N21" ca="1" si="1">IF(G3 = "BTC", (D3 - J3) / J3,
 IF(G3 = "ETH", (E3 - J3) / J3,
 IF(G3 = "IO.NET", (F3 - J3) / J3,
 "Moneda no soportada")))</f>
        <v>-0.15996166152198124</v>
      </c>
      <c r="O3" s="9">
        <v>0.25</v>
      </c>
      <c r="P3" s="9">
        <v>0.5</v>
      </c>
      <c r="Q3" t="str">
        <f t="shared" ref="Q3:Q7" ca="1" si="2">IF(N3 &lt; O3, "MANTENER", IF(N3 &lt; P3, "VENTA PARCIAL", "VENDER"))</f>
        <v>MANTENER</v>
      </c>
      <c r="T3" s="2"/>
      <c r="U3" s="14">
        <f>Tabla6[[#This Row],[cantidad]]-Tabla6[[#This Row],[CANTIDAD VENDIDA]]</f>
        <v>2.52E-6</v>
      </c>
      <c r="V3" s="2">
        <f ca="1">IF(G3="BTC", D3 * U3 * C3, IF(G3="ETH", E3 * U3 * C3, IF(G3="IO.NET", F3 * U3 * C3, 0)))</f>
        <v>600.69428663832002</v>
      </c>
      <c r="W3" s="2">
        <f t="shared" ref="W3:W21" si="3">IF(G3 = "BTC", ((T3 - L3)), IF(G3 = "ETH", ((T3 - L3)), IF(G3 = "IO.NET", ((T3 - L3)), "Moneda no soportada")))</f>
        <v>-702.89888885999994</v>
      </c>
      <c r="X3" s="9">
        <f t="shared" ref="X3:X22" ca="1" si="4">IF(G3 = "BTC", (((D3 - J3) / J3)),IF(G3 = "ETH", ((E3 - J3) / J3), IF(G3 = "IO.NET", ((F3 - J3) / J3), "Moneda no soportada")))</f>
        <v>-0.15996166152198124</v>
      </c>
      <c r="Y3" s="2" t="str">
        <f>IF(U3=0,"VENDIDA","ACTIVA")</f>
        <v>ACTIVA</v>
      </c>
    </row>
    <row r="4" spans="2:26" x14ac:dyDescent="0.25">
      <c r="B4" s="1">
        <f t="shared" ca="1" si="0"/>
        <v>45521</v>
      </c>
      <c r="C4" s="2">
        <f ca="1">VLOOKUP(B4,Tabla4[],2,FALSE)</f>
        <v>3999.63</v>
      </c>
      <c r="D4" s="3">
        <f ca="1">VLOOKUP(B4,Tabla4[],3,FALSE)</f>
        <v>59598.2</v>
      </c>
      <c r="E4" s="2">
        <f ca="1">VLOOKUP(B4,Tabla4[],5,FALSE)</f>
        <v>2622.8</v>
      </c>
      <c r="F4" s="2">
        <f ca="1">VLOOKUP(B4,Tabla4[],4,FALSE)</f>
        <v>1.76</v>
      </c>
      <c r="G4" t="s">
        <v>16</v>
      </c>
      <c r="H4" s="1">
        <v>45449</v>
      </c>
      <c r="I4" s="3">
        <f>VLOOKUP(H4,Tabla4[],2,FALSE)</f>
        <v>3931.5</v>
      </c>
      <c r="J4" s="3">
        <v>3801.31</v>
      </c>
      <c r="K4" s="11">
        <v>4.7200000000000002E-5</v>
      </c>
      <c r="L4" s="7">
        <f>Tabla6[[#This Row],[precio de compra]]*Tabla6[[#This Row],[cantidad]]*Tabla6[[#This Row],[PRECIO DEL DÓLAR, DIA COMPRA]]</f>
        <v>705.39693250799996</v>
      </c>
      <c r="M4" s="13">
        <f t="shared" ref="M4:M21" ca="1" si="5" xml:space="preserve"> K4 * (IF(G4="BTC", D4, IF(G4="ETH", E4, IF(G4="IO.NET", F4, 0)))) * C4</f>
        <v>495.13883542080009</v>
      </c>
      <c r="N4" s="10">
        <f t="shared" ca="1" si="1"/>
        <v>-0.3100273326826804</v>
      </c>
      <c r="O4" s="9">
        <v>0.25</v>
      </c>
      <c r="P4" s="9">
        <v>0.5</v>
      </c>
      <c r="Q4" t="str">
        <f t="shared" ca="1" si="2"/>
        <v>MANTENER</v>
      </c>
      <c r="T4" s="2"/>
      <c r="U4" s="14">
        <f>Tabla6[[#This Row],[cantidad]]-Tabla6[[#This Row],[CANTIDAD VENDIDA]]</f>
        <v>4.7200000000000002E-5</v>
      </c>
      <c r="V4" s="2">
        <f t="shared" ref="V4:V21" ca="1" si="6">IF(G4="BTC", D4 * U4 * C4, IF(G4="ETH", E4 * U4 * C4, IF(G4="IO.NET", F4 * U4 * C4, 0)))</f>
        <v>495.13883542080009</v>
      </c>
      <c r="W4" s="2">
        <f t="shared" si="3"/>
        <v>-705.39693250799996</v>
      </c>
      <c r="X4" s="9">
        <f t="shared" ca="1" si="4"/>
        <v>-0.3100273326826804</v>
      </c>
      <c r="Y4" s="2" t="str">
        <f t="shared" ref="Y4:Y24" si="7">IF(U4=0,"VENDIDA","ACTIVA")</f>
        <v>ACTIVA</v>
      </c>
    </row>
    <row r="5" spans="2:26" x14ac:dyDescent="0.25">
      <c r="B5" s="1">
        <f t="shared" ca="1" si="0"/>
        <v>45521</v>
      </c>
      <c r="C5" s="2">
        <f ca="1">VLOOKUP(B5,Tabla4[],2,FALSE)</f>
        <v>3999.63</v>
      </c>
      <c r="D5" s="3">
        <f ca="1">VLOOKUP(B5,Tabla4[],3,FALSE)</f>
        <v>59598.2</v>
      </c>
      <c r="E5" s="2">
        <f ca="1">VLOOKUP(B5,Tabla4[],5,FALSE)</f>
        <v>2622.8</v>
      </c>
      <c r="F5" s="2">
        <f ca="1">VLOOKUP(B5,Tabla4[],4,FALSE)</f>
        <v>1.76</v>
      </c>
      <c r="G5" t="s">
        <v>15</v>
      </c>
      <c r="H5" s="1">
        <v>45453</v>
      </c>
      <c r="I5" s="3">
        <f>VLOOKUP(H5,Tabla4[],2,FALSE)</f>
        <v>3995.66</v>
      </c>
      <c r="J5" s="3">
        <v>69276</v>
      </c>
      <c r="K5" s="11">
        <v>2.57E-6</v>
      </c>
      <c r="L5" s="7">
        <f>Tabla6[[#This Row],[precio de compra]]*Tabla6[[#This Row],[cantidad]]*Tabla6[[#This Row],[PRECIO DEL DÓLAR, DIA COMPRA]]</f>
        <v>711.38458935120002</v>
      </c>
      <c r="M5" s="13">
        <f t="shared" ca="1" si="5"/>
        <v>612.61282407162003</v>
      </c>
      <c r="N5" s="10">
        <f t="shared" ca="1" si="1"/>
        <v>-0.1396991743172239</v>
      </c>
      <c r="O5" s="9">
        <v>0.25</v>
      </c>
      <c r="P5" s="9">
        <v>0.5</v>
      </c>
      <c r="Q5" t="str">
        <f t="shared" ca="1" si="2"/>
        <v>MANTENER</v>
      </c>
      <c r="T5" s="2"/>
      <c r="U5" s="14">
        <f>Tabla6[[#This Row],[cantidad]]-Tabla6[[#This Row],[CANTIDAD VENDIDA]]</f>
        <v>2.57E-6</v>
      </c>
      <c r="V5" s="2">
        <f t="shared" ca="1" si="6"/>
        <v>612.61282407162003</v>
      </c>
      <c r="W5" s="2">
        <f t="shared" si="3"/>
        <v>-711.38458935120002</v>
      </c>
      <c r="X5" s="9">
        <f t="shared" ca="1" si="4"/>
        <v>-0.1396991743172239</v>
      </c>
      <c r="Y5" s="2" t="str">
        <f t="shared" si="7"/>
        <v>ACTIVA</v>
      </c>
    </row>
    <row r="6" spans="2:26" x14ac:dyDescent="0.25">
      <c r="B6" s="1">
        <f t="shared" ca="1" si="0"/>
        <v>45521</v>
      </c>
      <c r="C6" s="2">
        <f ca="1">VLOOKUP(B6,Tabla4[],2,FALSE)</f>
        <v>3999.63</v>
      </c>
      <c r="D6" s="3">
        <f ca="1">VLOOKUP(B6,Tabla4[],3,FALSE)</f>
        <v>59598.2</v>
      </c>
      <c r="E6" s="2">
        <f ca="1">VLOOKUP(B6,Tabla4[],5,FALSE)</f>
        <v>2622.8</v>
      </c>
      <c r="F6" s="2">
        <f ca="1">VLOOKUP(B6,Tabla4[],4,FALSE)</f>
        <v>1.76</v>
      </c>
      <c r="G6" t="s">
        <v>16</v>
      </c>
      <c r="H6" s="1">
        <v>45453</v>
      </c>
      <c r="I6" s="3">
        <f>VLOOKUP(H6,Tabla4[],2,FALSE)</f>
        <v>3995.66</v>
      </c>
      <c r="J6" s="3">
        <v>3669.68</v>
      </c>
      <c r="K6" s="11">
        <v>4.867E-5</v>
      </c>
      <c r="L6" s="7">
        <f>Tabla6[[#This Row],[precio de compra]]*Tabla6[[#This Row],[cantidad]]*Tabla6[[#This Row],[PRECIO DEL DÓLAR, DIA COMPRA]]</f>
        <v>713.63816396689595</v>
      </c>
      <c r="M6" s="13">
        <f t="shared" ca="1" si="5"/>
        <v>510.5594728798801</v>
      </c>
      <c r="N6" s="10">
        <f t="shared" ca="1" si="1"/>
        <v>-0.28527828039502073</v>
      </c>
      <c r="O6" s="9">
        <v>0.25</v>
      </c>
      <c r="P6" s="9">
        <v>0.5</v>
      </c>
      <c r="Q6" t="str">
        <f t="shared" ca="1" si="2"/>
        <v>MANTENER</v>
      </c>
      <c r="T6" s="2"/>
      <c r="U6" s="14">
        <f>Tabla6[[#This Row],[cantidad]]-Tabla6[[#This Row],[CANTIDAD VENDIDA]]</f>
        <v>4.867E-5</v>
      </c>
      <c r="V6" s="2">
        <f t="shared" ca="1" si="6"/>
        <v>510.5594728798801</v>
      </c>
      <c r="W6" s="2">
        <f t="shared" si="3"/>
        <v>-713.63816396689595</v>
      </c>
      <c r="X6" s="9">
        <f t="shared" ca="1" si="4"/>
        <v>-0.28527828039502073</v>
      </c>
      <c r="Y6" s="2" t="str">
        <f t="shared" si="7"/>
        <v>ACTIVA</v>
      </c>
    </row>
    <row r="7" spans="2:26" x14ac:dyDescent="0.25">
      <c r="B7" s="1">
        <f t="shared" ca="1" si="0"/>
        <v>45521</v>
      </c>
      <c r="C7" s="2">
        <f ca="1">VLOOKUP(B7,Tabla4[],2,FALSE)</f>
        <v>3999.63</v>
      </c>
      <c r="D7" s="3">
        <f ca="1">VLOOKUP(B7,Tabla4[],3,FALSE)</f>
        <v>59598.2</v>
      </c>
      <c r="E7" s="2">
        <f ca="1">VLOOKUP(B7,Tabla4[],5,FALSE)</f>
        <v>2622.8</v>
      </c>
      <c r="F7" s="2">
        <f ca="1">VLOOKUP(B7,Tabla4[],4,FALSE)</f>
        <v>1.76</v>
      </c>
      <c r="G7" t="s">
        <v>15</v>
      </c>
      <c r="H7" s="1">
        <v>45460</v>
      </c>
      <c r="I7" s="3">
        <f>VLOOKUP(H7,Tabla4[],2,FALSE)</f>
        <v>4129.43</v>
      </c>
      <c r="J7" s="3">
        <v>66469.899999999994</v>
      </c>
      <c r="K7" s="11">
        <v>2.6299999999999998E-6</v>
      </c>
      <c r="L7" s="7">
        <f>Tabla6[[#This Row],[precio de compra]]*Tabla6[[#This Row],[cantidad]]*Tabla6[[#This Row],[PRECIO DEL DÓLAR, DIA COMPRA]]</f>
        <v>721.88976178291</v>
      </c>
      <c r="M7" s="13">
        <f t="shared" ca="1" si="5"/>
        <v>626.91506899158003</v>
      </c>
      <c r="N7" s="10">
        <f t="shared" ca="1" si="1"/>
        <v>-0.10338062792331563</v>
      </c>
      <c r="O7" s="9">
        <v>0.25</v>
      </c>
      <c r="P7" s="9">
        <v>0.5</v>
      </c>
      <c r="Q7" t="str">
        <f t="shared" ca="1" si="2"/>
        <v>MANTENER</v>
      </c>
      <c r="T7" s="2"/>
      <c r="U7" s="14">
        <f>Tabla6[[#This Row],[cantidad]]-Tabla6[[#This Row],[CANTIDAD VENDIDA]]</f>
        <v>2.6299999999999998E-6</v>
      </c>
      <c r="V7" s="2">
        <f t="shared" ca="1" si="6"/>
        <v>626.91506899158003</v>
      </c>
      <c r="W7" s="2">
        <f t="shared" si="3"/>
        <v>-721.88976178291</v>
      </c>
      <c r="X7" s="9">
        <f t="shared" ca="1" si="4"/>
        <v>-0.10338062792331563</v>
      </c>
      <c r="Y7" s="2" t="str">
        <f t="shared" si="7"/>
        <v>ACTIVA</v>
      </c>
    </row>
    <row r="8" spans="2:26" x14ac:dyDescent="0.25">
      <c r="B8" s="1">
        <f t="shared" ca="1" si="0"/>
        <v>45521</v>
      </c>
      <c r="C8" s="2">
        <f ca="1">VLOOKUP(B8,Tabla4[],2,FALSE)</f>
        <v>3999.63</v>
      </c>
      <c r="D8" s="3">
        <f ca="1">VLOOKUP(B8,Tabla4[],3,FALSE)</f>
        <v>59598.2</v>
      </c>
      <c r="E8" s="2">
        <f ca="1">VLOOKUP(B8,Tabla4[],5,FALSE)</f>
        <v>2622.8</v>
      </c>
      <c r="F8" s="2">
        <f ca="1">VLOOKUP(B8,Tabla4[],4,FALSE)</f>
        <v>1.76</v>
      </c>
      <c r="G8" t="s">
        <v>42</v>
      </c>
      <c r="H8" s="1">
        <v>45460</v>
      </c>
      <c r="I8" s="3">
        <f>VLOOKUP(H8,Tabla4[],2,FALSE)</f>
        <v>4129.43</v>
      </c>
      <c r="J8" s="3">
        <v>4.2300000000000004</v>
      </c>
      <c r="K8" s="11">
        <v>3.8710769999999999E-2</v>
      </c>
      <c r="L8" s="7">
        <f>Tabla6[[#This Row],[precio de compra]]*Tabla6[[#This Row],[cantidad]]*Tabla6[[#This Row],[PRECIO DEL DÓLAR, DIA COMPRA]]</f>
        <v>676.17994528545319</v>
      </c>
      <c r="M8" s="13">
        <f t="shared" ca="1" si="5"/>
        <v>272.49861234657601</v>
      </c>
      <c r="N8" s="10">
        <f t="shared" ca="1" si="1"/>
        <v>-0.58392434988179676</v>
      </c>
      <c r="O8" s="9">
        <v>0.25</v>
      </c>
      <c r="P8" s="9">
        <v>0.5</v>
      </c>
      <c r="Q8" t="str">
        <f t="shared" ref="Q8:Q21" ca="1" si="8">IF(N8 &lt; O8, "MANTENER", IF(N8 &lt; P8, "VENTA PARCIAL", "VENDER"))</f>
        <v>MANTENER</v>
      </c>
      <c r="T8" s="2"/>
      <c r="U8" s="14">
        <f>Tabla6[[#This Row],[cantidad]]-Tabla6[[#This Row],[CANTIDAD VENDIDA]]</f>
        <v>3.8710769999999999E-2</v>
      </c>
      <c r="V8" s="2">
        <f t="shared" ca="1" si="6"/>
        <v>272.49861234657601</v>
      </c>
      <c r="W8" s="2">
        <f t="shared" si="3"/>
        <v>-676.17994528545319</v>
      </c>
      <c r="X8" s="9">
        <f t="shared" ca="1" si="4"/>
        <v>-0.58392434988179676</v>
      </c>
      <c r="Y8" s="2" t="str">
        <f t="shared" si="7"/>
        <v>ACTIVA</v>
      </c>
    </row>
    <row r="9" spans="2:26" x14ac:dyDescent="0.25">
      <c r="B9" s="1">
        <f t="shared" ca="1" si="0"/>
        <v>45521</v>
      </c>
      <c r="C9" s="2">
        <f ca="1">VLOOKUP(B9,Tabla4[],2,FALSE)</f>
        <v>3999.63</v>
      </c>
      <c r="D9" s="3">
        <f ca="1">VLOOKUP(B9,Tabla4[],3,FALSE)</f>
        <v>59598.2</v>
      </c>
      <c r="E9" s="2">
        <f ca="1">VLOOKUP(B9,Tabla4[],5,FALSE)</f>
        <v>2622.8</v>
      </c>
      <c r="F9" s="2">
        <f ca="1">VLOOKUP(B9,Tabla4[],4,FALSE)</f>
        <v>1.76</v>
      </c>
      <c r="G9" t="s">
        <v>16</v>
      </c>
      <c r="H9" s="1">
        <v>45460</v>
      </c>
      <c r="I9" s="3">
        <f>VLOOKUP(H9,Tabla4[],2,FALSE)</f>
        <v>4129.43</v>
      </c>
      <c r="J9" s="3">
        <v>3505.79</v>
      </c>
      <c r="K9" s="11">
        <v>4.9200000000000003E-5</v>
      </c>
      <c r="L9" s="7">
        <f>Tabla6[[#This Row],[precio de compra]]*Tabla6[[#This Row],[cantidad]]*Tabla6[[#This Row],[PRECIO DEL DÓLAR, DIA COMPRA]]</f>
        <v>712.26418846524007</v>
      </c>
      <c r="M9" s="13">
        <f t="shared" ca="1" si="5"/>
        <v>516.11929454879999</v>
      </c>
      <c r="N9" s="10">
        <f t="shared" ca="1" si="1"/>
        <v>-0.25186619848878561</v>
      </c>
      <c r="O9" s="9">
        <v>0.25</v>
      </c>
      <c r="P9" s="9">
        <v>0.5</v>
      </c>
      <c r="Q9" t="str">
        <f t="shared" ca="1" si="8"/>
        <v>MANTENER</v>
      </c>
      <c r="T9" s="2"/>
      <c r="U9" s="14">
        <f>Tabla6[[#This Row],[cantidad]]-Tabla6[[#This Row],[CANTIDAD VENDIDA]]</f>
        <v>4.9200000000000003E-5</v>
      </c>
      <c r="V9" s="2">
        <f t="shared" ca="1" si="6"/>
        <v>516.11929454879999</v>
      </c>
      <c r="W9" s="2">
        <f t="shared" si="3"/>
        <v>-712.26418846524007</v>
      </c>
      <c r="X9" s="9">
        <f t="shared" ca="1" si="4"/>
        <v>-0.25186619848878561</v>
      </c>
      <c r="Y9" s="2" t="str">
        <f t="shared" si="7"/>
        <v>ACTIVA</v>
      </c>
    </row>
    <row r="10" spans="2:26" x14ac:dyDescent="0.25">
      <c r="B10" s="1">
        <f t="shared" ca="1" si="0"/>
        <v>45521</v>
      </c>
      <c r="C10" s="2">
        <f ca="1">VLOOKUP(B10,Tabla4[],2,FALSE)</f>
        <v>3999.63</v>
      </c>
      <c r="D10" s="3">
        <f ca="1">VLOOKUP(B10,Tabla4[],3,FALSE)</f>
        <v>59598.2</v>
      </c>
      <c r="E10" s="2">
        <f ca="1">VLOOKUP(B10,Tabla4[],5,FALSE)</f>
        <v>2622.8</v>
      </c>
      <c r="F10" s="2">
        <f ca="1">VLOOKUP(B10,Tabla4[],4,FALSE)</f>
        <v>1.76</v>
      </c>
      <c r="G10" t="s">
        <v>15</v>
      </c>
      <c r="H10" s="1">
        <v>45467</v>
      </c>
      <c r="I10" s="3">
        <f>VLOOKUP(H10,Tabla4[],2,FALSE)</f>
        <v>4144.4799999999996</v>
      </c>
      <c r="J10" s="3">
        <v>61441.2</v>
      </c>
      <c r="K10" s="11">
        <v>2.7199999999999998E-6</v>
      </c>
      <c r="L10" s="7">
        <f>Tabla6[[#This Row],[precio de compra]]*Tabla6[[#This Row],[cantidad]]*Tabla6[[#This Row],[PRECIO DEL DÓLAR, DIA COMPRA]]</f>
        <v>692.62576284671991</v>
      </c>
      <c r="M10" s="13">
        <f t="shared" ca="1" si="5"/>
        <v>648.36843637151992</v>
      </c>
      <c r="N10" s="10">
        <f t="shared" ca="1" si="1"/>
        <v>-2.9996158929187583E-2</v>
      </c>
      <c r="O10" s="9">
        <v>0.25</v>
      </c>
      <c r="P10" s="9">
        <v>0.5</v>
      </c>
      <c r="Q10" t="str">
        <f t="shared" ca="1" si="8"/>
        <v>MANTENER</v>
      </c>
      <c r="T10" s="2"/>
      <c r="U10" s="14">
        <f>Tabla6[[#This Row],[cantidad]]-Tabla6[[#This Row],[CANTIDAD VENDIDA]]</f>
        <v>2.7199999999999998E-6</v>
      </c>
      <c r="V10" s="2">
        <f t="shared" ca="1" si="6"/>
        <v>648.36843637151992</v>
      </c>
      <c r="W10" s="2">
        <f t="shared" si="3"/>
        <v>-692.62576284671991</v>
      </c>
      <c r="X10" s="9">
        <f t="shared" ca="1" si="4"/>
        <v>-2.9996158929187583E-2</v>
      </c>
      <c r="Y10" s="2" t="str">
        <f t="shared" si="7"/>
        <v>ACTIVA</v>
      </c>
    </row>
    <row r="11" spans="2:26" x14ac:dyDescent="0.25">
      <c r="B11" s="1">
        <f t="shared" ca="1" si="0"/>
        <v>45521</v>
      </c>
      <c r="C11" s="2">
        <f ca="1">VLOOKUP(B11,Tabla4[],2,FALSE)</f>
        <v>3999.63</v>
      </c>
      <c r="D11" s="3">
        <f ca="1">VLOOKUP(B11,Tabla4[],3,FALSE)</f>
        <v>59598.2</v>
      </c>
      <c r="E11" s="2">
        <f ca="1">VLOOKUP(B11,Tabla4[],5,FALSE)</f>
        <v>2622.8</v>
      </c>
      <c r="F11" s="2">
        <f ca="1">VLOOKUP(B11,Tabla4[],4,FALSE)</f>
        <v>1.76</v>
      </c>
      <c r="G11" t="s">
        <v>15</v>
      </c>
      <c r="H11" s="1">
        <v>45475</v>
      </c>
      <c r="I11" s="3">
        <f>VLOOKUP(H11,Tabla4[],2,FALSE)</f>
        <v>4129.08</v>
      </c>
      <c r="J11" s="3">
        <v>60973.4</v>
      </c>
      <c r="K11" s="11">
        <v>2.7099999999999999E-6</v>
      </c>
      <c r="L11" s="7">
        <f>Tabla6[[#This Row],[precio de compra]]*Tabla6[[#This Row],[cantidad]]*Tabla6[[#This Row],[PRECIO DEL DÓLAR, DIA COMPRA]]</f>
        <v>682.28056593911992</v>
      </c>
      <c r="M11" s="13">
        <f t="shared" ca="1" si="5"/>
        <v>645.98472888485992</v>
      </c>
      <c r="N11" s="10">
        <f t="shared" ca="1" si="1"/>
        <v>-2.2554097360488416E-2</v>
      </c>
      <c r="O11" s="9">
        <v>0.25</v>
      </c>
      <c r="P11" s="9">
        <v>0.5</v>
      </c>
      <c r="Q11" t="str">
        <f t="shared" ca="1" si="8"/>
        <v>MANTENER</v>
      </c>
      <c r="T11" s="2"/>
      <c r="U11" s="14">
        <f>Tabla6[[#This Row],[cantidad]]-Tabla6[[#This Row],[CANTIDAD VENDIDA]]</f>
        <v>2.7099999999999999E-6</v>
      </c>
      <c r="V11" s="2">
        <f t="shared" ca="1" si="6"/>
        <v>645.98472888485992</v>
      </c>
      <c r="W11" s="2">
        <f t="shared" si="3"/>
        <v>-682.28056593911992</v>
      </c>
      <c r="X11" s="9">
        <f t="shared" ca="1" si="4"/>
        <v>-2.2554097360488416E-2</v>
      </c>
      <c r="Y11" s="2" t="str">
        <f t="shared" si="7"/>
        <v>ACTIVA</v>
      </c>
    </row>
    <row r="12" spans="2:26" x14ac:dyDescent="0.25">
      <c r="B12" s="1">
        <f t="shared" ca="1" si="0"/>
        <v>45521</v>
      </c>
      <c r="C12" s="2">
        <f ca="1">VLOOKUP(B12,Tabla4[],2,FALSE)</f>
        <v>3999.63</v>
      </c>
      <c r="D12" s="3">
        <f ca="1">VLOOKUP(B12,Tabla4[],3,FALSE)</f>
        <v>59598.2</v>
      </c>
      <c r="E12" s="2">
        <f ca="1">VLOOKUP(B12,Tabla4[],5,FALSE)</f>
        <v>2622.8</v>
      </c>
      <c r="F12" s="2">
        <f ca="1">VLOOKUP(B12,Tabla4[],4,FALSE)</f>
        <v>1.76</v>
      </c>
      <c r="G12" t="s">
        <v>15</v>
      </c>
      <c r="H12" s="1">
        <v>45481</v>
      </c>
      <c r="I12" s="3">
        <f>VLOOKUP(H12,Tabla4[],2,FALSE)</f>
        <v>4078.65</v>
      </c>
      <c r="J12" s="3">
        <v>57094.400000000001</v>
      </c>
      <c r="K12" s="11">
        <v>3.0299999999999998E-6</v>
      </c>
      <c r="L12" s="7">
        <f>Tabla6[[#This Row],[precio de compra]]*Tabla6[[#This Row],[cantidad]]*Tabla6[[#This Row],[PRECIO DEL DÓLAR, DIA COMPRA]]</f>
        <v>705.59026591680004</v>
      </c>
      <c r="M12" s="13">
        <f t="shared" ca="1" si="5"/>
        <v>722.26336845797994</v>
      </c>
      <c r="N12" s="10">
        <f t="shared" ca="1" si="1"/>
        <v>4.3853687927362328E-2</v>
      </c>
      <c r="O12" s="9">
        <v>0.25</v>
      </c>
      <c r="P12" s="9">
        <v>0.5</v>
      </c>
      <c r="Q12" t="str">
        <f t="shared" ca="1" si="8"/>
        <v>MANTENER</v>
      </c>
      <c r="T12" s="2"/>
      <c r="U12" s="14">
        <f>Tabla6[[#This Row],[cantidad]]-Tabla6[[#This Row],[CANTIDAD VENDIDA]]</f>
        <v>3.0299999999999998E-6</v>
      </c>
      <c r="V12" s="2">
        <f t="shared" ca="1" si="6"/>
        <v>722.26336845797994</v>
      </c>
      <c r="W12" s="2">
        <f t="shared" si="3"/>
        <v>-705.59026591680004</v>
      </c>
      <c r="X12" s="9">
        <f t="shared" ca="1" si="4"/>
        <v>4.3853687927362328E-2</v>
      </c>
      <c r="Y12" s="2" t="str">
        <f t="shared" si="7"/>
        <v>ACTIVA</v>
      </c>
    </row>
    <row r="13" spans="2:26" x14ac:dyDescent="0.25">
      <c r="B13" s="1">
        <f t="shared" ca="1" si="0"/>
        <v>45521</v>
      </c>
      <c r="C13" s="2">
        <f ca="1">VLOOKUP(B13,Tabla4[],2,FALSE)</f>
        <v>3999.63</v>
      </c>
      <c r="D13" s="3">
        <f ca="1">VLOOKUP(B13,Tabla4[],3,FALSE)</f>
        <v>59598.2</v>
      </c>
      <c r="E13" s="2">
        <f ca="1">VLOOKUP(B13,Tabla4[],5,FALSE)</f>
        <v>2622.8</v>
      </c>
      <c r="F13" s="2">
        <f ca="1">VLOOKUP(B13,Tabla4[],4,FALSE)</f>
        <v>1.76</v>
      </c>
      <c r="G13" t="s">
        <v>15</v>
      </c>
      <c r="H13" s="1">
        <v>45488</v>
      </c>
      <c r="I13" s="3">
        <f>VLOOKUP(H13,Tabla4[],2,FALSE)</f>
        <v>3993.09</v>
      </c>
      <c r="J13" s="3">
        <v>62959.9</v>
      </c>
      <c r="K13" s="11">
        <v>2.8100000000000002E-6</v>
      </c>
      <c r="L13" s="7">
        <f>Tabla6[[#This Row],[precio de compra]]*Tabla6[[#This Row],[cantidad]]*Tabla6[[#This Row],[PRECIO DEL DÓLAR, DIA COMPRA]]</f>
        <v>706.44677732571006</v>
      </c>
      <c r="M13" s="13">
        <f t="shared" ca="1" si="5"/>
        <v>669.82180375146004</v>
      </c>
      <c r="N13" s="10">
        <f t="shared" ca="1" si="1"/>
        <v>-5.3394303358169318E-2</v>
      </c>
      <c r="O13" s="9">
        <v>0.25</v>
      </c>
      <c r="P13" s="9">
        <v>0.5</v>
      </c>
      <c r="Q13" t="str">
        <f t="shared" ca="1" si="8"/>
        <v>MANTENER</v>
      </c>
      <c r="T13" s="2"/>
      <c r="U13" s="14">
        <f>Tabla6[[#This Row],[cantidad]]-Tabla6[[#This Row],[CANTIDAD VENDIDA]]</f>
        <v>2.8100000000000002E-6</v>
      </c>
      <c r="V13" s="2">
        <f t="shared" ca="1" si="6"/>
        <v>669.82180375146004</v>
      </c>
      <c r="W13" s="2">
        <f t="shared" si="3"/>
        <v>-706.44677732571006</v>
      </c>
      <c r="X13" s="9">
        <f t="shared" ca="1" si="4"/>
        <v>-5.3394303358169318E-2</v>
      </c>
      <c r="Y13" s="2" t="str">
        <f t="shared" si="7"/>
        <v>ACTIVA</v>
      </c>
    </row>
    <row r="14" spans="2:26" x14ac:dyDescent="0.25">
      <c r="B14" s="1">
        <f t="shared" ca="1" si="0"/>
        <v>45521</v>
      </c>
      <c r="C14" s="2">
        <f ca="1">VLOOKUP(B14,Tabla4[],2,FALSE)</f>
        <v>3999.63</v>
      </c>
      <c r="D14" s="3">
        <f ca="1">VLOOKUP(B14,Tabla4[],3,FALSE)</f>
        <v>59598.2</v>
      </c>
      <c r="E14" s="2">
        <f ca="1">VLOOKUP(B14,Tabla4[],5,FALSE)</f>
        <v>2622.8</v>
      </c>
      <c r="F14" s="2">
        <f ca="1">VLOOKUP(B14,Tabla4[],4,FALSE)</f>
        <v>1.76</v>
      </c>
      <c r="G14" t="s">
        <v>16</v>
      </c>
      <c r="H14" s="1">
        <v>45467</v>
      </c>
      <c r="I14" s="3">
        <f>VLOOKUP(H14,Tabla4[],2,FALSE)</f>
        <v>4144.4799999999996</v>
      </c>
      <c r="J14" s="3">
        <v>3377.81</v>
      </c>
      <c r="K14" s="11">
        <v>5.0609999999999998E-5</v>
      </c>
      <c r="L14" s="15">
        <f>Tabla6[[#This Row],[precio de compra]]*Tabla6[[#This Row],[cantidad]]*Tabla6[[#This Row],[PRECIO DEL DÓLAR, DIA COMPRA]]</f>
        <v>708.50285169316794</v>
      </c>
      <c r="M14" s="13">
        <f t="shared" ca="1" si="5"/>
        <v>530.91051823404007</v>
      </c>
      <c r="N14" s="10">
        <f t="shared" ca="1" si="1"/>
        <v>-0.22352056509987234</v>
      </c>
      <c r="O14" s="9">
        <v>0.25</v>
      </c>
      <c r="P14" s="9">
        <v>0.5</v>
      </c>
      <c r="Q14" t="str">
        <f t="shared" ca="1" si="8"/>
        <v>MANTENER</v>
      </c>
      <c r="T14" s="2"/>
      <c r="U14" s="14">
        <f>Tabla6[[#This Row],[cantidad]]-Tabla6[[#This Row],[CANTIDAD VENDIDA]]</f>
        <v>5.0609999999999998E-5</v>
      </c>
      <c r="V14" s="2">
        <f t="shared" ca="1" si="6"/>
        <v>530.91051823404007</v>
      </c>
      <c r="W14" s="2">
        <f t="shared" si="3"/>
        <v>-708.50285169316794</v>
      </c>
      <c r="X14" s="9">
        <f t="shared" ca="1" si="4"/>
        <v>-0.22352056509987234</v>
      </c>
      <c r="Y14" s="2" t="str">
        <f t="shared" si="7"/>
        <v>ACTIVA</v>
      </c>
    </row>
    <row r="15" spans="2:26" x14ac:dyDescent="0.25">
      <c r="B15" s="1">
        <f t="shared" ca="1" si="0"/>
        <v>45521</v>
      </c>
      <c r="C15" s="2">
        <f ca="1">VLOOKUP(B15,Tabla4[],2,FALSE)</f>
        <v>3999.63</v>
      </c>
      <c r="D15" s="3">
        <f ca="1">VLOOKUP(B15,Tabla4[],3,FALSE)</f>
        <v>59598.2</v>
      </c>
      <c r="E15" s="2">
        <f ca="1">VLOOKUP(B15,Tabla4[],5,FALSE)</f>
        <v>2622.8</v>
      </c>
      <c r="F15" s="2">
        <f ca="1">VLOOKUP(B15,Tabla4[],4,FALSE)</f>
        <v>1.76</v>
      </c>
      <c r="G15" t="s">
        <v>16</v>
      </c>
      <c r="H15" s="1">
        <v>45475</v>
      </c>
      <c r="I15" s="3">
        <f>VLOOKUP(H15,Tabla4[],2,FALSE)</f>
        <v>4129.08</v>
      </c>
      <c r="J15" s="3">
        <v>3359.03</v>
      </c>
      <c r="K15" s="11">
        <v>4.9339999999999999E-5</v>
      </c>
      <c r="L15" s="7">
        <f>Tabla6[[#This Row],[precio de compra]]*Tabla6[[#This Row],[cantidad]]*Tabla6[[#This Row],[PRECIO DEL DÓLAR, DIA COMPRA]]</f>
        <v>684.33117524901604</v>
      </c>
      <c r="M15" s="13">
        <f t="shared" ca="1" si="5"/>
        <v>517.58792668776005</v>
      </c>
      <c r="N15" s="10">
        <f t="shared" ca="1" si="1"/>
        <v>-0.2191793464184601</v>
      </c>
      <c r="O15" s="9">
        <v>0.25</v>
      </c>
      <c r="P15" s="9">
        <v>0.5</v>
      </c>
      <c r="Q15" t="str">
        <f t="shared" ca="1" si="8"/>
        <v>MANTENER</v>
      </c>
      <c r="T15" s="2"/>
      <c r="U15" s="14">
        <f>Tabla6[[#This Row],[cantidad]]-Tabla6[[#This Row],[CANTIDAD VENDIDA]]</f>
        <v>4.9339999999999999E-5</v>
      </c>
      <c r="V15" s="2">
        <f t="shared" ca="1" si="6"/>
        <v>517.58792668776005</v>
      </c>
      <c r="W15" s="2">
        <f t="shared" si="3"/>
        <v>-684.33117524901604</v>
      </c>
      <c r="X15" s="9">
        <f t="shared" ca="1" si="4"/>
        <v>-0.2191793464184601</v>
      </c>
      <c r="Y15" s="2" t="str">
        <f t="shared" si="7"/>
        <v>ACTIVA</v>
      </c>
    </row>
    <row r="16" spans="2:26" x14ac:dyDescent="0.25">
      <c r="B16" s="1">
        <f t="shared" ca="1" si="0"/>
        <v>45521</v>
      </c>
      <c r="C16" s="2">
        <f ca="1">VLOOKUP(B16,Tabla4[],2,FALSE)</f>
        <v>3999.63</v>
      </c>
      <c r="D16" s="3">
        <f ca="1">VLOOKUP(B16,Tabla4[],3,FALSE)</f>
        <v>59598.2</v>
      </c>
      <c r="E16" s="2">
        <f ca="1">VLOOKUP(B16,Tabla4[],5,FALSE)</f>
        <v>2622.8</v>
      </c>
      <c r="F16" s="2">
        <f ca="1">VLOOKUP(B16,Tabla4[],4,FALSE)</f>
        <v>1.76</v>
      </c>
      <c r="G16" t="s">
        <v>16</v>
      </c>
      <c r="H16" s="1">
        <v>45481</v>
      </c>
      <c r="I16" s="3">
        <f>VLOOKUP(H16,Tabla4[],2,FALSE)</f>
        <v>4078.65</v>
      </c>
      <c r="J16" s="3">
        <v>3055</v>
      </c>
      <c r="K16" s="11">
        <v>5.6839999999999998E-5</v>
      </c>
      <c r="L16" s="7">
        <f>Tabla6[[#This Row],[precio de compra]]*Tabla6[[#This Row],[cantidad]]*Tabla6[[#This Row],[PRECIO DEL DÓLAR, DIA COMPRA]]</f>
        <v>708.24207363000005</v>
      </c>
      <c r="M16" s="13">
        <f t="shared" ca="1" si="5"/>
        <v>596.2646484177601</v>
      </c>
      <c r="N16" s="10">
        <f t="shared" ca="1" si="1"/>
        <v>-0.14147299509001632</v>
      </c>
      <c r="O16" s="9">
        <v>0.25</v>
      </c>
      <c r="P16" s="9">
        <v>0.5</v>
      </c>
      <c r="Q16" t="str">
        <f t="shared" ca="1" si="8"/>
        <v>MANTENER</v>
      </c>
      <c r="T16" s="2"/>
      <c r="U16" s="14">
        <f>Tabla6[[#This Row],[cantidad]]-Tabla6[[#This Row],[CANTIDAD VENDIDA]]</f>
        <v>5.6839999999999998E-5</v>
      </c>
      <c r="V16" s="2">
        <f t="shared" ca="1" si="6"/>
        <v>596.2646484177601</v>
      </c>
      <c r="W16" s="2">
        <f t="shared" si="3"/>
        <v>-708.24207363000005</v>
      </c>
      <c r="X16" s="9">
        <f t="shared" ca="1" si="4"/>
        <v>-0.14147299509001632</v>
      </c>
      <c r="Y16" s="2" t="str">
        <f t="shared" si="7"/>
        <v>ACTIVA</v>
      </c>
    </row>
    <row r="17" spans="2:25" x14ac:dyDescent="0.25">
      <c r="B17" s="1">
        <f t="shared" ca="1" si="0"/>
        <v>45521</v>
      </c>
      <c r="C17" s="2">
        <f ca="1">VLOOKUP(B17,Tabla4[],2,FALSE)</f>
        <v>3999.63</v>
      </c>
      <c r="D17" s="3">
        <f ca="1">VLOOKUP(B17,Tabla4[],3,FALSE)</f>
        <v>59598.2</v>
      </c>
      <c r="E17" s="2">
        <f ca="1">VLOOKUP(B17,Tabla4[],5,FALSE)</f>
        <v>2622.8</v>
      </c>
      <c r="F17" s="2">
        <f ca="1">VLOOKUP(B17,Tabla4[],4,FALSE)</f>
        <v>1.76</v>
      </c>
      <c r="G17" t="s">
        <v>16</v>
      </c>
      <c r="H17" s="1">
        <v>45488</v>
      </c>
      <c r="I17" s="3">
        <f>VLOOKUP(H17,Tabla4[],2,FALSE)</f>
        <v>3993.09</v>
      </c>
      <c r="J17" s="3">
        <v>3458.1</v>
      </c>
      <c r="K17" s="11">
        <v>5.2599999999999998E-5</v>
      </c>
      <c r="L17" s="7">
        <f>Tabla6[[#This Row],[precio de compra]]*Tabla6[[#This Row],[cantidad]]*Tabla6[[#This Row],[PRECIO DEL DÓLAR, DIA COMPRA]]</f>
        <v>726.32733822540001</v>
      </c>
      <c r="M17" s="13">
        <f t="shared" ca="1" si="5"/>
        <v>551.78607506640003</v>
      </c>
      <c r="N17" s="10">
        <f t="shared" ca="1" si="1"/>
        <v>-0.24154882739076364</v>
      </c>
      <c r="O17" s="9">
        <v>0.25</v>
      </c>
      <c r="P17" s="9">
        <v>0.5</v>
      </c>
      <c r="Q17" t="str">
        <f t="shared" ca="1" si="8"/>
        <v>MANTENER</v>
      </c>
      <c r="T17" s="2"/>
      <c r="U17" s="14">
        <f>Tabla6[[#This Row],[cantidad]]-Tabla6[[#This Row],[CANTIDAD VENDIDA]]</f>
        <v>5.2599999999999998E-5</v>
      </c>
      <c r="V17" s="2">
        <f t="shared" ca="1" si="6"/>
        <v>551.78607506640003</v>
      </c>
      <c r="W17" s="2">
        <f t="shared" si="3"/>
        <v>-726.32733822540001</v>
      </c>
      <c r="X17" s="9">
        <f t="shared" ca="1" si="4"/>
        <v>-0.24154882739076364</v>
      </c>
      <c r="Y17" s="2" t="str">
        <f t="shared" si="7"/>
        <v>ACTIVA</v>
      </c>
    </row>
    <row r="18" spans="2:25" x14ac:dyDescent="0.25">
      <c r="B18" s="1">
        <f t="shared" ca="1" si="0"/>
        <v>45521</v>
      </c>
      <c r="C18" s="2">
        <f ca="1">VLOOKUP(B18,Tabla4[],2,FALSE)</f>
        <v>3999.63</v>
      </c>
      <c r="D18" s="3">
        <f ca="1">VLOOKUP(B18,Tabla4[],3,FALSE)</f>
        <v>59598.2</v>
      </c>
      <c r="E18" s="2">
        <f ca="1">VLOOKUP(B18,Tabla4[],5,FALSE)</f>
        <v>2622.8</v>
      </c>
      <c r="F18" s="2">
        <f ca="1">VLOOKUP(B18,Tabla4[],4,FALSE)</f>
        <v>1.76</v>
      </c>
      <c r="G18" t="s">
        <v>42</v>
      </c>
      <c r="H18" s="1">
        <v>45467</v>
      </c>
      <c r="I18" s="3">
        <f>VLOOKUP(H18,Tabla4[],2,FALSE)</f>
        <v>4144.4799999999996</v>
      </c>
      <c r="J18" s="3">
        <v>3.4</v>
      </c>
      <c r="K18" s="11">
        <v>5.2726009999999997E-2</v>
      </c>
      <c r="L18" s="7">
        <f>Tabla6[[#This Row],[precio de compra]]*Tabla6[[#This Row],[cantidad]]*Tabla6[[#This Row],[PRECIO DEL DÓLAR, DIA COMPRA]]</f>
        <v>742.97443934431988</v>
      </c>
      <c r="M18" s="13">
        <f t="shared" ca="1" si="5"/>
        <v>371.15677522228799</v>
      </c>
      <c r="N18" s="12">
        <f t="shared" ca="1" si="1"/>
        <v>-0.4823529411764706</v>
      </c>
      <c r="O18" s="9">
        <v>0.1</v>
      </c>
      <c r="P18" s="9">
        <v>0.3</v>
      </c>
      <c r="Q18" t="str">
        <f t="shared" ca="1" si="8"/>
        <v>MANTENER</v>
      </c>
      <c r="T18" s="2"/>
      <c r="U18" s="14">
        <f>Tabla6[[#This Row],[cantidad]]-Tabla6[[#This Row],[CANTIDAD VENDIDA]]</f>
        <v>5.2726009999999997E-2</v>
      </c>
      <c r="V18" s="2">
        <f t="shared" ca="1" si="6"/>
        <v>371.15677522228799</v>
      </c>
      <c r="W18" s="2">
        <f t="shared" si="3"/>
        <v>-742.97443934431988</v>
      </c>
      <c r="X18" s="9">
        <f t="shared" ca="1" si="4"/>
        <v>-0.4823529411764706</v>
      </c>
      <c r="Y18" s="2" t="str">
        <f t="shared" si="7"/>
        <v>ACTIVA</v>
      </c>
    </row>
    <row r="19" spans="2:25" x14ac:dyDescent="0.25">
      <c r="B19" s="1">
        <f t="shared" ca="1" si="0"/>
        <v>45521</v>
      </c>
      <c r="C19" s="2">
        <f ca="1">VLOOKUP(B19,Tabla4[],2,FALSE)</f>
        <v>3999.63</v>
      </c>
      <c r="D19" s="3">
        <f ca="1">VLOOKUP(B19,Tabla4[],3,FALSE)</f>
        <v>59598.2</v>
      </c>
      <c r="E19" s="2">
        <f ca="1">VLOOKUP(B19,Tabla4[],5,FALSE)</f>
        <v>2622.8</v>
      </c>
      <c r="F19" s="2">
        <f ca="1">VLOOKUP(B19,Tabla4[],4,FALSE)</f>
        <v>1.76</v>
      </c>
      <c r="G19" t="s">
        <v>42</v>
      </c>
      <c r="H19" s="1">
        <v>45475</v>
      </c>
      <c r="I19" s="3">
        <f>VLOOKUP(H19,Tabla4[],2,FALSE)</f>
        <v>4129.08</v>
      </c>
      <c r="J19" s="3">
        <v>2.83</v>
      </c>
      <c r="K19" s="11">
        <v>2.7487640000000001E-2</v>
      </c>
      <c r="L19" s="7">
        <f>Tabla6[[#This Row],[precio de compra]]*Tabla6[[#This Row],[cantidad]]*Tabla6[[#This Row],[PRECIO DEL DÓLAR, DIA COMPRA]]</f>
        <v>321.201220736496</v>
      </c>
      <c r="M19" s="13">
        <f t="shared" ca="1" si="5"/>
        <v>193.495085648832</v>
      </c>
      <c r="N19" s="12">
        <f t="shared" ca="1" si="1"/>
        <v>-0.37809187279151946</v>
      </c>
      <c r="O19" s="9">
        <v>0.1</v>
      </c>
      <c r="P19" s="9">
        <v>0.3</v>
      </c>
      <c r="Q19" t="str">
        <f t="shared" ca="1" si="8"/>
        <v>MANTENER</v>
      </c>
      <c r="T19" s="2"/>
      <c r="U19" s="14">
        <f>Tabla6[[#This Row],[cantidad]]-Tabla6[[#This Row],[CANTIDAD VENDIDA]]</f>
        <v>2.7487640000000001E-2</v>
      </c>
      <c r="V19" s="2">
        <f t="shared" ca="1" si="6"/>
        <v>193.495085648832</v>
      </c>
      <c r="W19" s="2">
        <f t="shared" si="3"/>
        <v>-321.201220736496</v>
      </c>
      <c r="X19" s="9">
        <f t="shared" ca="1" si="4"/>
        <v>-0.37809187279151946</v>
      </c>
      <c r="Y19" s="2" t="str">
        <f t="shared" si="7"/>
        <v>ACTIVA</v>
      </c>
    </row>
    <row r="20" spans="2:25" hidden="1" x14ac:dyDescent="0.25">
      <c r="B20" s="1">
        <f t="shared" ca="1" si="0"/>
        <v>45521</v>
      </c>
      <c r="C20" s="2">
        <f ca="1">VLOOKUP(B20,Tabla4[],2,FALSE)</f>
        <v>3999.63</v>
      </c>
      <c r="D20" s="3">
        <f ca="1">VLOOKUP(B20,Tabla4[],3,FALSE)</f>
        <v>59598.2</v>
      </c>
      <c r="E20" s="2">
        <f ca="1">VLOOKUP(B20,Tabla4[],5,FALSE)</f>
        <v>2622.8</v>
      </c>
      <c r="F20" s="2">
        <f ca="1">VLOOKUP(B20,Tabla4[],4,FALSE)</f>
        <v>1.76</v>
      </c>
      <c r="G20" t="s">
        <v>42</v>
      </c>
      <c r="H20" s="1">
        <v>45481</v>
      </c>
      <c r="I20" s="3">
        <f>VLOOKUP(H20,Tabla4[],2,FALSE)</f>
        <v>4078.65</v>
      </c>
      <c r="J20" s="3">
        <v>2.29</v>
      </c>
      <c r="K20" s="11">
        <v>3.8638079999999998E-2</v>
      </c>
      <c r="L20" s="7">
        <f>Tabla6[[#This Row],[precio de compra]]*Tabla6[[#This Row],[cantidad]]*Tabla6[[#This Row],[PRECIO DEL DÓLAR, DIA COMPRA]]</f>
        <v>360.88385943167998</v>
      </c>
      <c r="M20" s="13">
        <f ca="1" xml:space="preserve"> K20 * (IF(G20="BTC", D20, IF(G20="ETH", E20, IF(G20="IO.NET", F20, 0)))) * C20</f>
        <v>271.98692208230398</v>
      </c>
      <c r="N20" s="12">
        <f t="shared" ca="1" si="1"/>
        <v>-0.23144104803493451</v>
      </c>
      <c r="O20" s="9">
        <v>0.1</v>
      </c>
      <c r="P20" s="9">
        <v>0.3</v>
      </c>
      <c r="Q20" t="str">
        <f t="shared" ca="1" si="8"/>
        <v>MANTENER</v>
      </c>
      <c r="S20">
        <v>3.8638079999999998E-2</v>
      </c>
      <c r="T20" s="2">
        <v>415</v>
      </c>
      <c r="U20" s="14">
        <f>Tabla6[[#This Row],[cantidad]]-Tabla6[[#This Row],[CANTIDAD VENDIDA]]</f>
        <v>0</v>
      </c>
      <c r="V20" s="2">
        <f ca="1">IF(G20="BTC", D20 * U20 * C20, IF(G20="ETH", E20 * U20 * C20, IF(G20="IO.NET", F20 * U20 * C20, 0)))</f>
        <v>0</v>
      </c>
      <c r="W20" s="2">
        <f t="shared" si="3"/>
        <v>54.11614056832002</v>
      </c>
      <c r="X20" s="9">
        <f t="shared" ca="1" si="4"/>
        <v>-0.23144104803493451</v>
      </c>
      <c r="Y20" s="2" t="str">
        <f t="shared" si="7"/>
        <v>VENDIDA</v>
      </c>
    </row>
    <row r="21" spans="2:25" hidden="1" x14ac:dyDescent="0.25">
      <c r="B21" s="1">
        <f t="shared" ca="1" si="0"/>
        <v>45521</v>
      </c>
      <c r="C21" s="2">
        <f ca="1">VLOOKUP(B21,Tabla4[],2,FALSE)</f>
        <v>3999.63</v>
      </c>
      <c r="D21" s="3">
        <f ca="1">VLOOKUP(B21,Tabla4[],3,FALSE)</f>
        <v>59598.2</v>
      </c>
      <c r="E21" s="2">
        <f ca="1">VLOOKUP(B21,Tabla4[],5,FALSE)</f>
        <v>2622.8</v>
      </c>
      <c r="F21" s="2">
        <f ca="1">VLOOKUP(B21,Tabla4[],4,FALSE)</f>
        <v>1.76</v>
      </c>
      <c r="G21" t="s">
        <v>42</v>
      </c>
      <c r="H21" s="1">
        <v>45488</v>
      </c>
      <c r="I21" s="3">
        <f>VLOOKUP(H21,Tabla4[],2,FALSE)</f>
        <v>3993.09</v>
      </c>
      <c r="J21" s="3">
        <v>2.62</v>
      </c>
      <c r="K21" s="11">
        <v>3.7119899999999997E-2</v>
      </c>
      <c r="L21" s="7">
        <f>Tabla6[[#This Row],[precio de compra]]*Tabla6[[#This Row],[cantidad]]*Tabla6[[#This Row],[PRECIO DEL DÓLAR, DIA COMPRA]]</f>
        <v>388.34452590642002</v>
      </c>
      <c r="M21" s="13">
        <f t="shared" ca="1" si="5"/>
        <v>261.29992352112004</v>
      </c>
      <c r="N21" s="12">
        <f t="shared" ca="1" si="1"/>
        <v>-0.32824427480916035</v>
      </c>
      <c r="O21" s="9">
        <v>0.1</v>
      </c>
      <c r="P21" s="9">
        <v>0.3</v>
      </c>
      <c r="Q21" t="str">
        <f t="shared" ca="1" si="8"/>
        <v>MANTENER</v>
      </c>
      <c r="S21">
        <v>3.7119899999999997E-2</v>
      </c>
      <c r="T21" s="2">
        <v>425</v>
      </c>
      <c r="U21" s="14">
        <f>Tabla6[[#This Row],[cantidad]]-Tabla6[[#This Row],[CANTIDAD VENDIDA]]</f>
        <v>0</v>
      </c>
      <c r="V21" s="2">
        <f t="shared" ca="1" si="6"/>
        <v>0</v>
      </c>
      <c r="W21" s="2">
        <f t="shared" si="3"/>
        <v>36.655474093579983</v>
      </c>
      <c r="X21" s="9">
        <f t="shared" ca="1" si="4"/>
        <v>-0.32824427480916035</v>
      </c>
      <c r="Y21" s="2" t="str">
        <f t="shared" si="7"/>
        <v>VENDIDA</v>
      </c>
    </row>
    <row r="22" spans="2:25" x14ac:dyDescent="0.25">
      <c r="B22" s="1">
        <f t="shared" ref="B22:B29" ca="1" si="9">TODAY()</f>
        <v>45521</v>
      </c>
      <c r="C22" s="2">
        <f ca="1">VLOOKUP(B22,Tabla4[],2,FALSE)</f>
        <v>3999.63</v>
      </c>
      <c r="D22" s="3">
        <f ca="1">VLOOKUP(B22,Tabla4[],3,FALSE)</f>
        <v>59598.2</v>
      </c>
      <c r="E22" s="2">
        <f ca="1">VLOOKUP(B22,Tabla4[],5,FALSE)</f>
        <v>2622.8</v>
      </c>
      <c r="F22" s="2">
        <f ca="1">VLOOKUP(B22,Tabla4[],4,FALSE)</f>
        <v>1.76</v>
      </c>
      <c r="G22" t="s">
        <v>42</v>
      </c>
      <c r="H22" s="1">
        <v>45489</v>
      </c>
      <c r="I22" s="3">
        <f>VLOOKUP(H22,Tabla4[],2,FALSE)</f>
        <v>3953.88</v>
      </c>
      <c r="J22" s="3">
        <v>2.69</v>
      </c>
      <c r="K22" s="11">
        <v>3.8065349999999998E-2</v>
      </c>
      <c r="L22" s="7">
        <f>Tabla6[[#This Row],[precio de compra]]*Tabla6[[#This Row],[cantidad]]*Tabla6[[#This Row],[PRECIO DEL DÓLAR, DIA COMPRA]]</f>
        <v>404.86067209601998</v>
      </c>
      <c r="M22" s="13">
        <f t="shared" ref="M22:M29" ca="1" si="10" xml:space="preserve"> K22 * (IF(G22="BTC", D22, IF(G22="ETH", E22, IF(G22="IO.NET", F22, 0)))) * C22</f>
        <v>267.95527584407995</v>
      </c>
      <c r="N22" s="12">
        <f t="shared" ref="N22:N29" ca="1" si="11">IF(G22 = "BTC", (D22 - J22) / J22,
 IF(G22 = "ETH", (E22 - J22) / J22,
 IF(G22 = "IO.NET", (F22 - J22) / J22,
 "Moneda no soportada")))</f>
        <v>-0.34572490706319703</v>
      </c>
      <c r="O22" s="9">
        <v>0.1</v>
      </c>
      <c r="P22" s="9">
        <v>0.3</v>
      </c>
      <c r="Q22" t="str">
        <f t="shared" ref="Q22:Q29" ca="1" si="12">IF(N22 &lt; O22, "MANTENER", IF(N22 &lt; P22, "VENTA PARCIAL", "VENDER"))</f>
        <v>MANTENER</v>
      </c>
      <c r="S22">
        <v>3.7999999999999999E-2</v>
      </c>
      <c r="T22" s="2">
        <v>415</v>
      </c>
      <c r="U22" s="14">
        <f>Tabla6[[#This Row],[cantidad]]-Tabla6[[#This Row],[CANTIDAD VENDIDA]]</f>
        <v>6.5349999999998742E-5</v>
      </c>
      <c r="V22" s="2">
        <f t="shared" ref="V22:V29" ca="1" si="13">IF(G22="BTC", D22 * U22 * C22, IF(G22="ETH", E22 * U22 * C22, IF(G22="IO.NET", F22 * U22 * C22, 0)))</f>
        <v>0.46002144407999118</v>
      </c>
      <c r="W22" s="2">
        <f t="shared" ref="W22:W29" si="14">IF(G22 = "BTC", ((T22 - L22)), IF(G22 = "ETH", ((T22 - L22)), IF(G22 = "IO.NET", ((T22 - L22)), "Moneda no soportada")))</f>
        <v>10.139327903980018</v>
      </c>
      <c r="X22" s="9">
        <f t="shared" ca="1" si="4"/>
        <v>-0.34572490706319703</v>
      </c>
      <c r="Y22" s="2" t="str">
        <f t="shared" si="7"/>
        <v>ACTIVA</v>
      </c>
    </row>
    <row r="23" spans="2:25" x14ac:dyDescent="0.25">
      <c r="B23" s="1">
        <f t="shared" ca="1" si="9"/>
        <v>45521</v>
      </c>
      <c r="C23" s="2">
        <f ca="1">VLOOKUP(B23,Tabla4[],2,FALSE)</f>
        <v>3999.63</v>
      </c>
      <c r="D23" s="3">
        <f ca="1">VLOOKUP(B23,Tabla4[],3,FALSE)</f>
        <v>59598.2</v>
      </c>
      <c r="E23" s="2">
        <f ca="1">VLOOKUP(B23,Tabla4[],5,FALSE)</f>
        <v>2622.8</v>
      </c>
      <c r="F23" s="2">
        <f ca="1">VLOOKUP(B23,Tabla4[],4,FALSE)</f>
        <v>1.76</v>
      </c>
      <c r="G23" t="s">
        <v>42</v>
      </c>
      <c r="H23" s="1">
        <v>45490</v>
      </c>
      <c r="I23" s="3">
        <f>VLOOKUP(H23,Tabla4[],2,FALSE)</f>
        <v>3972.87</v>
      </c>
      <c r="J23" s="3">
        <v>2.72</v>
      </c>
      <c r="K23" s="11">
        <v>3.8326069999999997E-2</v>
      </c>
      <c r="L23" s="7">
        <f>Tabla6[[#This Row],[precio de compra]]*Tabla6[[#This Row],[cantidad]]*Tabla6[[#This Row],[PRECIO DEL DÓLAR, DIA COMPRA]]</f>
        <v>414.15942292084799</v>
      </c>
      <c r="M23" s="13">
        <f t="shared" ca="1" si="10"/>
        <v>269.79057486321597</v>
      </c>
      <c r="N23" s="12">
        <f t="shared" ca="1" si="11"/>
        <v>-0.35294117647058826</v>
      </c>
      <c r="O23" s="9">
        <v>0.1</v>
      </c>
      <c r="P23" s="9">
        <v>0.3</v>
      </c>
      <c r="Q23" t="str">
        <f t="shared" ca="1" si="12"/>
        <v>MANTENER</v>
      </c>
      <c r="S23">
        <v>3.7999999999999999E-2</v>
      </c>
      <c r="T23" s="2">
        <v>426</v>
      </c>
      <c r="U23" s="14">
        <f>Tabla6[[#This Row],[cantidad]]-Tabla6[[#This Row],[CANTIDAD VENDIDA]]</f>
        <v>3.2606999999999775E-4</v>
      </c>
      <c r="V23" s="2">
        <f t="shared" ca="1" si="13"/>
        <v>2.295320463215984</v>
      </c>
      <c r="W23" s="2">
        <f t="shared" si="14"/>
        <v>11.840577079152013</v>
      </c>
      <c r="X23" s="9">
        <f t="shared" ref="X23:X29" ca="1" si="15">IF(G23 = "BTC", (((D23 - J23) / J23)),IF(G23 = "ETH", ((E23 - J23) / J23), IF(G23 = "IO.NET", ((F23 - J23) / J23), "Moneda no soportada")))</f>
        <v>-0.35294117647058826</v>
      </c>
      <c r="Y23" s="2" t="str">
        <f t="shared" si="7"/>
        <v>ACTIVA</v>
      </c>
    </row>
    <row r="24" spans="2:25" x14ac:dyDescent="0.25">
      <c r="B24" s="1">
        <f t="shared" ca="1" si="9"/>
        <v>45521</v>
      </c>
      <c r="C24" s="2">
        <f ca="1">VLOOKUP(B24,Tabla4[],2,FALSE)</f>
        <v>3999.63</v>
      </c>
      <c r="D24" s="3">
        <f ca="1">VLOOKUP(B24,Tabla4[],3,FALSE)</f>
        <v>59598.2</v>
      </c>
      <c r="E24" s="2">
        <f ca="1">VLOOKUP(B24,Tabla4[],5,FALSE)</f>
        <v>2622.8</v>
      </c>
      <c r="F24" s="2">
        <f ca="1">VLOOKUP(B24,Tabla4[],4,FALSE)</f>
        <v>1.76</v>
      </c>
      <c r="G24" t="s">
        <v>42</v>
      </c>
      <c r="H24" s="1">
        <v>45490</v>
      </c>
      <c r="I24" s="3">
        <f>VLOOKUP(H24,Tabla4[],2,FALSE)</f>
        <v>3972.87</v>
      </c>
      <c r="J24" s="3">
        <v>2.76</v>
      </c>
      <c r="K24" s="11">
        <v>3.8865179999999999E-2</v>
      </c>
      <c r="L24" s="7">
        <f>Tabla6[[#This Row],[precio de compra]]*Tabla6[[#This Row],[cantidad]]*Tabla6[[#This Row],[PRECIO DEL DÓLAR, DIA COMPRA]]</f>
        <v>426.16140915981595</v>
      </c>
      <c r="M24" s="13">
        <f t="shared" ca="1" si="10"/>
        <v>273.58555819478403</v>
      </c>
      <c r="N24" s="12">
        <f t="shared" ca="1" si="11"/>
        <v>-0.36231884057971009</v>
      </c>
      <c r="O24" s="9">
        <v>0.1</v>
      </c>
      <c r="P24" s="9">
        <v>0.3</v>
      </c>
      <c r="Q24" t="str">
        <f t="shared" ca="1" si="12"/>
        <v>MANTENER</v>
      </c>
      <c r="S24">
        <v>3.7757979999999997E-2</v>
      </c>
      <c r="T24" s="2">
        <v>435</v>
      </c>
      <c r="U24" s="14">
        <f>Tabla6[[#This Row],[cantidad]]-Tabla6[[#This Row],[CANTIDAD VENDIDA]]</f>
        <v>1.1072000000000026E-3</v>
      </c>
      <c r="V24" s="2">
        <f t="shared" ca="1" si="13"/>
        <v>7.7939669913600182</v>
      </c>
      <c r="W24" s="2">
        <f t="shared" si="14"/>
        <v>8.8385908401840538</v>
      </c>
      <c r="X24" s="9">
        <f t="shared" ca="1" si="15"/>
        <v>-0.36231884057971009</v>
      </c>
      <c r="Y24" s="2" t="str">
        <f t="shared" si="7"/>
        <v>ACTIVA</v>
      </c>
    </row>
    <row r="25" spans="2:25" x14ac:dyDescent="0.25">
      <c r="B25" s="1">
        <f t="shared" ca="1" si="9"/>
        <v>45521</v>
      </c>
      <c r="C25" s="2">
        <f ca="1">VLOOKUP(B25,Tabla4[],2,FALSE)</f>
        <v>3999.63</v>
      </c>
      <c r="D25" s="3">
        <f ca="1">VLOOKUP(B25,Tabla4[],3,FALSE)</f>
        <v>59598.2</v>
      </c>
      <c r="E25" s="2">
        <f ca="1">VLOOKUP(B25,Tabla4[],5,FALSE)</f>
        <v>2622.8</v>
      </c>
      <c r="F25" s="2">
        <f ca="1">VLOOKUP(B25,Tabla4[],4,FALSE)</f>
        <v>1.76</v>
      </c>
      <c r="G25" t="s">
        <v>42</v>
      </c>
      <c r="H25" s="1">
        <v>45492</v>
      </c>
      <c r="I25" s="3">
        <f>VLOOKUP(H25,Tabla4[],2,FALSE)</f>
        <v>4047.22</v>
      </c>
      <c r="J25" s="3">
        <v>2.81</v>
      </c>
      <c r="K25" s="11">
        <v>3.821041E-2</v>
      </c>
      <c r="L25" s="7">
        <f>Tabla6[[#This Row],[precio de compra]]*Tabla6[[#This Row],[cantidad]]*Tabla6[[#This Row],[PRECIO DEL DÓLAR, DIA COMPRA]]</f>
        <v>434.55507892416199</v>
      </c>
      <c r="M25" s="13">
        <f t="shared" ca="1" si="10"/>
        <v>268.976403781008</v>
      </c>
      <c r="N25" s="12">
        <f t="shared" ca="1" si="11"/>
        <v>-0.37366548042704628</v>
      </c>
      <c r="O25" s="9">
        <v>0.1</v>
      </c>
      <c r="P25" s="9">
        <v>0.3</v>
      </c>
      <c r="Q25" t="str">
        <f t="shared" ca="1" si="12"/>
        <v>MANTENER</v>
      </c>
      <c r="S25">
        <v>3.7999999999999999E-2</v>
      </c>
      <c r="T25" s="2">
        <v>475</v>
      </c>
      <c r="U25" s="14">
        <f>Tabla6[[#This Row],[cantidad]]-Tabla6[[#This Row],[CANTIDAD VENDIDA]]</f>
        <v>2.1041000000000115E-4</v>
      </c>
      <c r="V25" s="2">
        <f t="shared" ca="1" si="13"/>
        <v>1.4811493810080083</v>
      </c>
      <c r="W25" s="2">
        <f t="shared" si="14"/>
        <v>40.44492107583801</v>
      </c>
      <c r="X25" s="9">
        <f t="shared" ca="1" si="15"/>
        <v>-0.37366548042704628</v>
      </c>
      <c r="Y25" s="2" t="str">
        <f t="shared" ref="Y25:Y32" si="16">IF(U25=0,"VENDIDA","ACTIVA")</f>
        <v>ACTIVA</v>
      </c>
    </row>
    <row r="26" spans="2:25" x14ac:dyDescent="0.25">
      <c r="B26" s="1">
        <f t="shared" ca="1" si="9"/>
        <v>45521</v>
      </c>
      <c r="C26" s="2">
        <f ca="1">VLOOKUP(B26,Tabla4[],2,FALSE)</f>
        <v>3999.63</v>
      </c>
      <c r="D26" s="3">
        <f ca="1">VLOOKUP(B26,Tabla4[],3,FALSE)</f>
        <v>59598.2</v>
      </c>
      <c r="E26" s="2">
        <f ca="1">VLOOKUP(B26,Tabla4[],5,FALSE)</f>
        <v>2622.8</v>
      </c>
      <c r="F26" s="2">
        <f ca="1">VLOOKUP(B26,Tabla4[],4,FALSE)</f>
        <v>1.76</v>
      </c>
      <c r="G26" t="s">
        <v>42</v>
      </c>
      <c r="H26" s="1">
        <v>45494</v>
      </c>
      <c r="I26" s="3">
        <v>4046.27</v>
      </c>
      <c r="J26" s="3">
        <v>3.04434</v>
      </c>
      <c r="K26" s="11">
        <v>3.856043E-2</v>
      </c>
      <c r="L26" s="7">
        <f>Tabla6[[#This Row],[precio de compra]]*Tabla6[[#This Row],[cantidad]]*Tabla6[[#This Row],[PRECIO DEL DÓLAR, DIA COMPRA]]</f>
        <v>474.99592218630107</v>
      </c>
      <c r="M26" s="13">
        <f t="shared" ca="1" si="10"/>
        <v>271.44031664798399</v>
      </c>
      <c r="N26" s="12">
        <f t="shared" ca="1" si="11"/>
        <v>-0.42187797683570166</v>
      </c>
      <c r="O26" s="9">
        <v>0.1</v>
      </c>
      <c r="P26" s="9">
        <v>0.3</v>
      </c>
      <c r="Q26" t="str">
        <f t="shared" ca="1" si="12"/>
        <v>MANTENER</v>
      </c>
      <c r="T26" s="2"/>
      <c r="U26" s="14">
        <f>Tabla6[[#This Row],[cantidad]]-Tabla6[[#This Row],[CANTIDAD VENDIDA]]</f>
        <v>3.856043E-2</v>
      </c>
      <c r="V26" s="2">
        <f t="shared" ca="1" si="13"/>
        <v>271.44031664798399</v>
      </c>
      <c r="W26" s="2">
        <f t="shared" si="14"/>
        <v>-474.99592218630107</v>
      </c>
      <c r="X26" s="9">
        <f t="shared" ca="1" si="15"/>
        <v>-0.42187797683570166</v>
      </c>
      <c r="Y26" s="2" t="str">
        <f t="shared" si="16"/>
        <v>ACTIVA</v>
      </c>
    </row>
    <row r="27" spans="2:25" x14ac:dyDescent="0.25">
      <c r="B27" s="1">
        <f t="shared" ca="1" si="9"/>
        <v>45521</v>
      </c>
      <c r="C27" s="2">
        <f ca="1">VLOOKUP(B27,Tabla4[],2,FALSE)</f>
        <v>3999.63</v>
      </c>
      <c r="D27" s="3">
        <f ca="1">VLOOKUP(B27,Tabla4[],3,FALSE)</f>
        <v>59598.2</v>
      </c>
      <c r="E27" s="2">
        <f ca="1">VLOOKUP(B27,Tabla4[],5,FALSE)</f>
        <v>2622.8</v>
      </c>
      <c r="F27" s="2">
        <f ca="1">VLOOKUP(B27,Tabla4[],4,FALSE)</f>
        <v>1.76</v>
      </c>
      <c r="G27" t="s">
        <v>15</v>
      </c>
      <c r="H27" s="1">
        <v>45495</v>
      </c>
      <c r="I27" s="3">
        <f>VLOOKUP(H27,Tabla4[],2,FALSE)</f>
        <v>4041.33</v>
      </c>
      <c r="J27" s="3">
        <v>66795.14</v>
      </c>
      <c r="K27" s="11">
        <v>2.5900000000000002E-6</v>
      </c>
      <c r="L27" s="7">
        <f>Tabla6[[#This Row],[precio de compra]]*Tabla6[[#This Row],[cantidad]]*Tabla6[[#This Row],[PRECIO DEL DÓLAR, DIA COMPRA]]</f>
        <v>699.14771612275808</v>
      </c>
      <c r="M27" s="13">
        <f t="shared" ca="1" si="10"/>
        <v>617.38023904494003</v>
      </c>
      <c r="N27" s="12">
        <f t="shared" ca="1" si="11"/>
        <v>-0.10774646179347783</v>
      </c>
      <c r="O27" s="9">
        <v>0.25</v>
      </c>
      <c r="P27" s="9">
        <v>0.5</v>
      </c>
      <c r="Q27" t="str">
        <f t="shared" ca="1" si="12"/>
        <v>MANTENER</v>
      </c>
      <c r="T27" s="2"/>
      <c r="U27" s="14">
        <f>Tabla6[[#This Row],[cantidad]]-Tabla6[[#This Row],[CANTIDAD VENDIDA]]</f>
        <v>2.5900000000000002E-6</v>
      </c>
      <c r="V27" s="2">
        <f t="shared" ca="1" si="13"/>
        <v>617.38023904494003</v>
      </c>
      <c r="W27" s="2">
        <f t="shared" si="14"/>
        <v>-699.14771612275808</v>
      </c>
      <c r="X27" s="9">
        <f t="shared" ca="1" si="15"/>
        <v>-0.10774646179347783</v>
      </c>
      <c r="Y27" s="2" t="str">
        <f t="shared" si="16"/>
        <v>ACTIVA</v>
      </c>
    </row>
    <row r="28" spans="2:25" x14ac:dyDescent="0.25">
      <c r="B28" s="1">
        <f t="shared" ca="1" si="9"/>
        <v>45521</v>
      </c>
      <c r="C28" s="2">
        <f ca="1">VLOOKUP(B28,Tabla4[],2,FALSE)</f>
        <v>3999.63</v>
      </c>
      <c r="D28" s="3">
        <f ca="1">VLOOKUP(B28,Tabla4[],3,FALSE)</f>
        <v>59598.2</v>
      </c>
      <c r="E28" s="2">
        <f ca="1">VLOOKUP(B28,Tabla4[],5,FALSE)</f>
        <v>2622.8</v>
      </c>
      <c r="F28" s="2">
        <f ca="1">VLOOKUP(B28,Tabla4[],4,FALSE)</f>
        <v>1.76</v>
      </c>
      <c r="G28" t="s">
        <v>16</v>
      </c>
      <c r="H28" s="1">
        <v>45495</v>
      </c>
      <c r="I28" s="3">
        <f>VLOOKUP(H28,Tabla4[],2,FALSE)</f>
        <v>4041.33</v>
      </c>
      <c r="J28" s="3">
        <v>3457.1</v>
      </c>
      <c r="K28" s="11">
        <v>5.0149999999999999E-5</v>
      </c>
      <c r="L28" s="7">
        <f>Tabla6[[#This Row],[precio de compra]]*Tabla6[[#This Row],[cantidad]]*Tabla6[[#This Row],[PRECIO DEL DÓLAR, DIA COMPRA]]</f>
        <v>700.6597894414499</v>
      </c>
      <c r="M28" s="13">
        <f t="shared" ca="1" si="10"/>
        <v>526.08501263460005</v>
      </c>
      <c r="N28" s="12">
        <f t="shared" ca="1" si="11"/>
        <v>-0.24132943796823919</v>
      </c>
      <c r="O28" s="9">
        <v>0.25</v>
      </c>
      <c r="P28" s="9">
        <v>0.5</v>
      </c>
      <c r="Q28" t="str">
        <f t="shared" ca="1" si="12"/>
        <v>MANTENER</v>
      </c>
      <c r="T28" s="2"/>
      <c r="U28" s="14">
        <f>Tabla6[[#This Row],[cantidad]]-Tabla6[[#This Row],[CANTIDAD VENDIDA]]</f>
        <v>5.0149999999999999E-5</v>
      </c>
      <c r="V28" s="2">
        <f t="shared" ca="1" si="13"/>
        <v>526.08501263460005</v>
      </c>
      <c r="W28" s="2">
        <f t="shared" si="14"/>
        <v>-700.6597894414499</v>
      </c>
      <c r="X28" s="9">
        <f t="shared" ca="1" si="15"/>
        <v>-0.24132943796823919</v>
      </c>
      <c r="Y28" s="2" t="str">
        <f t="shared" si="16"/>
        <v>ACTIVA</v>
      </c>
    </row>
    <row r="29" spans="2:25" x14ac:dyDescent="0.25">
      <c r="B29" s="1">
        <f t="shared" ca="1" si="9"/>
        <v>45521</v>
      </c>
      <c r="C29" s="2">
        <f ca="1">VLOOKUP(B29,Tabla4[],2,FALSE)</f>
        <v>3999.63</v>
      </c>
      <c r="D29" s="3">
        <f ca="1">VLOOKUP(B29,Tabla4[],3,FALSE)</f>
        <v>59598.2</v>
      </c>
      <c r="E29" s="2">
        <f ca="1">VLOOKUP(B29,Tabla4[],5,FALSE)</f>
        <v>2622.8</v>
      </c>
      <c r="F29" s="2">
        <f ca="1">VLOOKUP(B29,Tabla4[],4,FALSE)</f>
        <v>1.76</v>
      </c>
      <c r="G29" t="s">
        <v>42</v>
      </c>
      <c r="H29" s="1">
        <v>45495</v>
      </c>
      <c r="I29" s="3">
        <f>VLOOKUP(H29,Tabla4[],2,FALSE)</f>
        <v>4041.33</v>
      </c>
      <c r="J29" s="3">
        <v>2.92</v>
      </c>
      <c r="K29" s="11">
        <v>2.970859E-2</v>
      </c>
      <c r="L29" s="7">
        <f>Tabla6[[#This Row],[precio de compra]]*Tabla6[[#This Row],[cantidad]]*Tabla6[[#This Row],[PRECIO DEL DÓLAR, DIA COMPRA]]</f>
        <v>350.58167079212399</v>
      </c>
      <c r="M29" s="13">
        <f t="shared" ca="1" si="10"/>
        <v>209.12912736619199</v>
      </c>
      <c r="N29" s="12">
        <f t="shared" ca="1" si="11"/>
        <v>-0.39726027397260272</v>
      </c>
      <c r="O29" s="9">
        <v>0.1</v>
      </c>
      <c r="P29" s="9">
        <v>0.3</v>
      </c>
      <c r="Q29" t="str">
        <f t="shared" ca="1" si="12"/>
        <v>MANTENER</v>
      </c>
      <c r="T29" s="2"/>
      <c r="U29" s="14">
        <f>Tabla6[[#This Row],[cantidad]]-Tabla6[[#This Row],[CANTIDAD VENDIDA]]</f>
        <v>2.970859E-2</v>
      </c>
      <c r="V29" s="2">
        <f t="shared" ca="1" si="13"/>
        <v>209.12912736619199</v>
      </c>
      <c r="W29" s="2">
        <f t="shared" si="14"/>
        <v>-350.58167079212399</v>
      </c>
      <c r="X29" s="9">
        <f t="shared" ca="1" si="15"/>
        <v>-0.39726027397260272</v>
      </c>
      <c r="Y29" s="2" t="str">
        <f t="shared" si="16"/>
        <v>ACTIVA</v>
      </c>
    </row>
    <row r="30" spans="2:25" x14ac:dyDescent="0.25">
      <c r="B30" s="1">
        <f t="shared" ref="B30:B35" ca="1" si="17">TODAY()</f>
        <v>45521</v>
      </c>
      <c r="C30" s="2">
        <f ca="1">VLOOKUP(B30,Tabla4[],2,FALSE)</f>
        <v>3999.63</v>
      </c>
      <c r="D30" s="3">
        <f ca="1">VLOOKUP(B30,Tabla4[],3,FALSE)</f>
        <v>59598.2</v>
      </c>
      <c r="E30" s="2">
        <f ca="1">VLOOKUP(B30,Tabla4[],5,FALSE)</f>
        <v>2622.8</v>
      </c>
      <c r="F30" s="2">
        <f ca="1">VLOOKUP(B30,Tabla4[],4,FALSE)</f>
        <v>1.76</v>
      </c>
      <c r="G30" t="s">
        <v>15</v>
      </c>
      <c r="H30" s="1">
        <v>45502</v>
      </c>
      <c r="I30" s="3">
        <f>VLOOKUP(H30,Tabla4[],2,FALSE)</f>
        <v>4030.02</v>
      </c>
      <c r="J30" s="3">
        <v>68680.2</v>
      </c>
      <c r="K30" s="11">
        <v>2.5299999999999999E-6</v>
      </c>
      <c r="L30" s="7">
        <f>Tabla6[[#This Row],[precio de compra]]*Tabla6[[#This Row],[cantidad]]*Tabla6[[#This Row],[PRECIO DEL DÓLAR, DIA COMPRA]]</f>
        <v>700.25992639812</v>
      </c>
      <c r="M30" s="13">
        <f t="shared" ref="M30:M35" ca="1" si="18" xml:space="preserve"> K30 * (IF(G30="BTC", D30, IF(G30="ETH", E30, IF(G30="IO.NET", F30, 0)))) * C30</f>
        <v>603.07799412498002</v>
      </c>
      <c r="N30" s="12">
        <f t="shared" ref="N30:N35" ca="1" si="19">IF(G30 = "BTC", (D30 - J30) / J30,
 IF(G30 = "ETH", (E30 - J30) / J30,
 IF(G30 = "IO.NET", (F30 - J30) / J30,
 "Moneda no soportada")))</f>
        <v>-0.13223607386117106</v>
      </c>
      <c r="O30" s="9">
        <v>0.25</v>
      </c>
      <c r="P30" s="9">
        <v>0.5</v>
      </c>
      <c r="Q30" t="str">
        <f t="shared" ref="Q30:Q35" ca="1" si="20">IF(N30 &lt; O30, "MANTENER", IF(N30 &lt; P30, "VENTA PARCIAL", "VENDER"))</f>
        <v>MANTENER</v>
      </c>
      <c r="T30" s="2"/>
      <c r="U30" s="14">
        <f>Tabla6[[#This Row],[cantidad]]-Tabla6[[#This Row],[CANTIDAD VENDIDA]]</f>
        <v>2.5299999999999999E-6</v>
      </c>
      <c r="V30" s="2">
        <f t="shared" ref="V30:V35" ca="1" si="21">IF(G30="BTC", D30 * U30 * C30, IF(G30="ETH", E30 * U30 * C30, IF(G30="IO.NET", F30 * U30 * C30, 0)))</f>
        <v>603.07799412498002</v>
      </c>
      <c r="W30" s="2">
        <f t="shared" ref="W30:W35" si="22">IF(G30 = "BTC", ((T30 - L30)), IF(G30 = "ETH", ((T30 - L30)), IF(G30 = "IO.NET", ((T30 - L30)), "Moneda no soportada")))</f>
        <v>-700.25992639812</v>
      </c>
      <c r="X30" s="9">
        <f t="shared" ref="X30:X35" ca="1" si="23">IF(G30 = "BTC", (((D30 - J30) / J30)),IF(G30 = "ETH", ((E30 - J30) / J30), IF(G30 = "IO.NET", ((F30 - J30) / J30), "Moneda no soportada")))</f>
        <v>-0.13223607386117106</v>
      </c>
      <c r="Y30" s="2" t="str">
        <f t="shared" si="16"/>
        <v>ACTIVA</v>
      </c>
    </row>
    <row r="31" spans="2:25" x14ac:dyDescent="0.25">
      <c r="B31" s="1">
        <f t="shared" ca="1" si="17"/>
        <v>45521</v>
      </c>
      <c r="C31" s="2">
        <f ca="1">VLOOKUP(B31,Tabla4[],2,FALSE)</f>
        <v>3999.63</v>
      </c>
      <c r="D31" s="3">
        <f ca="1">VLOOKUP(B31,Tabla4[],3,FALSE)</f>
        <v>59598.2</v>
      </c>
      <c r="E31" s="2">
        <f ca="1">VLOOKUP(B31,Tabla4[],5,FALSE)</f>
        <v>2622.8</v>
      </c>
      <c r="F31" s="2">
        <f ca="1">VLOOKUP(B31,Tabla4[],4,FALSE)</f>
        <v>1.76</v>
      </c>
      <c r="G31" t="s">
        <v>16</v>
      </c>
      <c r="H31" s="1">
        <v>45502</v>
      </c>
      <c r="I31" s="3">
        <f>VLOOKUP(H31,Tabla4[],2,FALSE)</f>
        <v>4030.02</v>
      </c>
      <c r="J31" s="7">
        <v>3315.5</v>
      </c>
      <c r="K31" s="11">
        <v>5.2389999999999998E-5</v>
      </c>
      <c r="L31" s="7">
        <f>Tabla6[[#This Row],[precio de compra]]*Tabla6[[#This Row],[cantidad]]*Tabla6[[#This Row],[PRECIO DEL DÓLAR, DIA COMPRA]]</f>
        <v>700.01062533089998</v>
      </c>
      <c r="M31" s="13">
        <f t="shared" ca="1" si="18"/>
        <v>549.58312685796</v>
      </c>
      <c r="N31" s="12">
        <f t="shared" ca="1" si="19"/>
        <v>-0.20892776353491171</v>
      </c>
      <c r="O31" s="9">
        <v>0.25</v>
      </c>
      <c r="P31" s="9">
        <v>0.5</v>
      </c>
      <c r="Q31" t="str">
        <f t="shared" ca="1" si="20"/>
        <v>MANTENER</v>
      </c>
      <c r="T31" s="2"/>
      <c r="U31" s="14">
        <f>Tabla6[[#This Row],[cantidad]]-Tabla6[[#This Row],[CANTIDAD VENDIDA]]</f>
        <v>5.2389999999999998E-5</v>
      </c>
      <c r="V31" s="2">
        <f t="shared" ca="1" si="21"/>
        <v>549.58312685796</v>
      </c>
      <c r="W31" s="2">
        <f t="shared" si="22"/>
        <v>-700.01062533089998</v>
      </c>
      <c r="X31" s="9">
        <f t="shared" ca="1" si="23"/>
        <v>-0.20892776353491171</v>
      </c>
      <c r="Y31" s="2" t="str">
        <f t="shared" si="16"/>
        <v>ACTIVA</v>
      </c>
    </row>
    <row r="32" spans="2:25" x14ac:dyDescent="0.25">
      <c r="B32" s="1">
        <f t="shared" ca="1" si="17"/>
        <v>45521</v>
      </c>
      <c r="C32" s="2">
        <f ca="1">VLOOKUP(B32,Tabla4[],2,FALSE)</f>
        <v>3999.63</v>
      </c>
      <c r="D32" s="3">
        <f ca="1">VLOOKUP(B32,Tabla4[],3,FALSE)</f>
        <v>59598.2</v>
      </c>
      <c r="E32" s="2">
        <f ca="1">VLOOKUP(B32,Tabla4[],5,FALSE)</f>
        <v>2622.8</v>
      </c>
      <c r="F32" s="2">
        <f ca="1">VLOOKUP(B32,Tabla4[],4,FALSE)</f>
        <v>1.76</v>
      </c>
      <c r="G32" t="s">
        <v>42</v>
      </c>
      <c r="H32" s="1">
        <v>45502</v>
      </c>
      <c r="I32" s="3">
        <f>VLOOKUP(H32,Tabla4[],2,FALSE)</f>
        <v>4030.02</v>
      </c>
      <c r="J32" s="3">
        <v>2.9</v>
      </c>
      <c r="K32" s="11">
        <v>2.9957709999999999E-2</v>
      </c>
      <c r="L32" s="7">
        <f>Tabla6[[#This Row],[precio de compra]]*Tabla6[[#This Row],[cantidad]]*Tabla6[[#This Row],[PRECIO DEL DÓLAR, DIA COMPRA]]</f>
        <v>350.11749431717993</v>
      </c>
      <c r="M32" s="13">
        <f t="shared" ca="1" si="18"/>
        <v>210.88276993924802</v>
      </c>
      <c r="N32" s="12">
        <f t="shared" ca="1" si="19"/>
        <v>-0.39310344827586202</v>
      </c>
      <c r="O32" s="9">
        <v>0.1</v>
      </c>
      <c r="P32" s="9">
        <v>0.3</v>
      </c>
      <c r="Q32" t="str">
        <f t="shared" ca="1" si="20"/>
        <v>MANTENER</v>
      </c>
      <c r="T32" s="2"/>
      <c r="U32" s="14">
        <f>Tabla6[[#This Row],[cantidad]]-Tabla6[[#This Row],[CANTIDAD VENDIDA]]</f>
        <v>2.9957709999999999E-2</v>
      </c>
      <c r="V32" s="2">
        <f t="shared" ca="1" si="21"/>
        <v>210.88276993924802</v>
      </c>
      <c r="W32" s="2">
        <f t="shared" si="22"/>
        <v>-350.11749431717993</v>
      </c>
      <c r="X32" s="9">
        <f t="shared" ca="1" si="23"/>
        <v>-0.39310344827586202</v>
      </c>
      <c r="Y32" s="2" t="str">
        <f t="shared" si="16"/>
        <v>ACTIVA</v>
      </c>
    </row>
    <row r="33" spans="2:25" x14ac:dyDescent="0.25">
      <c r="B33" s="1">
        <f t="shared" ca="1" si="17"/>
        <v>45521</v>
      </c>
      <c r="C33" s="2">
        <f ca="1">VLOOKUP(B33,Tabla4[],2,FALSE)</f>
        <v>3999.63</v>
      </c>
      <c r="D33" s="3">
        <f ca="1">VLOOKUP(B33,Tabla4[],3,FALSE)</f>
        <v>59598.2</v>
      </c>
      <c r="E33" s="2">
        <f ca="1">VLOOKUP(B33,Tabla4[],5,FALSE)</f>
        <v>2622.8</v>
      </c>
      <c r="F33" s="2">
        <f ca="1">VLOOKUP(B33,Tabla4[],4,FALSE)</f>
        <v>1.76</v>
      </c>
      <c r="G33" t="s">
        <v>15</v>
      </c>
      <c r="H33" s="1">
        <v>45509</v>
      </c>
      <c r="I33" s="3">
        <f>VLOOKUP(H33,Tabla4[],2,FALSE)</f>
        <v>4116.91</v>
      </c>
      <c r="J33" s="3">
        <v>53468.49</v>
      </c>
      <c r="K33" s="11">
        <v>3.18E-6</v>
      </c>
      <c r="L33" s="7">
        <f>Tabla6[[#This Row],[precio de compra]]*Tabla6[[#This Row],[cantidad]]*Tabla6[[#This Row],[PRECIO DEL DÓLAR, DIA COMPRA]]</f>
        <v>699.99737650756197</v>
      </c>
      <c r="M33" s="13">
        <f t="shared" ca="1" si="18"/>
        <v>758.01898075787994</v>
      </c>
      <c r="N33" s="12">
        <f t="shared" ca="1" si="19"/>
        <v>0.11464153934401362</v>
      </c>
      <c r="O33" s="9">
        <v>0.25</v>
      </c>
      <c r="P33" s="9">
        <v>0.5</v>
      </c>
      <c r="Q33" t="str">
        <f t="shared" ca="1" si="20"/>
        <v>MANTENER</v>
      </c>
      <c r="T33" s="2"/>
      <c r="U33" s="14">
        <f>Tabla6[[#This Row],[cantidad]]-Tabla6[[#This Row],[CANTIDAD VENDIDA]]</f>
        <v>3.18E-6</v>
      </c>
      <c r="V33" s="2">
        <f t="shared" ca="1" si="21"/>
        <v>758.01898075787994</v>
      </c>
      <c r="W33" s="2">
        <f t="shared" si="22"/>
        <v>-699.99737650756197</v>
      </c>
      <c r="X33" s="9">
        <f t="shared" ca="1" si="23"/>
        <v>0.11464153934401362</v>
      </c>
      <c r="Y33" s="2" t="str">
        <f t="shared" ref="Y33:Y38" si="24">IF(U33=0,"VENDIDA","ACTIVA")</f>
        <v>ACTIVA</v>
      </c>
    </row>
    <row r="34" spans="2:25" x14ac:dyDescent="0.25">
      <c r="B34" s="1">
        <f t="shared" ca="1" si="17"/>
        <v>45521</v>
      </c>
      <c r="C34" s="2">
        <f ca="1">VLOOKUP(B34,Tabla4[],2,FALSE)</f>
        <v>3999.63</v>
      </c>
      <c r="D34" s="3">
        <f ca="1">VLOOKUP(B34,Tabla4[],3,FALSE)</f>
        <v>59598.2</v>
      </c>
      <c r="E34" s="2">
        <f ca="1">VLOOKUP(B34,Tabla4[],5,FALSE)</f>
        <v>2622.8</v>
      </c>
      <c r="F34" s="2">
        <f ca="1">VLOOKUP(B34,Tabla4[],4,FALSE)</f>
        <v>1.76</v>
      </c>
      <c r="G34" t="s">
        <v>16</v>
      </c>
      <c r="H34" s="1">
        <v>45509</v>
      </c>
      <c r="I34" s="3">
        <f>VLOOKUP(H34,Tabla4[],2,FALSE)</f>
        <v>4116.91</v>
      </c>
      <c r="J34" s="3">
        <v>2374.38</v>
      </c>
      <c r="K34" s="11">
        <v>7.161E-5</v>
      </c>
      <c r="L34" s="7">
        <f>Tabla6[[#This Row],[precio de compra]]*Tabla6[[#This Row],[cantidad]]*Tabla6[[#This Row],[PRECIO DEL DÓLAR, DIA COMPRA]]</f>
        <v>699.99553871893795</v>
      </c>
      <c r="M34" s="13">
        <f t="shared" ca="1" si="18"/>
        <v>751.20533907803997</v>
      </c>
      <c r="N34" s="12">
        <f t="shared" ca="1" si="19"/>
        <v>0.10462520742256928</v>
      </c>
      <c r="O34" s="9">
        <v>0.25</v>
      </c>
      <c r="P34" s="9">
        <v>0.5</v>
      </c>
      <c r="Q34" t="str">
        <f t="shared" ca="1" si="20"/>
        <v>MANTENER</v>
      </c>
      <c r="T34" s="2"/>
      <c r="U34" s="14">
        <f>Tabla6[[#This Row],[cantidad]]-Tabla6[[#This Row],[CANTIDAD VENDIDA]]</f>
        <v>7.161E-5</v>
      </c>
      <c r="V34" s="2">
        <f t="shared" ca="1" si="21"/>
        <v>751.20533907803997</v>
      </c>
      <c r="W34" s="2">
        <f t="shared" si="22"/>
        <v>-699.99553871893795</v>
      </c>
      <c r="X34" s="9">
        <f t="shared" ca="1" si="23"/>
        <v>0.10462520742256928</v>
      </c>
      <c r="Y34" s="2" t="str">
        <f t="shared" si="24"/>
        <v>ACTIVA</v>
      </c>
    </row>
    <row r="35" spans="2:25" x14ac:dyDescent="0.25">
      <c r="B35" s="1">
        <f t="shared" ca="1" si="17"/>
        <v>45521</v>
      </c>
      <c r="C35" s="2">
        <f ca="1">VLOOKUP(B35,Tabla4[],2,FALSE)</f>
        <v>3999.63</v>
      </c>
      <c r="D35" s="3">
        <f ca="1">VLOOKUP(B35,Tabla4[],3,FALSE)</f>
        <v>59598.2</v>
      </c>
      <c r="E35" s="2">
        <f ca="1">VLOOKUP(B35,Tabla4[],5,FALSE)</f>
        <v>2622.8</v>
      </c>
      <c r="F35" s="2">
        <f ca="1">VLOOKUP(B35,Tabla4[],4,FALSE)</f>
        <v>1.76</v>
      </c>
      <c r="G35" t="s">
        <v>42</v>
      </c>
      <c r="H35" s="1">
        <v>45509</v>
      </c>
      <c r="I35" s="3">
        <f>VLOOKUP(H35,Tabla4[],2,FALSE)</f>
        <v>4116.91</v>
      </c>
      <c r="J35" s="3">
        <v>1.4723999999999999</v>
      </c>
      <c r="K35" s="11">
        <v>5.7740630000000001E-2</v>
      </c>
      <c r="L35" s="7">
        <f>Tabla6[[#This Row],[precio de compra]]*Tabla6[[#This Row],[cantidad]]*Tabla6[[#This Row],[PRECIO DEL DÓLAR, DIA COMPRA]]</f>
        <v>350.00858741327886</v>
      </c>
      <c r="M35" s="13">
        <f t="shared" ca="1" si="18"/>
        <v>406.45643450174401</v>
      </c>
      <c r="N35" s="12">
        <f t="shared" ca="1" si="19"/>
        <v>0.19532735669654991</v>
      </c>
      <c r="O35" s="9">
        <v>0.1</v>
      </c>
      <c r="P35" s="9">
        <v>0.3</v>
      </c>
      <c r="Q35" t="str">
        <f t="shared" ca="1" si="20"/>
        <v>VENTA PARCIAL</v>
      </c>
      <c r="T35" s="2"/>
      <c r="U35" s="14">
        <f>Tabla6[[#This Row],[cantidad]]-Tabla6[[#This Row],[CANTIDAD VENDIDA]]</f>
        <v>5.7740630000000001E-2</v>
      </c>
      <c r="V35" s="2">
        <f t="shared" ca="1" si="21"/>
        <v>406.45643450174401</v>
      </c>
      <c r="W35" s="2">
        <f t="shared" si="22"/>
        <v>-350.00858741327886</v>
      </c>
      <c r="X35" s="9">
        <f t="shared" ca="1" si="23"/>
        <v>0.19532735669654991</v>
      </c>
      <c r="Y35" s="2" t="str">
        <f t="shared" si="24"/>
        <v>ACTIVA</v>
      </c>
    </row>
    <row r="36" spans="2:25" x14ac:dyDescent="0.25">
      <c r="B36" s="1">
        <f ca="1">TODAY()</f>
        <v>45521</v>
      </c>
      <c r="C36" s="2">
        <f ca="1">VLOOKUP(B36,Tabla4[],2,FALSE)</f>
        <v>3999.63</v>
      </c>
      <c r="D36" s="3">
        <f ca="1">VLOOKUP(B36,Tabla4[],3,FALSE)</f>
        <v>59598.2</v>
      </c>
      <c r="E36" s="2">
        <f ca="1">VLOOKUP(B36,Tabla4[],5,FALSE)</f>
        <v>2622.8</v>
      </c>
      <c r="F36" s="2">
        <f ca="1">VLOOKUP(B36,Tabla4[],4,FALSE)</f>
        <v>1.76</v>
      </c>
      <c r="G36" t="s">
        <v>15</v>
      </c>
      <c r="H36" s="1">
        <v>45516</v>
      </c>
      <c r="I36" s="3">
        <f>VLOOKUP(H36,Tabla4[],2,FALSE)</f>
        <v>4073.83</v>
      </c>
      <c r="J36" s="3">
        <v>59047.29</v>
      </c>
      <c r="K36" s="11">
        <v>2.9100000000000001E-6</v>
      </c>
      <c r="L36" s="29">
        <f>Tabla6[[#This Row],[precio de compra]]*Tabla6[[#This Row],[cantidad]]*Tabla6[[#This Row],[PRECIO DEL DÓLAR, DIA COMPRA]]</f>
        <v>699.99648833423703</v>
      </c>
      <c r="M36" s="26">
        <f ca="1" xml:space="preserve"> K36 * (IF(G36="BTC", D36, IF(G36="ETH", E36, IF(G36="IO.NET", F36, 0)))) * C36</f>
        <v>693.65887861805993</v>
      </c>
      <c r="N36" s="27">
        <f ca="1">IF(G36 = "BTC", (D36 - J36) / J36,
 IF(G36 = "ETH", (E36 - J36) / J36,
 IF(G36 = "IO.NET", (F36 - J36) / J36,
 "Moneda no soportada")))</f>
        <v>9.329979411417463E-3</v>
      </c>
      <c r="O36" s="28">
        <v>0.25</v>
      </c>
      <c r="P36" s="28">
        <v>0.5</v>
      </c>
      <c r="Q36" t="str">
        <f ca="1">IF(N36 &lt; O36, "MANTENER", IF(N36 &lt; P36, "VENTA PARCIAL", "VENDER"))</f>
        <v>MANTENER</v>
      </c>
      <c r="T36" s="2"/>
      <c r="U36" s="14">
        <f>Tabla6[[#This Row],[cantidad]]-Tabla6[[#This Row],[CANTIDAD VENDIDA]]</f>
        <v>2.9100000000000001E-6</v>
      </c>
      <c r="V36" s="2">
        <f ca="1">IF(G36="BTC", D36 * U36 * C36, IF(G36="ETH", E36 * U36 * C36, IF(G36="IO.NET", F36 * U36 * C36, 0)))</f>
        <v>693.65887861805993</v>
      </c>
      <c r="W36" s="2">
        <f>IF(G36 = "BTC", ((T36 - L36)), IF(G36 = "ETH", ((T36 - L36)), IF(G36 = "IO.NET", ((T36 - L36)), "Moneda no soportada")))</f>
        <v>-699.99648833423703</v>
      </c>
      <c r="X36" s="9">
        <f ca="1">IF(G36 = "BTC", (((D36 - J36) / J36)),IF(G36 = "ETH", ((E36 - J36) / J36), IF(G36 = "IO.NET", ((F36 - J36) / J36), "Moneda no soportada")))</f>
        <v>9.329979411417463E-3</v>
      </c>
      <c r="Y36" s="2" t="str">
        <f t="shared" si="24"/>
        <v>ACTIVA</v>
      </c>
    </row>
    <row r="37" spans="2:25" x14ac:dyDescent="0.25">
      <c r="B37" s="1">
        <f ca="1">TODAY()</f>
        <v>45521</v>
      </c>
      <c r="C37" s="2">
        <f ca="1">VLOOKUP(B37,Tabla4[],2,FALSE)</f>
        <v>3999.63</v>
      </c>
      <c r="D37" s="3">
        <f ca="1">VLOOKUP(B37,Tabla4[],3,FALSE)</f>
        <v>59598.2</v>
      </c>
      <c r="E37" s="2">
        <f ca="1">VLOOKUP(B37,Tabla4[],5,FALSE)</f>
        <v>2622.8</v>
      </c>
      <c r="F37" s="2">
        <f ca="1">VLOOKUP(B37,Tabla4[],4,FALSE)</f>
        <v>1.76</v>
      </c>
      <c r="G37" t="s">
        <v>16</v>
      </c>
      <c r="H37" s="1">
        <v>45516</v>
      </c>
      <c r="I37" s="3">
        <f>VLOOKUP(H37,Tabla4[],2,FALSE)</f>
        <v>4073.83</v>
      </c>
      <c r="J37" s="3">
        <v>2645.2</v>
      </c>
      <c r="K37" s="11">
        <v>6.4960000000000001E-5</v>
      </c>
      <c r="L37" s="29">
        <f>Tabla6[[#This Row],[precio de compra]]*Tabla6[[#This Row],[cantidad]]*Tabla6[[#This Row],[PRECIO DEL DÓLAR, DIA COMPRA]]</f>
        <v>700.01513873535998</v>
      </c>
      <c r="M37" s="26">
        <f ca="1" xml:space="preserve"> K37 * (IF(G37="BTC", D37, IF(G37="ETH", E37, IF(G37="IO.NET", F37, 0)))) * C37</f>
        <v>681.4453124774401</v>
      </c>
      <c r="N37" s="27">
        <f ca="1">IF(G37 = "BTC", (D37 - J37) / J37,
 IF(G37 = "ETH", (E37 - J37) / J37,
 IF(G37 = "IO.NET", (F37 - J37) / J37,
 "Moneda no soportada")))</f>
        <v>-8.4681687585058361E-3</v>
      </c>
      <c r="O37" s="28">
        <v>0.25</v>
      </c>
      <c r="P37" s="28">
        <v>0.5</v>
      </c>
      <c r="Q37" t="str">
        <f ca="1">IF(N37 &lt; O37, "MANTENER", IF(N37 &lt; P37, "VENTA PARCIAL", "VENDER"))</f>
        <v>MANTENER</v>
      </c>
      <c r="T37" s="2"/>
      <c r="U37" s="14">
        <f>Tabla6[[#This Row],[cantidad]]-Tabla6[[#This Row],[CANTIDAD VENDIDA]]</f>
        <v>6.4960000000000001E-5</v>
      </c>
      <c r="V37" s="2">
        <f ca="1">IF(G37="BTC", D37 * U37 * C37, IF(G37="ETH", E37 * U37 * C37, IF(G37="IO.NET", F37 * U37 * C37, 0)))</f>
        <v>681.4453124774401</v>
      </c>
      <c r="W37" s="2">
        <f>IF(G37 = "BTC", ((T37 - L37)), IF(G37 = "ETH", ((T37 - L37)), IF(G37 = "IO.NET", ((T37 - L37)), "Moneda no soportada")))</f>
        <v>-700.01513873535998</v>
      </c>
      <c r="X37" s="9">
        <f ca="1">IF(G37 = "BTC", (((D37 - J37) / J37)),IF(G37 = "ETH", ((E37 - J37) / J37), IF(G37 = "IO.NET", ((F37 - J37) / J37), "Moneda no soportada")))</f>
        <v>-8.4681687585058361E-3</v>
      </c>
      <c r="Y37" s="2" t="str">
        <f t="shared" si="24"/>
        <v>ACTIVA</v>
      </c>
    </row>
    <row r="38" spans="2:25" x14ac:dyDescent="0.25">
      <c r="B38" s="1">
        <f ca="1">TODAY()</f>
        <v>45521</v>
      </c>
      <c r="C38" s="2">
        <f ca="1">VLOOKUP(B38,Tabla4[],2,FALSE)</f>
        <v>3999.63</v>
      </c>
      <c r="D38" s="3">
        <f ca="1">VLOOKUP(B38,Tabla4[],3,FALSE)</f>
        <v>59598.2</v>
      </c>
      <c r="E38" s="2">
        <f ca="1">VLOOKUP(B38,Tabla4[],5,FALSE)</f>
        <v>2622.8</v>
      </c>
      <c r="F38" s="2">
        <f ca="1">VLOOKUP(B38,Tabla4[],4,FALSE)</f>
        <v>1.76</v>
      </c>
      <c r="G38" t="s">
        <v>42</v>
      </c>
      <c r="H38" s="1">
        <v>45516</v>
      </c>
      <c r="I38" s="3">
        <f>VLOOKUP(H38,Tabla4[],2,FALSE)</f>
        <v>4073.83</v>
      </c>
      <c r="J38" s="3">
        <v>1.5723400000000001</v>
      </c>
      <c r="K38" s="25">
        <v>5.4640859999999999E-2</v>
      </c>
      <c r="L38" s="29">
        <f>Tabla6[[#This Row],[precio de compra]]*Tabla6[[#This Row],[cantidad]]*Tabla6[[#This Row],[PRECIO DEL DÓLAR, DIA COMPRA]]</f>
        <v>349.9990705940495</v>
      </c>
      <c r="M38" s="26">
        <f ca="1" xml:space="preserve"> K38 * (IF(G38="BTC", D38, IF(G38="ETH", E38, IF(G38="IO.NET", F38, 0)))) * C38</f>
        <v>384.63607227196803</v>
      </c>
      <c r="N38" s="27">
        <f ca="1">IF(G38 = "BTC", (D38 - J38) / J38,
 IF(G38 = "ETH", (E38 - J38) / J38,
 IF(G38 = "IO.NET", (F38 - J38) / J38,
 "Moneda no soportada")))</f>
        <v>0.11935077654960119</v>
      </c>
      <c r="O38" s="28">
        <v>0.1</v>
      </c>
      <c r="P38" s="28">
        <v>0.3</v>
      </c>
      <c r="Q38" t="str">
        <f ca="1">IF(N38 &lt; O38, "MANTENER", IF(N38 &lt; P38, "VENTA PARCIAL", "VENDER"))</f>
        <v>VENTA PARCIAL</v>
      </c>
      <c r="T38" s="2"/>
      <c r="U38" s="14">
        <f>Tabla6[[#This Row],[cantidad]]-Tabla6[[#This Row],[CANTIDAD VENDIDA]]</f>
        <v>5.4640859999999999E-2</v>
      </c>
      <c r="V38" s="2">
        <f ca="1">IF(G38="BTC", D38 * U38 * C38, IF(G38="ETH", E38 * U38 * C38, IF(G38="IO.NET", F38 * U38 * C38, 0)))</f>
        <v>384.63607227196803</v>
      </c>
      <c r="W38" s="2">
        <f>IF(G38 = "BTC", ((T38 - L38)), IF(G38 = "ETH", ((T38 - L38)), IF(G38 = "IO.NET", ((T38 - L38)), "Moneda no soportada")))</f>
        <v>-349.9990705940495</v>
      </c>
      <c r="X38" s="9">
        <f ca="1">IF(G38 = "BTC", (((D38 - J38) / J38)),IF(G38 = "ETH", ((E38 - J38) / J38), IF(G38 = "IO.NET", ((F38 - J38) / J38), "Moneda no soportada")))</f>
        <v>0.11935077654960119</v>
      </c>
      <c r="Y38" s="2" t="str">
        <f t="shared" si="24"/>
        <v>ACTIVA</v>
      </c>
    </row>
  </sheetData>
  <conditionalFormatting sqref="B3:Z38">
    <cfRule type="expression" dxfId="66" priority="1">
      <formula>$Y:$Y="VENDIDA"</formula>
    </cfRule>
  </conditionalFormatting>
  <conditionalFormatting sqref="Q1:Q1048576">
    <cfRule type="containsText" dxfId="65" priority="9" operator="containsText" text="VENTA PARCIAL">
      <formula>NOT(ISERROR(SEARCH("VENTA PARCIAL",Q1)))</formula>
    </cfRule>
    <cfRule type="containsText" dxfId="64" priority="10" operator="containsText" text="MANTENER">
      <formula>NOT(ISERROR(SEARCH("MANTENER",Q1)))</formula>
    </cfRule>
  </conditionalFormatting>
  <conditionalFormatting sqref="Q3:Q38">
    <cfRule type="containsText" dxfId="63" priority="8" operator="containsText" text="VENDER">
      <formula>NOT(ISERROR(SEARCH("VENDER",Q3)))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7"/>
  <sheetViews>
    <sheetView workbookViewId="0">
      <selection activeCell="I7" sqref="I7"/>
    </sheetView>
  </sheetViews>
  <sheetFormatPr baseColWidth="10" defaultRowHeight="15" x14ac:dyDescent="0.25"/>
  <cols>
    <col min="4" max="4" width="30.5703125" customWidth="1"/>
    <col min="5" max="5" width="22.140625" customWidth="1"/>
    <col min="6" max="6" width="17.28515625" customWidth="1"/>
    <col min="7" max="7" width="24" customWidth="1"/>
    <col min="8" max="8" width="22.85546875" customWidth="1"/>
    <col min="9" max="9" width="24" customWidth="1"/>
    <col min="10" max="10" width="23" customWidth="1"/>
    <col min="11" max="11" width="16.42578125" customWidth="1"/>
    <col min="12" max="12" width="12" customWidth="1"/>
  </cols>
  <sheetData>
    <row r="2" spans="2:12" x14ac:dyDescent="0.25">
      <c r="B2" t="s">
        <v>80</v>
      </c>
      <c r="C2" t="s">
        <v>40</v>
      </c>
      <c r="D2" t="s">
        <v>46</v>
      </c>
      <c r="E2" t="s">
        <v>44</v>
      </c>
      <c r="F2" t="s">
        <v>45</v>
      </c>
      <c r="G2" t="s">
        <v>49</v>
      </c>
      <c r="H2" t="s">
        <v>50</v>
      </c>
      <c r="I2" t="s">
        <v>47</v>
      </c>
      <c r="J2" t="s">
        <v>52</v>
      </c>
      <c r="K2" t="s">
        <v>48</v>
      </c>
      <c r="L2" t="s">
        <v>51</v>
      </c>
    </row>
    <row r="3" spans="2:12" x14ac:dyDescent="0.25">
      <c r="B3" s="1">
        <f t="shared" ref="B3:B4" ca="1" si="0">TODAY()</f>
        <v>45521</v>
      </c>
      <c r="C3" s="1">
        <v>45495</v>
      </c>
      <c r="D3" s="7">
        <v>3983.25</v>
      </c>
      <c r="E3" s="14">
        <v>0.17572713000000001</v>
      </c>
      <c r="F3" s="7">
        <f>D3*E3</f>
        <v>699.9650905725</v>
      </c>
      <c r="G3" s="14">
        <f>E3</f>
        <v>0.17572713000000001</v>
      </c>
      <c r="H3" s="7">
        <f ca="1">VLOOKUP(B3,Tabla4[],6,FALSE)</f>
        <v>3967</v>
      </c>
      <c r="I3" s="7">
        <f ca="1">G3*H3</f>
        <v>697.10952471000007</v>
      </c>
      <c r="J3" s="7">
        <f>F3</f>
        <v>699.9650905725</v>
      </c>
      <c r="K3" s="10">
        <f ca="1">((I3-J3)/J3)</f>
        <v>-4.0795832548797088E-3</v>
      </c>
      <c r="L3" s="7">
        <f>D3*1.1</f>
        <v>4381.5750000000007</v>
      </c>
    </row>
    <row r="4" spans="2:12" x14ac:dyDescent="0.25">
      <c r="B4" s="1">
        <f t="shared" ca="1" si="0"/>
        <v>45521</v>
      </c>
      <c r="C4" s="1">
        <v>45496</v>
      </c>
      <c r="D4" s="7">
        <v>3969.77</v>
      </c>
      <c r="E4">
        <v>2.5190379999999998E-2</v>
      </c>
      <c r="F4" s="7">
        <f>D4*E4</f>
        <v>100.0000148126</v>
      </c>
      <c r="G4" s="14">
        <f>G3+E4</f>
        <v>0.20091751000000002</v>
      </c>
      <c r="H4" s="7">
        <f ca="1">VLOOKUP(B4,Tabla4[],6,FALSE)</f>
        <v>3967</v>
      </c>
      <c r="I4" s="7">
        <f ca="1">G4*H4</f>
        <v>797.03976217000013</v>
      </c>
      <c r="J4" s="7">
        <f>F4+J3</f>
        <v>799.96510538510006</v>
      </c>
      <c r="K4" s="10">
        <f ca="1">((I4-J4)/J4)</f>
        <v>-3.6568385238399618E-3</v>
      </c>
      <c r="L4" s="7">
        <f t="shared" ref="L4:L6" si="1">D4*1.1</f>
        <v>4366.7470000000003</v>
      </c>
    </row>
    <row r="5" spans="2:12" x14ac:dyDescent="0.25">
      <c r="B5" s="1">
        <f ca="1">TODAY()</f>
        <v>45521</v>
      </c>
      <c r="C5" s="1">
        <v>45502</v>
      </c>
      <c r="D5" s="7">
        <v>4013.7</v>
      </c>
      <c r="E5">
        <v>0.17440263</v>
      </c>
      <c r="F5" s="7">
        <f>D5*E5</f>
        <v>699.99983603099997</v>
      </c>
      <c r="G5" s="14">
        <f>G4+E5</f>
        <v>0.37532014000000002</v>
      </c>
      <c r="H5" s="7">
        <f ca="1">VLOOKUP(B5,Tabla4[],6,FALSE)</f>
        <v>3967</v>
      </c>
      <c r="I5" s="22">
        <f ca="1">G5*H5</f>
        <v>1488.8949953800002</v>
      </c>
      <c r="J5" s="8">
        <f>F5+J4</f>
        <v>1499.9649414160999</v>
      </c>
      <c r="K5" s="10">
        <f ca="1">((I5-J5)/J5)</f>
        <v>-7.3801365154899726E-3</v>
      </c>
      <c r="L5" s="7">
        <f t="shared" si="1"/>
        <v>4415.07</v>
      </c>
    </row>
    <row r="6" spans="2:12" x14ac:dyDescent="0.25">
      <c r="B6" s="1">
        <f ca="1">TODAY()</f>
        <v>45521</v>
      </c>
      <c r="C6" s="1">
        <v>45509</v>
      </c>
      <c r="D6" s="7">
        <v>4203.8900000000003</v>
      </c>
      <c r="E6">
        <v>0.16651260000000001</v>
      </c>
      <c r="F6" s="22">
        <f>D6*E6</f>
        <v>700.00065401400013</v>
      </c>
      <c r="G6" s="14">
        <f>G5+E6</f>
        <v>0.54183274000000003</v>
      </c>
      <c r="H6" s="7">
        <f ca="1">VLOOKUP(B6,Tabla4[],6,FALSE)</f>
        <v>3967</v>
      </c>
      <c r="I6" s="22">
        <f ca="1">G6*H6</f>
        <v>2149.4504795800003</v>
      </c>
      <c r="J6" s="8">
        <f>F6+J5</f>
        <v>2199.9655954301002</v>
      </c>
      <c r="K6" s="10">
        <f ca="1">((I6-J6)/J6)</f>
        <v>-2.2961775381866362E-2</v>
      </c>
      <c r="L6" s="7">
        <f t="shared" si="1"/>
        <v>4624.2790000000005</v>
      </c>
    </row>
    <row r="7" spans="2:12" x14ac:dyDescent="0.25">
      <c r="B7" s="1">
        <f ca="1">TODAY()</f>
        <v>45521</v>
      </c>
      <c r="C7" s="1">
        <v>45516</v>
      </c>
      <c r="D7" s="7">
        <v>4043.31</v>
      </c>
      <c r="E7">
        <v>0.17312537</v>
      </c>
      <c r="F7" s="7">
        <f>D7*E7</f>
        <v>699.9995397747</v>
      </c>
      <c r="G7" s="14">
        <f>G6+E7</f>
        <v>0.71495810999999998</v>
      </c>
      <c r="H7" s="7">
        <f ca="1">VLOOKUP(B7,Tabla4[],6,FALSE)</f>
        <v>3967</v>
      </c>
      <c r="I7" s="22">
        <f ca="1">G7*H7</f>
        <v>2836.23882237</v>
      </c>
      <c r="J7" s="8">
        <f>F7+J6</f>
        <v>2899.9651352048004</v>
      </c>
      <c r="K7" s="30">
        <f ca="1">((I7-J7)/J7)</f>
        <v>-2.1974854821935626E-2</v>
      </c>
      <c r="L7" s="8">
        <f>D7*1.1</f>
        <v>4447.6410000000005</v>
      </c>
    </row>
  </sheetData>
  <pageMargins left="0.7" right="0.7" top="0.75" bottom="0.75" header="0.3" footer="0.3"/>
  <ignoredErrors>
    <ignoredError sqref="J3 G3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O10"/>
  <sheetViews>
    <sheetView workbookViewId="0">
      <selection activeCell="F9" sqref="F9"/>
    </sheetView>
  </sheetViews>
  <sheetFormatPr baseColWidth="10" defaultRowHeight="15" x14ac:dyDescent="0.25"/>
  <cols>
    <col min="3" max="3" width="18.140625" customWidth="1"/>
    <col min="4" max="4" width="19.85546875" customWidth="1"/>
    <col min="5" max="5" width="24" customWidth="1"/>
    <col min="6" max="6" width="21.5703125" customWidth="1"/>
    <col min="7" max="7" width="23.7109375" customWidth="1"/>
    <col min="8" max="8" width="25" customWidth="1"/>
    <col min="9" max="9" width="22.42578125" customWidth="1"/>
    <col min="10" max="10" width="27.7109375" customWidth="1"/>
    <col min="11" max="11" width="21.140625" customWidth="1"/>
    <col min="12" max="12" width="27.28515625" customWidth="1"/>
    <col min="13" max="13" width="24.7109375" customWidth="1"/>
    <col min="14" max="14" width="34.7109375" customWidth="1"/>
    <col min="15" max="15" width="16.42578125" customWidth="1"/>
  </cols>
  <sheetData>
    <row r="2" spans="2:15" x14ac:dyDescent="0.25">
      <c r="B2" t="s">
        <v>53</v>
      </c>
      <c r="C2" t="s">
        <v>54</v>
      </c>
      <c r="D2" t="s">
        <v>55</v>
      </c>
      <c r="E2" t="s">
        <v>66</v>
      </c>
      <c r="F2" t="s">
        <v>56</v>
      </c>
      <c r="G2" t="s">
        <v>57</v>
      </c>
      <c r="H2" t="s">
        <v>58</v>
      </c>
      <c r="I2" t="s">
        <v>67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48</v>
      </c>
    </row>
    <row r="3" spans="2:15" x14ac:dyDescent="0.25">
      <c r="B3" s="17" t="s">
        <v>65</v>
      </c>
      <c r="C3" t="s">
        <v>15</v>
      </c>
      <c r="D3" s="14">
        <v>2.1060000000000002E-5</v>
      </c>
      <c r="E3" s="7">
        <v>4046.27</v>
      </c>
      <c r="F3" s="7">
        <v>67341.19</v>
      </c>
      <c r="G3" s="7">
        <f>D3*F3*E3</f>
        <v>5738.4422122989781</v>
      </c>
      <c r="H3" s="16">
        <v>2.618E-5</v>
      </c>
      <c r="I3" s="7">
        <v>4041.51</v>
      </c>
      <c r="J3" s="7">
        <v>64080</v>
      </c>
      <c r="K3" s="7">
        <f>H3*J3*I3</f>
        <v>6780.0953737440004</v>
      </c>
      <c r="L3">
        <f>H3-D3</f>
        <v>5.1199999999999984E-6</v>
      </c>
      <c r="M3" s="7">
        <f>J3-F3</f>
        <v>-3261.1900000000023</v>
      </c>
      <c r="N3" s="7">
        <f>L3*J3*I3</f>
        <v>1325.9773992959997</v>
      </c>
      <c r="O3" s="9">
        <f>(K3-G3)/G3</f>
        <v>0.18152193973697042</v>
      </c>
    </row>
    <row r="4" spans="2:15" x14ac:dyDescent="0.25">
      <c r="B4" s="17" t="s">
        <v>65</v>
      </c>
      <c r="C4" t="s">
        <v>16</v>
      </c>
      <c r="D4">
        <v>2.0707000000000001E-4</v>
      </c>
      <c r="E4" s="7">
        <v>4046.27</v>
      </c>
      <c r="F4" s="7">
        <v>3513.1</v>
      </c>
      <c r="G4" s="7">
        <f t="shared" ref="G4:G5" si="0">D4*F4*E4</f>
        <v>2943.48993193859</v>
      </c>
      <c r="H4">
        <v>3.0967000000000001E-4</v>
      </c>
      <c r="I4" s="7">
        <v>4041.51</v>
      </c>
      <c r="J4" s="7">
        <v>3150.45</v>
      </c>
      <c r="K4" s="7">
        <f t="shared" ref="K4:K6" si="1">H4*J4*I4</f>
        <v>3942.896555835765</v>
      </c>
      <c r="L4">
        <f t="shared" ref="L4:L6" si="2">H4-D4</f>
        <v>1.026E-4</v>
      </c>
      <c r="M4" s="7">
        <f t="shared" ref="M4:M5" si="3">J4-F4</f>
        <v>-362.65000000000009</v>
      </c>
      <c r="N4" s="7">
        <f t="shared" ref="N4:N6" si="4">L4*J4*I4</f>
        <v>1306.3622134167001</v>
      </c>
      <c r="O4" s="9">
        <f t="shared" ref="O4:O6" si="5">(K4-G4)/G4</f>
        <v>0.33953118475216365</v>
      </c>
    </row>
    <row r="5" spans="2:15" x14ac:dyDescent="0.25">
      <c r="B5" s="17" t="s">
        <v>65</v>
      </c>
      <c r="C5" t="s">
        <v>42</v>
      </c>
      <c r="D5">
        <v>0.22405046000000001</v>
      </c>
      <c r="E5" s="7">
        <v>4046.27</v>
      </c>
      <c r="F5" s="7">
        <v>3.01</v>
      </c>
      <c r="G5" s="7">
        <f t="shared" si="0"/>
        <v>2728.7716509004417</v>
      </c>
      <c r="H5">
        <v>0.28387364999999998</v>
      </c>
      <c r="I5" s="7">
        <v>4041.51</v>
      </c>
      <c r="J5" s="7">
        <v>2.21</v>
      </c>
      <c r="K5" s="7">
        <f t="shared" si="1"/>
        <v>2535.4848114174151</v>
      </c>
      <c r="L5">
        <f t="shared" si="2"/>
        <v>5.9823189999999971E-2</v>
      </c>
      <c r="M5" s="7">
        <f t="shared" si="3"/>
        <v>-0.79999999999999982</v>
      </c>
      <c r="N5" s="7">
        <f t="shared" si="4"/>
        <v>534.32500556334878</v>
      </c>
      <c r="O5" s="9">
        <f t="shared" si="5"/>
        <v>-7.0832910998340839E-2</v>
      </c>
    </row>
    <row r="6" spans="2:15" x14ac:dyDescent="0.25">
      <c r="B6" s="17" t="s">
        <v>65</v>
      </c>
      <c r="C6" t="s">
        <v>64</v>
      </c>
      <c r="D6">
        <v>0.17572713000000001</v>
      </c>
      <c r="E6" s="7">
        <v>3983.45</v>
      </c>
      <c r="F6" s="7">
        <v>1</v>
      </c>
      <c r="G6" s="7">
        <f>D6*F6*E6</f>
        <v>700.00023599849999</v>
      </c>
      <c r="H6">
        <v>0.37613443000000002</v>
      </c>
      <c r="I6" s="7">
        <v>4004</v>
      </c>
      <c r="J6" s="7">
        <v>1</v>
      </c>
      <c r="K6" s="7">
        <f t="shared" si="1"/>
        <v>1506.0422577200002</v>
      </c>
      <c r="L6" s="14">
        <f t="shared" si="2"/>
        <v>0.20040730000000001</v>
      </c>
      <c r="M6" s="7">
        <f>J6-F6</f>
        <v>0</v>
      </c>
      <c r="N6" s="7">
        <f t="shared" si="4"/>
        <v>802.43082920000006</v>
      </c>
      <c r="O6" s="9">
        <f t="shared" si="5"/>
        <v>1.151488214245727</v>
      </c>
    </row>
    <row r="7" spans="2:15" x14ac:dyDescent="0.25">
      <c r="B7" s="17" t="s">
        <v>86</v>
      </c>
      <c r="C7" t="s">
        <v>15</v>
      </c>
      <c r="D7" s="16">
        <v>2.618E-5</v>
      </c>
      <c r="E7" s="7">
        <v>4041.51</v>
      </c>
      <c r="F7" s="7">
        <v>64080</v>
      </c>
      <c r="G7" s="7">
        <f>D7*F7*E7</f>
        <v>6780.0953737440004</v>
      </c>
      <c r="I7" s="7"/>
      <c r="J7" s="7"/>
      <c r="K7" s="7">
        <f>H7*J7*I7</f>
        <v>0</v>
      </c>
      <c r="L7" s="14">
        <f>H7-D7</f>
        <v>-2.618E-5</v>
      </c>
      <c r="M7" s="8">
        <f>J7-F7</f>
        <v>-64080</v>
      </c>
      <c r="N7" s="7">
        <f>L7*J7*I7</f>
        <v>0</v>
      </c>
      <c r="O7" s="9">
        <f>(K7-G7)/G7</f>
        <v>-1</v>
      </c>
    </row>
    <row r="8" spans="2:15" x14ac:dyDescent="0.25">
      <c r="B8" s="17" t="s">
        <v>86</v>
      </c>
      <c r="C8" t="s">
        <v>16</v>
      </c>
      <c r="D8">
        <v>3.0967000000000001E-4</v>
      </c>
      <c r="E8" s="7">
        <v>4041.51</v>
      </c>
      <c r="F8" s="7">
        <v>3150.45</v>
      </c>
      <c r="G8" s="7">
        <f>D8*F8*E8</f>
        <v>3942.896555835765</v>
      </c>
      <c r="I8" s="7"/>
      <c r="J8" s="7"/>
      <c r="K8" s="7">
        <f>H8*J8*I8</f>
        <v>0</v>
      </c>
      <c r="L8" s="14">
        <f>H8-D8</f>
        <v>-3.0967000000000001E-4</v>
      </c>
      <c r="M8" s="8">
        <f>J8-F8</f>
        <v>-3150.45</v>
      </c>
      <c r="N8" s="7">
        <f>L8*J8*I8</f>
        <v>0</v>
      </c>
      <c r="O8" s="9">
        <f>(K8-G8)/G8</f>
        <v>-1</v>
      </c>
    </row>
    <row r="9" spans="2:15" x14ac:dyDescent="0.25">
      <c r="B9" s="17" t="s">
        <v>86</v>
      </c>
      <c r="C9" t="s">
        <v>42</v>
      </c>
      <c r="D9">
        <v>0.28387364999999998</v>
      </c>
      <c r="E9" s="7">
        <v>4041.51</v>
      </c>
      <c r="F9" s="7">
        <v>2.21</v>
      </c>
      <c r="G9" s="7">
        <f>D9*F9*E9</f>
        <v>2535.4848114174151</v>
      </c>
      <c r="I9" s="7"/>
      <c r="J9" s="7"/>
      <c r="K9" s="7">
        <f>H9*J9*I9</f>
        <v>0</v>
      </c>
      <c r="L9" s="14">
        <f>H9-D9</f>
        <v>-0.28387364999999998</v>
      </c>
      <c r="M9" s="8">
        <f>J9-F9</f>
        <v>-2.21</v>
      </c>
      <c r="N9" s="7">
        <f>L9*J9*I9</f>
        <v>0</v>
      </c>
      <c r="O9" s="9">
        <f>(K9-G9)/G9</f>
        <v>-1</v>
      </c>
    </row>
    <row r="10" spans="2:15" x14ac:dyDescent="0.25">
      <c r="B10" s="17" t="s">
        <v>86</v>
      </c>
      <c r="C10" t="s">
        <v>64</v>
      </c>
      <c r="D10">
        <v>0.37613443000000002</v>
      </c>
      <c r="E10" s="7">
        <v>4040</v>
      </c>
      <c r="F10" s="7">
        <v>1</v>
      </c>
      <c r="G10" s="7">
        <f>D10*F10*E10</f>
        <v>1519.5830972000001</v>
      </c>
      <c r="I10" s="7"/>
      <c r="J10" s="7"/>
      <c r="K10" s="7">
        <f>H10*J10*I10</f>
        <v>0</v>
      </c>
      <c r="L10" s="14">
        <f>H10-D10</f>
        <v>-0.37613443000000002</v>
      </c>
      <c r="M10" s="8">
        <f>J10-F10</f>
        <v>-1</v>
      </c>
      <c r="N10" s="7">
        <f>L10*J10*I10</f>
        <v>0</v>
      </c>
      <c r="O10" s="9">
        <f>(K10-G10)/G10</f>
        <v>-1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4"/>
  <sheetViews>
    <sheetView topLeftCell="A13" workbookViewId="0">
      <selection activeCell="J35" sqref="J35"/>
    </sheetView>
  </sheetViews>
  <sheetFormatPr baseColWidth="10" defaultRowHeight="15" x14ac:dyDescent="0.25"/>
  <cols>
    <col min="5" max="5" width="12" bestFit="1" customWidth="1"/>
    <col min="6" max="6" width="12" customWidth="1"/>
    <col min="7" max="7" width="22.42578125" bestFit="1" customWidth="1"/>
  </cols>
  <sheetData>
    <row r="2" spans="2:7" x14ac:dyDescent="0.25">
      <c r="B2" t="s">
        <v>0</v>
      </c>
      <c r="C2" t="s">
        <v>111</v>
      </c>
      <c r="D2" t="s">
        <v>14</v>
      </c>
      <c r="E2" t="s">
        <v>112</v>
      </c>
      <c r="F2" t="s">
        <v>43</v>
      </c>
      <c r="G2" t="s">
        <v>113</v>
      </c>
    </row>
    <row r="3" spans="2:7" x14ac:dyDescent="0.25">
      <c r="B3" s="1">
        <v>45478</v>
      </c>
      <c r="C3" s="8">
        <f>VLOOKUP(B3,Tabla4[],2,FALSE)</f>
        <v>4090.5</v>
      </c>
      <c r="D3" s="6">
        <v>507.08</v>
      </c>
      <c r="E3" s="8">
        <f t="shared" ref="E3:E15" si="0">0.01518 * D3</f>
        <v>7.6974743999999999</v>
      </c>
      <c r="F3" s="8">
        <f>Tabla2[[#This Row],[VALOR INVERSION 1]]-7.7</f>
        <v>-2.5256000000002388E-3</v>
      </c>
      <c r="G3" s="8">
        <f>Tabla2[[#This Row],[VALOR INVERSION 1]]*Tabla2[[#This Row],[PRECIO DEL DÓLAR]]</f>
        <v>31486.519033199998</v>
      </c>
    </row>
    <row r="4" spans="2:7" x14ac:dyDescent="0.25">
      <c r="B4" s="1">
        <v>45481</v>
      </c>
      <c r="C4" s="8">
        <f>VLOOKUP(B4,Tabla4[],2,FALSE)</f>
        <v>4078.65</v>
      </c>
      <c r="D4" s="6">
        <v>510.33</v>
      </c>
      <c r="E4" s="8">
        <f t="shared" si="0"/>
        <v>7.7468094000000001</v>
      </c>
      <c r="F4" s="8">
        <f>Tabla2[[#This Row],[VALOR INVERSION 1]]-7.7</f>
        <v>4.680939999999989E-2</v>
      </c>
      <c r="G4" s="8">
        <f>Tabla2[[#This Row],[VALOR INVERSION 1]]*Tabla2[[#This Row],[PRECIO DEL DÓLAR]]</f>
        <v>31596.52415931</v>
      </c>
    </row>
    <row r="5" spans="2:7" x14ac:dyDescent="0.25">
      <c r="B5" s="1">
        <v>45482</v>
      </c>
      <c r="C5" s="8">
        <f>VLOOKUP(B5,Tabla4[],2,FALSE)</f>
        <v>4049.27</v>
      </c>
      <c r="D5" s="6">
        <v>510.89</v>
      </c>
      <c r="E5" s="8">
        <f t="shared" si="0"/>
        <v>7.7553102000000003</v>
      </c>
      <c r="F5" s="8">
        <f>Tabla2[[#This Row],[VALOR INVERSION 1]]-7.7</f>
        <v>5.5310200000000087E-2</v>
      </c>
      <c r="G5" s="8">
        <f>Tabla2[[#This Row],[VALOR INVERSION 1]]*Tabla2[[#This Row],[PRECIO DEL DÓLAR]]</f>
        <v>31403.344933554003</v>
      </c>
    </row>
    <row r="6" spans="2:7" x14ac:dyDescent="0.25">
      <c r="B6" s="1">
        <v>45483</v>
      </c>
      <c r="C6" s="8">
        <f>VLOOKUP(B6,Tabla4[],2,FALSE)</f>
        <v>4009.91</v>
      </c>
      <c r="D6" s="6">
        <v>514.4</v>
      </c>
      <c r="E6" s="8">
        <f t="shared" si="0"/>
        <v>7.808592</v>
      </c>
      <c r="F6" s="8">
        <f>Tabla2[[#This Row],[VALOR INVERSION 1]]-7.7</f>
        <v>0.1085919999999998</v>
      </c>
      <c r="G6" s="8">
        <f>Tabla2[[#This Row],[VALOR INVERSION 1]]*Tabla2[[#This Row],[PRECIO DEL DÓLAR]]</f>
        <v>31311.751146719998</v>
      </c>
    </row>
    <row r="7" spans="2:7" x14ac:dyDescent="0.25">
      <c r="B7" s="1">
        <v>45484</v>
      </c>
      <c r="C7" s="8">
        <f>VLOOKUP(B7,Tabla4[],2,FALSE)</f>
        <v>3955.21</v>
      </c>
      <c r="D7" s="6">
        <v>511.39</v>
      </c>
      <c r="E7" s="8">
        <f t="shared" si="0"/>
        <v>7.7629001999999998</v>
      </c>
      <c r="F7" s="8">
        <f>Tabla2[[#This Row],[VALOR INVERSION 1]]-7.7</f>
        <v>6.2900199999999629E-2</v>
      </c>
      <c r="G7" s="8">
        <f>Tabla2[[#This Row],[VALOR INVERSION 1]]*Tabla2[[#This Row],[PRECIO DEL DÓLAR]]</f>
        <v>30703.900500042</v>
      </c>
    </row>
    <row r="8" spans="2:7" x14ac:dyDescent="0.25">
      <c r="B8" s="1">
        <v>45485</v>
      </c>
      <c r="C8" s="8">
        <f>VLOOKUP(B8,Tabla4[],2,FALSE)</f>
        <v>3975.25</v>
      </c>
      <c r="D8" s="6">
        <v>514.54999999999995</v>
      </c>
      <c r="E8" s="8">
        <f t="shared" si="0"/>
        <v>7.8108689999999994</v>
      </c>
      <c r="F8" s="8">
        <f>Tabla2[[#This Row],[VALOR INVERSION 1]]-7.7</f>
        <v>0.11086899999999922</v>
      </c>
      <c r="G8" s="8">
        <f>Tabla2[[#This Row],[VALOR INVERSION 1]]*Tabla2[[#This Row],[PRECIO DEL DÓLAR]]</f>
        <v>31050.156992249998</v>
      </c>
    </row>
    <row r="9" spans="2:7" x14ac:dyDescent="0.25">
      <c r="B9" s="1">
        <v>45488</v>
      </c>
      <c r="C9" s="8">
        <f>VLOOKUP(B9,Tabla4[],2,FALSE)</f>
        <v>3993.09</v>
      </c>
      <c r="D9" s="6">
        <v>516.11</v>
      </c>
      <c r="E9" s="8">
        <f t="shared" si="0"/>
        <v>7.8345498000000005</v>
      </c>
      <c r="F9" s="8">
        <f>Tabla2[[#This Row],[VALOR INVERSION 1]]-7.7</f>
        <v>0.13454980000000027</v>
      </c>
      <c r="G9" s="8">
        <f>Tabla2[[#This Row],[VALOR INVERSION 1]]*Tabla2[[#This Row],[PRECIO DEL DÓLAR]]</f>
        <v>31284.062460882004</v>
      </c>
    </row>
    <row r="10" spans="2:7" x14ac:dyDescent="0.25">
      <c r="B10" s="1">
        <v>45489</v>
      </c>
      <c r="C10" s="8">
        <f>VLOOKUP(B10,Tabla4[],2,FALSE)</f>
        <v>3953.88</v>
      </c>
      <c r="D10" s="6">
        <v>519.04</v>
      </c>
      <c r="E10" s="8">
        <f t="shared" si="0"/>
        <v>7.8790271999999995</v>
      </c>
      <c r="F10" s="8">
        <f>Tabla2[[#This Row],[VALOR INVERSION 1]]-7.7</f>
        <v>0.17902719999999928</v>
      </c>
      <c r="G10" s="8">
        <f>Tabla2[[#This Row],[VALOR INVERSION 1]]*Tabla2[[#This Row],[PRECIO DEL DÓLAR]]</f>
        <v>31152.728065535997</v>
      </c>
    </row>
    <row r="11" spans="2:7" x14ac:dyDescent="0.25">
      <c r="B11" s="1">
        <v>45490</v>
      </c>
      <c r="C11" s="8">
        <f>VLOOKUP(B11,Tabla4[],2,FALSE)</f>
        <v>3972.87</v>
      </c>
      <c r="D11" s="6">
        <v>511.79</v>
      </c>
      <c r="E11" s="8">
        <f t="shared" si="0"/>
        <v>7.7689722000000003</v>
      </c>
      <c r="F11" s="8">
        <f>Tabla2[[#This Row],[VALOR INVERSION 1]]-7.7</f>
        <v>6.897220000000015E-2</v>
      </c>
      <c r="G11" s="8">
        <f>Tabla2[[#This Row],[VALOR INVERSION 1]]*Tabla2[[#This Row],[PRECIO DEL DÓLAR]]</f>
        <v>30865.116584214</v>
      </c>
    </row>
    <row r="12" spans="2:7" x14ac:dyDescent="0.25">
      <c r="B12" s="1">
        <v>45491</v>
      </c>
      <c r="C12" s="8">
        <f>VLOOKUP(B12,Tabla4[],2,FALSE)</f>
        <v>3999.25</v>
      </c>
      <c r="D12" s="6">
        <v>507.94</v>
      </c>
      <c r="E12" s="8">
        <f t="shared" si="0"/>
        <v>7.7105292000000007</v>
      </c>
      <c r="F12" s="8">
        <f>Tabla2[[#This Row],[VALOR INVERSION 1]]-7.7</f>
        <v>1.0529200000000571E-2</v>
      </c>
      <c r="G12" s="8">
        <f>Tabla2[[#This Row],[VALOR INVERSION 1]]*Tabla2[[#This Row],[PRECIO DEL DÓLAR]]</f>
        <v>30836.333903100003</v>
      </c>
    </row>
    <row r="13" spans="2:7" x14ac:dyDescent="0.25">
      <c r="B13" s="1">
        <v>45492</v>
      </c>
      <c r="C13" s="8">
        <f>VLOOKUP(B13,Tabla4[],2,FALSE)</f>
        <v>4047.22</v>
      </c>
      <c r="D13" s="6">
        <v>504.55</v>
      </c>
      <c r="E13" s="8">
        <f t="shared" si="0"/>
        <v>7.6590690000000006</v>
      </c>
      <c r="F13" s="8">
        <f>Tabla2[[#This Row],[VALOR INVERSION 1]]-7.7</f>
        <v>-4.0930999999999607E-2</v>
      </c>
      <c r="G13" s="8">
        <f>Tabla2[[#This Row],[VALOR INVERSION 1]]*Tabla2[[#This Row],[PRECIO DEL DÓLAR]]</f>
        <v>30997.937238180002</v>
      </c>
    </row>
    <row r="14" spans="2:7" x14ac:dyDescent="0.25">
      <c r="B14" s="1">
        <v>45495</v>
      </c>
      <c r="C14" s="8">
        <f>VLOOKUP(B14,Tabla4[],2,FALSE)</f>
        <v>4041.33</v>
      </c>
      <c r="D14" s="6">
        <v>509.79</v>
      </c>
      <c r="E14" s="8">
        <f t="shared" si="0"/>
        <v>7.7386122000000004</v>
      </c>
      <c r="F14" s="8">
        <f>Tabla2[[#This Row],[VALOR INVERSION 1]]-7.7</f>
        <v>3.8612200000000207E-2</v>
      </c>
      <c r="G14" s="8">
        <f>Tabla2[[#This Row],[VALOR INVERSION 1]]*Tabla2[[#This Row],[PRECIO DEL DÓLAR]]</f>
        <v>31274.285642226001</v>
      </c>
    </row>
    <row r="15" spans="2:7" x14ac:dyDescent="0.25">
      <c r="B15" s="1">
        <v>45496</v>
      </c>
      <c r="C15" s="8">
        <f>VLOOKUP(B15,Tabla4[],2,FALSE)</f>
        <v>3995.01</v>
      </c>
      <c r="D15" s="6">
        <v>508.94</v>
      </c>
      <c r="E15" s="8">
        <f t="shared" si="0"/>
        <v>7.7257092000000007</v>
      </c>
      <c r="F15" s="8">
        <f>Tabla2[[#This Row],[VALOR INVERSION 1]]-7.7</f>
        <v>2.5709200000000543E-2</v>
      </c>
      <c r="G15" s="8">
        <f>Tabla2[[#This Row],[VALOR INVERSION 1]]*Tabla2[[#This Row],[PRECIO DEL DÓLAR]]</f>
        <v>30864.285511092006</v>
      </c>
    </row>
    <row r="16" spans="2:7" x14ac:dyDescent="0.25">
      <c r="B16" s="1">
        <v>45497</v>
      </c>
      <c r="C16" s="8">
        <f>VLOOKUP(B16,Tabla4[],2,FALSE)</f>
        <v>4014.08</v>
      </c>
      <c r="D16" s="6">
        <v>497.29</v>
      </c>
      <c r="E16" s="8">
        <f t="shared" ref="E16:E21" si="1">0.01518 * D16</f>
        <v>7.5488622000000003</v>
      </c>
      <c r="F16" s="8">
        <f>Tabla2[[#This Row],[VALOR INVERSION 1]]-7.7</f>
        <v>-0.15113779999999988</v>
      </c>
      <c r="G16" s="8">
        <f>Tabla2[[#This Row],[VALOR INVERSION 1]]*Tabla2[[#This Row],[PRECIO DEL DÓLAR]]</f>
        <v>30301.736779776002</v>
      </c>
    </row>
    <row r="17" spans="2:7" x14ac:dyDescent="0.25">
      <c r="B17" s="1">
        <v>45498</v>
      </c>
      <c r="C17" s="8">
        <f>VLOOKUP(B17,Tabla4[],2,FALSE)</f>
        <v>4044.19</v>
      </c>
      <c r="D17" s="6">
        <v>494.78</v>
      </c>
      <c r="E17" s="8">
        <f t="shared" si="1"/>
        <v>7.5107603999999997</v>
      </c>
      <c r="F17" s="8">
        <f>Tabla2[[#This Row],[VALOR INVERSION 1]]-7.7</f>
        <v>-0.18923960000000051</v>
      </c>
      <c r="G17" s="8">
        <f>Tabla2[[#This Row],[VALOR INVERSION 1]]*Tabla2[[#This Row],[PRECIO DEL DÓLAR]]</f>
        <v>30374.942102075998</v>
      </c>
    </row>
    <row r="18" spans="2:7" x14ac:dyDescent="0.25">
      <c r="B18" s="1">
        <v>45499</v>
      </c>
      <c r="C18" s="8">
        <f>VLOOKUP(B18,Tabla4[],2,FALSE)</f>
        <v>4042.31</v>
      </c>
      <c r="D18" s="6">
        <v>500.33</v>
      </c>
      <c r="E18" s="8">
        <f t="shared" si="1"/>
        <v>7.5950094000000004</v>
      </c>
      <c r="F18" s="8">
        <f>Tabla2[[#This Row],[VALOR INVERSION 1]]-7.7</f>
        <v>-0.10499059999999982</v>
      </c>
      <c r="G18" s="8">
        <f>Tabla2[[#This Row],[VALOR INVERSION 1]]*Tabla2[[#This Row],[PRECIO DEL DÓLAR]]</f>
        <v>30701.382447714001</v>
      </c>
    </row>
    <row r="19" spans="2:7" x14ac:dyDescent="0.25">
      <c r="B19" s="1">
        <v>45502</v>
      </c>
      <c r="C19" s="8">
        <f>VLOOKUP(B19,Tabla4[],2,FALSE)</f>
        <v>4030.02</v>
      </c>
      <c r="D19" s="6">
        <v>500.7</v>
      </c>
      <c r="E19" s="8">
        <f t="shared" si="1"/>
        <v>7.6006260000000001</v>
      </c>
      <c r="F19" s="8">
        <f>Tabla2[[#This Row],[VALOR INVERSION 1]]-7.7</f>
        <v>-9.9374000000000073E-2</v>
      </c>
      <c r="G19" s="8">
        <f>Tabla2[[#This Row],[VALOR INVERSION 1]]*Tabla2[[#This Row],[PRECIO DEL DÓLAR]]</f>
        <v>30630.67479252</v>
      </c>
    </row>
    <row r="20" spans="2:7" x14ac:dyDescent="0.25">
      <c r="B20" s="1">
        <v>45503</v>
      </c>
      <c r="C20" s="8">
        <f>VLOOKUP(B20,Tabla4[],2,FALSE)</f>
        <v>4077.08</v>
      </c>
      <c r="D20" s="6">
        <v>498.08</v>
      </c>
      <c r="E20" s="8">
        <f t="shared" si="1"/>
        <v>7.5608544000000002</v>
      </c>
      <c r="F20" s="8">
        <f>Tabla2[[#This Row],[VALOR INVERSION 1]]-7.7</f>
        <v>-0.13914559999999998</v>
      </c>
      <c r="G20" s="8">
        <f>Tabla2[[#This Row],[VALOR INVERSION 1]]*Tabla2[[#This Row],[PRECIO DEL DÓLAR]]</f>
        <v>30826.208257152</v>
      </c>
    </row>
    <row r="21" spans="2:7" x14ac:dyDescent="0.25">
      <c r="B21" s="1">
        <v>45504</v>
      </c>
      <c r="C21" s="8">
        <f>VLOOKUP(B21,Tabla4[],2,FALSE)</f>
        <v>4077.07</v>
      </c>
      <c r="D21" s="6">
        <v>505.93</v>
      </c>
      <c r="E21" s="8">
        <f t="shared" si="1"/>
        <v>7.6800174000000005</v>
      </c>
      <c r="F21" s="8">
        <f>Tabla2[[#This Row],[VALOR INVERSION 1]]-7.7</f>
        <v>-1.9982599999999628E-2</v>
      </c>
      <c r="G21" s="8">
        <f>Tabla2[[#This Row],[VALOR INVERSION 1]]*Tabla2[[#This Row],[PRECIO DEL DÓLAR]]</f>
        <v>31311.968541018003</v>
      </c>
    </row>
    <row r="22" spans="2:7" x14ac:dyDescent="0.25">
      <c r="B22" s="1">
        <v>45505</v>
      </c>
      <c r="C22" s="8">
        <f>VLOOKUP(B22,Tabla4[],2,FALSE)</f>
        <v>4045.51</v>
      </c>
      <c r="D22" s="6">
        <v>499.03</v>
      </c>
      <c r="E22" s="8">
        <f t="shared" ref="E22:E27" si="2">0.01518 * D22</f>
        <v>7.5752753999999998</v>
      </c>
      <c r="F22" s="8">
        <f>Tabla2[[#This Row],[VALOR INVERSION 1]]-7.7</f>
        <v>-0.12472460000000041</v>
      </c>
      <c r="G22" s="8">
        <f>Tabla2[[#This Row],[VALOR INVERSION 1]]*Tabla2[[#This Row],[PRECIO DEL DÓLAR]]</f>
        <v>30645.852383453999</v>
      </c>
    </row>
    <row r="23" spans="2:7" x14ac:dyDescent="0.25">
      <c r="B23" s="1">
        <v>45506</v>
      </c>
      <c r="C23" s="8">
        <f>VLOOKUP(B23,Tabla4[],2,FALSE)</f>
        <v>4064.07</v>
      </c>
      <c r="D23" s="6">
        <v>489.91</v>
      </c>
      <c r="E23" s="8">
        <f t="shared" si="2"/>
        <v>7.4368338000000005</v>
      </c>
      <c r="F23" s="8">
        <f>Tabla2[[#This Row],[VALOR INVERSION 1]]-7.7</f>
        <v>-0.26316619999999968</v>
      </c>
      <c r="G23" s="8">
        <f>Tabla2[[#This Row],[VALOR INVERSION 1]]*Tabla2[[#This Row],[PRECIO DEL DÓLAR]]</f>
        <v>30223.813141566003</v>
      </c>
    </row>
    <row r="24" spans="2:7" x14ac:dyDescent="0.25">
      <c r="B24" s="1">
        <v>45448</v>
      </c>
      <c r="C24" s="8">
        <f>VLOOKUP(B24,Tabla4[],2,FALSE)</f>
        <v>3925.64</v>
      </c>
      <c r="D24" s="6">
        <v>475.2</v>
      </c>
      <c r="E24" s="8">
        <f t="shared" si="2"/>
        <v>7.2135360000000004</v>
      </c>
      <c r="F24" s="8">
        <f>Tabla2[[#This Row],[VALOR INVERSION 1]]-7.7</f>
        <v>-0.48646399999999979</v>
      </c>
      <c r="G24" s="8">
        <f>Tabla2[[#This Row],[VALOR INVERSION 1]]*Tabla2[[#This Row],[PRECIO DEL DÓLAR]]</f>
        <v>28317.745463039999</v>
      </c>
    </row>
    <row r="25" spans="2:7" x14ac:dyDescent="0.25">
      <c r="B25" s="1">
        <v>45510</v>
      </c>
      <c r="C25" s="8">
        <f>VLOOKUP(B25,Tabla4[],2,FALSE)</f>
        <v>4155.3100000000004</v>
      </c>
      <c r="D25" s="6">
        <v>479.94</v>
      </c>
      <c r="E25" s="8">
        <f t="shared" si="2"/>
        <v>7.2854892000000007</v>
      </c>
      <c r="F25" s="8">
        <f>Tabla2[[#This Row],[VALOR INVERSION 1]]-7.7</f>
        <v>-0.41451079999999951</v>
      </c>
      <c r="G25" s="8">
        <f>Tabla2[[#This Row],[VALOR INVERSION 1]]*Tabla2[[#This Row],[PRECIO DEL DÓLAR]]</f>
        <v>30273.466127652006</v>
      </c>
    </row>
    <row r="26" spans="2:7" x14ac:dyDescent="0.25">
      <c r="B26" s="1">
        <v>45511</v>
      </c>
      <c r="C26" s="8">
        <f>VLOOKUP(B26,Tabla4[],2,FALSE)</f>
        <v>4140.09</v>
      </c>
      <c r="D26" s="24">
        <v>476.61</v>
      </c>
      <c r="E26" s="8">
        <f t="shared" si="2"/>
        <v>7.2349398000000003</v>
      </c>
      <c r="F26" s="8">
        <f>Tabla2[[#This Row],[VALOR INVERSION 1]]-7.7</f>
        <v>-0.46506019999999992</v>
      </c>
      <c r="G26" s="8">
        <f>Tabla2[[#This Row],[VALOR INVERSION 1]]*Tabla2[[#This Row],[PRECIO DEL DÓLAR]]</f>
        <v>29953.301916582001</v>
      </c>
    </row>
    <row r="27" spans="2:7" x14ac:dyDescent="0.25">
      <c r="B27" s="1">
        <v>45512</v>
      </c>
      <c r="C27" s="8">
        <f>VLOOKUP(B27,Tabla4[],2,FALSE)</f>
        <v>4148.24</v>
      </c>
      <c r="D27" s="24">
        <v>487.73</v>
      </c>
      <c r="E27" s="8">
        <f t="shared" si="2"/>
        <v>7.4037414000000004</v>
      </c>
      <c r="F27" s="8">
        <f>Tabla2[[#This Row],[VALOR INVERSION 1]]-7.7</f>
        <v>-0.29625859999999982</v>
      </c>
      <c r="G27" s="8">
        <f>Tabla2[[#This Row],[VALOR INVERSION 1]]*Tabla2[[#This Row],[PRECIO DEL DÓLAR]]</f>
        <v>30712.496225136001</v>
      </c>
    </row>
    <row r="28" spans="2:7" x14ac:dyDescent="0.25">
      <c r="B28" s="1">
        <v>45513</v>
      </c>
      <c r="C28" s="8">
        <f>VLOOKUP(B28,Tabla4[],2,FALSE)</f>
        <v>4063.32</v>
      </c>
      <c r="D28" s="24">
        <v>489.82</v>
      </c>
      <c r="E28" s="8">
        <f t="shared" ref="E28:E33" si="3">0.01518 * D28</f>
        <v>7.4354676</v>
      </c>
      <c r="F28" s="8">
        <f>Tabla2[[#This Row],[VALOR INVERSION 1]]-7.7</f>
        <v>-0.26453240000000022</v>
      </c>
      <c r="G28" s="8">
        <f>Tabla2[[#This Row],[VALOR INVERSION 1]]*Tabla2[[#This Row],[PRECIO DEL DÓLAR]]</f>
        <v>30212.684208432001</v>
      </c>
    </row>
    <row r="29" spans="2:7" x14ac:dyDescent="0.25">
      <c r="B29" s="1">
        <v>45514</v>
      </c>
      <c r="C29" s="8">
        <f>VLOOKUP(B29,Tabla4[],2,FALSE)</f>
        <v>4057.55</v>
      </c>
      <c r="D29" s="24">
        <v>489.82</v>
      </c>
      <c r="E29" s="8">
        <f t="shared" si="3"/>
        <v>7.4354676</v>
      </c>
      <c r="F29" s="8">
        <f>Tabla2[[#This Row],[VALOR INVERSION 1]]-7.7</f>
        <v>-0.26453240000000022</v>
      </c>
      <c r="G29" s="8">
        <f>Tabla2[[#This Row],[VALOR INVERSION 1]]*Tabla2[[#This Row],[PRECIO DEL DÓLAR]]</f>
        <v>30169.781560380001</v>
      </c>
    </row>
    <row r="30" spans="2:7" x14ac:dyDescent="0.25">
      <c r="B30" s="1">
        <v>45516</v>
      </c>
      <c r="C30" s="8">
        <f>VLOOKUP(B30,Tabla4[],2,FALSE)</f>
        <v>4073.83</v>
      </c>
      <c r="D30" s="24">
        <v>490.07</v>
      </c>
      <c r="E30" s="8">
        <f t="shared" si="3"/>
        <v>7.4392626000000002</v>
      </c>
      <c r="F30" s="8">
        <f>Tabla2[[#This Row],[VALOR INVERSION 1]]-7.7</f>
        <v>-0.26073740000000001</v>
      </c>
      <c r="G30" s="8">
        <f>Tabla2[[#This Row],[VALOR INVERSION 1]]*Tabla2[[#This Row],[PRECIO DEL DÓLAR]]</f>
        <v>30306.291157758002</v>
      </c>
    </row>
    <row r="31" spans="2:7" x14ac:dyDescent="0.25">
      <c r="B31" s="1">
        <v>45517</v>
      </c>
      <c r="C31" s="8">
        <f>VLOOKUP(B31,Tabla4[],2,FALSE)</f>
        <v>4046.96</v>
      </c>
      <c r="D31" s="24">
        <v>498.21</v>
      </c>
      <c r="E31" s="8">
        <f t="shared" si="3"/>
        <v>7.5628278</v>
      </c>
      <c r="F31" s="8">
        <f>Tabla2[[#This Row],[VALOR INVERSION 1]]-7.7</f>
        <v>-0.13717220000000019</v>
      </c>
      <c r="G31" s="8">
        <f>Tabla2[[#This Row],[VALOR INVERSION 1]]*Tabla2[[#This Row],[PRECIO DEL DÓLAR]]</f>
        <v>30606.461593487998</v>
      </c>
    </row>
    <row r="32" spans="2:7" x14ac:dyDescent="0.25">
      <c r="B32" s="1">
        <v>45518</v>
      </c>
      <c r="C32" s="8">
        <f>VLOOKUP(B32,Tabla4[],2,FALSE)</f>
        <v>4038.46</v>
      </c>
      <c r="D32" s="24">
        <v>499.8</v>
      </c>
      <c r="E32" s="8">
        <f t="shared" si="3"/>
        <v>7.5869640000000009</v>
      </c>
      <c r="F32" s="8">
        <f>Tabla2[[#This Row],[VALOR INVERSION 1]]-7.7</f>
        <v>-0.11303599999999925</v>
      </c>
      <c r="G32" s="8">
        <f>Tabla2[[#This Row],[VALOR INVERSION 1]]*Tabla2[[#This Row],[PRECIO DEL DÓLAR]]</f>
        <v>30639.650635440004</v>
      </c>
    </row>
    <row r="33" spans="2:7" x14ac:dyDescent="0.25">
      <c r="B33" s="1">
        <v>45519</v>
      </c>
      <c r="C33" s="8">
        <f>VLOOKUP(B33,Tabla4[],2,FALSE)</f>
        <v>4037.16</v>
      </c>
      <c r="D33" s="24">
        <v>508.38</v>
      </c>
      <c r="E33" s="8">
        <f t="shared" si="3"/>
        <v>7.7172084000000005</v>
      </c>
      <c r="F33" s="8">
        <f>Tabla2[[#This Row],[VALOR INVERSION 1]]-7.7</f>
        <v>1.7208400000000346E-2</v>
      </c>
      <c r="G33" s="8">
        <f>Tabla2[[#This Row],[VALOR INVERSION 1]]*Tabla2[[#This Row],[PRECIO DEL DÓLAR]]</f>
        <v>31155.605064144002</v>
      </c>
    </row>
    <row r="34" spans="2:7" x14ac:dyDescent="0.25">
      <c r="B34" s="1">
        <v>45520</v>
      </c>
      <c r="C34" s="8">
        <f>VLOOKUP(B34,Tabla4[],2,FALSE)</f>
        <v>4014.8</v>
      </c>
      <c r="D34" s="6">
        <v>509.45</v>
      </c>
      <c r="E34" s="8">
        <f>0.01518 * D34</f>
        <v>7.7334510000000005</v>
      </c>
      <c r="F34" s="8">
        <f>Tabla2[[#This Row],[VALOR INVERSION 1]]-7.7</f>
        <v>3.3451000000000342E-2</v>
      </c>
      <c r="G34" s="8">
        <f>Tabla2[[#This Row],[VALOR INVERSION 1]]*Tabla2[[#This Row],[PRECIO DEL DÓLAR]]</f>
        <v>31048.259074800004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47"/>
  <sheetViews>
    <sheetView topLeftCell="A34" workbookViewId="0">
      <selection activeCell="L47" sqref="L47"/>
    </sheetView>
  </sheetViews>
  <sheetFormatPr baseColWidth="10" defaultRowHeight="15" x14ac:dyDescent="0.25"/>
  <cols>
    <col min="5" max="5" width="14.5703125" customWidth="1"/>
  </cols>
  <sheetData>
    <row r="2" spans="2:12" x14ac:dyDescent="0.25">
      <c r="B2" s="5" t="s">
        <v>0</v>
      </c>
      <c r="C2" s="5" t="s">
        <v>2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13</v>
      </c>
      <c r="K2" s="5" t="s">
        <v>12</v>
      </c>
      <c r="L2" s="5"/>
    </row>
    <row r="3" spans="2:12" x14ac:dyDescent="0.25">
      <c r="B3" s="1">
        <v>45460</v>
      </c>
      <c r="C3" s="3">
        <f>VLOOKUP(B3,Tabla4[],2,FALSE)</f>
        <v>4129.43</v>
      </c>
      <c r="D3" s="3">
        <v>5473.23</v>
      </c>
      <c r="E3" s="3">
        <v>17857.02</v>
      </c>
      <c r="F3" s="3">
        <v>62.62</v>
      </c>
      <c r="G3" s="3">
        <v>145.94999999999999</v>
      </c>
      <c r="H3" s="3">
        <v>167.5</v>
      </c>
      <c r="I3" s="3">
        <v>166.14</v>
      </c>
      <c r="J3" s="3"/>
      <c r="K3" s="3">
        <v>253.51</v>
      </c>
      <c r="L3" s="3"/>
    </row>
    <row r="4" spans="2:12" x14ac:dyDescent="0.25">
      <c r="B4" s="1">
        <v>45461</v>
      </c>
      <c r="C4" s="3">
        <f>VLOOKUP(B4,Tabla4[],2,FALSE)</f>
        <v>4124.49</v>
      </c>
      <c r="D4" s="3">
        <v>5487.03</v>
      </c>
      <c r="E4" s="3">
        <v>19947.25</v>
      </c>
      <c r="F4" s="3">
        <v>62.63</v>
      </c>
      <c r="G4" s="3">
        <v>145.65</v>
      </c>
      <c r="H4" s="3">
        <v>168.56</v>
      </c>
      <c r="I4" s="3">
        <v>166.48</v>
      </c>
      <c r="J4" s="3"/>
      <c r="K4" s="3">
        <v>250.79</v>
      </c>
      <c r="L4" s="3"/>
    </row>
    <row r="5" spans="2:12" x14ac:dyDescent="0.25">
      <c r="B5" s="1">
        <v>45462</v>
      </c>
      <c r="C5" s="3">
        <f>VLOOKUP(B5,Tabla4[],2,FALSE)</f>
        <v>4146.2</v>
      </c>
      <c r="D5" s="3">
        <v>5483.03</v>
      </c>
      <c r="E5" s="3">
        <v>19984.25</v>
      </c>
      <c r="F5" s="3">
        <v>62.63</v>
      </c>
      <c r="G5" s="3">
        <v>145.65</v>
      </c>
      <c r="H5" s="3">
        <v>168.56</v>
      </c>
      <c r="I5" s="3">
        <v>166.48</v>
      </c>
      <c r="J5" s="3"/>
      <c r="K5" s="3">
        <v>250.79</v>
      </c>
      <c r="L5" s="3"/>
    </row>
    <row r="6" spans="2:12" x14ac:dyDescent="0.25">
      <c r="B6" s="1">
        <v>45463</v>
      </c>
      <c r="C6" s="3">
        <f>VLOOKUP(B6,Tabla4[],2,FALSE)</f>
        <v>4163.8</v>
      </c>
      <c r="D6" s="3">
        <v>5473.16</v>
      </c>
      <c r="E6" s="3">
        <v>19781.080000000002</v>
      </c>
      <c r="F6" s="3">
        <v>62.18</v>
      </c>
      <c r="G6" s="3">
        <v>147.78</v>
      </c>
      <c r="H6" s="3">
        <v>167.67</v>
      </c>
      <c r="I6" s="3">
        <v>166.68</v>
      </c>
      <c r="J6" s="3"/>
      <c r="K6" s="3">
        <v>253.8</v>
      </c>
      <c r="L6" s="3"/>
    </row>
    <row r="7" spans="2:12" x14ac:dyDescent="0.25">
      <c r="B7" s="1">
        <v>45464</v>
      </c>
      <c r="C7" s="3">
        <f>VLOOKUP(B7,Tabla4[],2,FALSE)</f>
        <v>4167.01</v>
      </c>
      <c r="D7" s="3">
        <v>5464.61</v>
      </c>
      <c r="E7" s="3">
        <v>19734.099999999999</v>
      </c>
      <c r="F7" s="3">
        <v>62.77</v>
      </c>
      <c r="G7" s="3">
        <v>148.75</v>
      </c>
      <c r="H7" s="3">
        <v>168.26</v>
      </c>
      <c r="I7" s="3">
        <v>167.28</v>
      </c>
      <c r="J7" s="3"/>
      <c r="K7" s="3">
        <v>259.39</v>
      </c>
      <c r="L7" s="3"/>
    </row>
    <row r="8" spans="2:12" x14ac:dyDescent="0.25">
      <c r="B8" s="1">
        <v>45467</v>
      </c>
      <c r="C8" s="3">
        <f>VLOOKUP(B8,Tabla4[],2,FALSE)</f>
        <v>4144.4799999999996</v>
      </c>
      <c r="D8" s="3">
        <v>5447.87</v>
      </c>
      <c r="E8" s="3">
        <v>19474.62</v>
      </c>
      <c r="F8" s="3">
        <v>63.97</v>
      </c>
      <c r="G8" s="3">
        <v>149.12</v>
      </c>
      <c r="H8" s="3">
        <v>168.45</v>
      </c>
      <c r="I8" s="3">
        <v>168.08</v>
      </c>
      <c r="J8" s="3"/>
      <c r="K8" s="3">
        <v>260.38</v>
      </c>
      <c r="L8" s="3"/>
    </row>
    <row r="9" spans="2:12" x14ac:dyDescent="0.25">
      <c r="B9" s="1">
        <v>45468</v>
      </c>
      <c r="C9" s="3">
        <f>VLOOKUP(B9,Tabla4[],2,FALSE)</f>
        <v>4094.7</v>
      </c>
      <c r="D9" s="3">
        <v>5469.3</v>
      </c>
      <c r="E9" s="3">
        <v>19701.13</v>
      </c>
      <c r="F9" s="3">
        <v>63.84</v>
      </c>
      <c r="G9" s="3">
        <v>147.19</v>
      </c>
      <c r="H9" s="3">
        <v>166.85</v>
      </c>
      <c r="I9" s="3">
        <v>167.35</v>
      </c>
      <c r="J9" s="3"/>
      <c r="K9" s="3">
        <v>257.38</v>
      </c>
      <c r="L9" s="3"/>
    </row>
    <row r="10" spans="2:12" x14ac:dyDescent="0.25">
      <c r="B10" s="1">
        <v>45469</v>
      </c>
      <c r="C10" s="3">
        <f>VLOOKUP(B10,Tabla4[],2,FALSE)</f>
        <v>4095.53</v>
      </c>
      <c r="D10" s="3">
        <v>5477.9</v>
      </c>
      <c r="E10" s="3">
        <v>19751.05</v>
      </c>
      <c r="F10" s="3">
        <v>64.05</v>
      </c>
      <c r="G10" s="3">
        <v>146.82</v>
      </c>
      <c r="H10" s="3">
        <v>167.45</v>
      </c>
      <c r="I10" s="3">
        <v>166.74</v>
      </c>
      <c r="J10" s="3"/>
      <c r="K10" s="3">
        <v>257.83</v>
      </c>
      <c r="L10" s="3"/>
    </row>
    <row r="11" spans="2:12" x14ac:dyDescent="0.25">
      <c r="B11" s="1">
        <v>45470</v>
      </c>
      <c r="C11" s="3">
        <f>VLOOKUP(B11,Tabla4[],2,FALSE)</f>
        <v>4140.1899999999996</v>
      </c>
      <c r="D11" s="3">
        <v>5482.87</v>
      </c>
      <c r="E11" s="3">
        <v>19789.03</v>
      </c>
      <c r="F11" s="3">
        <v>63.91</v>
      </c>
      <c r="G11" s="3">
        <v>145.80000000000001</v>
      </c>
      <c r="H11" s="3">
        <v>166.62</v>
      </c>
      <c r="I11" s="3">
        <v>166.26</v>
      </c>
      <c r="J11" s="3"/>
      <c r="K11" s="3">
        <v>258.17</v>
      </c>
      <c r="L11" s="3"/>
    </row>
    <row r="12" spans="2:12" x14ac:dyDescent="0.25">
      <c r="B12" s="1">
        <v>45471</v>
      </c>
      <c r="C12" s="3" t="e">
        <f>VLOOKUP(B12,Tabla4[],2,FALSE)</f>
        <v>#N/A</v>
      </c>
      <c r="D12" s="3">
        <v>5465.2</v>
      </c>
      <c r="E12" s="3">
        <v>19718.73</v>
      </c>
      <c r="F12" s="3">
        <v>63.59</v>
      </c>
      <c r="G12" s="3">
        <v>145.9</v>
      </c>
      <c r="H12" s="3">
        <v>164.68</v>
      </c>
      <c r="I12" s="3">
        <v>165.09</v>
      </c>
      <c r="J12" s="3"/>
      <c r="K12" s="3">
        <v>253.56</v>
      </c>
      <c r="L12" s="3"/>
    </row>
    <row r="13" spans="2:12" x14ac:dyDescent="0.25">
      <c r="B13" s="1">
        <v>45474</v>
      </c>
      <c r="C13" s="3" t="e">
        <f>VLOOKUP(B13,Tabla4[],2,FALSE)</f>
        <v>#N/A</v>
      </c>
      <c r="D13" s="3">
        <v>5475.22</v>
      </c>
      <c r="E13" s="3">
        <v>19809</v>
      </c>
      <c r="F13" s="3">
        <v>63.32</v>
      </c>
      <c r="G13" s="3">
        <v>146.34</v>
      </c>
      <c r="H13" s="3">
        <v>162.9</v>
      </c>
      <c r="I13" s="3">
        <v>163.28</v>
      </c>
      <c r="J13" s="3"/>
      <c r="K13" s="3">
        <v>249.81</v>
      </c>
      <c r="L13" s="3"/>
    </row>
    <row r="14" spans="2:12" x14ac:dyDescent="0.25">
      <c r="B14" s="1">
        <v>45475</v>
      </c>
      <c r="C14" s="3">
        <f>VLOOKUP(B14,Tabla4[],2,FALSE)</f>
        <v>4129.08</v>
      </c>
      <c r="D14" s="3">
        <v>5509.01</v>
      </c>
      <c r="E14" s="3">
        <v>20011.89</v>
      </c>
      <c r="F14" s="3">
        <v>63.15</v>
      </c>
      <c r="G14" s="3">
        <v>146.03</v>
      </c>
      <c r="H14" s="3">
        <v>163.9</v>
      </c>
      <c r="I14" s="3">
        <v>163.58000000000001</v>
      </c>
      <c r="J14" s="3"/>
      <c r="K14" s="3">
        <v>247.79</v>
      </c>
      <c r="L14" s="3"/>
    </row>
    <row r="15" spans="2:12" x14ac:dyDescent="0.25">
      <c r="B15" s="1">
        <v>45476</v>
      </c>
      <c r="C15" s="3">
        <f>VLOOKUP(B15,Tabla4[],2,FALSE)</f>
        <v>4119.8999999999996</v>
      </c>
      <c r="D15" s="3">
        <v>5537.01</v>
      </c>
      <c r="E15" s="3">
        <v>20186.63</v>
      </c>
      <c r="F15" s="3">
        <v>63.33</v>
      </c>
      <c r="G15" s="3">
        <v>145.69</v>
      </c>
      <c r="H15" s="3">
        <v>163.83000000000001</v>
      </c>
      <c r="I15" s="3">
        <v>162.6</v>
      </c>
      <c r="J15" s="3">
        <v>460.77</v>
      </c>
      <c r="K15" s="3">
        <v>250</v>
      </c>
      <c r="L15" s="3"/>
    </row>
    <row r="16" spans="2:12" x14ac:dyDescent="0.25">
      <c r="B16" s="1">
        <v>45477</v>
      </c>
      <c r="C16" s="3">
        <f>VLOOKUP(B16,Tabla4[],2,FALSE)</f>
        <v>4106.37</v>
      </c>
      <c r="D16" s="3">
        <v>5537.01</v>
      </c>
      <c r="E16" s="3">
        <v>20186.63</v>
      </c>
      <c r="F16" s="3">
        <v>63.33</v>
      </c>
      <c r="G16" s="3">
        <v>145.69</v>
      </c>
      <c r="H16" s="3">
        <v>163.83000000000001</v>
      </c>
      <c r="I16" s="3">
        <v>162.6</v>
      </c>
      <c r="J16" s="3">
        <v>460.77</v>
      </c>
      <c r="K16" s="3">
        <v>250</v>
      </c>
      <c r="L16" s="3"/>
    </row>
    <row r="17" spans="2:12" x14ac:dyDescent="0.25">
      <c r="B17" s="1">
        <v>45478</v>
      </c>
      <c r="C17" s="3">
        <f>VLOOKUP(B17,Tabla4[],2,FALSE)</f>
        <v>4090.5</v>
      </c>
      <c r="D17" s="3">
        <v>5567.2</v>
      </c>
      <c r="E17" s="3">
        <v>20391.97</v>
      </c>
      <c r="F17" s="3">
        <v>63.76</v>
      </c>
      <c r="G17" s="3">
        <v>146.47999999999999</v>
      </c>
      <c r="H17" s="3">
        <v>165.21</v>
      </c>
      <c r="I17" s="3">
        <v>164.39</v>
      </c>
      <c r="J17" s="3">
        <v>467.56</v>
      </c>
      <c r="K17" s="3">
        <v>251.09</v>
      </c>
      <c r="L17" s="3"/>
    </row>
    <row r="18" spans="2:12" x14ac:dyDescent="0.25">
      <c r="B18" s="1">
        <v>45481</v>
      </c>
      <c r="C18" s="3">
        <f>VLOOKUP(B18,Tabla4[],2,FALSE)</f>
        <v>4078.65</v>
      </c>
      <c r="D18" s="3">
        <v>5572.86</v>
      </c>
      <c r="E18" s="3">
        <v>20439.54</v>
      </c>
      <c r="F18" s="3">
        <v>62.96</v>
      </c>
      <c r="G18" s="3">
        <v>145.47999999999999</v>
      </c>
      <c r="H18" s="3">
        <v>166.52</v>
      </c>
      <c r="I18" s="3">
        <v>162.12</v>
      </c>
      <c r="J18" s="3">
        <v>466.24</v>
      </c>
      <c r="K18" s="3">
        <v>247.85</v>
      </c>
      <c r="L18" s="3"/>
    </row>
    <row r="19" spans="2:12" x14ac:dyDescent="0.25">
      <c r="B19" s="1">
        <v>45482</v>
      </c>
      <c r="C19" s="3">
        <f>VLOOKUP(B19,Tabla4[],2,FALSE)</f>
        <v>4049.27</v>
      </c>
      <c r="D19" s="3">
        <v>5576.97</v>
      </c>
      <c r="E19" s="3">
        <v>20453.02</v>
      </c>
      <c r="F19" s="3">
        <v>62.69</v>
      </c>
      <c r="G19" s="3">
        <v>147.05000000000001</v>
      </c>
      <c r="H19" s="3">
        <v>165.66</v>
      </c>
      <c r="I19" s="3">
        <v>161.9</v>
      </c>
      <c r="J19" s="3">
        <v>459.54</v>
      </c>
      <c r="K19" s="3">
        <v>245.82</v>
      </c>
      <c r="L19" s="3"/>
    </row>
    <row r="20" spans="2:12" x14ac:dyDescent="0.25">
      <c r="B20" s="1">
        <v>45483</v>
      </c>
      <c r="C20" s="3">
        <f>VLOOKUP(B20,Tabla4[],2,FALSE)</f>
        <v>4009.91</v>
      </c>
      <c r="D20" s="3">
        <v>5616.45</v>
      </c>
      <c r="E20" s="3">
        <v>20630.990000000002</v>
      </c>
      <c r="F20" s="3">
        <v>62.59</v>
      </c>
      <c r="G20" s="3">
        <v>148.62</v>
      </c>
      <c r="H20" s="3">
        <v>166.56</v>
      </c>
      <c r="I20" s="3">
        <v>162.91999999999999</v>
      </c>
      <c r="J20" s="3">
        <v>463.95</v>
      </c>
      <c r="K20" s="3">
        <v>248.89</v>
      </c>
      <c r="L20" s="3"/>
    </row>
    <row r="21" spans="2:12" x14ac:dyDescent="0.25">
      <c r="B21" s="1">
        <v>45484</v>
      </c>
      <c r="C21" s="3">
        <f>VLOOKUP(B21,Tabla4[],2,FALSE)</f>
        <v>3955.21</v>
      </c>
      <c r="D21" s="3">
        <v>5584.55</v>
      </c>
      <c r="E21" s="3">
        <v>20211.36</v>
      </c>
      <c r="F21" s="3">
        <v>63.1</v>
      </c>
      <c r="G21" s="3">
        <v>149.69999999999999</v>
      </c>
      <c r="H21" s="3">
        <v>165.54</v>
      </c>
      <c r="I21" s="3">
        <v>163.95</v>
      </c>
      <c r="J21" s="3">
        <v>454.7</v>
      </c>
      <c r="K21" s="3">
        <v>254.8</v>
      </c>
      <c r="L21" s="3"/>
    </row>
    <row r="22" spans="2:12" x14ac:dyDescent="0.25">
      <c r="B22" s="1">
        <v>45485</v>
      </c>
      <c r="C22" s="3">
        <f>VLOOKUP(B22,Tabla4[],2,FALSE)</f>
        <v>3975.25</v>
      </c>
      <c r="D22" s="3">
        <v>5615.34</v>
      </c>
      <c r="E22" s="3">
        <v>20331.490000000002</v>
      </c>
      <c r="F22" s="3">
        <v>63.72</v>
      </c>
      <c r="G22" s="3">
        <v>149.88999999999999</v>
      </c>
      <c r="H22" s="3">
        <v>166.61</v>
      </c>
      <c r="I22" s="3">
        <v>166.38</v>
      </c>
      <c r="J22" s="3">
        <v>453.55</v>
      </c>
      <c r="K22" s="3">
        <v>253.9</v>
      </c>
      <c r="L22" s="3"/>
    </row>
    <row r="23" spans="2:12" x14ac:dyDescent="0.25">
      <c r="B23" s="1">
        <v>45488</v>
      </c>
      <c r="C23" s="3">
        <f>VLOOKUP(B23,Tabla4[],2,FALSE)</f>
        <v>3993.09</v>
      </c>
      <c r="D23" s="3">
        <v>5631.21</v>
      </c>
      <c r="E23" s="3">
        <v>20386.88</v>
      </c>
      <c r="F23" s="3">
        <v>63.41</v>
      </c>
      <c r="G23" s="3">
        <v>149.24</v>
      </c>
      <c r="H23" s="3">
        <v>164.58</v>
      </c>
      <c r="I23" s="3">
        <v>163.86</v>
      </c>
      <c r="J23" s="3">
        <v>453.96</v>
      </c>
      <c r="K23" s="3">
        <v>251.53</v>
      </c>
      <c r="L23" s="3"/>
    </row>
    <row r="24" spans="2:12" x14ac:dyDescent="0.25">
      <c r="B24" s="1">
        <v>45489</v>
      </c>
      <c r="C24" s="3">
        <f>VLOOKUP(B24,Tabla4[],2,FALSE)</f>
        <v>3953.88</v>
      </c>
      <c r="D24" s="3">
        <v>5667.21</v>
      </c>
      <c r="E24" s="3">
        <v>20398.62</v>
      </c>
      <c r="F24" s="3">
        <v>64.27</v>
      </c>
      <c r="G24" s="3">
        <v>151.01</v>
      </c>
      <c r="H24" s="3">
        <v>166.95</v>
      </c>
      <c r="I24" s="3">
        <v>164.76</v>
      </c>
      <c r="J24" s="3">
        <v>449.52</v>
      </c>
      <c r="K24" s="3">
        <v>257.27</v>
      </c>
      <c r="L24" s="3"/>
    </row>
    <row r="25" spans="2:12" x14ac:dyDescent="0.25">
      <c r="B25" s="1">
        <v>45490</v>
      </c>
      <c r="C25" s="3">
        <f>VLOOKUP(B25,Tabla4[],2,FALSE)</f>
        <v>3972.87</v>
      </c>
      <c r="D25" s="3">
        <v>5588.28</v>
      </c>
      <c r="E25" s="3">
        <v>19799.14</v>
      </c>
      <c r="F25" s="3">
        <v>65.209999999999994</v>
      </c>
      <c r="G25" s="3">
        <v>156.58000000000001</v>
      </c>
      <c r="H25" s="3">
        <v>169.44</v>
      </c>
      <c r="I25" s="3">
        <v>169.89</v>
      </c>
      <c r="J25" s="3">
        <v>443.52</v>
      </c>
      <c r="K25" s="3">
        <v>261</v>
      </c>
      <c r="L25" s="3"/>
    </row>
    <row r="26" spans="2:12" x14ac:dyDescent="0.25">
      <c r="B26" s="1">
        <v>45491</v>
      </c>
      <c r="C26" s="3">
        <f>VLOOKUP(B26,Tabla4[],2,FALSE)</f>
        <v>3999.25</v>
      </c>
      <c r="D26" s="3">
        <v>5544.28</v>
      </c>
      <c r="E26" s="3">
        <v>19705.09</v>
      </c>
      <c r="F26" s="3">
        <v>65.19</v>
      </c>
      <c r="G26" s="3">
        <v>155.41999999999999</v>
      </c>
      <c r="H26" s="3">
        <v>168.44</v>
      </c>
      <c r="I26" s="3">
        <v>170.37</v>
      </c>
      <c r="J26" s="3">
        <v>440.37</v>
      </c>
      <c r="K26" s="3">
        <v>259.52</v>
      </c>
      <c r="L26" s="3"/>
    </row>
    <row r="27" spans="2:12" x14ac:dyDescent="0.25">
      <c r="B27" s="1">
        <v>45492</v>
      </c>
      <c r="C27" s="3">
        <f>VLOOKUP(B27,Tabla4[],2,FALSE)</f>
        <v>4047.22</v>
      </c>
      <c r="D27" s="3">
        <v>5504.99</v>
      </c>
      <c r="E27" s="3">
        <v>19522.62</v>
      </c>
      <c r="F27" s="3">
        <v>65.290000000000006</v>
      </c>
      <c r="G27" s="3">
        <v>154.69</v>
      </c>
      <c r="H27" s="3">
        <v>167.96</v>
      </c>
      <c r="I27" s="3">
        <v>169.36</v>
      </c>
      <c r="J27" s="3">
        <v>437.11</v>
      </c>
      <c r="K27" s="3">
        <v>257.27999999999997</v>
      </c>
      <c r="L27" s="3"/>
    </row>
    <row r="28" spans="2:12" x14ac:dyDescent="0.25">
      <c r="B28" s="1">
        <v>45495</v>
      </c>
      <c r="C28" s="3">
        <f>VLOOKUP(B28,Tabla4[],2,FALSE)</f>
        <v>4041.33</v>
      </c>
      <c r="D28" s="3">
        <v>5564.4</v>
      </c>
      <c r="E28" s="3">
        <v>19822.87</v>
      </c>
      <c r="F28" s="3">
        <v>64.77</v>
      </c>
      <c r="G28" s="3">
        <v>154.24</v>
      </c>
      <c r="H28" s="3">
        <v>168.25</v>
      </c>
      <c r="I28" s="3">
        <v>167.66</v>
      </c>
      <c r="J28" s="3">
        <v>442.94</v>
      </c>
      <c r="K28" s="3">
        <v>259.54000000000002</v>
      </c>
      <c r="L28" s="3"/>
    </row>
    <row r="29" spans="2:12" x14ac:dyDescent="0.25">
      <c r="B29" s="1">
        <v>45496</v>
      </c>
      <c r="C29" s="3">
        <f>VLOOKUP(B29,Tabla4[],2,FALSE)</f>
        <v>3995.01</v>
      </c>
      <c r="D29" s="3">
        <v>5555.75</v>
      </c>
      <c r="E29" s="3">
        <v>19754.34</v>
      </c>
      <c r="F29" s="3">
        <v>64.959999999999994</v>
      </c>
      <c r="G29" s="3">
        <v>152.35</v>
      </c>
      <c r="H29" s="3">
        <v>166.62</v>
      </c>
      <c r="I29" s="3">
        <v>166.28</v>
      </c>
      <c r="J29" s="3">
        <v>444.85</v>
      </c>
      <c r="K29" s="3">
        <v>254.05</v>
      </c>
      <c r="L29" s="3"/>
    </row>
    <row r="30" spans="2:12" x14ac:dyDescent="0.25">
      <c r="B30" s="1">
        <v>45497</v>
      </c>
      <c r="C30" s="3">
        <f>VLOOKUP(B30,Tabla4[],2,FALSE)</f>
        <v>4014.08</v>
      </c>
      <c r="D30" s="3">
        <v>5427.12</v>
      </c>
      <c r="E30" s="3">
        <v>19032.39</v>
      </c>
      <c r="F30" s="3">
        <v>65.81</v>
      </c>
      <c r="G30" s="3">
        <v>156.28</v>
      </c>
      <c r="H30" s="3">
        <v>168</v>
      </c>
      <c r="I30" s="3">
        <v>168.17</v>
      </c>
      <c r="J30" s="3">
        <v>428.9</v>
      </c>
      <c r="K30" s="3">
        <v>253.37</v>
      </c>
    </row>
    <row r="31" spans="2:12" x14ac:dyDescent="0.25">
      <c r="B31" s="1">
        <v>45498</v>
      </c>
      <c r="C31" s="3">
        <f>VLOOKUP(B31,Tabla4[],2,FALSE)</f>
        <v>4044.19</v>
      </c>
      <c r="D31" s="3">
        <v>5399.23</v>
      </c>
      <c r="E31" s="3">
        <v>18830.580000000002</v>
      </c>
      <c r="F31" s="3">
        <v>66.069999999999993</v>
      </c>
      <c r="G31" s="3">
        <v>159.63999999999999</v>
      </c>
      <c r="H31" s="3">
        <v>166.9</v>
      </c>
      <c r="I31" s="3">
        <v>171.02</v>
      </c>
      <c r="J31" s="3">
        <v>418.4</v>
      </c>
      <c r="K31" s="3">
        <v>251.46</v>
      </c>
    </row>
    <row r="32" spans="2:12" x14ac:dyDescent="0.25">
      <c r="B32" s="1">
        <v>45499</v>
      </c>
      <c r="C32" s="3">
        <f>VLOOKUP(B32,Tabla4[],2,FALSE)</f>
        <v>4042.31</v>
      </c>
      <c r="D32" s="3">
        <v>5459.09</v>
      </c>
      <c r="E32" s="3">
        <v>19023.66</v>
      </c>
      <c r="F32" s="3">
        <v>67.05</v>
      </c>
      <c r="G32" s="3">
        <v>160.63999999999999</v>
      </c>
      <c r="H32" s="3">
        <v>169.11</v>
      </c>
      <c r="I32" s="3">
        <v>172.75</v>
      </c>
      <c r="J32" s="3">
        <v>425.27</v>
      </c>
      <c r="K32" s="3">
        <v>252</v>
      </c>
    </row>
    <row r="33" spans="2:11" x14ac:dyDescent="0.25">
      <c r="B33" s="1">
        <v>45502</v>
      </c>
      <c r="C33" s="3">
        <f>VLOOKUP(B33,Tabla4[],2,FALSE)</f>
        <v>4030.02</v>
      </c>
      <c r="D33" s="3">
        <v>5463.55</v>
      </c>
      <c r="E33" s="3">
        <v>19059.490000000002</v>
      </c>
      <c r="F33" s="3">
        <v>66.83</v>
      </c>
      <c r="G33" s="3">
        <v>158.56</v>
      </c>
      <c r="H33" s="3">
        <v>169.93</v>
      </c>
      <c r="I33" s="3">
        <v>173.21</v>
      </c>
      <c r="J33" s="3">
        <v>426.73</v>
      </c>
      <c r="K33" s="3">
        <v>261.42</v>
      </c>
    </row>
    <row r="34" spans="2:11" x14ac:dyDescent="0.25">
      <c r="B34" s="1">
        <v>45503</v>
      </c>
      <c r="C34" s="3">
        <f>VLOOKUP(B34,Tabla4[],2,FALSE)</f>
        <v>4077.08</v>
      </c>
      <c r="D34" s="3">
        <v>5436.45</v>
      </c>
      <c r="E34" s="3">
        <v>18796.27</v>
      </c>
      <c r="F34" s="3">
        <v>67.680000000000007</v>
      </c>
      <c r="G34" s="3">
        <v>161.33000000000001</v>
      </c>
      <c r="H34" s="3">
        <v>161.69999999999999</v>
      </c>
      <c r="I34" s="3">
        <v>173.18</v>
      </c>
      <c r="J34" s="3">
        <v>422.92</v>
      </c>
      <c r="K34" s="3">
        <v>266.44</v>
      </c>
    </row>
    <row r="35" spans="2:11" x14ac:dyDescent="0.25">
      <c r="B35" s="1">
        <v>45504</v>
      </c>
      <c r="C35" s="3">
        <f>VLOOKUP(B35,Tabla4[],2,FALSE)</f>
        <v>4077.07</v>
      </c>
      <c r="D35" s="3">
        <v>5522.29</v>
      </c>
      <c r="E35" s="3">
        <v>19362.43</v>
      </c>
      <c r="F35" s="3">
        <v>66.739999999999995</v>
      </c>
      <c r="G35" s="3">
        <v>157.85</v>
      </c>
      <c r="H35" s="3">
        <v>160.76</v>
      </c>
      <c r="I35" s="3">
        <v>172.67</v>
      </c>
      <c r="J35" s="3">
        <v>418.35</v>
      </c>
      <c r="K35" s="3">
        <v>265.39999999999998</v>
      </c>
    </row>
    <row r="36" spans="2:11" x14ac:dyDescent="0.25">
      <c r="B36" s="1">
        <v>45505</v>
      </c>
      <c r="C36" s="3">
        <f>VLOOKUP(B36,Tabla4[],2,FALSE)</f>
        <v>4045.51</v>
      </c>
      <c r="D36" s="3">
        <v>5446.69</v>
      </c>
      <c r="E36" s="3">
        <v>18890.39</v>
      </c>
      <c r="F36" s="3">
        <v>67.959999999999994</v>
      </c>
      <c r="G36" s="3">
        <v>160.76</v>
      </c>
      <c r="H36" s="3">
        <v>165.69</v>
      </c>
      <c r="I36" s="3">
        <v>174.96</v>
      </c>
      <c r="J36" s="3">
        <v>417.11</v>
      </c>
      <c r="K36" s="3">
        <v>268.75</v>
      </c>
    </row>
    <row r="37" spans="2:11" x14ac:dyDescent="0.25">
      <c r="B37" s="1">
        <v>45506</v>
      </c>
      <c r="C37" s="3">
        <f>VLOOKUP(B37,Tabla4[],2,FALSE)</f>
        <v>4064.07</v>
      </c>
      <c r="D37" s="3">
        <v>5346.55</v>
      </c>
      <c r="E37" s="3">
        <v>18440.849999999999</v>
      </c>
      <c r="F37" s="3">
        <v>69.33</v>
      </c>
      <c r="G37" s="3">
        <v>164.14</v>
      </c>
      <c r="H37" s="3">
        <v>170.08</v>
      </c>
      <c r="I37" s="3">
        <v>178.04</v>
      </c>
      <c r="J37" s="3">
        <v>408.49</v>
      </c>
      <c r="K37" s="3">
        <v>276.69</v>
      </c>
    </row>
    <row r="38" spans="2:11" x14ac:dyDescent="0.25">
      <c r="B38" s="1">
        <v>45509</v>
      </c>
      <c r="C38" s="3">
        <f>VLOOKUP(B38,Tabla4[],2,FALSE)</f>
        <v>4116.91</v>
      </c>
      <c r="D38" s="3">
        <v>5186.34</v>
      </c>
      <c r="E38" s="3">
        <v>17895.16</v>
      </c>
      <c r="F38" s="3">
        <v>68.099999999999994</v>
      </c>
      <c r="G38" s="3">
        <v>161.25</v>
      </c>
      <c r="H38" s="3">
        <v>168.06</v>
      </c>
      <c r="I38" s="3">
        <v>174.04</v>
      </c>
      <c r="J38" s="3">
        <v>395.15</v>
      </c>
      <c r="K38" s="3">
        <v>268.45</v>
      </c>
    </row>
    <row r="39" spans="2:11" x14ac:dyDescent="0.25">
      <c r="B39" s="1">
        <v>45510</v>
      </c>
      <c r="C39" s="3">
        <f>VLOOKUP(B39,Tabla4[],2,FALSE)</f>
        <v>4155.3100000000004</v>
      </c>
      <c r="D39" s="3">
        <v>5240.04</v>
      </c>
      <c r="E39" s="3">
        <v>18077.919999999998</v>
      </c>
      <c r="F39" s="3">
        <v>68.05</v>
      </c>
      <c r="G39" s="3">
        <v>158.97</v>
      </c>
      <c r="H39" s="3">
        <v>168.09</v>
      </c>
      <c r="I39" s="3">
        <v>172.49</v>
      </c>
      <c r="J39" s="3">
        <v>399.61</v>
      </c>
      <c r="K39" s="3">
        <v>270.06</v>
      </c>
    </row>
    <row r="40" spans="2:11" x14ac:dyDescent="0.25">
      <c r="B40" s="1">
        <v>45511</v>
      </c>
      <c r="C40" s="3">
        <f>VLOOKUP(B40,Tabla4[],2,FALSE)</f>
        <v>4140.09</v>
      </c>
      <c r="D40" s="3">
        <v>5199.51</v>
      </c>
      <c r="E40" s="3">
        <v>17867.37</v>
      </c>
      <c r="F40" s="3">
        <v>68.459999999999994</v>
      </c>
      <c r="G40" s="3">
        <v>158.9</v>
      </c>
      <c r="H40" s="3">
        <v>170.02</v>
      </c>
      <c r="I40" s="3">
        <v>171.79</v>
      </c>
      <c r="J40" s="3">
        <v>398.43</v>
      </c>
      <c r="K40" s="3">
        <v>269.37</v>
      </c>
    </row>
    <row r="41" spans="2:11" x14ac:dyDescent="0.25">
      <c r="B41" s="1">
        <v>45512</v>
      </c>
      <c r="C41" s="3">
        <f>VLOOKUP(B41,Tabla4[],2,FALSE)</f>
        <v>4148.24</v>
      </c>
      <c r="D41" s="3">
        <v>5319.3</v>
      </c>
      <c r="E41" s="3">
        <v>18413.82</v>
      </c>
      <c r="F41" s="3">
        <v>68.73</v>
      </c>
      <c r="G41" s="3">
        <v>160.22</v>
      </c>
      <c r="H41" s="3">
        <v>170.87</v>
      </c>
      <c r="I41" s="3">
        <v>172.37</v>
      </c>
      <c r="J41" s="3">
        <v>402.69</v>
      </c>
      <c r="K41" s="3">
        <v>271.19</v>
      </c>
    </row>
    <row r="42" spans="2:11" x14ac:dyDescent="0.25">
      <c r="B42" s="1">
        <v>45513</v>
      </c>
      <c r="C42" s="3">
        <f>VLOOKUP(B42,Tabla4[],2,FALSE)</f>
        <v>4063.32</v>
      </c>
      <c r="D42" s="3">
        <v>5344.15</v>
      </c>
      <c r="E42" s="3">
        <v>18513.099999999999</v>
      </c>
      <c r="F42" s="3">
        <v>68.680000000000007</v>
      </c>
      <c r="G42" s="3">
        <v>160.62</v>
      </c>
      <c r="H42" s="3">
        <v>170.54</v>
      </c>
      <c r="I42" s="3">
        <v>172.39</v>
      </c>
      <c r="J42" s="3">
        <v>406.02</v>
      </c>
      <c r="K42" s="3">
        <v>267.91000000000003</v>
      </c>
    </row>
    <row r="43" spans="2:11" x14ac:dyDescent="0.25">
      <c r="B43" s="1">
        <v>45516</v>
      </c>
      <c r="C43" s="3">
        <f>VLOOKUP(B43,Tabla4[],2,FALSE)</f>
        <v>4073.83</v>
      </c>
      <c r="D43" s="3">
        <v>5344.38</v>
      </c>
      <c r="E43" s="3">
        <v>18542.03</v>
      </c>
      <c r="F43" s="3">
        <v>68.17</v>
      </c>
      <c r="G43" s="3">
        <v>159.88</v>
      </c>
      <c r="H43" s="3">
        <v>166.81</v>
      </c>
      <c r="I43" s="3">
        <v>171.42</v>
      </c>
      <c r="J43" s="3">
        <v>406.06</v>
      </c>
      <c r="K43" s="3">
        <v>269.45999999999998</v>
      </c>
    </row>
    <row r="44" spans="2:11" x14ac:dyDescent="0.25">
      <c r="B44" s="1">
        <v>45517</v>
      </c>
      <c r="C44" s="3">
        <f>VLOOKUP(B44,Tabla4[],2,FALSE)</f>
        <v>4046.96</v>
      </c>
      <c r="D44" s="3">
        <v>5434.44</v>
      </c>
      <c r="E44" s="3">
        <v>19006.43</v>
      </c>
      <c r="F44" s="3">
        <v>68.459999999999994</v>
      </c>
      <c r="G44" s="3">
        <v>158.38999999999999</v>
      </c>
      <c r="H44" s="3">
        <v>167.29</v>
      </c>
      <c r="I44" s="3">
        <v>172.37</v>
      </c>
      <c r="J44" s="3">
        <v>414.01</v>
      </c>
      <c r="K44" s="3">
        <v>270.31</v>
      </c>
    </row>
    <row r="45" spans="2:11" x14ac:dyDescent="0.25">
      <c r="B45" s="1">
        <v>45518</v>
      </c>
      <c r="C45" s="3">
        <f>VLOOKUP(B45,Tabla4[],2,FALSE)</f>
        <v>4038.46</v>
      </c>
      <c r="D45" s="3">
        <v>5455.2</v>
      </c>
      <c r="E45" s="3">
        <v>19022.68</v>
      </c>
      <c r="F45" s="3">
        <v>68.58</v>
      </c>
      <c r="G45" s="3">
        <v>158.47999999999999</v>
      </c>
      <c r="H45" s="3">
        <v>168.8</v>
      </c>
      <c r="I45" s="3">
        <v>173.31</v>
      </c>
      <c r="J45" s="3">
        <v>416.86</v>
      </c>
      <c r="K45" s="3">
        <v>271.14999999999998</v>
      </c>
    </row>
    <row r="46" spans="2:11" x14ac:dyDescent="0.25">
      <c r="B46" s="1">
        <v>45519</v>
      </c>
      <c r="C46" s="3">
        <f>VLOOKUP(B46,Tabla4[],2,FALSE)</f>
        <v>4037.16</v>
      </c>
      <c r="D46" s="3">
        <v>5543.21</v>
      </c>
      <c r="E46" s="3">
        <v>19490.150000000001</v>
      </c>
      <c r="F46" s="3">
        <v>68.650000000000006</v>
      </c>
      <c r="G46" s="3">
        <v>159.09</v>
      </c>
      <c r="H46" s="3">
        <v>167.92</v>
      </c>
      <c r="I46" s="3">
        <v>172.52</v>
      </c>
      <c r="J46" s="3">
        <v>421.03</v>
      </c>
      <c r="K46" s="3">
        <v>274.87</v>
      </c>
    </row>
    <row r="47" spans="2:11" x14ac:dyDescent="0.25">
      <c r="B47" s="1">
        <v>45520</v>
      </c>
      <c r="C47" s="3">
        <f>VLOOKUP(B47,Tabla4[],2,FALSE)</f>
        <v>4014.8</v>
      </c>
      <c r="D47" s="3">
        <v>5554.26</v>
      </c>
      <c r="E47" s="3">
        <v>19508.52</v>
      </c>
      <c r="F47" s="3">
        <v>69.180000000000007</v>
      </c>
      <c r="G47" s="3">
        <v>159.38999999999999</v>
      </c>
      <c r="H47" s="3">
        <v>167.89</v>
      </c>
      <c r="I47" s="3">
        <v>172.62</v>
      </c>
      <c r="J47" s="3">
        <v>418.47</v>
      </c>
      <c r="K47" s="3">
        <v>278.49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14"/>
  <sheetViews>
    <sheetView workbookViewId="0">
      <selection activeCell="I18" sqref="I18"/>
    </sheetView>
  </sheetViews>
  <sheetFormatPr baseColWidth="10" defaultRowHeight="15" x14ac:dyDescent="0.25"/>
  <cols>
    <col min="2" max="2" width="18.140625" customWidth="1"/>
    <col min="3" max="3" width="18.5703125" customWidth="1"/>
    <col min="4" max="4" width="18.85546875" customWidth="1"/>
    <col min="5" max="5" width="18.5703125" customWidth="1"/>
    <col min="6" max="6" width="19.42578125" customWidth="1"/>
    <col min="7" max="7" width="20.7109375" customWidth="1"/>
    <col min="8" max="9" width="20.42578125" customWidth="1"/>
    <col min="10" max="10" width="13.140625" customWidth="1"/>
    <col min="11" max="11" width="19.140625" customWidth="1"/>
    <col min="12" max="12" width="20" customWidth="1"/>
    <col min="13" max="13" width="16.7109375" customWidth="1"/>
    <col min="14" max="14" width="27.28515625" customWidth="1"/>
    <col min="15" max="15" width="22.7109375" customWidth="1"/>
    <col min="16" max="16" width="21.7109375" customWidth="1"/>
    <col min="17" max="17" width="33.7109375" customWidth="1"/>
    <col min="18" max="18" width="30.5703125" customWidth="1"/>
    <col min="19" max="19" width="21.7109375" customWidth="1"/>
    <col min="20" max="20" width="17.85546875" customWidth="1"/>
  </cols>
  <sheetData>
    <row r="2" spans="2:20" x14ac:dyDescent="0.25">
      <c r="B2" s="20" t="s">
        <v>68</v>
      </c>
      <c r="C2" s="20" t="s">
        <v>69</v>
      </c>
      <c r="D2" s="20" t="s">
        <v>70</v>
      </c>
      <c r="E2" s="20" t="s">
        <v>71</v>
      </c>
      <c r="F2" s="20" t="s">
        <v>72</v>
      </c>
      <c r="G2" s="20" t="s">
        <v>73</v>
      </c>
      <c r="H2" s="20" t="s">
        <v>74</v>
      </c>
      <c r="I2" s="20" t="s">
        <v>85</v>
      </c>
      <c r="J2" s="20" t="s">
        <v>75</v>
      </c>
      <c r="K2" s="20" t="s">
        <v>40</v>
      </c>
      <c r="L2" s="20" t="s">
        <v>76</v>
      </c>
      <c r="M2" s="20" t="s">
        <v>81</v>
      </c>
      <c r="N2" s="20" t="s">
        <v>82</v>
      </c>
      <c r="O2" s="20" t="s">
        <v>77</v>
      </c>
      <c r="P2" s="20" t="s">
        <v>78</v>
      </c>
      <c r="Q2" s="20" t="s">
        <v>83</v>
      </c>
      <c r="R2" s="20" t="s">
        <v>84</v>
      </c>
      <c r="S2" s="20" t="s">
        <v>79</v>
      </c>
      <c r="T2" s="20" t="s">
        <v>48</v>
      </c>
    </row>
    <row r="3" spans="2:20" x14ac:dyDescent="0.25">
      <c r="B3" s="1">
        <f t="shared" ref="B3:B14" ca="1" si="0">TODAY()</f>
        <v>45521</v>
      </c>
      <c r="C3" s="19" t="e">
        <f ca="1">VLOOKUP(B3,Tabla1[],5,FALSE)</f>
        <v>#N/A</v>
      </c>
      <c r="D3" s="18" t="e">
        <f ca="1">VLOOKUP(B3,Tabla1[],6,FALSE)</f>
        <v>#N/A</v>
      </c>
      <c r="E3" s="18" t="e">
        <f ca="1">VLOOKUP(B3,Tabla1[],7,FALSE)</f>
        <v>#N/A</v>
      </c>
      <c r="F3" s="18" t="e">
        <f ca="1">VLOOKUP(B3,Tabla1[],8,FALSE)</f>
        <v>#N/A</v>
      </c>
      <c r="G3" s="18" t="e">
        <f ca="1">VLOOKUP(B3,Tabla1[],9,FALSE)</f>
        <v>#N/A</v>
      </c>
      <c r="H3" s="18" t="e">
        <f ca="1">VLOOKUP(B3,Tabla1[],10,FALSE)</f>
        <v>#N/A</v>
      </c>
      <c r="I3" s="18" t="e">
        <f ca="1">VLOOKUP(B3,Tabla2[],3,FALSE)</f>
        <v>#N/A</v>
      </c>
      <c r="J3" s="18" t="s">
        <v>8</v>
      </c>
      <c r="K3" s="1">
        <v>45460</v>
      </c>
      <c r="L3" s="7">
        <v>62.62</v>
      </c>
      <c r="M3" s="7">
        <v>7</v>
      </c>
      <c r="N3" s="21">
        <f t="shared" ref="N3:N14" si="1">(M3/L3)</f>
        <v>0.11178537208559566</v>
      </c>
      <c r="O3" s="7" t="e">
        <f t="shared" ref="O3:O14" ca="1" si="2">ROUND(IF(J3="KO",N3*C3,IF(J3="JNJ",N3*D3,IF(J3="PG",N3*E3,IF(J3="PEP",N3*F3,IF(J3="MSFT",N3*G3,IF(J3="MCD",N3*H3,IF(J3="VOO",N3*I3,0))))))),2)</f>
        <v>#N/A</v>
      </c>
      <c r="P3" s="18"/>
      <c r="Q3" s="7"/>
      <c r="R3" s="7">
        <f t="shared" ref="R3:R14" si="3">ROUND(Q3*N3,2)</f>
        <v>0</v>
      </c>
      <c r="S3" s="7" t="e">
        <f t="shared" ref="S3:S14" ca="1" si="4">ROUND(O3-M3,2)</f>
        <v>#N/A</v>
      </c>
      <c r="T3" s="9" t="e">
        <f t="shared" ref="T3:T14" ca="1" si="5">ROUND((S3+R3)/M3,2)</f>
        <v>#N/A</v>
      </c>
    </row>
    <row r="4" spans="2:20" x14ac:dyDescent="0.25">
      <c r="B4" s="1">
        <f t="shared" ca="1" si="0"/>
        <v>45521</v>
      </c>
      <c r="C4" s="19" t="e">
        <f ca="1">VLOOKUP(B4,Tabla1[],5,FALSE)</f>
        <v>#N/A</v>
      </c>
      <c r="D4" s="18" t="e">
        <f ca="1">VLOOKUP(B4,Tabla1[],6,FALSE)</f>
        <v>#N/A</v>
      </c>
      <c r="E4" s="18" t="e">
        <f ca="1">VLOOKUP(B4,Tabla1[],7,FALSE)</f>
        <v>#N/A</v>
      </c>
      <c r="F4" s="18" t="e">
        <f ca="1">VLOOKUP(B4,Tabla1[],8,FALSE)</f>
        <v>#N/A</v>
      </c>
      <c r="G4" s="18" t="e">
        <f ca="1">VLOOKUP(B4,Tabla1[],9,FALSE)</f>
        <v>#N/A</v>
      </c>
      <c r="H4" s="18" t="e">
        <f ca="1">VLOOKUP(B4,Tabla1[],10,FALSE)</f>
        <v>#N/A</v>
      </c>
      <c r="I4" s="18" t="e">
        <f ca="1">VLOOKUP(B4,Tabla2[],3,FALSE)</f>
        <v>#N/A</v>
      </c>
      <c r="J4" s="18" t="s">
        <v>9</v>
      </c>
      <c r="K4" s="1">
        <v>45460</v>
      </c>
      <c r="L4" s="7">
        <v>145.94999999999999</v>
      </c>
      <c r="M4" s="7">
        <v>7</v>
      </c>
      <c r="N4" s="21">
        <f t="shared" si="1"/>
        <v>4.7961630695443652E-2</v>
      </c>
      <c r="O4" s="7" t="e">
        <f t="shared" ca="1" si="2"/>
        <v>#N/A</v>
      </c>
      <c r="P4" s="18"/>
      <c r="Q4" s="7"/>
      <c r="R4" s="7">
        <f t="shared" si="3"/>
        <v>0</v>
      </c>
      <c r="S4" s="7" t="e">
        <f t="shared" ca="1" si="4"/>
        <v>#N/A</v>
      </c>
      <c r="T4" s="9" t="e">
        <f t="shared" ca="1" si="5"/>
        <v>#N/A</v>
      </c>
    </row>
    <row r="5" spans="2:20" x14ac:dyDescent="0.25">
      <c r="B5" s="1">
        <f t="shared" ca="1" si="0"/>
        <v>45521</v>
      </c>
      <c r="C5" s="19" t="e">
        <f ca="1">VLOOKUP(B5,Tabla1[],5,FALSE)</f>
        <v>#N/A</v>
      </c>
      <c r="D5" s="18" t="e">
        <f ca="1">VLOOKUP(B5,Tabla1[],6,FALSE)</f>
        <v>#N/A</v>
      </c>
      <c r="E5" s="18" t="e">
        <f ca="1">VLOOKUP(B5,Tabla1[],7,FALSE)</f>
        <v>#N/A</v>
      </c>
      <c r="F5" s="18" t="e">
        <f ca="1">VLOOKUP(B5,Tabla1[],8,FALSE)</f>
        <v>#N/A</v>
      </c>
      <c r="G5" s="18" t="e">
        <f ca="1">VLOOKUP(B5,Tabla1[],9,FALSE)</f>
        <v>#N/A</v>
      </c>
      <c r="H5" s="18" t="e">
        <f ca="1">VLOOKUP(B5,Tabla1[],10,FALSE)</f>
        <v>#N/A</v>
      </c>
      <c r="I5" s="18" t="e">
        <f ca="1">VLOOKUP(B5,Tabla2[],3,FALSE)</f>
        <v>#N/A</v>
      </c>
      <c r="J5" s="18" t="s">
        <v>10</v>
      </c>
      <c r="K5" s="1">
        <v>45460</v>
      </c>
      <c r="L5" s="7">
        <v>167.5</v>
      </c>
      <c r="M5" s="7">
        <v>7</v>
      </c>
      <c r="N5" s="21">
        <f t="shared" si="1"/>
        <v>4.1791044776119404E-2</v>
      </c>
      <c r="O5" s="7" t="e">
        <f t="shared" ca="1" si="2"/>
        <v>#N/A</v>
      </c>
      <c r="P5" s="18"/>
      <c r="Q5" s="7"/>
      <c r="R5" s="7">
        <f t="shared" si="3"/>
        <v>0</v>
      </c>
      <c r="S5" s="7" t="e">
        <f t="shared" ca="1" si="4"/>
        <v>#N/A</v>
      </c>
      <c r="T5" s="9" t="e">
        <f t="shared" ca="1" si="5"/>
        <v>#N/A</v>
      </c>
    </row>
    <row r="6" spans="2:20" x14ac:dyDescent="0.25">
      <c r="B6" s="1">
        <f t="shared" ca="1" si="0"/>
        <v>45521</v>
      </c>
      <c r="C6" s="19" t="e">
        <f ca="1">VLOOKUP(B6,Tabla1[],5,FALSE)</f>
        <v>#N/A</v>
      </c>
      <c r="D6" s="18" t="e">
        <f ca="1">VLOOKUP(B6,Tabla1[],6,FALSE)</f>
        <v>#N/A</v>
      </c>
      <c r="E6" s="18" t="e">
        <f ca="1">VLOOKUP(B6,Tabla1[],7,FALSE)</f>
        <v>#N/A</v>
      </c>
      <c r="F6" s="18" t="e">
        <f ca="1">VLOOKUP(B6,Tabla1[],8,FALSE)</f>
        <v>#N/A</v>
      </c>
      <c r="G6" s="18" t="e">
        <f ca="1">VLOOKUP(B6,Tabla1[],9,FALSE)</f>
        <v>#N/A</v>
      </c>
      <c r="H6" s="18" t="e">
        <f ca="1">VLOOKUP(B6,Tabla1[],10,FALSE)</f>
        <v>#N/A</v>
      </c>
      <c r="I6" s="18" t="e">
        <f ca="1">VLOOKUP(B6,Tabla2[],3,FALSE)</f>
        <v>#N/A</v>
      </c>
      <c r="J6" s="18" t="s">
        <v>11</v>
      </c>
      <c r="K6" s="1">
        <v>45460</v>
      </c>
      <c r="L6" s="7">
        <v>166.14</v>
      </c>
      <c r="M6" s="7">
        <v>7</v>
      </c>
      <c r="N6" s="21">
        <f t="shared" si="1"/>
        <v>4.2133140724690023E-2</v>
      </c>
      <c r="O6" s="7" t="e">
        <f t="shared" ca="1" si="2"/>
        <v>#N/A</v>
      </c>
      <c r="P6" s="18"/>
      <c r="Q6" s="7"/>
      <c r="R6" s="7">
        <f t="shared" si="3"/>
        <v>0</v>
      </c>
      <c r="S6" s="7" t="e">
        <f t="shared" ca="1" si="4"/>
        <v>#N/A</v>
      </c>
      <c r="T6" s="9" t="e">
        <f t="shared" ca="1" si="5"/>
        <v>#N/A</v>
      </c>
    </row>
    <row r="7" spans="2:20" x14ac:dyDescent="0.25">
      <c r="B7" s="1">
        <f t="shared" ca="1" si="0"/>
        <v>45521</v>
      </c>
      <c r="C7" s="19" t="e">
        <f ca="1">VLOOKUP(B7,Tabla1[],5,FALSE)</f>
        <v>#N/A</v>
      </c>
      <c r="D7" s="18" t="e">
        <f ca="1">VLOOKUP(B7,Tabla1[],6,FALSE)</f>
        <v>#N/A</v>
      </c>
      <c r="E7" s="18" t="e">
        <f ca="1">VLOOKUP(B7,Tabla1[],7,FALSE)</f>
        <v>#N/A</v>
      </c>
      <c r="F7" s="18" t="e">
        <f ca="1">VLOOKUP(B7,Tabla1[],8,FALSE)</f>
        <v>#N/A</v>
      </c>
      <c r="G7" s="18" t="e">
        <f ca="1">VLOOKUP(B7,Tabla1[],9,FALSE)</f>
        <v>#N/A</v>
      </c>
      <c r="H7" s="18" t="e">
        <f ca="1">VLOOKUP(B7,Tabla1[],10,FALSE)</f>
        <v>#N/A</v>
      </c>
      <c r="I7" s="18" t="e">
        <f ca="1">VLOOKUP(B7,Tabla2[],3,FALSE)</f>
        <v>#N/A</v>
      </c>
      <c r="J7" s="18" t="s">
        <v>12</v>
      </c>
      <c r="K7" s="1">
        <v>45460</v>
      </c>
      <c r="L7" s="7">
        <v>253.51</v>
      </c>
      <c r="M7" s="7">
        <v>7</v>
      </c>
      <c r="N7" s="21">
        <f t="shared" si="1"/>
        <v>2.7612322985286576E-2</v>
      </c>
      <c r="O7" s="7" t="e">
        <f t="shared" ca="1" si="2"/>
        <v>#N/A</v>
      </c>
      <c r="P7" s="18"/>
      <c r="Q7" s="7"/>
      <c r="R7" s="7">
        <f t="shared" si="3"/>
        <v>0</v>
      </c>
      <c r="S7" s="7" t="e">
        <f ca="1">ROUND(O7-M7,2)</f>
        <v>#N/A</v>
      </c>
      <c r="T7" s="9" t="e">
        <f t="shared" ca="1" si="5"/>
        <v>#N/A</v>
      </c>
    </row>
    <row r="8" spans="2:20" x14ac:dyDescent="0.25">
      <c r="B8" s="1">
        <f t="shared" ca="1" si="0"/>
        <v>45521</v>
      </c>
      <c r="C8" s="19" t="e">
        <f ca="1">VLOOKUP(B8,Tabla1[],5,FALSE)</f>
        <v>#N/A</v>
      </c>
      <c r="D8" s="18" t="e">
        <f ca="1">VLOOKUP(B8,Tabla1[],6,FALSE)</f>
        <v>#N/A</v>
      </c>
      <c r="E8" s="18" t="e">
        <f ca="1">VLOOKUP(B8,Tabla1[],7,FALSE)</f>
        <v>#N/A</v>
      </c>
      <c r="F8" s="18" t="e">
        <f ca="1">VLOOKUP(B8,Tabla1[],8,FALSE)</f>
        <v>#N/A</v>
      </c>
      <c r="G8" s="18" t="e">
        <f ca="1">VLOOKUP(B8,Tabla1[],9,FALSE)</f>
        <v>#N/A</v>
      </c>
      <c r="H8" s="18" t="e">
        <f ca="1">VLOOKUP(B8,Tabla1[],10,FALSE)</f>
        <v>#N/A</v>
      </c>
      <c r="I8" s="18" t="e">
        <f ca="1">VLOOKUP(B8,Tabla2[],3,FALSE)</f>
        <v>#N/A</v>
      </c>
      <c r="J8" s="18" t="s">
        <v>14</v>
      </c>
      <c r="K8" s="1">
        <v>45478</v>
      </c>
      <c r="L8" s="7">
        <v>507.08</v>
      </c>
      <c r="M8" s="7">
        <v>7.7</v>
      </c>
      <c r="N8" s="21">
        <f t="shared" si="1"/>
        <v>1.5184980673660961E-2</v>
      </c>
      <c r="O8" s="7" t="e">
        <f ca="1">ROUND(IF(J8="KO",N8*C8,IF(J8="JNJ",N8*D8,IF(J8="PG",N8*E8,IF(J8="PEP",N8*F8,IF(J8="MSFT",N8*G8,IF(J8="MCD",N8*H8,IF(J8="VOO",N8*I8,0))))))),2)</f>
        <v>#N/A</v>
      </c>
      <c r="P8" s="18"/>
      <c r="Q8" s="7"/>
      <c r="R8" s="7">
        <f t="shared" si="3"/>
        <v>0</v>
      </c>
      <c r="S8" s="7" t="e">
        <f t="shared" ca="1" si="4"/>
        <v>#N/A</v>
      </c>
      <c r="T8" s="9" t="e">
        <f t="shared" ca="1" si="5"/>
        <v>#N/A</v>
      </c>
    </row>
    <row r="9" spans="2:20" x14ac:dyDescent="0.25">
      <c r="B9" s="1">
        <f t="shared" ca="1" si="0"/>
        <v>45521</v>
      </c>
      <c r="C9" s="19" t="e">
        <f ca="1">VLOOKUP(B9,Tabla1[],5,FALSE)</f>
        <v>#N/A</v>
      </c>
      <c r="D9" s="18" t="e">
        <f ca="1">VLOOKUP(B9,Tabla1[],6,FALSE)</f>
        <v>#N/A</v>
      </c>
      <c r="E9" s="18" t="e">
        <f ca="1">VLOOKUP(B9,Tabla1[],7,FALSE)</f>
        <v>#N/A</v>
      </c>
      <c r="F9" s="18" t="e">
        <f ca="1">VLOOKUP(B9,Tabla1[],8,FALSE)</f>
        <v>#N/A</v>
      </c>
      <c r="G9" s="18" t="e">
        <f ca="1">VLOOKUP(B9,Tabla1[],9,FALSE)</f>
        <v>#N/A</v>
      </c>
      <c r="H9" s="18" t="e">
        <f ca="1">VLOOKUP(B9,Tabla1[],10,FALSE)</f>
        <v>#N/A</v>
      </c>
      <c r="I9" s="18" t="e">
        <f ca="1">VLOOKUP(B9,Tabla2[],3,FALSE)</f>
        <v>#N/A</v>
      </c>
      <c r="J9" s="18" t="s">
        <v>8</v>
      </c>
      <c r="K9" s="1">
        <v>45490</v>
      </c>
      <c r="L9" s="7">
        <v>65.209999999999994</v>
      </c>
      <c r="M9" s="7">
        <v>7</v>
      </c>
      <c r="N9" s="21">
        <f t="shared" si="1"/>
        <v>0.10734549915657109</v>
      </c>
      <c r="O9" s="7" t="e">
        <f t="shared" ca="1" si="2"/>
        <v>#N/A</v>
      </c>
      <c r="P9" s="18"/>
      <c r="Q9" s="7"/>
      <c r="R9" s="7">
        <f t="shared" si="3"/>
        <v>0</v>
      </c>
      <c r="S9" s="7" t="e">
        <f t="shared" ca="1" si="4"/>
        <v>#N/A</v>
      </c>
      <c r="T9" s="9" t="e">
        <f t="shared" ca="1" si="5"/>
        <v>#N/A</v>
      </c>
    </row>
    <row r="10" spans="2:20" x14ac:dyDescent="0.25">
      <c r="B10" s="1">
        <f t="shared" ca="1" si="0"/>
        <v>45521</v>
      </c>
      <c r="C10" s="19" t="e">
        <f ca="1">VLOOKUP(B10,Tabla1[],5,FALSE)</f>
        <v>#N/A</v>
      </c>
      <c r="D10" s="18" t="e">
        <f ca="1">VLOOKUP(B10,Tabla1[],6,FALSE)</f>
        <v>#N/A</v>
      </c>
      <c r="E10" s="18" t="e">
        <f ca="1">VLOOKUP(B10,Tabla1[],7,FALSE)</f>
        <v>#N/A</v>
      </c>
      <c r="F10" s="18" t="e">
        <f ca="1">VLOOKUP(B10,Tabla1[],8,FALSE)</f>
        <v>#N/A</v>
      </c>
      <c r="G10" s="18" t="e">
        <f ca="1">VLOOKUP(B10,Tabla1[],9,FALSE)</f>
        <v>#N/A</v>
      </c>
      <c r="H10" s="18" t="e">
        <f ca="1">VLOOKUP(B10,Tabla1[],10,FALSE)</f>
        <v>#N/A</v>
      </c>
      <c r="I10" s="18" t="e">
        <f ca="1">VLOOKUP(B10,Tabla2[],3,FALSE)</f>
        <v>#N/A</v>
      </c>
      <c r="J10" s="18" t="s">
        <v>9</v>
      </c>
      <c r="K10" s="1">
        <v>45490</v>
      </c>
      <c r="L10" s="7">
        <v>156.58000000000001</v>
      </c>
      <c r="M10" s="7">
        <v>7</v>
      </c>
      <c r="N10" s="21">
        <f t="shared" si="1"/>
        <v>4.4705581811214708E-2</v>
      </c>
      <c r="O10" s="7" t="e">
        <f t="shared" ca="1" si="2"/>
        <v>#N/A</v>
      </c>
      <c r="P10" s="18"/>
      <c r="Q10" s="7"/>
      <c r="R10" s="7">
        <f t="shared" si="3"/>
        <v>0</v>
      </c>
      <c r="S10" s="7" t="e">
        <f t="shared" ca="1" si="4"/>
        <v>#N/A</v>
      </c>
      <c r="T10" s="9" t="e">
        <f t="shared" ca="1" si="5"/>
        <v>#N/A</v>
      </c>
    </row>
    <row r="11" spans="2:20" x14ac:dyDescent="0.25">
      <c r="B11" s="1">
        <f t="shared" ca="1" si="0"/>
        <v>45521</v>
      </c>
      <c r="C11" s="19" t="e">
        <f ca="1">VLOOKUP(B11,Tabla1[],5,FALSE)</f>
        <v>#N/A</v>
      </c>
      <c r="D11" s="18" t="e">
        <f ca="1">VLOOKUP(B11,Tabla1[],6,FALSE)</f>
        <v>#N/A</v>
      </c>
      <c r="E11" s="18" t="e">
        <f ca="1">VLOOKUP(B11,Tabla1[],7,FALSE)</f>
        <v>#N/A</v>
      </c>
      <c r="F11" s="18" t="e">
        <f ca="1">VLOOKUP(B11,Tabla1[],8,FALSE)</f>
        <v>#N/A</v>
      </c>
      <c r="G11" s="18" t="e">
        <f ca="1">VLOOKUP(B11,Tabla1[],9,FALSE)</f>
        <v>#N/A</v>
      </c>
      <c r="H11" s="18" t="e">
        <f ca="1">VLOOKUP(B11,Tabla1[],10,FALSE)</f>
        <v>#N/A</v>
      </c>
      <c r="I11" s="18" t="e">
        <f ca="1">VLOOKUP(B11,Tabla2[],3,FALSE)</f>
        <v>#N/A</v>
      </c>
      <c r="J11" s="18" t="s">
        <v>10</v>
      </c>
      <c r="K11" s="1">
        <v>45490</v>
      </c>
      <c r="L11" s="7">
        <v>169.44</v>
      </c>
      <c r="M11" s="7">
        <v>7</v>
      </c>
      <c r="N11" s="21">
        <f t="shared" si="1"/>
        <v>4.1312559017941453E-2</v>
      </c>
      <c r="O11" s="7" t="e">
        <f t="shared" ca="1" si="2"/>
        <v>#N/A</v>
      </c>
      <c r="P11" s="18"/>
      <c r="Q11" s="7"/>
      <c r="R11" s="7">
        <f t="shared" si="3"/>
        <v>0</v>
      </c>
      <c r="S11" s="7" t="e">
        <f t="shared" ca="1" si="4"/>
        <v>#N/A</v>
      </c>
      <c r="T11" s="9" t="e">
        <f t="shared" ca="1" si="5"/>
        <v>#N/A</v>
      </c>
    </row>
    <row r="12" spans="2:20" x14ac:dyDescent="0.25">
      <c r="B12" s="1">
        <f t="shared" ca="1" si="0"/>
        <v>45521</v>
      </c>
      <c r="C12" s="19" t="e">
        <f ca="1">VLOOKUP(B12,Tabla1[],5,FALSE)</f>
        <v>#N/A</v>
      </c>
      <c r="D12" s="18" t="e">
        <f ca="1">VLOOKUP(B12,Tabla1[],6,FALSE)</f>
        <v>#N/A</v>
      </c>
      <c r="E12" s="18" t="e">
        <f ca="1">VLOOKUP(B12,Tabla1[],7,FALSE)</f>
        <v>#N/A</v>
      </c>
      <c r="F12" s="18" t="e">
        <f ca="1">VLOOKUP(B12,Tabla1[],8,FALSE)</f>
        <v>#N/A</v>
      </c>
      <c r="G12" s="18" t="e">
        <f ca="1">VLOOKUP(B12,Tabla1[],9,FALSE)</f>
        <v>#N/A</v>
      </c>
      <c r="H12" s="18" t="e">
        <f ca="1">VLOOKUP(B12,Tabla1[],10,FALSE)</f>
        <v>#N/A</v>
      </c>
      <c r="I12" s="18" t="e">
        <f ca="1">VLOOKUP(B12,Tabla2[],3,FALSE)</f>
        <v>#N/A</v>
      </c>
      <c r="J12" s="18" t="s">
        <v>11</v>
      </c>
      <c r="K12" s="1">
        <v>45490</v>
      </c>
      <c r="L12" s="7">
        <v>169.89</v>
      </c>
      <c r="M12" s="7">
        <v>7</v>
      </c>
      <c r="N12" s="21">
        <f t="shared" si="1"/>
        <v>4.1203131437989288E-2</v>
      </c>
      <c r="O12" s="7" t="e">
        <f t="shared" ca="1" si="2"/>
        <v>#N/A</v>
      </c>
      <c r="P12" s="18"/>
      <c r="Q12" s="7"/>
      <c r="R12" s="7">
        <f t="shared" si="3"/>
        <v>0</v>
      </c>
      <c r="S12" s="7" t="e">
        <f t="shared" ca="1" si="4"/>
        <v>#N/A</v>
      </c>
      <c r="T12" s="9" t="e">
        <f t="shared" ca="1" si="5"/>
        <v>#N/A</v>
      </c>
    </row>
    <row r="13" spans="2:20" x14ac:dyDescent="0.25">
      <c r="B13" s="1">
        <f t="shared" ca="1" si="0"/>
        <v>45521</v>
      </c>
      <c r="C13" s="19" t="e">
        <f ca="1">VLOOKUP(B13,Tabla1[],5,FALSE)</f>
        <v>#N/A</v>
      </c>
      <c r="D13" s="18" t="e">
        <f ca="1">VLOOKUP(B13,Tabla1[],6,FALSE)</f>
        <v>#N/A</v>
      </c>
      <c r="E13" s="18" t="e">
        <f ca="1">VLOOKUP(B13,Tabla1[],7,FALSE)</f>
        <v>#N/A</v>
      </c>
      <c r="F13" s="18" t="e">
        <f ca="1">VLOOKUP(B13,Tabla1[],8,FALSE)</f>
        <v>#N/A</v>
      </c>
      <c r="G13" s="18" t="e">
        <f ca="1">VLOOKUP(B13,Tabla1[],9,FALSE)</f>
        <v>#N/A</v>
      </c>
      <c r="H13" s="18" t="e">
        <f ca="1">VLOOKUP(B13,Tabla1[],10,FALSE)</f>
        <v>#N/A</v>
      </c>
      <c r="I13" s="18" t="e">
        <f ca="1">VLOOKUP(B13,Tabla2[],3,FALSE)</f>
        <v>#N/A</v>
      </c>
      <c r="J13" s="18" t="s">
        <v>12</v>
      </c>
      <c r="K13" s="1">
        <v>45490</v>
      </c>
      <c r="L13" s="7">
        <v>261</v>
      </c>
      <c r="M13" s="7">
        <v>7</v>
      </c>
      <c r="N13" s="21">
        <f t="shared" si="1"/>
        <v>2.681992337164751E-2</v>
      </c>
      <c r="O13" s="7" t="e">
        <f t="shared" ca="1" si="2"/>
        <v>#N/A</v>
      </c>
      <c r="P13" s="18"/>
      <c r="Q13" s="7"/>
      <c r="R13" s="7">
        <f t="shared" si="3"/>
        <v>0</v>
      </c>
      <c r="S13" s="7" t="e">
        <f t="shared" ca="1" si="4"/>
        <v>#N/A</v>
      </c>
      <c r="T13" s="9" t="e">
        <f t="shared" ca="1" si="5"/>
        <v>#N/A</v>
      </c>
    </row>
    <row r="14" spans="2:20" x14ac:dyDescent="0.25">
      <c r="B14" s="1">
        <f t="shared" ca="1" si="0"/>
        <v>45521</v>
      </c>
      <c r="C14" s="19" t="e">
        <f ca="1">VLOOKUP(B14,Tabla1[],5,FALSE)</f>
        <v>#N/A</v>
      </c>
      <c r="D14" s="18" t="e">
        <f ca="1">VLOOKUP(B14,Tabla1[],6,FALSE)</f>
        <v>#N/A</v>
      </c>
      <c r="E14" s="18" t="e">
        <f ca="1">VLOOKUP(B14,Tabla1[],7,FALSE)</f>
        <v>#N/A</v>
      </c>
      <c r="F14" s="18" t="e">
        <f ca="1">VLOOKUP(B14,Tabla1[],8,FALSE)</f>
        <v>#N/A</v>
      </c>
      <c r="G14" s="18" t="e">
        <f ca="1">VLOOKUP(B14,Tabla1[],9,FALSE)</f>
        <v>#N/A</v>
      </c>
      <c r="H14" s="18" t="e">
        <f ca="1">VLOOKUP(B14,Tabla1[],10,FALSE)</f>
        <v>#N/A</v>
      </c>
      <c r="I14" s="18" t="e">
        <f ca="1">VLOOKUP(B14,Tabla2[],3,FALSE)</f>
        <v>#N/A</v>
      </c>
      <c r="J14" s="18" t="s">
        <v>13</v>
      </c>
      <c r="K14" s="1">
        <v>45490</v>
      </c>
      <c r="L14" s="7">
        <v>443.52</v>
      </c>
      <c r="M14" s="7">
        <v>7</v>
      </c>
      <c r="N14" s="21">
        <f t="shared" si="1"/>
        <v>1.5782828282828284E-2</v>
      </c>
      <c r="O14" s="7" t="e">
        <f t="shared" ca="1" si="2"/>
        <v>#N/A</v>
      </c>
      <c r="P14" s="18"/>
      <c r="Q14" s="7"/>
      <c r="R14" s="7">
        <f t="shared" si="3"/>
        <v>0</v>
      </c>
      <c r="S14" s="7" t="e">
        <f t="shared" ca="1" si="4"/>
        <v>#N/A</v>
      </c>
      <c r="T14" s="9" t="e">
        <f t="shared" ca="1" si="5"/>
        <v>#N/A</v>
      </c>
    </row>
  </sheetData>
  <conditionalFormatting sqref="S1:S1048576">
    <cfRule type="colorScale" priority="1">
      <colorScale>
        <cfvo type="num" val="0"/>
        <cfvo type="num" val="0"/>
        <color rgb="FFFF3B3B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I3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PORTAFOLIO</vt:lpstr>
      <vt:lpstr>Reporte mes cuenta de ahorro</vt:lpstr>
      <vt:lpstr>CRIPTOS</vt:lpstr>
      <vt:lpstr>reportePorCompra</vt:lpstr>
      <vt:lpstr>USDT</vt:lpstr>
      <vt:lpstr>inventarioCripto</vt:lpstr>
      <vt:lpstr>Inv Bolsa</vt:lpstr>
      <vt:lpstr>BOLSA</vt:lpstr>
      <vt:lpstr>simulacionBolsa</vt:lpstr>
      <vt:lpstr>BOLSA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sebastian carrero</cp:lastModifiedBy>
  <dcterms:created xsi:type="dcterms:W3CDTF">2024-04-08T04:15:12Z</dcterms:created>
  <dcterms:modified xsi:type="dcterms:W3CDTF">2024-08-17T18:19:22Z</dcterms:modified>
</cp:coreProperties>
</file>