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sebastianbaltser/Downloads/"/>
    </mc:Choice>
  </mc:AlternateContent>
  <xr:revisionPtr revIDLastSave="0" documentId="13_ncr:1_{AB4C8EA4-AF46-0848-A1A2-B1C13FAAB693}" xr6:coauthVersionLast="47" xr6:coauthVersionMax="47" xr10:uidLastSave="{00000000-0000-0000-0000-000000000000}"/>
  <bookViews>
    <workbookView xWindow="51200" yWindow="500" windowWidth="24000" windowHeight="37900" activeTab="2" xr2:uid="{00000000-000D-0000-FFFF-FFFF00000000}"/>
  </bookViews>
  <sheets>
    <sheet name="Initial" sheetId="1" r:id="rId1"/>
    <sheet name="Example" sheetId="4" r:id="rId2"/>
    <sheet name="Example (2)" sheetId="6" r:id="rId3"/>
    <sheet name="Ark2" sheetId="2" r:id="rId4"/>
    <sheet name="Ark3" sheetId="3" r:id="rId5"/>
  </sheets>
  <definedNames>
    <definedName name="debt_face_value" localSheetId="2">'Example (2)'!$F$29</definedName>
    <definedName name="debt_face_value">Example!$G$18</definedName>
    <definedName name="riskfree_rate" localSheetId="1">Example!$D$30</definedName>
    <definedName name="riskfree_rate" localSheetId="2">'Example (2)'!$D$41</definedName>
    <definedName name="riskfree_rate">Initial!$D$26</definedName>
    <definedName name="solver_adj" localSheetId="1" hidden="1">Example!$H$15</definedName>
    <definedName name="solver_adj" localSheetId="2" hidden="1">'Example (2)'!$Q$29</definedName>
    <definedName name="solver_adj" localSheetId="0" hidden="1">Initial!#REF!</definedName>
    <definedName name="solver_cvg" localSheetId="1" hidden="1">0.0001</definedName>
    <definedName name="solver_cvg" localSheetId="2" hidden="1">0.0001</definedName>
    <definedName name="solver_cvg" localSheetId="0" hidden="1">0.0001</definedName>
    <definedName name="solver_drv" localSheetId="1" hidden="1">2</definedName>
    <definedName name="solver_drv" localSheetId="2" hidden="1">2</definedName>
    <definedName name="solver_drv" localSheetId="0" hidden="1">2</definedName>
    <definedName name="solver_eng" localSheetId="1" hidden="1">1</definedName>
    <definedName name="solver_eng" localSheetId="2" hidden="1">1</definedName>
    <definedName name="solver_eng" localSheetId="0" hidden="1">1</definedName>
    <definedName name="solver_est" localSheetId="1" hidden="1">1</definedName>
    <definedName name="solver_est" localSheetId="2" hidden="1">1</definedName>
    <definedName name="solver_est" localSheetId="0" hidden="1">1</definedName>
    <definedName name="solver_itr" localSheetId="1" hidden="1">2147483647</definedName>
    <definedName name="solver_itr" localSheetId="2" hidden="1">2147483647</definedName>
    <definedName name="solver_itr" localSheetId="0" hidden="1">2147483647</definedName>
    <definedName name="solver_lhs1" localSheetId="1" hidden="1">Example!$H$15</definedName>
    <definedName name="solver_lhs1" localSheetId="2" hidden="1">'Example (2)'!$J$44</definedName>
    <definedName name="solver_lhs2" localSheetId="1" hidden="1">Example!$H$15</definedName>
    <definedName name="solver_lhs2" localSheetId="2" hidden="1">'Example (2)'!$J$26</definedName>
    <definedName name="solver_lin" localSheetId="1" hidden="1">2</definedName>
    <definedName name="solver_lin" localSheetId="2" hidden="1">2</definedName>
    <definedName name="solver_mip" localSheetId="1" hidden="1">2147483647</definedName>
    <definedName name="solver_mip" localSheetId="2" hidden="1">2147483647</definedName>
    <definedName name="solver_mip" localSheetId="0" hidden="1">2147483647</definedName>
    <definedName name="solver_mni" localSheetId="1" hidden="1">30</definedName>
    <definedName name="solver_mni" localSheetId="2" hidden="1">30</definedName>
    <definedName name="solver_mni" localSheetId="0" hidden="1">30</definedName>
    <definedName name="solver_mrt" localSheetId="1" hidden="1">0.075</definedName>
    <definedName name="solver_mrt" localSheetId="2" hidden="1">0.075</definedName>
    <definedName name="solver_mrt" localSheetId="0" hidden="1">0.075</definedName>
    <definedName name="solver_msl" localSheetId="1" hidden="1">2</definedName>
    <definedName name="solver_msl" localSheetId="2" hidden="1">2</definedName>
    <definedName name="solver_msl" localSheetId="0" hidden="1">2</definedName>
    <definedName name="solver_neg" localSheetId="1" hidden="1">1</definedName>
    <definedName name="solver_neg" localSheetId="2" hidden="1">1</definedName>
    <definedName name="solver_neg" localSheetId="0" hidden="1">1</definedName>
    <definedName name="solver_nod" localSheetId="1" hidden="1">2147483647</definedName>
    <definedName name="solver_nod" localSheetId="2" hidden="1">2147483647</definedName>
    <definedName name="solver_nod" localSheetId="0" hidden="1">2147483647</definedName>
    <definedName name="solver_num" localSheetId="1" hidden="1">2</definedName>
    <definedName name="solver_num" localSheetId="2" hidden="1">0</definedName>
    <definedName name="solver_num" localSheetId="0" hidden="1">0</definedName>
    <definedName name="solver_nwt" localSheetId="1" hidden="1">1</definedName>
    <definedName name="solver_nwt" localSheetId="2" hidden="1">1</definedName>
    <definedName name="solver_nwt" localSheetId="0" hidden="1">1</definedName>
    <definedName name="solver_opt" localSheetId="1" hidden="1">Example!$I$36</definedName>
    <definedName name="solver_opt" localSheetId="2" hidden="1">'Example (2)'!$R$43</definedName>
    <definedName name="solver_opt" localSheetId="0" hidden="1">Initial!#REF!</definedName>
    <definedName name="solver_pre" localSheetId="1" hidden="1">0.000001</definedName>
    <definedName name="solver_pre" localSheetId="2" hidden="1">0.000001</definedName>
    <definedName name="solver_pre" localSheetId="0" hidden="1">0.000001</definedName>
    <definedName name="solver_rbv" localSheetId="1" hidden="1">2</definedName>
    <definedName name="solver_rbv" localSheetId="2" hidden="1">2</definedName>
    <definedName name="solver_rbv" localSheetId="0" hidden="1">2</definedName>
    <definedName name="solver_rel1" localSheetId="1" hidden="1">1</definedName>
    <definedName name="solver_rel1" localSheetId="2" hidden="1">2</definedName>
    <definedName name="solver_rel2" localSheetId="1" hidden="1">3</definedName>
    <definedName name="solver_rel2" localSheetId="2" hidden="1">3</definedName>
    <definedName name="solver_rhs1" localSheetId="1" hidden="1">Example!$C$15</definedName>
    <definedName name="solver_rhs1" localSheetId="2" hidden="1">0</definedName>
    <definedName name="solver_rhs2" localSheetId="1" hidden="1">0</definedName>
    <definedName name="solver_rhs2" localSheetId="2" hidden="1">0</definedName>
    <definedName name="solver_rlx" localSheetId="1" hidden="1">2</definedName>
    <definedName name="solver_rlx" localSheetId="2" hidden="1">2</definedName>
    <definedName name="solver_rlx" localSheetId="0" hidden="1">2</definedName>
    <definedName name="solver_rsd" localSheetId="1" hidden="1">0</definedName>
    <definedName name="solver_rsd" localSheetId="2" hidden="1">0</definedName>
    <definedName name="solver_rsd" localSheetId="0" hidden="1">0</definedName>
    <definedName name="solver_scl" localSheetId="1" hidden="1">2</definedName>
    <definedName name="solver_scl" localSheetId="2" hidden="1">2</definedName>
    <definedName name="solver_scl" localSheetId="0" hidden="1">2</definedName>
    <definedName name="solver_sho" localSheetId="1" hidden="1">2</definedName>
    <definedName name="solver_sho" localSheetId="2" hidden="1">2</definedName>
    <definedName name="solver_sho" localSheetId="0" hidden="1">2</definedName>
    <definedName name="solver_ssz" localSheetId="1" hidden="1">100</definedName>
    <definedName name="solver_ssz" localSheetId="2" hidden="1">100</definedName>
    <definedName name="solver_ssz" localSheetId="0" hidden="1">100</definedName>
    <definedName name="solver_tim" localSheetId="1" hidden="1">2147483647</definedName>
    <definedName name="solver_tim" localSheetId="2" hidden="1">2147483647</definedName>
    <definedName name="solver_tim" localSheetId="0" hidden="1">2147483647</definedName>
    <definedName name="solver_tol" localSheetId="1" hidden="1">0.01</definedName>
    <definedName name="solver_tol" localSheetId="2" hidden="1">0.01</definedName>
    <definedName name="solver_tol" localSheetId="0" hidden="1">0.01</definedName>
    <definedName name="solver_typ" localSheetId="1" hidden="1">3</definedName>
    <definedName name="solver_typ" localSheetId="2" hidden="1">3</definedName>
    <definedName name="solver_typ" localSheetId="0" hidden="1">3</definedName>
    <definedName name="solver_val" localSheetId="1" hidden="1">0</definedName>
    <definedName name="solver_val" localSheetId="2" hidden="1">0</definedName>
    <definedName name="solver_val" localSheetId="0" hidden="1">0</definedName>
    <definedName name="solver_ver" localSheetId="1" hidden="1">2</definedName>
    <definedName name="solver_ver" localSheetId="2" hidden="1">2</definedName>
    <definedName name="solver_ver" localSheetId="0"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0" i="6" l="1"/>
  <c r="D41" i="6"/>
  <c r="D40" i="6"/>
  <c r="D39" i="6"/>
  <c r="P39" i="6"/>
  <c r="P43" i="6" s="1"/>
  <c r="R17" i="6"/>
  <c r="I4" i="6"/>
  <c r="L8" i="6" l="1"/>
  <c r="P36" i="6"/>
  <c r="P33" i="6"/>
  <c r="P34" i="6"/>
  <c r="P35" i="6"/>
  <c r="P32" i="6"/>
  <c r="H33" i="6"/>
  <c r="H34" i="6"/>
  <c r="H35" i="6"/>
  <c r="H36" i="6"/>
  <c r="H32" i="6"/>
  <c r="E39" i="6"/>
  <c r="E40" i="6" s="1"/>
  <c r="L36" i="6"/>
  <c r="L35" i="6"/>
  <c r="L34" i="6"/>
  <c r="L33" i="6"/>
  <c r="L32" i="6"/>
  <c r="H39" i="6" l="1"/>
  <c r="H40" i="6" s="1"/>
  <c r="H43" i="6"/>
  <c r="F33" i="6"/>
  <c r="G33" i="6" s="1"/>
  <c r="F34" i="6"/>
  <c r="G34" i="6" s="1"/>
  <c r="F35" i="6"/>
  <c r="G35" i="6" s="1"/>
  <c r="F36" i="6"/>
  <c r="G36" i="6" s="1"/>
  <c r="F32" i="6"/>
  <c r="D36" i="6"/>
  <c r="D35" i="6"/>
  <c r="D34" i="6"/>
  <c r="D33" i="6"/>
  <c r="D32" i="6"/>
  <c r="E10" i="6"/>
  <c r="D10" i="6"/>
  <c r="E33" i="4"/>
  <c r="E28" i="4"/>
  <c r="E29" i="4" s="1"/>
  <c r="D25" i="4"/>
  <c r="D24" i="4"/>
  <c r="D23" i="4"/>
  <c r="D22" i="4"/>
  <c r="D21" i="4"/>
  <c r="E10" i="4"/>
  <c r="D10" i="4"/>
  <c r="E24" i="1"/>
  <c r="E25" i="1"/>
  <c r="E29" i="1"/>
  <c r="F17" i="1"/>
  <c r="G17" i="1" s="1"/>
  <c r="D10" i="1"/>
  <c r="D18" i="1"/>
  <c r="D19" i="1"/>
  <c r="D20" i="1"/>
  <c r="D21" i="1"/>
  <c r="D17" i="1"/>
  <c r="F18" i="1"/>
  <c r="G18" i="1" s="1"/>
  <c r="F19" i="1"/>
  <c r="G19" i="1" s="1"/>
  <c r="F20" i="1"/>
  <c r="G20" i="1" s="1"/>
  <c r="F21" i="1"/>
  <c r="G21" i="1" s="1"/>
  <c r="E10" i="1"/>
  <c r="G32" i="6" l="1"/>
  <c r="F39" i="6"/>
  <c r="F40" i="6" s="1"/>
  <c r="P40" i="6"/>
  <c r="D28" i="4"/>
  <c r="D30" i="4" s="1"/>
  <c r="F24" i="1"/>
  <c r="G24" i="1"/>
  <c r="G25" i="1" s="1"/>
  <c r="D24" i="1"/>
  <c r="D25" i="1" s="1"/>
  <c r="R18" i="6" l="1"/>
  <c r="Q17" i="6"/>
  <c r="F41" i="6"/>
  <c r="N29" i="6"/>
  <c r="N33" i="6" s="1"/>
  <c r="M33" i="6" s="1"/>
  <c r="G39" i="6"/>
  <c r="G40" i="6" s="1"/>
  <c r="N36" i="6"/>
  <c r="M36" i="6" s="1"/>
  <c r="N32" i="6"/>
  <c r="N34" i="6"/>
  <c r="M34" i="6" s="1"/>
  <c r="M17" i="6"/>
  <c r="F5" i="6"/>
  <c r="F8" i="6"/>
  <c r="F4" i="6"/>
  <c r="F6" i="6"/>
  <c r="F7" i="6"/>
  <c r="D29" i="4"/>
  <c r="C14" i="4"/>
  <c r="F6" i="4"/>
  <c r="F5" i="4"/>
  <c r="F4" i="4"/>
  <c r="F7" i="4"/>
  <c r="F8" i="4"/>
  <c r="F27" i="1"/>
  <c r="F26" i="1"/>
  <c r="F29" i="1" s="1"/>
  <c r="G29" i="1" s="1"/>
  <c r="G31" i="1" s="1"/>
  <c r="G33" i="1" s="1"/>
  <c r="F25" i="1"/>
  <c r="K24" i="1" s="1"/>
  <c r="D26" i="1"/>
  <c r="R25" i="6" l="1"/>
  <c r="Q18" i="6"/>
  <c r="S17" i="6"/>
  <c r="N35" i="6"/>
  <c r="M35" i="6" s="1"/>
  <c r="S18" i="6"/>
  <c r="N39" i="6"/>
  <c r="N43" i="6" s="1"/>
  <c r="M32" i="6"/>
  <c r="M18" i="6"/>
  <c r="F10" i="6"/>
  <c r="I17" i="6"/>
  <c r="C15" i="4"/>
  <c r="H15" i="4" s="1"/>
  <c r="H18" i="4" s="1"/>
  <c r="F21" i="4"/>
  <c r="F22" i="4"/>
  <c r="F23" i="4"/>
  <c r="F25" i="4"/>
  <c r="F24" i="4"/>
  <c r="F10" i="4"/>
  <c r="F31" i="1"/>
  <c r="F33" i="1" s="1"/>
  <c r="H33" i="1" s="1"/>
  <c r="F4" i="1"/>
  <c r="F10" i="1" s="1"/>
  <c r="F5" i="1"/>
  <c r="F6" i="1"/>
  <c r="F7" i="1"/>
  <c r="F8" i="1"/>
  <c r="R29" i="6" l="1"/>
  <c r="O6" i="6"/>
  <c r="O5" i="6"/>
  <c r="O8" i="6" s="1"/>
  <c r="R34" i="6"/>
  <c r="R35" i="6"/>
  <c r="Q34" i="6"/>
  <c r="Q32" i="6"/>
  <c r="Q36" i="6"/>
  <c r="Q33" i="6"/>
  <c r="R33" i="6"/>
  <c r="Q35" i="6"/>
  <c r="N40" i="6"/>
  <c r="I18" i="6"/>
  <c r="H21" i="4"/>
  <c r="G21" i="4"/>
  <c r="I21" i="4" s="1"/>
  <c r="C16" i="4"/>
  <c r="H25" i="4"/>
  <c r="H23" i="4"/>
  <c r="H24" i="4"/>
  <c r="H22" i="4"/>
  <c r="G24" i="4"/>
  <c r="F28" i="4"/>
  <c r="G25" i="4"/>
  <c r="G23" i="4"/>
  <c r="G22" i="4"/>
  <c r="R36" i="6" l="1"/>
  <c r="K6" i="6" s="1"/>
  <c r="K8" i="6" s="1"/>
  <c r="K5" i="6"/>
  <c r="R32" i="6"/>
  <c r="S32" i="6" s="1"/>
  <c r="R39" i="6"/>
  <c r="R41" i="6" s="1"/>
  <c r="Q39" i="6"/>
  <c r="S35" i="6"/>
  <c r="J32" i="6"/>
  <c r="I36" i="6"/>
  <c r="I35" i="6"/>
  <c r="J36" i="6"/>
  <c r="J34" i="6"/>
  <c r="I34" i="6"/>
  <c r="I33" i="6"/>
  <c r="J33" i="6"/>
  <c r="J35" i="6"/>
  <c r="I32" i="6"/>
  <c r="S33" i="6"/>
  <c r="S34" i="6"/>
  <c r="O36" i="6"/>
  <c r="O34" i="6"/>
  <c r="O35" i="6"/>
  <c r="O33" i="6"/>
  <c r="L39" i="6"/>
  <c r="L40" i="6" s="1"/>
  <c r="H28" i="4"/>
  <c r="H30" i="4" s="1"/>
  <c r="I24" i="4"/>
  <c r="G28" i="4"/>
  <c r="F29" i="4"/>
  <c r="I23" i="4"/>
  <c r="I25" i="4"/>
  <c r="I22" i="4"/>
  <c r="R40" i="6" l="1"/>
  <c r="S36" i="6"/>
  <c r="Q41" i="6"/>
  <c r="R43" i="6"/>
  <c r="K36" i="6"/>
  <c r="K33" i="6"/>
  <c r="Q43" i="6"/>
  <c r="K35" i="6"/>
  <c r="K34" i="6"/>
  <c r="S39" i="6"/>
  <c r="I39" i="6"/>
  <c r="J39" i="6"/>
  <c r="J41" i="6" s="1"/>
  <c r="J44" i="6" s="1"/>
  <c r="K32" i="6"/>
  <c r="G45" i="6"/>
  <c r="G46" i="6" s="1"/>
  <c r="G29" i="4"/>
  <c r="I28" i="4"/>
  <c r="G31" i="4"/>
  <c r="G30" i="4"/>
  <c r="H29" i="4"/>
  <c r="H31" i="4"/>
  <c r="J40" i="6" l="1"/>
  <c r="J43" i="6"/>
  <c r="K39" i="6"/>
  <c r="K43" i="6" s="1"/>
  <c r="S43" i="6"/>
  <c r="S40" i="6"/>
  <c r="I41" i="6"/>
  <c r="I43" i="6"/>
  <c r="L43" i="6"/>
  <c r="I40" i="6"/>
  <c r="I29" i="4"/>
  <c r="M28" i="4" s="1"/>
  <c r="F33" i="4" s="1"/>
  <c r="N41" i="6"/>
  <c r="O32" i="6"/>
  <c r="S45" i="6" l="1"/>
  <c r="S46" i="6" s="1"/>
  <c r="S47" i="6" s="1"/>
  <c r="K40" i="6"/>
  <c r="K45" i="6" s="1"/>
  <c r="K46" i="6" s="1"/>
  <c r="O39" i="6"/>
  <c r="M39" i="6"/>
  <c r="M40" i="6" l="1"/>
  <c r="O43" i="6"/>
  <c r="O40" i="6"/>
  <c r="M43" i="6"/>
  <c r="M41" i="6"/>
  <c r="O45" i="6" l="1"/>
  <c r="O4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Sebastian Baltser</author>
  </authors>
  <commentList>
    <comment ref="Q25" authorId="0" shapeId="0" xr:uid="{F8BB146B-3E21-7841-84D0-A19A593067C9}">
      <text>
        <r>
          <rPr>
            <b/>
            <sz val="10"/>
            <color rgb="FF000000"/>
            <rFont val="Tahoma"/>
            <family val="2"/>
          </rPr>
          <t>Microsoft Office User:</t>
        </r>
        <r>
          <rPr>
            <sz val="10"/>
            <color rgb="FF000000"/>
            <rFont val="Tahoma"/>
            <family val="2"/>
          </rPr>
          <t xml:space="preserve">
</t>
        </r>
        <r>
          <rPr>
            <sz val="10"/>
            <color rgb="FF000000"/>
            <rFont val="Tahoma"/>
            <family val="2"/>
          </rPr>
          <t>Bond price is paid by the creditors to the bank. This should be equal to the price of the new project in order for the new debt to finance the new project.</t>
        </r>
      </text>
    </comment>
    <comment ref="R29" authorId="0" shapeId="0" xr:uid="{040EC638-E854-B24F-AED8-350FC7E0747A}">
      <text>
        <r>
          <rPr>
            <b/>
            <sz val="10"/>
            <color rgb="FF000000"/>
            <rFont val="Tahoma"/>
            <family val="2"/>
          </rPr>
          <t>Microsoft Office User:</t>
        </r>
        <r>
          <rPr>
            <sz val="10"/>
            <color rgb="FF000000"/>
            <rFont val="Tahoma"/>
            <family val="2"/>
          </rPr>
          <t xml:space="preserve">
</t>
        </r>
        <r>
          <rPr>
            <sz val="10"/>
            <color rgb="FF000000"/>
            <rFont val="Tahoma"/>
            <family val="2"/>
          </rPr>
          <t>The face value is the promised payment from the bank to the new creditors at time 1.</t>
        </r>
      </text>
    </comment>
    <comment ref="R39" authorId="1" shapeId="0" xr:uid="{F0CD382D-8B77-1149-AD54-1B08FB0E7715}">
      <text>
        <r>
          <rPr>
            <b/>
            <sz val="10"/>
            <color rgb="FF000000"/>
            <rFont val="Tahoma"/>
            <family val="2"/>
          </rPr>
          <t>Sebastian Baltser:</t>
        </r>
        <r>
          <rPr>
            <sz val="10"/>
            <color rgb="FF000000"/>
            <rFont val="Tahoma"/>
            <family val="2"/>
          </rPr>
          <t xml:space="preserve">
</t>
        </r>
        <r>
          <rPr>
            <sz val="10"/>
            <color rgb="FF000000"/>
            <rFont val="Tahoma"/>
            <family val="2"/>
          </rPr>
          <t>The value of the debt equals the discounted Q-expected payoff. For the debt to be a zero NPV investment for the new creditors, the value of the debt must be equal to the bond price.</t>
        </r>
      </text>
    </comment>
    <comment ref="R40" authorId="1" shapeId="0" xr:uid="{5D16EB3A-0578-CF40-B76D-CF45A86B7594}">
      <text>
        <r>
          <rPr>
            <b/>
            <sz val="10"/>
            <color rgb="FF000000"/>
            <rFont val="Tahoma"/>
            <family val="2"/>
          </rPr>
          <t>Sebastian Baltser:</t>
        </r>
        <r>
          <rPr>
            <sz val="10"/>
            <color rgb="FF000000"/>
            <rFont val="Tahoma"/>
            <family val="2"/>
          </rPr>
          <t xml:space="preserve">
</t>
        </r>
        <r>
          <rPr>
            <sz val="10"/>
            <color rgb="FF000000"/>
            <rFont val="Tahoma"/>
            <family val="2"/>
          </rPr>
          <t>Expected return, i.e. the return made on the value of the debt to the P expected payoff.</t>
        </r>
      </text>
    </comment>
    <comment ref="R41" authorId="1" shapeId="0" xr:uid="{D0678BE4-3B12-E44C-AAFF-6AB0D2A5839E}">
      <text>
        <r>
          <rPr>
            <b/>
            <sz val="10"/>
            <color rgb="FF000000"/>
            <rFont val="Tahoma"/>
            <family val="2"/>
          </rPr>
          <t>Sebastian Baltser:</t>
        </r>
        <r>
          <rPr>
            <sz val="10"/>
            <color rgb="FF000000"/>
            <rFont val="Tahoma"/>
            <family val="2"/>
          </rPr>
          <t xml:space="preserve">
</t>
        </r>
        <r>
          <rPr>
            <sz val="10"/>
            <color rgb="FF000000"/>
            <rFont val="Tahoma"/>
            <family val="2"/>
          </rPr>
          <t>Promised yield, i.e. the return made on the value of the debt in the non-default states.</t>
        </r>
      </text>
    </comment>
  </commentList>
</comments>
</file>

<file path=xl/sharedStrings.xml><?xml version="1.0" encoding="utf-8"?>
<sst xmlns="http://schemas.openxmlformats.org/spreadsheetml/2006/main" count="231" uniqueCount="66">
  <si>
    <t>State</t>
  </si>
  <si>
    <t>asset</t>
  </si>
  <si>
    <t>Sum</t>
  </si>
  <si>
    <t>Asset value</t>
  </si>
  <si>
    <t>Debt payoff</t>
  </si>
  <si>
    <t>at time 1</t>
  </si>
  <si>
    <t>Equity payoff</t>
  </si>
  <si>
    <t>Debt face value</t>
  </si>
  <si>
    <t>n/a</t>
  </si>
  <si>
    <t>Given</t>
  </si>
  <si>
    <t>Computed</t>
  </si>
  <si>
    <t>Bond yield (cont. comp. 1-yr mat)</t>
  </si>
  <si>
    <t>Riskless</t>
  </si>
  <si>
    <t>Funding cost</t>
  </si>
  <si>
    <t>The funding cost is computed as the cost of debt funding times the share of debt in the capital structure plus the cost of equity funding times the share of equity</t>
  </si>
  <si>
    <t xml:space="preserve">Promised </t>
  </si>
  <si>
    <t>Default</t>
  </si>
  <si>
    <t>-</t>
  </si>
  <si>
    <t>d_0</t>
  </si>
  <si>
    <t>AD price</t>
  </si>
  <si>
    <t>ᴪ</t>
  </si>
  <si>
    <t>Value at time 0, π(d)</t>
  </si>
  <si>
    <t>p</t>
  </si>
  <si>
    <t>True prob.</t>
  </si>
  <si>
    <t>Expected return, Er(d)</t>
  </si>
  <si>
    <t>Risk-neutral, prob.</t>
  </si>
  <si>
    <t>q = (1+r)*ᴪ</t>
  </si>
  <si>
    <t>at time 1, A</t>
  </si>
  <si>
    <t>A_0</t>
  </si>
  <si>
    <t>D_0 * (1 + 𝜌)</t>
  </si>
  <si>
    <t>at time 1, D</t>
  </si>
  <si>
    <t>D_0</t>
  </si>
  <si>
    <t>Bond yield (disc. comp. 1-yr mat), r or 𝜌</t>
  </si>
  <si>
    <t>at time 1, S</t>
  </si>
  <si>
    <t>S_0</t>
  </si>
  <si>
    <t>π(S)</t>
  </si>
  <si>
    <t>π(D)</t>
  </si>
  <si>
    <t>π(A)</t>
  </si>
  <si>
    <t>w</t>
  </si>
  <si>
    <t>(1-w)</t>
  </si>
  <si>
    <t>Funding rate</t>
  </si>
  <si>
    <t>!=</t>
  </si>
  <si>
    <t>Funding rate + 1</t>
  </si>
  <si>
    <t>New project</t>
  </si>
  <si>
    <t>Price</t>
  </si>
  <si>
    <t>Value</t>
  </si>
  <si>
    <t>Payoff</t>
  </si>
  <si>
    <t>Yield</t>
  </si>
  <si>
    <t>New Asset value</t>
  </si>
  <si>
    <t>Legacy Debt</t>
  </si>
  <si>
    <t>New Debt</t>
  </si>
  <si>
    <t>Face Value:</t>
  </si>
  <si>
    <t>D_0*(1+r+200bp)</t>
  </si>
  <si>
    <t>New debt of 14,7549 is breakeven for shareholders.</t>
  </si>
  <si>
    <t>Total funding</t>
  </si>
  <si>
    <t>Change:</t>
  </si>
  <si>
    <t>Spread</t>
  </si>
  <si>
    <t>Bond Price</t>
  </si>
  <si>
    <t>New creditor ranks pari passu</t>
  </si>
  <si>
    <t>New creditor has fixed loss rate of 90%</t>
  </si>
  <si>
    <t>Funding costs</t>
  </si>
  <si>
    <t>New project has risk</t>
  </si>
  <si>
    <t>Project payoff:</t>
  </si>
  <si>
    <t>Theoretical price:</t>
  </si>
  <si>
    <t>Discount:</t>
  </si>
  <si>
    <t>Promised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</si>
</sst>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
    <numFmt numFmtId="165" formatCode="0.0000"/>
    <numFmt numFmtId="166" formatCode="0.0000%"/>
    <numFmt numFmtId="167" formatCode="0.0000000"/>
    <numFmt numFmtId="168" formatCode="0.000000"/>
    <numFmt numFmtId="169" formatCode="_-* #,##0.0000_-;\-* #,##0.0000_-;_-* &quot;-&quot;??_-;_-@_-"/>
    <numFmt numFmtId="170" formatCode="0.000000000"/>
    <numFmt numFmtId="171" formatCode="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Tahoma"/>
      <family val="2"/>
    </font>
    <font>
      <b/>
      <sz val="10"/>
      <color rgb="FF000000"/>
      <name val="Tahoma"/>
      <family val="2"/>
    </font>
  </fonts>
  <fills count="9">
    <fill>
      <patternFill patternType="none"/>
    </fill>
    <fill>
      <patternFill patternType="gray125"/>
    </fill>
    <fill>
      <patternFill patternType="solid">
        <fgColor theme="8" tint="0.59996337778862885"/>
        <bgColor indexed="64"/>
      </patternFill>
    </fill>
    <fill>
      <patternFill patternType="solid">
        <fgColor theme="0" tint="-0.149967955565050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0" xfId="0"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10" fontId="0" fillId="2" borderId="0" xfId="0" applyNumberFormat="1" applyFill="1" applyAlignment="1">
      <alignment horizontal="center"/>
    </xf>
    <xf numFmtId="0" fontId="0" fillId="3" borderId="0" xfId="0" applyFill="1"/>
    <xf numFmtId="0" fontId="0" fillId="3" borderId="0" xfId="0" applyFill="1" applyAlignment="1">
      <alignment horizontal="center"/>
    </xf>
    <xf numFmtId="164" fontId="0" fillId="2" borderId="0" xfId="0" applyNumberFormat="1" applyFill="1" applyAlignment="1">
      <alignment horizontal="center"/>
    </xf>
    <xf numFmtId="0" fontId="0" fillId="2" borderId="0" xfId="0" applyFill="1"/>
    <xf numFmtId="0" fontId="0" fillId="4" borderId="0" xfId="0" applyFill="1"/>
    <xf numFmtId="0" fontId="0" fillId="4" borderId="0" xfId="0" applyFill="1" applyAlignment="1">
      <alignment horizontal="center"/>
    </xf>
    <xf numFmtId="0" fontId="0" fillId="0" borderId="0" xfId="0" applyAlignment="1">
      <alignment horizontal="center" wrapText="1"/>
    </xf>
    <xf numFmtId="0" fontId="0" fillId="4" borderId="0" xfId="0" applyFill="1"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2" borderId="0" xfId="0" applyFill="1" applyAlignment="1">
      <alignment horizontal="center"/>
    </xf>
    <xf numFmtId="0" fontId="0" fillId="4" borderId="0" xfId="0" applyFill="1" applyAlignment="1">
      <alignment horizontal="center"/>
    </xf>
    <xf numFmtId="0" fontId="0" fillId="0" borderId="0" xfId="0" applyAlignment="1">
      <alignment horizontal="center" wrapText="1"/>
    </xf>
    <xf numFmtId="2" fontId="0" fillId="0" borderId="0" xfId="0" applyNumberFormat="1" applyAlignment="1">
      <alignment horizontal="center"/>
    </xf>
    <xf numFmtId="10" fontId="0" fillId="0" borderId="0" xfId="2" applyNumberFormat="1" applyFont="1" applyAlignment="1">
      <alignment horizontal="center"/>
    </xf>
    <xf numFmtId="10" fontId="0" fillId="0" borderId="0" xfId="0" applyNumberFormat="1"/>
    <xf numFmtId="166" fontId="0" fillId="0" borderId="0" xfId="0" applyNumberFormat="1"/>
    <xf numFmtId="0" fontId="0" fillId="0" borderId="0" xfId="0" applyAlignment="1">
      <alignment horizontal="right"/>
    </xf>
    <xf numFmtId="165" fontId="0" fillId="0" borderId="0" xfId="0" applyNumberFormat="1"/>
    <xf numFmtId="2" fontId="0" fillId="0" borderId="0" xfId="0" applyNumberFormat="1"/>
    <xf numFmtId="2" fontId="0" fillId="3" borderId="0" xfId="0" applyNumberFormat="1" applyFill="1" applyAlignment="1">
      <alignment horizontal="center"/>
    </xf>
    <xf numFmtId="0" fontId="0" fillId="0" borderId="3" xfId="0" applyBorder="1"/>
    <xf numFmtId="0" fontId="0" fillId="0" borderId="4" xfId="0" applyBorder="1"/>
    <xf numFmtId="0" fontId="0" fillId="0" borderId="5" xfId="0" applyBorder="1"/>
    <xf numFmtId="2" fontId="0" fillId="5" borderId="4" xfId="0" applyNumberFormat="1" applyFill="1" applyBorder="1"/>
    <xf numFmtId="10" fontId="0" fillId="5" borderId="6" xfId="2" applyNumberFormat="1" applyFont="1" applyFill="1" applyBorder="1"/>
    <xf numFmtId="0" fontId="0" fillId="6" borderId="4" xfId="0" applyFill="1" applyBorder="1"/>
    <xf numFmtId="2" fontId="0" fillId="5" borderId="0" xfId="0" applyNumberFormat="1" applyFill="1" applyAlignment="1">
      <alignment horizontal="center"/>
    </xf>
    <xf numFmtId="2" fontId="0" fillId="6" borderId="0" xfId="0" applyNumberFormat="1" applyFill="1"/>
    <xf numFmtId="164" fontId="0" fillId="6" borderId="0" xfId="0" applyNumberFormat="1" applyFill="1"/>
    <xf numFmtId="167" fontId="0" fillId="6" borderId="0" xfId="0" applyNumberFormat="1" applyFill="1"/>
    <xf numFmtId="0" fontId="2" fillId="0" borderId="0" xfId="0" applyFont="1" applyAlignment="1">
      <alignment horizontal="center"/>
    </xf>
    <xf numFmtId="43" fontId="0" fillId="0" borderId="0" xfId="1" applyFont="1"/>
    <xf numFmtId="169" fontId="0" fillId="0" borderId="0" xfId="1" applyNumberFormat="1" applyFont="1"/>
    <xf numFmtId="43" fontId="0" fillId="0" borderId="0" xfId="1" applyFont="1" applyAlignment="1">
      <alignment horizontal="center"/>
    </xf>
    <xf numFmtId="0" fontId="0" fillId="0" borderId="0" xfId="0" applyBorder="1"/>
    <xf numFmtId="0" fontId="0" fillId="0" borderId="8" xfId="0" applyBorder="1"/>
    <xf numFmtId="0" fontId="0" fillId="0" borderId="4" xfId="0" applyBorder="1" applyAlignment="1">
      <alignment horizontal="center"/>
    </xf>
    <xf numFmtId="164" fontId="0" fillId="5" borderId="4" xfId="0" applyNumberFormat="1" applyFill="1" applyBorder="1"/>
    <xf numFmtId="165" fontId="0" fillId="0" borderId="0" xfId="0" applyNumberFormat="1" applyAlignment="1">
      <alignment horizontal="center"/>
    </xf>
    <xf numFmtId="166" fontId="0" fillId="6" borderId="0" xfId="2" applyNumberFormat="1" applyFont="1" applyFill="1"/>
    <xf numFmtId="167" fontId="0" fillId="0" borderId="0" xfId="0" applyNumberFormat="1"/>
    <xf numFmtId="0" fontId="0" fillId="0" borderId="0" xfId="0" applyFill="1"/>
    <xf numFmtId="0" fontId="0" fillId="0" borderId="4" xfId="0" applyFill="1" applyBorder="1"/>
    <xf numFmtId="10" fontId="0" fillId="2" borderId="0" xfId="0" applyNumberFormat="1" applyFill="1" applyAlignment="1">
      <alignment horizontal="right"/>
    </xf>
    <xf numFmtId="2" fontId="0" fillId="2" borderId="0" xfId="0" applyNumberFormat="1" applyFill="1" applyAlignment="1">
      <alignment horizontal="right"/>
    </xf>
    <xf numFmtId="169" fontId="0" fillId="0" borderId="0" xfId="1" applyNumberFormat="1" applyFont="1" applyAlignment="1">
      <alignment horizontal="right"/>
    </xf>
    <xf numFmtId="10" fontId="0" fillId="0" borderId="0" xfId="0" applyNumberFormat="1" applyAlignment="1">
      <alignment horizontal="right"/>
    </xf>
    <xf numFmtId="0" fontId="0" fillId="3" borderId="0" xfId="0" applyFill="1" applyAlignment="1">
      <alignment horizontal="right"/>
    </xf>
    <xf numFmtId="2" fontId="0" fillId="2" borderId="4" xfId="0" applyNumberFormat="1" applyFill="1" applyBorder="1" applyAlignment="1">
      <alignment horizontal="right"/>
    </xf>
    <xf numFmtId="2" fontId="0" fillId="3" borderId="0" xfId="0" applyNumberFormat="1" applyFill="1" applyAlignment="1">
      <alignment horizontal="right"/>
    </xf>
    <xf numFmtId="168" fontId="0" fillId="2" borderId="0" xfId="0" applyNumberFormat="1" applyFill="1" applyAlignment="1">
      <alignment horizontal="right"/>
    </xf>
    <xf numFmtId="165" fontId="0" fillId="2" borderId="4" xfId="0" applyNumberFormat="1" applyFill="1" applyBorder="1" applyAlignment="1">
      <alignment horizontal="right"/>
    </xf>
    <xf numFmtId="164" fontId="0" fillId="2" borderId="4" xfId="0" applyNumberFormat="1" applyFill="1" applyBorder="1" applyAlignment="1">
      <alignment horizontal="right"/>
    </xf>
    <xf numFmtId="0" fontId="0" fillId="0" borderId="4" xfId="0" applyBorder="1" applyAlignment="1">
      <alignment horizontal="right"/>
    </xf>
    <xf numFmtId="165" fontId="0" fillId="5" borderId="0" xfId="0" applyNumberFormat="1" applyFill="1" applyAlignment="1">
      <alignment horizontal="right"/>
    </xf>
    <xf numFmtId="10" fontId="0" fillId="2" borderId="4" xfId="0" applyNumberFormat="1" applyFill="1" applyBorder="1" applyAlignment="1">
      <alignment horizontal="right"/>
    </xf>
    <xf numFmtId="166" fontId="0" fillId="2" borderId="0" xfId="0" applyNumberFormat="1" applyFill="1" applyAlignment="1">
      <alignment horizontal="right"/>
    </xf>
    <xf numFmtId="166" fontId="0" fillId="0" borderId="0" xfId="0" applyNumberFormat="1" applyAlignment="1">
      <alignment horizontal="right"/>
    </xf>
    <xf numFmtId="166" fontId="0" fillId="5" borderId="0" xfId="2" applyNumberFormat="1" applyFont="1" applyFill="1" applyAlignment="1">
      <alignment horizontal="right"/>
    </xf>
    <xf numFmtId="164" fontId="0" fillId="0" borderId="0" xfId="0" applyNumberFormat="1"/>
    <xf numFmtId="171" fontId="0" fillId="0" borderId="0" xfId="0" applyNumberFormat="1"/>
    <xf numFmtId="171" fontId="0" fillId="0" borderId="0" xfId="0" applyNumberFormat="1" applyAlignment="1">
      <alignment horizontal="center"/>
    </xf>
    <xf numFmtId="171" fontId="0" fillId="0" borderId="0" xfId="0" applyNumberFormat="1" applyAlignment="1">
      <alignment wrapText="1"/>
    </xf>
    <xf numFmtId="10" fontId="0" fillId="0" borderId="0" xfId="2" applyNumberFormat="1" applyFont="1" applyFill="1" applyBorder="1"/>
    <xf numFmtId="0" fontId="0" fillId="0" borderId="0" xfId="0" applyFill="1" applyBorder="1"/>
    <xf numFmtId="2" fontId="0" fillId="6" borderId="0" xfId="0" applyNumberFormat="1" applyFill="1" applyBorder="1"/>
    <xf numFmtId="165" fontId="0" fillId="2" borderId="0" xfId="0" applyNumberFormat="1" applyFill="1" applyAlignment="1">
      <alignment horizontal="right"/>
    </xf>
    <xf numFmtId="167" fontId="0" fillId="2" borderId="0" xfId="0" applyNumberFormat="1" applyFill="1" applyAlignment="1">
      <alignment horizontal="right"/>
    </xf>
    <xf numFmtId="170" fontId="0" fillId="2" borderId="0" xfId="0" applyNumberFormat="1" applyFill="1" applyAlignment="1">
      <alignment horizontal="right"/>
    </xf>
    <xf numFmtId="167" fontId="0" fillId="2" borderId="4" xfId="0" applyNumberFormat="1" applyFill="1" applyBorder="1" applyAlignment="1">
      <alignment horizontal="right"/>
    </xf>
    <xf numFmtId="168" fontId="0" fillId="0" borderId="0" xfId="0" applyNumberFormat="1"/>
    <xf numFmtId="167" fontId="0" fillId="8" borderId="0" xfId="0" applyNumberFormat="1" applyFill="1"/>
    <xf numFmtId="166" fontId="0" fillId="8" borderId="0" xfId="2" applyNumberFormat="1" applyFont="1" applyFill="1"/>
    <xf numFmtId="10" fontId="0" fillId="0" borderId="0" xfId="0" applyNumberFormat="1" applyAlignment="1">
      <alignment horizontal="center"/>
    </xf>
    <xf numFmtId="171" fontId="0" fillId="0" borderId="4" xfId="0" applyNumberFormat="1" applyBorder="1"/>
    <xf numFmtId="165" fontId="0" fillId="0" borderId="0" xfId="0" applyNumberFormat="1" applyBorder="1"/>
    <xf numFmtId="168" fontId="0" fillId="0" borderId="0" xfId="0" applyNumberFormat="1" applyAlignment="1">
      <alignment horizontal="center"/>
    </xf>
    <xf numFmtId="0" fontId="0" fillId="4" borderId="0" xfId="0" applyFill="1" applyAlignment="1">
      <alignment horizontal="center"/>
    </xf>
    <xf numFmtId="0" fontId="0" fillId="0" borderId="0" xfId="0" applyAlignment="1">
      <alignment horizontal="left"/>
    </xf>
    <xf numFmtId="0" fontId="0" fillId="0" borderId="0" xfId="0" applyAlignment="1">
      <alignment horizontal="center" wrapText="1"/>
    </xf>
    <xf numFmtId="0" fontId="0" fillId="2" borderId="0" xfId="0" applyFill="1" applyAlignment="1">
      <alignment horizontal="left"/>
    </xf>
    <xf numFmtId="0" fontId="0" fillId="0" borderId="0" xfId="0" applyAlignment="1">
      <alignment horizontal="center" vertical="top" wrapText="1"/>
    </xf>
    <xf numFmtId="0" fontId="0" fillId="0" borderId="1"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7" borderId="3" xfId="0" applyFill="1" applyBorder="1" applyAlignment="1">
      <alignment horizontal="center"/>
    </xf>
    <xf numFmtId="0" fontId="0" fillId="7" borderId="0" xfId="0" applyFill="1" applyAlignment="1">
      <alignment horizontal="center"/>
    </xf>
    <xf numFmtId="0" fontId="0" fillId="7" borderId="4" xfId="0" applyFill="1" applyBorder="1" applyAlignment="1">
      <alignment horizontal="center"/>
    </xf>
  </cellXfs>
  <cellStyles count="3">
    <cellStyle name="Komma" xfId="1" builtinId="3"/>
    <cellStyle name="Normal" xfId="0" builtinId="0"/>
    <cellStyle name="Pro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516466</xdr:colOff>
      <xdr:row>42</xdr:row>
      <xdr:rowOff>84667</xdr:rowOff>
    </xdr:from>
    <xdr:to>
      <xdr:col>8</xdr:col>
      <xdr:colOff>550333</xdr:colOff>
      <xdr:row>51</xdr:row>
      <xdr:rowOff>140054</xdr:rowOff>
    </xdr:to>
    <xdr:pic>
      <xdr:nvPicPr>
        <xdr:cNvPr id="3" name="Billede 2">
          <a:extLst>
            <a:ext uri="{FF2B5EF4-FFF2-40B4-BE49-F238E27FC236}">
              <a16:creationId xmlns:a16="http://schemas.microsoft.com/office/drawing/2014/main" id="{252FE0A3-BC1B-9848-896F-3DC1D7627B88}"/>
            </a:ext>
          </a:extLst>
        </xdr:cNvPr>
        <xdr:cNvPicPr>
          <a:picLocks noChangeAspect="1"/>
        </xdr:cNvPicPr>
      </xdr:nvPicPr>
      <xdr:blipFill>
        <a:blip xmlns:r="http://schemas.openxmlformats.org/officeDocument/2006/relationships" r:embed="rId1"/>
        <a:stretch>
          <a:fillRect/>
        </a:stretch>
      </xdr:blipFill>
      <xdr:spPr>
        <a:xfrm>
          <a:off x="3539066" y="8246534"/>
          <a:ext cx="4512734" cy="1807987"/>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zoomScale="150" workbookViewId="0">
      <selection activeCell="B49" sqref="B49"/>
    </sheetView>
  </sheetViews>
  <sheetFormatPr baseColWidth="10" defaultColWidth="8.83203125" defaultRowHeight="15" x14ac:dyDescent="0.2"/>
  <cols>
    <col min="1" max="1" width="17.6640625" customWidth="1"/>
    <col min="2" max="3" width="11" customWidth="1"/>
    <col min="4" max="4" width="10.33203125" customWidth="1"/>
    <col min="5" max="5" width="11" customWidth="1"/>
    <col min="6" max="6" width="15.1640625" customWidth="1"/>
    <col min="7" max="7" width="13.33203125" customWidth="1"/>
  </cols>
  <sheetData>
    <row r="1" spans="1:8" x14ac:dyDescent="0.2">
      <c r="C1" s="9"/>
      <c r="D1" s="84"/>
      <c r="E1" s="84"/>
      <c r="F1" s="10"/>
    </row>
    <row r="2" spans="1:8" x14ac:dyDescent="0.2">
      <c r="A2" s="5" t="s">
        <v>9</v>
      </c>
      <c r="C2" s="9"/>
      <c r="D2" s="10" t="s">
        <v>23</v>
      </c>
      <c r="E2" s="10" t="s">
        <v>19</v>
      </c>
      <c r="F2" s="10" t="s">
        <v>25</v>
      </c>
      <c r="H2" s="10"/>
    </row>
    <row r="3" spans="1:8" x14ac:dyDescent="0.2">
      <c r="A3" s="8" t="s">
        <v>10</v>
      </c>
      <c r="C3" s="9" t="s">
        <v>0</v>
      </c>
      <c r="D3" s="10" t="s">
        <v>22</v>
      </c>
      <c r="E3" s="10" t="s">
        <v>20</v>
      </c>
      <c r="F3" s="10" t="s">
        <v>26</v>
      </c>
    </row>
    <row r="4" spans="1:8" x14ac:dyDescent="0.2">
      <c r="B4" t="s">
        <v>15</v>
      </c>
      <c r="C4" s="6">
        <v>1</v>
      </c>
      <c r="D4" s="6">
        <v>0.1</v>
      </c>
      <c r="E4" s="6">
        <v>7.0000000000000007E-2</v>
      </c>
      <c r="F4" s="7">
        <f>(1+riskfree_rate)*E4</f>
        <v>7.1428571428571425E-2</v>
      </c>
    </row>
    <row r="5" spans="1:8" x14ac:dyDescent="0.2">
      <c r="B5" t="s">
        <v>16</v>
      </c>
      <c r="C5" s="6">
        <v>2</v>
      </c>
      <c r="D5" s="6">
        <v>0.3</v>
      </c>
      <c r="E5" s="6">
        <v>0.25</v>
      </c>
      <c r="F5" s="7">
        <f>(1+riskfree_rate)*E5</f>
        <v>0.25510204081632648</v>
      </c>
    </row>
    <row r="6" spans="1:8" x14ac:dyDescent="0.2">
      <c r="B6" t="s">
        <v>17</v>
      </c>
      <c r="C6" s="6">
        <v>3</v>
      </c>
      <c r="D6" s="6">
        <v>0.3</v>
      </c>
      <c r="E6" s="6">
        <v>0.28000000000000003</v>
      </c>
      <c r="F6" s="7">
        <f>(1+riskfree_rate)*E6</f>
        <v>0.2857142857142857</v>
      </c>
    </row>
    <row r="7" spans="1:8" x14ac:dyDescent="0.2">
      <c r="B7" t="s">
        <v>17</v>
      </c>
      <c r="C7" s="6">
        <v>4</v>
      </c>
      <c r="D7" s="6">
        <v>0.25</v>
      </c>
      <c r="E7" s="6">
        <v>0.27</v>
      </c>
      <c r="F7" s="7">
        <f>(1+riskfree_rate)*E7</f>
        <v>0.27551020408163263</v>
      </c>
    </row>
    <row r="8" spans="1:8" x14ac:dyDescent="0.2">
      <c r="B8" t="s">
        <v>17</v>
      </c>
      <c r="C8" s="6">
        <v>5</v>
      </c>
      <c r="D8" s="6">
        <v>0.05</v>
      </c>
      <c r="E8" s="6">
        <v>0.11</v>
      </c>
      <c r="F8" s="7">
        <f>(1+riskfree_rate)*E8</f>
        <v>0.11224489795918365</v>
      </c>
    </row>
    <row r="9" spans="1:8" x14ac:dyDescent="0.2">
      <c r="C9" s="5"/>
      <c r="D9" s="5"/>
      <c r="E9" s="5"/>
      <c r="F9" s="8"/>
    </row>
    <row r="10" spans="1:8" x14ac:dyDescent="0.2">
      <c r="C10" s="6" t="s">
        <v>2</v>
      </c>
      <c r="D10" s="2">
        <f>SUM(D4:D8)</f>
        <v>1</v>
      </c>
      <c r="E10" s="2">
        <f t="shared" ref="E10" si="0">SUM(E4:E8)</f>
        <v>0.98000000000000009</v>
      </c>
      <c r="F10" s="2">
        <f>SUM(F4:F8)</f>
        <v>0.99999999999999989</v>
      </c>
    </row>
    <row r="12" spans="1:8" x14ac:dyDescent="0.2">
      <c r="F12" s="1" t="s">
        <v>7</v>
      </c>
    </row>
    <row r="13" spans="1:8" x14ac:dyDescent="0.2">
      <c r="F13" s="13" t="s">
        <v>29</v>
      </c>
    </row>
    <row r="14" spans="1:8" x14ac:dyDescent="0.2">
      <c r="D14" s="6">
        <v>1</v>
      </c>
      <c r="F14" s="6">
        <v>100</v>
      </c>
    </row>
    <row r="15" spans="1:8" x14ac:dyDescent="0.2">
      <c r="C15" s="1"/>
      <c r="D15" s="1" t="s">
        <v>12</v>
      </c>
      <c r="E15" s="1" t="s">
        <v>3</v>
      </c>
      <c r="F15" s="1" t="s">
        <v>4</v>
      </c>
      <c r="G15" s="1" t="s">
        <v>6</v>
      </c>
    </row>
    <row r="16" spans="1:8" x14ac:dyDescent="0.2">
      <c r="C16" s="1" t="s">
        <v>0</v>
      </c>
      <c r="D16" s="1" t="s">
        <v>1</v>
      </c>
      <c r="E16" s="1" t="s">
        <v>27</v>
      </c>
      <c r="F16" s="1" t="s">
        <v>30</v>
      </c>
      <c r="G16" s="1" t="s">
        <v>33</v>
      </c>
    </row>
    <row r="17" spans="1:12" x14ac:dyDescent="0.2">
      <c r="C17" s="6">
        <v>1</v>
      </c>
      <c r="D17" s="16">
        <f>D$14</f>
        <v>1</v>
      </c>
      <c r="E17" s="6">
        <v>120</v>
      </c>
      <c r="F17" s="2">
        <f>MIN($F$14,E17)</f>
        <v>100</v>
      </c>
      <c r="G17" s="2">
        <f>MAX(0,E17-F17)</f>
        <v>20</v>
      </c>
    </row>
    <row r="18" spans="1:12" x14ac:dyDescent="0.2">
      <c r="C18" s="6">
        <v>2</v>
      </c>
      <c r="D18" s="16">
        <f t="shared" ref="D18:D21" si="1">D$14</f>
        <v>1</v>
      </c>
      <c r="E18" s="6">
        <v>110</v>
      </c>
      <c r="F18" s="2">
        <f t="shared" ref="F18:F21" si="2">MIN($F$14,E18)</f>
        <v>100</v>
      </c>
      <c r="G18" s="2">
        <f t="shared" ref="G18:G21" si="3">MAX(0,E18-F18)</f>
        <v>10</v>
      </c>
    </row>
    <row r="19" spans="1:12" x14ac:dyDescent="0.2">
      <c r="C19" s="6">
        <v>3</v>
      </c>
      <c r="D19" s="16">
        <f t="shared" si="1"/>
        <v>1</v>
      </c>
      <c r="E19" s="6">
        <v>100</v>
      </c>
      <c r="F19" s="2">
        <f t="shared" si="2"/>
        <v>100</v>
      </c>
      <c r="G19" s="2">
        <f t="shared" si="3"/>
        <v>0</v>
      </c>
    </row>
    <row r="20" spans="1:12" x14ac:dyDescent="0.2">
      <c r="C20" s="6">
        <v>4</v>
      </c>
      <c r="D20" s="16">
        <f t="shared" si="1"/>
        <v>1</v>
      </c>
      <c r="E20" s="6">
        <v>95</v>
      </c>
      <c r="F20" s="2">
        <f t="shared" si="2"/>
        <v>95</v>
      </c>
      <c r="G20" s="2">
        <f t="shared" si="3"/>
        <v>0</v>
      </c>
    </row>
    <row r="21" spans="1:12" x14ac:dyDescent="0.2">
      <c r="C21" s="6">
        <v>5</v>
      </c>
      <c r="D21" s="16">
        <f t="shared" si="1"/>
        <v>1</v>
      </c>
      <c r="E21" s="6">
        <v>60</v>
      </c>
      <c r="F21" s="2">
        <f t="shared" si="2"/>
        <v>60</v>
      </c>
      <c r="G21" s="2">
        <f t="shared" si="3"/>
        <v>0</v>
      </c>
    </row>
    <row r="23" spans="1:12" x14ac:dyDescent="0.2">
      <c r="D23" s="13" t="s">
        <v>18</v>
      </c>
      <c r="E23" s="13" t="s">
        <v>37</v>
      </c>
      <c r="F23" s="13" t="s">
        <v>36</v>
      </c>
      <c r="G23" s="13" t="s">
        <v>35</v>
      </c>
    </row>
    <row r="24" spans="1:12" x14ac:dyDescent="0.2">
      <c r="B24" s="87" t="s">
        <v>21</v>
      </c>
      <c r="C24" s="87"/>
      <c r="D24" s="3">
        <f>SUMPRODUCT($E$4:$E$8,D17:D21)</f>
        <v>0.98000000000000009</v>
      </c>
      <c r="E24" s="3">
        <f>SUMPRODUCT($E$4:$E$8,E17:E21)</f>
        <v>96.15</v>
      </c>
      <c r="F24" s="3">
        <f>SUMPRODUCT($E$4:$E$8,F17:F21)</f>
        <v>92.25</v>
      </c>
      <c r="G24" s="3">
        <f>SUMPRODUCT($E$4:$E$8,G17:G21)</f>
        <v>3.9000000000000004</v>
      </c>
      <c r="I24" t="s">
        <v>13</v>
      </c>
      <c r="K24" s="4">
        <f>SUMPRODUCT(F24:G24,F25:G25)/(E24)</f>
        <v>5.824232969318776E-2</v>
      </c>
    </row>
    <row r="25" spans="1:12" x14ac:dyDescent="0.2">
      <c r="B25" s="87" t="s">
        <v>24</v>
      </c>
      <c r="C25" s="87"/>
      <c r="D25" s="4">
        <f>SUMPRODUCT(D17:D21,$D$4:$D$8)/D24-1</f>
        <v>2.0408163265305923E-2</v>
      </c>
      <c r="E25" s="4">
        <f>SUMPRODUCT(E17:E21,$D$4:$D$8)/E24-1</f>
        <v>5.8242329693187767E-2</v>
      </c>
      <c r="F25" s="4">
        <f>IFERROR(SUMPRODUCT(F17:F21,$D$4:$D$8)/F24 -1, 0)</f>
        <v>4.8780487804878092E-2</v>
      </c>
      <c r="G25" s="4">
        <f>IFERROR(SUMPRODUCT(G17:G21,$D$4:$D$8)/G24-1, 0)</f>
        <v>0.28205128205128194</v>
      </c>
    </row>
    <row r="26" spans="1:12" ht="15" customHeight="1" x14ac:dyDescent="0.2">
      <c r="A26" s="85" t="s">
        <v>32</v>
      </c>
      <c r="B26" s="85"/>
      <c r="C26" s="85"/>
      <c r="D26" s="4">
        <f>D14/D24-1</f>
        <v>2.0408163265305923E-2</v>
      </c>
      <c r="E26" s="1" t="s">
        <v>8</v>
      </c>
      <c r="F26" s="4">
        <f>IFERROR(F14/F24-1, 0)</f>
        <v>8.4010840108400986E-2</v>
      </c>
      <c r="G26" s="1" t="s">
        <v>8</v>
      </c>
      <c r="I26" s="86" t="s">
        <v>14</v>
      </c>
      <c r="J26" s="86"/>
      <c r="K26" s="86"/>
      <c r="L26" s="86"/>
    </row>
    <row r="27" spans="1:12" x14ac:dyDescent="0.2">
      <c r="A27" s="85" t="s">
        <v>11</v>
      </c>
      <c r="B27" s="85"/>
      <c r="C27" s="85"/>
      <c r="F27" s="4">
        <f>IFERROR(LN(F14/F24), 0)</f>
        <v>8.0667903067454708E-2</v>
      </c>
      <c r="I27" s="86"/>
      <c r="J27" s="86"/>
      <c r="K27" s="86"/>
      <c r="L27" s="86"/>
    </row>
    <row r="28" spans="1:12" x14ac:dyDescent="0.2">
      <c r="E28" s="13" t="s">
        <v>28</v>
      </c>
      <c r="F28" s="13" t="s">
        <v>31</v>
      </c>
      <c r="G28" s="13" t="s">
        <v>34</v>
      </c>
      <c r="I28" s="86"/>
      <c r="J28" s="86"/>
      <c r="K28" s="86"/>
      <c r="L28" s="86"/>
    </row>
    <row r="29" spans="1:12" ht="15" customHeight="1" x14ac:dyDescent="0.2">
      <c r="E29" s="19">
        <f>SUMPRODUCT($E$4:$E$8,E17:E21)</f>
        <v>96.15</v>
      </c>
      <c r="F29" s="19">
        <f>F14/(1+F26)</f>
        <v>92.250000000000014</v>
      </c>
      <c r="G29" s="19">
        <f>E29-F29</f>
        <v>3.8999999999999915</v>
      </c>
      <c r="I29" s="86"/>
      <c r="J29" s="86"/>
      <c r="K29" s="86"/>
      <c r="L29" s="86"/>
    </row>
    <row r="30" spans="1:12" x14ac:dyDescent="0.2">
      <c r="F30" s="20" t="s">
        <v>39</v>
      </c>
      <c r="G30" s="13" t="s">
        <v>38</v>
      </c>
      <c r="I30" s="11"/>
      <c r="J30" s="11"/>
      <c r="K30" s="11"/>
      <c r="L30" s="11"/>
    </row>
    <row r="31" spans="1:12" ht="15" customHeight="1" x14ac:dyDescent="0.2">
      <c r="F31" s="20">
        <f>1-G31</f>
        <v>0.95943837753510153</v>
      </c>
      <c r="G31" s="20">
        <f>G29/E29</f>
        <v>4.0561622464898507E-2</v>
      </c>
      <c r="H31" s="22"/>
      <c r="I31" s="11"/>
      <c r="J31" s="11"/>
      <c r="K31" s="11"/>
    </row>
    <row r="33" spans="5:8" x14ac:dyDescent="0.2">
      <c r="E33" t="s">
        <v>40</v>
      </c>
      <c r="F33" s="21">
        <f>F31*F25</f>
        <v>4.6801872074883046E-2</v>
      </c>
      <c r="G33" s="21">
        <f>G31*G25</f>
        <v>1.1440457618304702E-2</v>
      </c>
      <c r="H33" s="21">
        <f>F33+G33</f>
        <v>5.8242329693187746E-2</v>
      </c>
    </row>
    <row r="35" spans="5:8" ht="14.25" customHeight="1" x14ac:dyDescent="0.2"/>
    <row r="42" spans="5:8" x14ac:dyDescent="0.2">
      <c r="E42" t="s">
        <v>40</v>
      </c>
      <c r="F42" s="23" t="s">
        <v>41</v>
      </c>
      <c r="G42" t="s">
        <v>42</v>
      </c>
    </row>
    <row r="49" ht="15" customHeight="1" x14ac:dyDescent="0.2"/>
  </sheetData>
  <mergeCells count="6">
    <mergeCell ref="D1:E1"/>
    <mergeCell ref="A26:C26"/>
    <mergeCell ref="A27:C27"/>
    <mergeCell ref="I26:L29"/>
    <mergeCell ref="B24:C24"/>
    <mergeCell ref="B25:C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803B-8E4E-0D41-AEC9-78D803615723}">
  <dimension ref="A1:O54"/>
  <sheetViews>
    <sheetView zoomScale="147" zoomScaleNormal="148" workbookViewId="0">
      <selection activeCell="J28" sqref="J28"/>
    </sheetView>
  </sheetViews>
  <sheetFormatPr baseColWidth="10" defaultColWidth="8.83203125" defaultRowHeight="15" x14ac:dyDescent="0.2"/>
  <cols>
    <col min="1" max="1" width="17.6640625" customWidth="1"/>
    <col min="2" max="3" width="11" customWidth="1"/>
    <col min="4" max="4" width="10.33203125" customWidth="1"/>
    <col min="5" max="6" width="14.83203125" customWidth="1"/>
    <col min="7" max="8" width="14.1640625" customWidth="1"/>
    <col min="9" max="9" width="14.33203125" customWidth="1"/>
    <col min="11" max="11" width="9.6640625" bestFit="1" customWidth="1"/>
    <col min="12" max="12" width="9.33203125" bestFit="1" customWidth="1"/>
    <col min="13" max="13" width="9" bestFit="1" customWidth="1"/>
    <col min="15" max="15" width="9" bestFit="1" customWidth="1"/>
  </cols>
  <sheetData>
    <row r="1" spans="1:12" x14ac:dyDescent="0.2">
      <c r="C1" s="9"/>
      <c r="D1" s="84"/>
      <c r="E1" s="84"/>
      <c r="F1" s="12"/>
    </row>
    <row r="2" spans="1:12" x14ac:dyDescent="0.2">
      <c r="A2" s="5" t="s">
        <v>9</v>
      </c>
      <c r="C2" s="9"/>
      <c r="D2" s="12" t="s">
        <v>23</v>
      </c>
      <c r="E2" s="12" t="s">
        <v>19</v>
      </c>
      <c r="F2" s="12" t="s">
        <v>25</v>
      </c>
      <c r="H2" s="12"/>
    </row>
    <row r="3" spans="1:12" x14ac:dyDescent="0.2">
      <c r="A3" s="8" t="s">
        <v>10</v>
      </c>
      <c r="C3" s="9" t="s">
        <v>0</v>
      </c>
      <c r="D3" s="12" t="s">
        <v>22</v>
      </c>
      <c r="E3" s="12" t="s">
        <v>20</v>
      </c>
      <c r="F3" s="12" t="s">
        <v>26</v>
      </c>
    </row>
    <row r="4" spans="1:12" x14ac:dyDescent="0.2">
      <c r="B4" t="s">
        <v>15</v>
      </c>
      <c r="C4" s="6">
        <v>1</v>
      </c>
      <c r="D4" s="6">
        <v>0.1</v>
      </c>
      <c r="E4" s="6">
        <v>7.0000000000000007E-2</v>
      </c>
      <c r="F4" s="7">
        <f>(1+riskfree_rate)*E4</f>
        <v>7.1428571428571425E-2</v>
      </c>
    </row>
    <row r="5" spans="1:12" x14ac:dyDescent="0.2">
      <c r="B5" t="s">
        <v>16</v>
      </c>
      <c r="C5" s="6">
        <v>2</v>
      </c>
      <c r="D5" s="6">
        <v>0.3</v>
      </c>
      <c r="E5" s="6">
        <v>0.25</v>
      </c>
      <c r="F5" s="7">
        <f>(1+riskfree_rate)*E5</f>
        <v>0.25510204081632648</v>
      </c>
    </row>
    <row r="6" spans="1:12" x14ac:dyDescent="0.2">
      <c r="B6" t="s">
        <v>17</v>
      </c>
      <c r="C6" s="6">
        <v>3</v>
      </c>
      <c r="D6" s="6">
        <v>0.3</v>
      </c>
      <c r="E6" s="6">
        <v>0.28000000000000003</v>
      </c>
      <c r="F6" s="7">
        <f>(1+riskfree_rate)*E6</f>
        <v>0.2857142857142857</v>
      </c>
    </row>
    <row r="7" spans="1:12" x14ac:dyDescent="0.2">
      <c r="B7" t="s">
        <v>17</v>
      </c>
      <c r="C7" s="6">
        <v>4</v>
      </c>
      <c r="D7" s="6">
        <v>0.25</v>
      </c>
      <c r="E7" s="6">
        <v>0.27</v>
      </c>
      <c r="F7" s="7">
        <f>(1+riskfree_rate)*E7</f>
        <v>0.27551020408163263</v>
      </c>
    </row>
    <row r="8" spans="1:12" x14ac:dyDescent="0.2">
      <c r="B8" t="s">
        <v>17</v>
      </c>
      <c r="C8" s="6">
        <v>5</v>
      </c>
      <c r="D8" s="6">
        <v>0.05</v>
      </c>
      <c r="E8" s="6">
        <v>0.11</v>
      </c>
      <c r="F8" s="7">
        <f>(1+riskfree_rate)*E8</f>
        <v>0.11224489795918365</v>
      </c>
    </row>
    <row r="9" spans="1:12" x14ac:dyDescent="0.2">
      <c r="C9" s="5"/>
      <c r="D9" s="5"/>
      <c r="E9" s="5"/>
      <c r="F9" s="8"/>
    </row>
    <row r="10" spans="1:12" x14ac:dyDescent="0.2">
      <c r="C10" s="6" t="s">
        <v>2</v>
      </c>
      <c r="D10" s="16">
        <f>SUM(D4:D8)</f>
        <v>1</v>
      </c>
      <c r="E10" s="16">
        <f t="shared" ref="E10" si="0">SUM(E4:E8)</f>
        <v>0.98000000000000009</v>
      </c>
      <c r="F10" s="16">
        <f>SUM(F4:F8)</f>
        <v>0.99999999999999989</v>
      </c>
    </row>
    <row r="12" spans="1:12" x14ac:dyDescent="0.2">
      <c r="B12" s="89" t="s">
        <v>43</v>
      </c>
      <c r="C12" s="90"/>
    </row>
    <row r="13" spans="1:12" x14ac:dyDescent="0.2">
      <c r="B13" s="27" t="s">
        <v>45</v>
      </c>
      <c r="C13" s="32">
        <v>15</v>
      </c>
      <c r="G13" s="37" t="s">
        <v>49</v>
      </c>
      <c r="H13" s="37" t="s">
        <v>50</v>
      </c>
    </row>
    <row r="14" spans="1:12" x14ac:dyDescent="0.2">
      <c r="B14" s="27" t="s">
        <v>46</v>
      </c>
      <c r="C14" s="30">
        <f>C13*(1+0.003+riskfree_rate)</f>
        <v>15.351122448979588</v>
      </c>
      <c r="H14" s="13" t="s">
        <v>31</v>
      </c>
      <c r="J14" s="88" t="s">
        <v>53</v>
      </c>
      <c r="K14" s="88"/>
      <c r="L14" s="88"/>
    </row>
    <row r="15" spans="1:12" x14ac:dyDescent="0.2">
      <c r="B15" s="27" t="s">
        <v>44</v>
      </c>
      <c r="C15" s="30">
        <f>C14/(1+0.008 + riskfree_rate)</f>
        <v>14.927071757421812</v>
      </c>
      <c r="H15" s="34">
        <f>C15</f>
        <v>14.927071757421812</v>
      </c>
      <c r="J15" s="88"/>
      <c r="K15" s="88"/>
      <c r="L15" s="88"/>
    </row>
    <row r="16" spans="1:12" x14ac:dyDescent="0.2">
      <c r="B16" s="29" t="s">
        <v>47</v>
      </c>
      <c r="C16" s="31">
        <f>IFERROR(C14/C15-1-riskfree_rate, 0)</f>
        <v>8.0000000000000071E-3</v>
      </c>
      <c r="G16" s="13" t="s">
        <v>51</v>
      </c>
      <c r="H16" s="13" t="s">
        <v>51</v>
      </c>
      <c r="J16" s="88"/>
      <c r="K16" s="88"/>
      <c r="L16" s="88"/>
    </row>
    <row r="17" spans="1:14" x14ac:dyDescent="0.2">
      <c r="G17" s="13" t="s">
        <v>29</v>
      </c>
      <c r="H17" s="13" t="s">
        <v>52</v>
      </c>
    </row>
    <row r="18" spans="1:14" x14ac:dyDescent="0.2">
      <c r="D18" s="6">
        <v>1</v>
      </c>
      <c r="G18" s="6">
        <v>100</v>
      </c>
      <c r="H18" s="33">
        <f>H15*(1+riskfree_rate + 0.02)</f>
        <v>15.530247310068649</v>
      </c>
    </row>
    <row r="19" spans="1:14" x14ac:dyDescent="0.2">
      <c r="A19" s="21"/>
      <c r="C19" s="13"/>
      <c r="D19" s="13" t="s">
        <v>12</v>
      </c>
      <c r="E19" s="37" t="s">
        <v>3</v>
      </c>
      <c r="F19" s="37" t="s">
        <v>48</v>
      </c>
      <c r="G19" s="13" t="s">
        <v>46</v>
      </c>
      <c r="H19" s="13" t="s">
        <v>46</v>
      </c>
      <c r="I19" s="13" t="s">
        <v>6</v>
      </c>
    </row>
    <row r="20" spans="1:14" x14ac:dyDescent="0.2">
      <c r="C20" s="13" t="s">
        <v>0</v>
      </c>
      <c r="D20" s="13" t="s">
        <v>1</v>
      </c>
      <c r="E20" s="13" t="s">
        <v>27</v>
      </c>
      <c r="F20" s="13" t="s">
        <v>27</v>
      </c>
      <c r="G20" s="13" t="s">
        <v>30</v>
      </c>
      <c r="H20" s="13" t="s">
        <v>5</v>
      </c>
      <c r="I20" s="13" t="s">
        <v>33</v>
      </c>
    </row>
    <row r="21" spans="1:14" x14ac:dyDescent="0.2">
      <c r="C21" s="6">
        <v>1</v>
      </c>
      <c r="D21" s="16">
        <f>D$18</f>
        <v>1</v>
      </c>
      <c r="E21" s="6">
        <v>120</v>
      </c>
      <c r="F21" s="26">
        <f>E21+$C$14</f>
        <v>135.35112244897959</v>
      </c>
      <c r="G21" s="3">
        <f>IF($F21&gt;$G$18+$H$18, G$18, $F21*((G$18)/($H$18+$G$18)))</f>
        <v>100</v>
      </c>
      <c r="H21" s="3">
        <f>IF($F21&gt;$G$18+$H$18, H$18, $F21*((H$18)/($H$18+$G$18)))</f>
        <v>15.530247310068649</v>
      </c>
      <c r="I21" s="3">
        <f>MAX(0,F21-G21-H21)</f>
        <v>19.820875138910946</v>
      </c>
    </row>
    <row r="22" spans="1:14" x14ac:dyDescent="0.2">
      <c r="C22" s="6">
        <v>2</v>
      </c>
      <c r="D22" s="16">
        <f t="shared" ref="D22:D25" si="1">D$18</f>
        <v>1</v>
      </c>
      <c r="E22" s="6">
        <v>110</v>
      </c>
      <c r="F22" s="26">
        <f t="shared" ref="F22:F25" si="2">E22+$C$14</f>
        <v>125.35112244897959</v>
      </c>
      <c r="G22" s="3">
        <f t="shared" ref="G22:G25" si="3">IF($F22&gt;$G$18+$H$18, G$18, $F22*((G$18)/($H$18+$G$18)))</f>
        <v>100</v>
      </c>
      <c r="H22" s="3">
        <f>IF($F22&gt;$G$18+$H$18, H$18, $F22*((H$18)/($H$18+$G$18)))</f>
        <v>15.530247310068649</v>
      </c>
      <c r="I22" s="3">
        <f t="shared" ref="I22:I25" si="4">MAX(0,F22-G22-H22)</f>
        <v>9.8208751389109459</v>
      </c>
    </row>
    <row r="23" spans="1:14" x14ac:dyDescent="0.2">
      <c r="C23" s="6">
        <v>3</v>
      </c>
      <c r="D23" s="16">
        <f t="shared" si="1"/>
        <v>1</v>
      </c>
      <c r="E23" s="6">
        <v>100</v>
      </c>
      <c r="F23" s="26">
        <f t="shared" si="2"/>
        <v>115.35112244897959</v>
      </c>
      <c r="G23" s="3">
        <f t="shared" si="3"/>
        <v>99.844954143819763</v>
      </c>
      <c r="H23" s="3">
        <f>IF($F23&gt;$G$18+$H$18, H$18, $F23*((H$18)/($H$18+$G$18)))</f>
        <v>15.506168305159845</v>
      </c>
      <c r="I23" s="3">
        <f t="shared" si="4"/>
        <v>0</v>
      </c>
    </row>
    <row r="24" spans="1:14" x14ac:dyDescent="0.2">
      <c r="C24" s="6">
        <v>4</v>
      </c>
      <c r="D24" s="16">
        <f t="shared" si="1"/>
        <v>1</v>
      </c>
      <c r="E24" s="6">
        <v>95</v>
      </c>
      <c r="F24" s="26">
        <f t="shared" si="2"/>
        <v>110.35112244897959</v>
      </c>
      <c r="G24" s="3">
        <f t="shared" si="3"/>
        <v>95.517083204029746</v>
      </c>
      <c r="H24" s="3">
        <f>IF($F24&gt;$G$18+$H$18, H$18, $F24*((H$18)/($H$18+$G$18)))</f>
        <v>14.834039244949862</v>
      </c>
      <c r="I24" s="3">
        <f t="shared" si="4"/>
        <v>0</v>
      </c>
    </row>
    <row r="25" spans="1:14" x14ac:dyDescent="0.2">
      <c r="C25" s="6">
        <v>5</v>
      </c>
      <c r="D25" s="16">
        <f t="shared" si="1"/>
        <v>1</v>
      </c>
      <c r="E25" s="6">
        <v>60</v>
      </c>
      <c r="F25" s="26">
        <f t="shared" si="2"/>
        <v>75.351122448979595</v>
      </c>
      <c r="G25" s="3">
        <f t="shared" si="3"/>
        <v>65.221986625499611</v>
      </c>
      <c r="H25" s="3">
        <f>IF($F25&gt;$G$18+$H$18, H$18, $F25*((H$18)/($H$18+$G$18)))</f>
        <v>10.129135823479988</v>
      </c>
      <c r="I25" s="3">
        <f t="shared" si="4"/>
        <v>0</v>
      </c>
    </row>
    <row r="27" spans="1:14" x14ac:dyDescent="0.2">
      <c r="D27" s="13" t="s">
        <v>18</v>
      </c>
      <c r="E27" s="13" t="s">
        <v>37</v>
      </c>
      <c r="F27" s="13" t="s">
        <v>37</v>
      </c>
      <c r="G27" s="13" t="s">
        <v>36</v>
      </c>
      <c r="H27" s="13" t="s">
        <v>36</v>
      </c>
      <c r="I27" s="13" t="s">
        <v>35</v>
      </c>
    </row>
    <row r="28" spans="1:14" x14ac:dyDescent="0.2">
      <c r="B28" s="87" t="s">
        <v>21</v>
      </c>
      <c r="C28" s="87"/>
      <c r="D28" s="3">
        <f t="shared" ref="D28:I28" si="5">SUMPRODUCT($E$4:$E$8,D21:D25)</f>
        <v>0.98000000000000009</v>
      </c>
      <c r="E28" s="3">
        <f t="shared" si="5"/>
        <v>96.15</v>
      </c>
      <c r="F28" s="3">
        <f t="shared" si="5"/>
        <v>111.19410000000001</v>
      </c>
      <c r="G28" s="3">
        <f t="shared" si="5"/>
        <v>92.92061815416254</v>
      </c>
      <c r="H28" s="3">
        <f t="shared" si="5"/>
        <v>14.430801801385986</v>
      </c>
      <c r="I28" s="3">
        <f t="shared" si="5"/>
        <v>3.8426800444515026</v>
      </c>
      <c r="K28" t="s">
        <v>13</v>
      </c>
      <c r="M28" s="4">
        <f>SUMPRODUCT(G28:I28,G29:I29)/(F28)</f>
        <v>5.3123524080680183E-2</v>
      </c>
    </row>
    <row r="29" spans="1:14" x14ac:dyDescent="0.2">
      <c r="B29" s="87" t="s">
        <v>24</v>
      </c>
      <c r="C29" s="87"/>
      <c r="D29" s="4">
        <f>SUMPRODUCT(D21:D25,$D$4:$D$8)/D28-1</f>
        <v>2.0408163265305923E-2</v>
      </c>
      <c r="E29" s="4">
        <f>SUMPRODUCT(E21:E25,$D$4:$D$8)/E28-1</f>
        <v>5.8242329693187767E-2</v>
      </c>
      <c r="F29" s="4">
        <f>SUMPRODUCT(F21:F25,$D$4:$D$8)/F28-1</f>
        <v>5.312352408068044E-2</v>
      </c>
      <c r="G29" s="4">
        <f>IFERROR(SUMPRODUCT(G21:G25,$D$4:$D$8)/G28 -1, 0)</f>
        <v>4.4911864601912876E-2</v>
      </c>
      <c r="H29" s="4">
        <f>IFERROR(SUMPRODUCT(H21:H25,$D$4:$D$8)/H28 -1, 0)</f>
        <v>4.4911864601913098E-2</v>
      </c>
      <c r="I29" s="4">
        <f>IFERROR(SUMPRODUCT(I21:I25,$D$4:$D$8)/I28-1, 0)</f>
        <v>0.28252938016020579</v>
      </c>
    </row>
    <row r="30" spans="1:14" ht="15" customHeight="1" x14ac:dyDescent="0.2">
      <c r="A30" s="85" t="s">
        <v>32</v>
      </c>
      <c r="B30" s="85"/>
      <c r="C30" s="85"/>
      <c r="D30" s="4">
        <f>D18/D28-1</f>
        <v>2.0408163265305923E-2</v>
      </c>
      <c r="E30" s="13" t="s">
        <v>8</v>
      </c>
      <c r="F30" s="13" t="s">
        <v>8</v>
      </c>
      <c r="G30" s="4">
        <f>IFERROR(debt_face_value/G28-1, 0)</f>
        <v>7.6187416597812696E-2</v>
      </c>
      <c r="H30" s="4">
        <f>IFERROR(H18/H28-1, 0)</f>
        <v>7.6187416597812918E-2</v>
      </c>
      <c r="I30" s="13" t="s">
        <v>8</v>
      </c>
      <c r="K30" s="86" t="s">
        <v>14</v>
      </c>
      <c r="L30" s="86"/>
      <c r="M30" s="86"/>
      <c r="N30" s="86"/>
    </row>
    <row r="31" spans="1:14" x14ac:dyDescent="0.2">
      <c r="A31" s="85" t="s">
        <v>11</v>
      </c>
      <c r="B31" s="85"/>
      <c r="C31" s="85"/>
      <c r="G31" s="4">
        <f>IFERROR(LN(debt_face_value/G28), 0)</f>
        <v>7.3424625566442581E-2</v>
      </c>
      <c r="H31" s="4">
        <f>IFERROR(LN(H18/H28), 0)</f>
        <v>7.3424625566442775E-2</v>
      </c>
      <c r="K31" s="86"/>
      <c r="L31" s="86"/>
      <c r="M31" s="86"/>
      <c r="N31" s="86"/>
    </row>
    <row r="32" spans="1:14" x14ac:dyDescent="0.2">
      <c r="F32" s="13"/>
      <c r="G32" s="13"/>
      <c r="H32" s="13"/>
      <c r="I32" s="13"/>
      <c r="K32" s="86"/>
      <c r="L32" s="86"/>
      <c r="M32" s="86"/>
      <c r="N32" s="86"/>
    </row>
    <row r="33" spans="4:15" ht="15" customHeight="1" x14ac:dyDescent="0.2">
      <c r="D33" t="s">
        <v>54</v>
      </c>
      <c r="E33" s="13">
        <f>E28*E29</f>
        <v>5.6000000000000041</v>
      </c>
      <c r="F33" s="19">
        <f>F28*M28</f>
        <v>5.9070224489795606</v>
      </c>
      <c r="G33" s="19"/>
      <c r="H33" s="19"/>
      <c r="I33" s="19"/>
      <c r="K33" s="86"/>
      <c r="L33" s="86"/>
      <c r="M33" s="86"/>
      <c r="N33" s="86"/>
    </row>
    <row r="34" spans="4:15" x14ac:dyDescent="0.2">
      <c r="G34" s="20"/>
      <c r="H34" s="20"/>
      <c r="I34" s="13"/>
      <c r="K34" s="15"/>
      <c r="L34" s="15"/>
      <c r="M34" s="15"/>
      <c r="N34" s="15"/>
    </row>
    <row r="35" spans="4:15" ht="15" customHeight="1" x14ac:dyDescent="0.2">
      <c r="G35" s="20"/>
      <c r="H35" s="20"/>
      <c r="I35" s="40"/>
      <c r="J35" s="22"/>
      <c r="K35" s="15"/>
      <c r="L35" s="15"/>
      <c r="M35" s="15"/>
    </row>
    <row r="36" spans="4:15" x14ac:dyDescent="0.2">
      <c r="I36" s="25"/>
    </row>
    <row r="37" spans="4:15" x14ac:dyDescent="0.2">
      <c r="F37" s="38"/>
      <c r="G37" s="38"/>
      <c r="H37" s="39"/>
      <c r="I37" s="38"/>
      <c r="J37" s="21"/>
      <c r="O37" s="25"/>
    </row>
    <row r="38" spans="4:15" x14ac:dyDescent="0.2">
      <c r="O38" s="25"/>
    </row>
    <row r="39" spans="4:15" ht="14.25" customHeight="1" x14ac:dyDescent="0.2"/>
    <row r="43" spans="4:15" x14ac:dyDescent="0.2">
      <c r="I43" s="25"/>
    </row>
    <row r="44" spans="4:15" x14ac:dyDescent="0.2">
      <c r="I44" s="25"/>
    </row>
    <row r="54" ht="15" customHeight="1" x14ac:dyDescent="0.2"/>
  </sheetData>
  <mergeCells count="8">
    <mergeCell ref="K30:N33"/>
    <mergeCell ref="A31:C31"/>
    <mergeCell ref="J14:L16"/>
    <mergeCell ref="B12:C12"/>
    <mergeCell ref="D1:E1"/>
    <mergeCell ref="B28:C28"/>
    <mergeCell ref="B29:C29"/>
    <mergeCell ref="A30:C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DDB5-9625-F246-BB8D-695040100500}">
  <dimension ref="A1:T64"/>
  <sheetViews>
    <sheetView tabSelected="1" topLeftCell="B1" zoomScale="151" zoomScaleNormal="148" workbookViewId="0">
      <selection activeCell="E8" sqref="D8:E8"/>
    </sheetView>
  </sheetViews>
  <sheetFormatPr baseColWidth="10" defaultColWidth="8.83203125" defaultRowHeight="15" x14ac:dyDescent="0.2"/>
  <cols>
    <col min="1" max="1" width="17.6640625" customWidth="1"/>
    <col min="2" max="3" width="11" customWidth="1"/>
    <col min="4" max="4" width="10.33203125" customWidth="1"/>
    <col min="5" max="6" width="14.83203125" customWidth="1"/>
    <col min="7" max="7" width="14.1640625" customWidth="1"/>
    <col min="8" max="19" width="14.5" customWidth="1"/>
  </cols>
  <sheetData>
    <row r="1" spans="1:19" x14ac:dyDescent="0.2">
      <c r="C1" s="9"/>
      <c r="D1" s="84"/>
      <c r="E1" s="84"/>
      <c r="F1" s="12"/>
    </row>
    <row r="2" spans="1:19" x14ac:dyDescent="0.2">
      <c r="A2" s="5" t="s">
        <v>9</v>
      </c>
      <c r="C2" s="9"/>
      <c r="D2" s="12" t="s">
        <v>23</v>
      </c>
      <c r="E2" s="12" t="s">
        <v>19</v>
      </c>
      <c r="F2" s="12" t="s">
        <v>25</v>
      </c>
      <c r="G2" s="12"/>
      <c r="H2" s="12"/>
      <c r="L2" s="12"/>
      <c r="P2" s="17"/>
    </row>
    <row r="3" spans="1:19" x14ac:dyDescent="0.2">
      <c r="A3" s="8" t="s">
        <v>10</v>
      </c>
      <c r="C3" s="9" t="s">
        <v>0</v>
      </c>
      <c r="D3" s="12" t="s">
        <v>22</v>
      </c>
      <c r="E3" s="12" t="s">
        <v>20</v>
      </c>
      <c r="F3" s="12" t="s">
        <v>26</v>
      </c>
    </row>
    <row r="4" spans="1:19" x14ac:dyDescent="0.2">
      <c r="B4" t="s">
        <v>15</v>
      </c>
      <c r="C4" s="6">
        <v>1</v>
      </c>
      <c r="D4" s="6">
        <v>0.1</v>
      </c>
      <c r="E4" s="6">
        <v>7.0000000000000007E-2</v>
      </c>
      <c r="F4" s="7">
        <f>(1+riskfree_rate)*E4</f>
        <v>7.1428571428571425E-2</v>
      </c>
      <c r="I4">
        <f>7*1.02</f>
        <v>7.1400000000000006</v>
      </c>
    </row>
    <row r="5" spans="1:19" x14ac:dyDescent="0.2">
      <c r="B5" t="s">
        <v>16</v>
      </c>
      <c r="C5" s="6">
        <v>2</v>
      </c>
      <c r="D5" s="6">
        <v>0.3</v>
      </c>
      <c r="E5" s="6">
        <v>0.25</v>
      </c>
      <c r="F5" s="7">
        <f>(1+riskfree_rate)*E5</f>
        <v>0.25510204081632648</v>
      </c>
      <c r="J5">
        <v>0.87</v>
      </c>
      <c r="K5" s="24">
        <f>R29</f>
        <v>1.0116685188125099</v>
      </c>
      <c r="L5">
        <v>1</v>
      </c>
      <c r="O5" s="47">
        <f>R25/L8</f>
        <v>0.99222098745832688</v>
      </c>
    </row>
    <row r="6" spans="1:19" x14ac:dyDescent="0.2">
      <c r="B6" t="s">
        <v>17</v>
      </c>
      <c r="C6" s="6">
        <v>3</v>
      </c>
      <c r="D6" s="6">
        <v>0.3</v>
      </c>
      <c r="E6" s="6">
        <v>0.28000000000000003</v>
      </c>
      <c r="F6" s="7">
        <f>(1+riskfree_rate)*E6</f>
        <v>0.2857142857142857</v>
      </c>
      <c r="J6">
        <v>0.11</v>
      </c>
      <c r="K6" s="24">
        <f>R36</f>
        <v>0.83840557425702811</v>
      </c>
      <c r="L6">
        <v>1</v>
      </c>
      <c r="O6" s="47">
        <f>R25/L8</f>
        <v>0.99222098745832688</v>
      </c>
    </row>
    <row r="7" spans="1:19" x14ac:dyDescent="0.2">
      <c r="B7" t="s">
        <v>17</v>
      </c>
      <c r="C7" s="6">
        <v>4</v>
      </c>
      <c r="D7" s="6">
        <v>0.25</v>
      </c>
      <c r="E7" s="6">
        <v>0.27</v>
      </c>
      <c r="F7" s="7">
        <f>(1+riskfree_rate)*E7</f>
        <v>0.27551020408163263</v>
      </c>
    </row>
    <row r="8" spans="1:19" x14ac:dyDescent="0.2">
      <c r="B8" t="s">
        <v>17</v>
      </c>
      <c r="C8" s="6">
        <v>5</v>
      </c>
      <c r="D8" s="6">
        <v>0.05</v>
      </c>
      <c r="E8" s="6">
        <v>0.11</v>
      </c>
      <c r="F8" s="7">
        <f>(1+riskfree_rate)*E8</f>
        <v>0.11224489795918365</v>
      </c>
      <c r="K8">
        <f>SUMPRODUCT(K5:K6,J5:J6)</f>
        <v>0.97237622453515671</v>
      </c>
      <c r="L8">
        <f>SUMPRODUCT(J5:J6,L5:L6)</f>
        <v>0.98</v>
      </c>
      <c r="O8">
        <f>SUMPRODUCT(J5:J6,O5:O6)</f>
        <v>0.97237656770916026</v>
      </c>
    </row>
    <row r="9" spans="1:19" x14ac:dyDescent="0.2">
      <c r="C9" s="5"/>
      <c r="D9" s="5"/>
      <c r="E9" s="5"/>
      <c r="F9" s="8"/>
    </row>
    <row r="10" spans="1:19" x14ac:dyDescent="0.2">
      <c r="C10" s="6" t="s">
        <v>2</v>
      </c>
      <c r="D10" s="16">
        <f>SUM(D4:D8)</f>
        <v>1</v>
      </c>
      <c r="E10" s="16">
        <f t="shared" ref="E10" si="0">SUM(E4:E8)</f>
        <v>0.98000000000000009</v>
      </c>
      <c r="F10" s="16">
        <f>SUM(F4:F8)</f>
        <v>0.99999999999999989</v>
      </c>
    </row>
    <row r="13" spans="1:19" x14ac:dyDescent="0.2">
      <c r="E13" s="48"/>
      <c r="F13" s="48"/>
      <c r="G13" s="49"/>
      <c r="H13" s="92" t="s">
        <v>58</v>
      </c>
      <c r="I13" s="93"/>
      <c r="J13" s="93"/>
      <c r="K13" s="94"/>
      <c r="L13" s="92" t="s">
        <v>59</v>
      </c>
      <c r="M13" s="93"/>
      <c r="N13" s="93"/>
      <c r="O13" s="94"/>
      <c r="P13" s="92" t="s">
        <v>61</v>
      </c>
      <c r="Q13" s="93"/>
      <c r="R13" s="93"/>
      <c r="S13" s="94"/>
    </row>
    <row r="14" spans="1:19" x14ac:dyDescent="0.2">
      <c r="G14" s="28"/>
      <c r="H14" s="91" t="s">
        <v>43</v>
      </c>
      <c r="I14" s="90"/>
      <c r="J14" s="41"/>
      <c r="K14" s="28"/>
      <c r="L14" s="91" t="s">
        <v>43</v>
      </c>
      <c r="M14" s="90"/>
      <c r="N14" s="41"/>
      <c r="O14" s="28"/>
      <c r="P14" s="91" t="s">
        <v>43</v>
      </c>
      <c r="Q14" s="90"/>
      <c r="R14" s="41"/>
      <c r="S14" s="28"/>
    </row>
    <row r="15" spans="1:19" x14ac:dyDescent="0.2">
      <c r="G15" s="28"/>
      <c r="H15" s="41" t="s">
        <v>45</v>
      </c>
      <c r="I15" s="32">
        <v>1</v>
      </c>
      <c r="J15" s="41"/>
      <c r="K15" s="28"/>
      <c r="L15" s="41" t="s">
        <v>45</v>
      </c>
      <c r="M15" s="32">
        <v>1</v>
      </c>
      <c r="N15" s="41"/>
      <c r="O15" s="28"/>
      <c r="P15" s="41" t="s">
        <v>45</v>
      </c>
      <c r="Q15" s="32">
        <v>1</v>
      </c>
      <c r="R15" s="41"/>
      <c r="S15" s="28"/>
    </row>
    <row r="16" spans="1:19" x14ac:dyDescent="0.2">
      <c r="G16" s="28"/>
      <c r="H16" s="41" t="s">
        <v>46</v>
      </c>
      <c r="I16" s="44">
        <v>1</v>
      </c>
      <c r="J16" s="41"/>
      <c r="K16" s="28"/>
      <c r="L16" s="41" t="s">
        <v>46</v>
      </c>
      <c r="M16" s="44">
        <v>1</v>
      </c>
      <c r="N16" s="41"/>
      <c r="O16" s="28"/>
      <c r="P16" s="41" t="s">
        <v>46</v>
      </c>
      <c r="Q16" s="44">
        <v>1</v>
      </c>
      <c r="R16" s="41" t="s">
        <v>63</v>
      </c>
      <c r="S16" s="28" t="s">
        <v>64</v>
      </c>
    </row>
    <row r="17" spans="1:19" x14ac:dyDescent="0.2">
      <c r="G17" s="28"/>
      <c r="H17" s="41" t="s">
        <v>44</v>
      </c>
      <c r="I17" s="44">
        <f>I16/(1+0.008 + riskfree_rate)</f>
        <v>0.97237656770916037</v>
      </c>
      <c r="J17" s="41"/>
      <c r="K17" s="28"/>
      <c r="L17" s="41" t="s">
        <v>44</v>
      </c>
      <c r="M17" s="44">
        <f>M16/(1+0.008 + riskfree_rate)</f>
        <v>0.97237656770916037</v>
      </c>
      <c r="N17" s="41"/>
      <c r="O17" s="28"/>
      <c r="P17" s="41" t="s">
        <v>44</v>
      </c>
      <c r="Q17" s="44">
        <f>Q16/(1+riskfree_rate + 0.008)</f>
        <v>0.97237656770916037</v>
      </c>
      <c r="R17" s="41">
        <f>SUMPRODUCT(P20:P24,E4:E8)</f>
        <v>0.9789000000000001</v>
      </c>
      <c r="S17" s="81">
        <f>R17-Q17</f>
        <v>6.5234322908397369E-3</v>
      </c>
    </row>
    <row r="18" spans="1:19" x14ac:dyDescent="0.2">
      <c r="G18" s="28"/>
      <c r="H18" s="42" t="s">
        <v>47</v>
      </c>
      <c r="I18" s="31">
        <f>IFERROR(I16/I17-1-riskfree_rate, 0)</f>
        <v>8.0000000000000071E-3</v>
      </c>
      <c r="J18" s="41"/>
      <c r="K18" s="28"/>
      <c r="L18" s="42" t="s">
        <v>47</v>
      </c>
      <c r="M18" s="31">
        <f>IFERROR(M16/M17-1-riskfree_rate, 0)</f>
        <v>8.0000000000000071E-3</v>
      </c>
      <c r="N18" s="41"/>
      <c r="O18" s="28"/>
      <c r="P18" s="42" t="s">
        <v>65</v>
      </c>
      <c r="Q18" s="31">
        <f>IFERROR(Q16/Q17-1-riskfree_rate, 0)</f>
        <v>8.0000000000000071E-3</v>
      </c>
      <c r="R18" s="82">
        <f>Q16/(1+riskfree_rate+0.003)</f>
        <v>0.9771272458970629</v>
      </c>
      <c r="S18" s="81">
        <f>R18-Q17</f>
        <v>4.750678187902535E-3</v>
      </c>
    </row>
    <row r="19" spans="1:19" x14ac:dyDescent="0.2">
      <c r="G19" s="28"/>
      <c r="H19" s="41"/>
      <c r="I19" s="70"/>
      <c r="J19" s="71"/>
      <c r="K19" s="49"/>
      <c r="L19" s="71"/>
      <c r="M19" s="70"/>
      <c r="N19" s="41"/>
      <c r="O19" s="28"/>
      <c r="P19" s="71" t="s">
        <v>62</v>
      </c>
      <c r="Q19" s="70"/>
      <c r="R19" s="41"/>
      <c r="S19" s="28"/>
    </row>
    <row r="20" spans="1:19" x14ac:dyDescent="0.2">
      <c r="G20" s="28"/>
      <c r="H20" s="41"/>
      <c r="I20" s="70"/>
      <c r="J20" s="71"/>
      <c r="K20" s="49"/>
      <c r="L20" s="71"/>
      <c r="M20" s="70"/>
      <c r="N20" s="41"/>
      <c r="O20" s="28"/>
      <c r="P20" s="72">
        <v>1</v>
      </c>
      <c r="Q20" s="70"/>
      <c r="R20" s="41"/>
      <c r="S20" s="28"/>
    </row>
    <row r="21" spans="1:19" x14ac:dyDescent="0.2">
      <c r="G21" s="28"/>
      <c r="H21" s="41"/>
      <c r="I21" s="70"/>
      <c r="J21" s="71"/>
      <c r="K21" s="49"/>
      <c r="L21" s="71"/>
      <c r="M21" s="70"/>
      <c r="N21" s="41"/>
      <c r="O21" s="28"/>
      <c r="P21" s="72">
        <v>1</v>
      </c>
      <c r="Q21" s="70"/>
      <c r="R21" s="41"/>
      <c r="S21" s="28"/>
    </row>
    <row r="22" spans="1:19" x14ac:dyDescent="0.2">
      <c r="G22" s="28"/>
      <c r="H22" s="41"/>
      <c r="I22" s="70"/>
      <c r="J22" s="71"/>
      <c r="K22" s="49"/>
      <c r="L22" s="71"/>
      <c r="M22" s="70"/>
      <c r="N22" s="41"/>
      <c r="O22" s="28"/>
      <c r="P22" s="72">
        <v>1</v>
      </c>
      <c r="Q22" s="70"/>
      <c r="R22" s="41"/>
      <c r="S22" s="28"/>
    </row>
    <row r="23" spans="1:19" x14ac:dyDescent="0.2">
      <c r="G23" s="28"/>
      <c r="J23" s="41"/>
      <c r="K23" s="28"/>
      <c r="N23" s="41"/>
      <c r="O23" s="28"/>
      <c r="P23" s="72">
        <v>1</v>
      </c>
      <c r="R23" s="41"/>
      <c r="S23" s="28"/>
    </row>
    <row r="24" spans="1:19" x14ac:dyDescent="0.2">
      <c r="F24" s="37" t="s">
        <v>49</v>
      </c>
      <c r="G24" s="28"/>
      <c r="I24" s="37" t="s">
        <v>49</v>
      </c>
      <c r="J24" s="37" t="s">
        <v>50</v>
      </c>
      <c r="K24" s="28"/>
      <c r="M24" s="37" t="s">
        <v>49</v>
      </c>
      <c r="N24" s="37" t="s">
        <v>50</v>
      </c>
      <c r="O24" s="28"/>
      <c r="P24" s="72">
        <v>0.99</v>
      </c>
      <c r="Q24" s="37" t="s">
        <v>49</v>
      </c>
      <c r="R24" s="37" t="s">
        <v>50</v>
      </c>
      <c r="S24" s="28"/>
    </row>
    <row r="25" spans="1:19" x14ac:dyDescent="0.2">
      <c r="G25" s="28"/>
      <c r="I25" t="s">
        <v>57</v>
      </c>
      <c r="J25" s="78">
        <v>0.98</v>
      </c>
      <c r="K25" s="28"/>
      <c r="M25" t="s">
        <v>57</v>
      </c>
      <c r="N25" s="35">
        <v>14</v>
      </c>
      <c r="O25" s="28"/>
      <c r="Q25" s="13" t="s">
        <v>57</v>
      </c>
      <c r="R25" s="36">
        <f>Q17</f>
        <v>0.97237656770916037</v>
      </c>
      <c r="S25" s="28"/>
    </row>
    <row r="26" spans="1:19" x14ac:dyDescent="0.2">
      <c r="G26" s="28"/>
      <c r="I26" s="13" t="s">
        <v>56</v>
      </c>
      <c r="J26" s="79">
        <v>0.01</v>
      </c>
      <c r="K26" s="28"/>
      <c r="M26" s="13" t="s">
        <v>56</v>
      </c>
      <c r="N26" s="46">
        <v>9.1963005860687272E-2</v>
      </c>
      <c r="O26" s="28"/>
      <c r="Q26" s="13" t="s">
        <v>56</v>
      </c>
      <c r="R26" s="46">
        <v>0.02</v>
      </c>
      <c r="S26" s="28"/>
    </row>
    <row r="27" spans="1:19" x14ac:dyDescent="0.2">
      <c r="F27" s="13" t="s">
        <v>51</v>
      </c>
      <c r="G27" s="28"/>
      <c r="I27" s="13" t="s">
        <v>51</v>
      </c>
      <c r="J27" s="13" t="s">
        <v>51</v>
      </c>
      <c r="K27" s="28"/>
      <c r="M27" s="13" t="s">
        <v>51</v>
      </c>
      <c r="N27" s="13" t="s">
        <v>51</v>
      </c>
      <c r="O27" s="28"/>
      <c r="Q27" s="13" t="s">
        <v>51</v>
      </c>
      <c r="R27" s="13" t="s">
        <v>51</v>
      </c>
      <c r="S27" s="28"/>
    </row>
    <row r="28" spans="1:19" x14ac:dyDescent="0.2">
      <c r="F28" s="13" t="s">
        <v>29</v>
      </c>
      <c r="G28" s="28"/>
      <c r="I28" s="13" t="s">
        <v>29</v>
      </c>
      <c r="J28" s="13" t="s">
        <v>52</v>
      </c>
      <c r="K28" s="28"/>
      <c r="M28" s="13" t="s">
        <v>29</v>
      </c>
      <c r="N28" s="13" t="s">
        <v>52</v>
      </c>
      <c r="O28" s="28"/>
      <c r="Q28" s="13" t="s">
        <v>29</v>
      </c>
      <c r="R28" s="13" t="s">
        <v>52</v>
      </c>
      <c r="S28" s="28"/>
    </row>
    <row r="29" spans="1:19" s="23" customFormat="1" x14ac:dyDescent="0.2">
      <c r="D29" s="54">
        <v>1</v>
      </c>
      <c r="F29" s="54">
        <v>72.582228195153007</v>
      </c>
      <c r="G29" s="60"/>
      <c r="I29" s="54">
        <v>80</v>
      </c>
      <c r="J29" s="61">
        <v>1.0205265585834735</v>
      </c>
      <c r="K29" s="60"/>
      <c r="M29" s="54">
        <v>50</v>
      </c>
      <c r="N29" s="61">
        <f>N25*(1+ riskfree_rate + N26)</f>
        <v>15.573196367763906</v>
      </c>
      <c r="O29" s="60"/>
      <c r="Q29" s="54">
        <v>72.582382924670895</v>
      </c>
      <c r="R29" s="61">
        <f>R25*(1+riskfree_rate+R26)</f>
        <v>1.0116685188125099</v>
      </c>
      <c r="S29" s="60"/>
    </row>
    <row r="30" spans="1:19" x14ac:dyDescent="0.2">
      <c r="A30" s="21"/>
      <c r="C30" s="13"/>
      <c r="D30" s="13" t="s">
        <v>12</v>
      </c>
      <c r="E30" s="37" t="s">
        <v>3</v>
      </c>
      <c r="F30" s="13" t="s">
        <v>46</v>
      </c>
      <c r="G30" s="43" t="s">
        <v>6</v>
      </c>
      <c r="H30" s="37" t="s">
        <v>48</v>
      </c>
      <c r="I30" s="13" t="s">
        <v>46</v>
      </c>
      <c r="J30" s="13" t="s">
        <v>46</v>
      </c>
      <c r="K30" s="43" t="s">
        <v>6</v>
      </c>
      <c r="L30" s="37" t="s">
        <v>48</v>
      </c>
      <c r="M30" s="13" t="s">
        <v>46</v>
      </c>
      <c r="N30" s="13" t="s">
        <v>46</v>
      </c>
      <c r="O30" s="43" t="s">
        <v>6</v>
      </c>
      <c r="P30" s="37" t="s">
        <v>48</v>
      </c>
      <c r="Q30" s="13" t="s">
        <v>46</v>
      </c>
      <c r="R30" s="13" t="s">
        <v>46</v>
      </c>
      <c r="S30" s="43" t="s">
        <v>6</v>
      </c>
    </row>
    <row r="31" spans="1:19" x14ac:dyDescent="0.2">
      <c r="C31" s="13" t="s">
        <v>0</v>
      </c>
      <c r="D31" s="13" t="s">
        <v>1</v>
      </c>
      <c r="E31" s="13" t="s">
        <v>27</v>
      </c>
      <c r="F31" s="13" t="s">
        <v>30</v>
      </c>
      <c r="G31" s="43" t="s">
        <v>33</v>
      </c>
      <c r="H31" s="13" t="s">
        <v>27</v>
      </c>
      <c r="I31" s="13" t="s">
        <v>30</v>
      </c>
      <c r="J31" s="13" t="s">
        <v>5</v>
      </c>
      <c r="K31" s="43" t="s">
        <v>33</v>
      </c>
      <c r="L31" s="13" t="s">
        <v>27</v>
      </c>
      <c r="M31" s="13" t="s">
        <v>30</v>
      </c>
      <c r="N31" s="13" t="s">
        <v>5</v>
      </c>
      <c r="O31" s="43" t="s">
        <v>33</v>
      </c>
      <c r="P31" s="13" t="s">
        <v>27</v>
      </c>
      <c r="Q31" s="13" t="s">
        <v>30</v>
      </c>
      <c r="R31" s="13" t="s">
        <v>5</v>
      </c>
      <c r="S31" s="43" t="s">
        <v>33</v>
      </c>
    </row>
    <row r="32" spans="1:19" x14ac:dyDescent="0.2">
      <c r="C32" s="6">
        <v>1</v>
      </c>
      <c r="D32" s="16">
        <f>D$29</f>
        <v>1</v>
      </c>
      <c r="E32" s="54">
        <v>120</v>
      </c>
      <c r="F32" s="51">
        <f>MIN(debt_face_value,E32)</f>
        <v>72.582228195153007</v>
      </c>
      <c r="G32" s="55">
        <f>MAX(0,E32-F32)</f>
        <v>47.417771804846993</v>
      </c>
      <c r="H32" s="56">
        <f>$E32+I$16</f>
        <v>121</v>
      </c>
      <c r="I32" s="51">
        <f>IF(H32&gt;I$29+J$29, I$29, H32*((I$29)/(J$29+I$29)))</f>
        <v>80</v>
      </c>
      <c r="J32" s="73">
        <f>IF(H32&gt;I$29+J$29, J$29, H32*((J$29)/(J$29+I$29)))</f>
        <v>1.0205265585834735</v>
      </c>
      <c r="K32" s="58">
        <f>MAX(0,H32-J32-I32)</f>
        <v>39.97947344141653</v>
      </c>
      <c r="L32" s="56">
        <f>$E32+$I$16</f>
        <v>121</v>
      </c>
      <c r="M32" s="51">
        <f>MIN(L32-N32, $M$29)</f>
        <v>50</v>
      </c>
      <c r="N32" s="57">
        <f>IF(L32-$M$29-$N$29 &lt; 0, 0.1*$N$29, $N$29)</f>
        <v>15.573196367763906</v>
      </c>
      <c r="O32" s="59">
        <f>MAX(0,L32-N32-M32)</f>
        <v>55.426803632236101</v>
      </c>
      <c r="P32" s="56">
        <f>$E32+P20</f>
        <v>121</v>
      </c>
      <c r="Q32" s="51">
        <f>IF(P32&gt;Q$29+R$29, Q$29, P32*((Q$29)/(R$29+Q$29)))</f>
        <v>72.582382924670895</v>
      </c>
      <c r="R32" s="73">
        <f>IF(P32&gt;Q$29+R$29, R$29, P32*((R$29)/(R$29+Q$29)))</f>
        <v>1.0116685188125099</v>
      </c>
      <c r="S32" s="58">
        <f>MAX(0,P32-R32-Q32)</f>
        <v>47.405948556516591</v>
      </c>
    </row>
    <row r="33" spans="1:19" x14ac:dyDescent="0.2">
      <c r="C33" s="6">
        <v>2</v>
      </c>
      <c r="D33" s="16">
        <f t="shared" ref="D33:D36" si="1">D$29</f>
        <v>1</v>
      </c>
      <c r="E33" s="54">
        <v>110</v>
      </c>
      <c r="F33" s="51">
        <f>MIN(debt_face_value,E33)</f>
        <v>72.582228195153007</v>
      </c>
      <c r="G33" s="55">
        <f t="shared" ref="G33:G36" si="2">MAX(0,E33-F33)</f>
        <v>37.417771804846993</v>
      </c>
      <c r="H33" s="56">
        <f t="shared" ref="H33:H36" si="3">$E33+I$16</f>
        <v>111</v>
      </c>
      <c r="I33" s="51">
        <f t="shared" ref="I33:I36" si="4">IF(H33&gt;I$29+J$29, I$29, H33*((I$29)/(J$29+I$29)))</f>
        <v>80</v>
      </c>
      <c r="J33" s="73">
        <f t="shared" ref="J33:J36" si="5">IF(H33&gt;I$29+J$29, J$29, H33*((J$29)/(J$29+I$29)))</f>
        <v>1.0205265585834735</v>
      </c>
      <c r="K33" s="58">
        <f t="shared" ref="K33:K36" si="6">MAX(0,H33-J33-I33)</f>
        <v>29.97947344141653</v>
      </c>
      <c r="L33" s="56">
        <f t="shared" ref="L33:L36" si="7">$E33+$I$16</f>
        <v>111</v>
      </c>
      <c r="M33" s="51">
        <f>MIN(L33-N33, $M$29)</f>
        <v>50</v>
      </c>
      <c r="N33" s="57">
        <f t="shared" ref="N33:N36" si="8">IF(L33-$M$29-$N$29 &lt; 0, 0.1*$N$29, $N$29)</f>
        <v>15.573196367763906</v>
      </c>
      <c r="O33" s="59">
        <f t="shared" ref="O33:O36" si="9">MAX(0,L33-N33-M33)</f>
        <v>45.426803632236101</v>
      </c>
      <c r="P33" s="56">
        <f t="shared" ref="P33:P36" si="10">$E33+P21</f>
        <v>111</v>
      </c>
      <c r="Q33" s="51">
        <f t="shared" ref="Q33:Q36" si="11">IF(P33&gt;Q$29+R$29, Q$29, P33*((Q$29)/(R$29+Q$29)))</f>
        <v>72.582382924670895</v>
      </c>
      <c r="R33" s="73">
        <f>IF(P33&gt;Q$29+R$29, R$29, P33*((R$29)/(R$29+Q$29)))</f>
        <v>1.0116685188125099</v>
      </c>
      <c r="S33" s="58">
        <f t="shared" ref="S33:S35" si="12">MAX(0,P33-R33-Q33)</f>
        <v>37.405948556516591</v>
      </c>
    </row>
    <row r="34" spans="1:19" x14ac:dyDescent="0.2">
      <c r="C34" s="6">
        <v>3</v>
      </c>
      <c r="D34" s="16">
        <f t="shared" si="1"/>
        <v>1</v>
      </c>
      <c r="E34" s="54">
        <v>100</v>
      </c>
      <c r="F34" s="51">
        <f>MIN(debt_face_value,E34)</f>
        <v>72.582228195153007</v>
      </c>
      <c r="G34" s="55">
        <f t="shared" si="2"/>
        <v>27.417771804846993</v>
      </c>
      <c r="H34" s="56">
        <f t="shared" si="3"/>
        <v>101</v>
      </c>
      <c r="I34" s="51">
        <f t="shared" si="4"/>
        <v>80</v>
      </c>
      <c r="J34" s="73">
        <f t="shared" si="5"/>
        <v>1.0205265585834735</v>
      </c>
      <c r="K34" s="58">
        <f t="shared" si="6"/>
        <v>19.97947344141653</v>
      </c>
      <c r="L34" s="56">
        <f t="shared" si="7"/>
        <v>101</v>
      </c>
      <c r="M34" s="51">
        <f>MIN(L34-N34, $M$29)</f>
        <v>50</v>
      </c>
      <c r="N34" s="57">
        <f t="shared" si="8"/>
        <v>15.573196367763906</v>
      </c>
      <c r="O34" s="59">
        <f t="shared" si="9"/>
        <v>35.426803632236101</v>
      </c>
      <c r="P34" s="56">
        <f t="shared" si="10"/>
        <v>101</v>
      </c>
      <c r="Q34" s="51">
        <f t="shared" si="11"/>
        <v>72.582382924670895</v>
      </c>
      <c r="R34" s="73">
        <f>IF(P34&gt;Q$29+R$29, R$29, P34*((R$29)/(R$29+Q$29)))</f>
        <v>1.0116685188125099</v>
      </c>
      <c r="S34" s="58">
        <f t="shared" si="12"/>
        <v>27.405948556516591</v>
      </c>
    </row>
    <row r="35" spans="1:19" x14ac:dyDescent="0.2">
      <c r="C35" s="6">
        <v>4</v>
      </c>
      <c r="D35" s="16">
        <f t="shared" si="1"/>
        <v>1</v>
      </c>
      <c r="E35" s="54">
        <v>95</v>
      </c>
      <c r="F35" s="51">
        <f>MIN(debt_face_value,E35)</f>
        <v>72.582228195153007</v>
      </c>
      <c r="G35" s="55">
        <f t="shared" si="2"/>
        <v>22.417771804846993</v>
      </c>
      <c r="H35" s="56">
        <f t="shared" si="3"/>
        <v>96</v>
      </c>
      <c r="I35" s="51">
        <f t="shared" si="4"/>
        <v>80</v>
      </c>
      <c r="J35" s="73">
        <f t="shared" si="5"/>
        <v>1.0205265585834735</v>
      </c>
      <c r="K35" s="58">
        <f t="shared" si="6"/>
        <v>14.97947344141653</v>
      </c>
      <c r="L35" s="56">
        <f t="shared" si="7"/>
        <v>96</v>
      </c>
      <c r="M35" s="51">
        <f>MIN(L35-N35, $M$29)</f>
        <v>50</v>
      </c>
      <c r="N35" s="57">
        <f t="shared" si="8"/>
        <v>15.573196367763906</v>
      </c>
      <c r="O35" s="59">
        <f t="shared" si="9"/>
        <v>30.426803632236101</v>
      </c>
      <c r="P35" s="56">
        <f t="shared" si="10"/>
        <v>96</v>
      </c>
      <c r="Q35" s="51">
        <f t="shared" si="11"/>
        <v>72.582382924670895</v>
      </c>
      <c r="R35" s="73">
        <f>IF(P35&gt;Q$29+R$29, R$29, P35*((R$29)/(R$29+Q$29)))</f>
        <v>1.0116685188125099</v>
      </c>
      <c r="S35" s="58">
        <f t="shared" si="12"/>
        <v>22.405948556516591</v>
      </c>
    </row>
    <row r="36" spans="1:19" x14ac:dyDescent="0.2">
      <c r="C36" s="6">
        <v>5</v>
      </c>
      <c r="D36" s="16">
        <f t="shared" si="1"/>
        <v>1</v>
      </c>
      <c r="E36" s="54">
        <v>60</v>
      </c>
      <c r="F36" s="51">
        <f>MIN(debt_face_value,E36)</f>
        <v>60</v>
      </c>
      <c r="G36" s="55">
        <f t="shared" si="2"/>
        <v>0</v>
      </c>
      <c r="H36" s="56">
        <f t="shared" si="3"/>
        <v>61</v>
      </c>
      <c r="I36" s="51">
        <f t="shared" si="4"/>
        <v>60.231650018608818</v>
      </c>
      <c r="J36" s="73">
        <f t="shared" si="5"/>
        <v>0.76834998139118826</v>
      </c>
      <c r="K36" s="58">
        <f t="shared" si="6"/>
        <v>0</v>
      </c>
      <c r="L36" s="56">
        <f t="shared" si="7"/>
        <v>61</v>
      </c>
      <c r="M36" s="51">
        <f>MIN(L36-N36, $M$29)</f>
        <v>50</v>
      </c>
      <c r="N36" s="57">
        <f t="shared" si="8"/>
        <v>1.5573196367763906</v>
      </c>
      <c r="O36" s="59">
        <f t="shared" si="9"/>
        <v>9.4426803632236087</v>
      </c>
      <c r="P36" s="56">
        <f t="shared" si="10"/>
        <v>60.99</v>
      </c>
      <c r="Q36" s="51">
        <f t="shared" si="11"/>
        <v>60.151594425742971</v>
      </c>
      <c r="R36" s="73">
        <f>IF(P36&gt;Q$29+R$29, R$29, P36*((R$29)/(R$29+Q$29)))</f>
        <v>0.83840557425702811</v>
      </c>
      <c r="S36" s="58">
        <f>MAX(0,P36-R36-Q36)</f>
        <v>0</v>
      </c>
    </row>
    <row r="37" spans="1:19" x14ac:dyDescent="0.2">
      <c r="G37" s="28"/>
      <c r="K37" s="28"/>
      <c r="O37" s="28"/>
      <c r="S37" s="28"/>
    </row>
    <row r="38" spans="1:19" x14ac:dyDescent="0.2">
      <c r="D38" s="13" t="s">
        <v>18</v>
      </c>
      <c r="E38" s="13" t="s">
        <v>37</v>
      </c>
      <c r="F38" s="13" t="s">
        <v>36</v>
      </c>
      <c r="G38" s="43" t="s">
        <v>35</v>
      </c>
      <c r="H38" s="13" t="s">
        <v>37</v>
      </c>
      <c r="I38" s="13" t="s">
        <v>36</v>
      </c>
      <c r="J38" s="13" t="s">
        <v>36</v>
      </c>
      <c r="K38" s="43" t="s">
        <v>35</v>
      </c>
      <c r="L38" s="13" t="s">
        <v>37</v>
      </c>
      <c r="M38" s="13" t="s">
        <v>36</v>
      </c>
      <c r="N38" s="13" t="s">
        <v>36</v>
      </c>
      <c r="O38" s="43" t="s">
        <v>35</v>
      </c>
      <c r="P38" s="13" t="s">
        <v>37</v>
      </c>
      <c r="Q38" s="13" t="s">
        <v>36</v>
      </c>
      <c r="R38" s="13" t="s">
        <v>36</v>
      </c>
      <c r="S38" s="43" t="s">
        <v>35</v>
      </c>
    </row>
    <row r="39" spans="1:19" x14ac:dyDescent="0.2">
      <c r="B39" s="87" t="s">
        <v>21</v>
      </c>
      <c r="C39" s="87"/>
      <c r="D39" s="51">
        <f>SUMPRODUCT($E$4:$E$8,D32:D36)</f>
        <v>0.98000000000000009</v>
      </c>
      <c r="E39" s="51">
        <f t="shared" ref="D39:S39" si="13">SUMPRODUCT($E$4:$E$8,E32:E36)</f>
        <v>96.15</v>
      </c>
      <c r="F39" s="51">
        <f t="shared" si="13"/>
        <v>69.746538529783123</v>
      </c>
      <c r="G39" s="55">
        <f t="shared" si="13"/>
        <v>26.403461470216882</v>
      </c>
      <c r="H39" s="51">
        <f t="shared" si="13"/>
        <v>97.13</v>
      </c>
      <c r="I39" s="51">
        <f t="shared" si="13"/>
        <v>76.225481502046961</v>
      </c>
      <c r="J39" s="73">
        <f t="shared" si="13"/>
        <v>0.97237660392065273</v>
      </c>
      <c r="K39" s="55">
        <f t="shared" si="13"/>
        <v>19.93214189403238</v>
      </c>
      <c r="L39" s="51">
        <f t="shared" si="13"/>
        <v>97.13</v>
      </c>
      <c r="M39" s="51">
        <f t="shared" si="13"/>
        <v>49</v>
      </c>
      <c r="N39" s="57">
        <f t="shared" si="13"/>
        <v>13.719986000000002</v>
      </c>
      <c r="O39" s="55">
        <f t="shared" si="13"/>
        <v>34.410014000000004</v>
      </c>
      <c r="P39" s="51">
        <f>SUMPRODUCT($E$4:$E$8,P32:P36)</f>
        <v>97.128900000000002</v>
      </c>
      <c r="Q39" s="74">
        <f t="shared" si="13"/>
        <v>69.763348531295406</v>
      </c>
      <c r="R39" s="74">
        <f t="shared" si="13"/>
        <v>0.97237622453515682</v>
      </c>
      <c r="S39" s="76">
        <f t="shared" si="13"/>
        <v>26.393175244169434</v>
      </c>
    </row>
    <row r="40" spans="1:19" x14ac:dyDescent="0.2">
      <c r="B40" s="87" t="s">
        <v>24</v>
      </c>
      <c r="C40" s="87"/>
      <c r="D40" s="50">
        <f>SUMPRODUCT(D32:D36,$D$4:$D$8)/D39-1</f>
        <v>2.0408163265305923E-2</v>
      </c>
      <c r="E40" s="50">
        <f>SUMPRODUCT(E32:E36,$D$4:$D$8)/E39-1</f>
        <v>5.8242329693187767E-2</v>
      </c>
      <c r="F40" s="50">
        <f>IFERROR(SUMPRODUCT(F32:F36,$D$4:$D$8)/F39 -1, 0)</f>
        <v>3.1637100594891665E-2</v>
      </c>
      <c r="G40" s="62">
        <f>IFERROR(SUMPRODUCT(G32:G36,$D$4:$D$8)/G39-1, 0)</f>
        <v>0.12852185112984316</v>
      </c>
      <c r="H40" s="50">
        <f>SUMPRODUCT(H32:H36,$D$4:$D$8)/H39-1</f>
        <v>5.7860599196952522E-2</v>
      </c>
      <c r="I40" s="50">
        <f>IFERROR(SUMPRODUCT(I32:I36,$D$4:$D$8)/I39 -1, 0)</f>
        <v>3.6550782546498795E-2</v>
      </c>
      <c r="J40" s="50">
        <f>IFERROR(SUMPRODUCT(J32:J36,$D$4:$D$8)/J39 -1, 0)</f>
        <v>3.6550782546498573E-2</v>
      </c>
      <c r="K40" s="62">
        <f>IFERROR(SUMPRODUCT(K32:K36,$D$4:$D$8)/K39-1, 0)</f>
        <v>0.14039423812004603</v>
      </c>
      <c r="L40" s="50">
        <f>SUMPRODUCT(L32:L36,$D$4:$D$8)/L39-1</f>
        <v>5.7860599196952522E-2</v>
      </c>
      <c r="M40" s="50">
        <f>IFERROR(SUMPRODUCT(M32:M36,$D$4:$D$8)/M39 -1, 0)</f>
        <v>2.0408163265306145E-2</v>
      </c>
      <c r="N40" s="50">
        <f>IFERROR(SUMPRODUCT(N32:N36,$D$4:$D$8)/N39 -1, 0)</f>
        <v>8.3995459704880648E-2</v>
      </c>
      <c r="O40" s="62">
        <f>IFERROR(SUMPRODUCT(O32:O36,$D$4:$D$8)/O39-1, 0)</f>
        <v>0.10077250967655726</v>
      </c>
      <c r="P40" s="50">
        <f>SUMPRODUCT(P32:P36,$D$4:$D$8)/P39-1</f>
        <v>5.7867431835426864E-2</v>
      </c>
      <c r="Q40" s="50">
        <f>IFERROR(SUMPRODUCT(Q32:Q36,$D$4:$D$8)/Q39 -1, 0)</f>
        <v>3.1499275976458074E-2</v>
      </c>
      <c r="R40" s="50">
        <f>IFERROR(SUMPRODUCT(R32:R36,$D$4:$D$8)/R39 -1, 0)</f>
        <v>3.1499275976457852E-2</v>
      </c>
      <c r="S40" s="62">
        <f>IFERROR(SUMPRODUCT(S32:S36,$D$4:$D$8)/S39-1, 0)</f>
        <v>0.12853610272870686</v>
      </c>
    </row>
    <row r="41" spans="1:19" ht="15" customHeight="1" x14ac:dyDescent="0.2">
      <c r="A41" s="85" t="s">
        <v>32</v>
      </c>
      <c r="B41" s="85"/>
      <c r="C41" s="85"/>
      <c r="D41" s="50">
        <f>D29/D39-1</f>
        <v>2.0408163265305923E-2</v>
      </c>
      <c r="E41" s="13" t="s">
        <v>8</v>
      </c>
      <c r="F41" s="50">
        <f>IFERROR(debt_face_value/F39-1, 0)</f>
        <v>4.0657066646526019E-2</v>
      </c>
      <c r="G41" s="43" t="s">
        <v>8</v>
      </c>
      <c r="H41" s="13" t="s">
        <v>8</v>
      </c>
      <c r="I41" s="50">
        <f>IFERROR(debt_face_value/I39-1, 0)</f>
        <v>-4.7795740152800748E-2</v>
      </c>
      <c r="J41" s="50">
        <f>IFERROR(J29/J39-1, 0)</f>
        <v>4.9517804592046577E-2</v>
      </c>
      <c r="K41" s="43" t="s">
        <v>8</v>
      </c>
      <c r="L41" s="13" t="s">
        <v>8</v>
      </c>
      <c r="M41" s="50">
        <f>IFERROR(debt_face_value/M39-1, 0)</f>
        <v>0.48126996316638793</v>
      </c>
      <c r="N41" s="50">
        <f>IFERROR(N29/N39-1, 0)</f>
        <v>0.13507377979568669</v>
      </c>
      <c r="O41" s="43" t="s">
        <v>8</v>
      </c>
      <c r="P41" s="13" t="s">
        <v>8</v>
      </c>
      <c r="Q41" s="50">
        <f>IFERROR(Q29/Q39-1, 0)</f>
        <v>4.0408530449350222E-2</v>
      </c>
      <c r="R41" s="50">
        <f>IFERROR(R29/R39-1, 0)</f>
        <v>4.0408530449350222E-2</v>
      </c>
      <c r="S41" s="43" t="s">
        <v>8</v>
      </c>
    </row>
    <row r="42" spans="1:19" x14ac:dyDescent="0.2">
      <c r="F42" s="13"/>
      <c r="G42" s="13"/>
      <c r="H42" s="13"/>
      <c r="I42" s="13"/>
      <c r="J42" s="13"/>
      <c r="L42" s="13"/>
      <c r="M42" s="13"/>
      <c r="N42" s="13"/>
      <c r="P42" s="13"/>
      <c r="Q42" s="13"/>
      <c r="R42" s="80"/>
    </row>
    <row r="43" spans="1:19" x14ac:dyDescent="0.2">
      <c r="F43" s="20"/>
      <c r="G43" s="13" t="s">
        <v>55</v>
      </c>
      <c r="H43" s="45">
        <f>H39-$E$39</f>
        <v>0.97999999999998977</v>
      </c>
      <c r="I43" s="45">
        <f>I39-$F$39</f>
        <v>6.4789429722638374</v>
      </c>
      <c r="J43" s="67">
        <f>J39-$I$17</f>
        <v>3.6211492360216369E-8</v>
      </c>
      <c r="K43" s="45">
        <f>K39-$G$39</f>
        <v>-6.4713195761845022</v>
      </c>
      <c r="L43" s="45">
        <f>L39-I39</f>
        <v>20.904518497953035</v>
      </c>
      <c r="M43" s="45">
        <f>M39-F39</f>
        <v>-20.746538529783123</v>
      </c>
      <c r="N43" s="24">
        <f>N39-D39*N25</f>
        <v>-1.3999999998404178E-5</v>
      </c>
      <c r="O43" s="45">
        <f>O39-G39</f>
        <v>8.0065525297831215</v>
      </c>
      <c r="P43" s="68">
        <f>P39-$E$39</f>
        <v>0.97889999999999588</v>
      </c>
      <c r="Q43" s="68">
        <f>Q39-$F$39</f>
        <v>1.6810001512283179E-2</v>
      </c>
      <c r="R43" s="67">
        <f>R39-Q17</f>
        <v>-3.4317400354755279E-7</v>
      </c>
      <c r="S43" s="83">
        <f>S39-$G$39</f>
        <v>-1.028622604744811E-2</v>
      </c>
    </row>
    <row r="44" spans="1:19" ht="15" customHeight="1" x14ac:dyDescent="0.2">
      <c r="F44" s="20"/>
      <c r="G44" s="40"/>
      <c r="H44" s="40"/>
      <c r="I44" s="20"/>
      <c r="J44" s="22">
        <f>(J41-(riskfree_rate+0.02))^2</f>
        <v>8.2985565101861158E-5</v>
      </c>
      <c r="K44" s="15"/>
      <c r="L44" s="40"/>
      <c r="M44" s="20"/>
      <c r="N44" s="22"/>
      <c r="O44" s="15"/>
      <c r="P44" s="40"/>
      <c r="Q44" s="20"/>
      <c r="R44" s="22"/>
      <c r="S44" s="18"/>
    </row>
    <row r="45" spans="1:19" x14ac:dyDescent="0.2">
      <c r="E45" t="s">
        <v>40</v>
      </c>
      <c r="G45" s="63">
        <f>SUMPRODUCT(F39:G39,F40:G40)/(E39)</f>
        <v>5.8242329693187718E-2</v>
      </c>
      <c r="H45" s="64"/>
      <c r="I45" s="64"/>
      <c r="J45" s="64"/>
      <c r="K45" s="65">
        <f>SUMPRODUCT(I39:K39, I40:K40)/H39</f>
        <v>5.7860599196952731E-2</v>
      </c>
      <c r="L45" s="22"/>
      <c r="M45" s="22"/>
      <c r="N45" s="22"/>
      <c r="O45" s="65">
        <f>SUMPRODUCT(M39:O39, M40:O40)/L39</f>
        <v>5.7860599196952529E-2</v>
      </c>
      <c r="P45" s="64"/>
      <c r="Q45" s="64"/>
      <c r="R45" s="64"/>
      <c r="S45" s="65">
        <f>SUMPRODUCT(Q39:S39, Q40:S40)/P39</f>
        <v>5.7867431835427037E-2</v>
      </c>
    </row>
    <row r="46" spans="1:19" x14ac:dyDescent="0.2">
      <c r="E46" t="s">
        <v>60</v>
      </c>
      <c r="G46" s="51">
        <f>G45*E39</f>
        <v>5.6</v>
      </c>
      <c r="H46" s="23"/>
      <c r="I46" s="52"/>
      <c r="J46" s="53"/>
      <c r="K46" s="51">
        <f>K45*H39</f>
        <v>5.6200000000000188</v>
      </c>
      <c r="M46" s="39"/>
      <c r="N46" s="21"/>
      <c r="O46" s="51">
        <f>O45*L39</f>
        <v>5.6199999999999992</v>
      </c>
      <c r="P46" s="23"/>
      <c r="Q46" s="52"/>
      <c r="R46" s="53"/>
      <c r="S46" s="75">
        <f>S45*P39</f>
        <v>5.6206000000000094</v>
      </c>
    </row>
    <row r="47" spans="1:19" x14ac:dyDescent="0.2">
      <c r="I47" s="39"/>
      <c r="J47" s="21"/>
      <c r="M47" s="39"/>
      <c r="N47" s="21"/>
      <c r="Q47" s="39"/>
      <c r="R47" s="21"/>
      <c r="S47" s="66">
        <f>S46-G46</f>
        <v>2.0600000000009722E-2</v>
      </c>
    </row>
    <row r="48" spans="1:19" ht="15" customHeight="1" x14ac:dyDescent="0.2">
      <c r="E48" s="88" t="s">
        <v>14</v>
      </c>
      <c r="F48" s="88"/>
      <c r="G48" s="88"/>
      <c r="H48" s="14"/>
      <c r="L48" s="14"/>
      <c r="P48" s="14"/>
    </row>
    <row r="49" spans="5:20" ht="14.25" customHeight="1" x14ac:dyDescent="0.2">
      <c r="E49" s="88"/>
      <c r="F49" s="88"/>
      <c r="G49" s="88"/>
      <c r="H49" s="14"/>
      <c r="L49" s="14"/>
      <c r="P49" s="14"/>
    </row>
    <row r="50" spans="5:20" x14ac:dyDescent="0.2">
      <c r="E50" s="88"/>
      <c r="F50" s="88"/>
      <c r="G50" s="88"/>
      <c r="H50" s="14"/>
      <c r="L50" s="14"/>
      <c r="P50" s="69"/>
      <c r="Q50" s="69"/>
      <c r="R50" s="69"/>
      <c r="S50" s="69"/>
    </row>
    <row r="51" spans="5:20" x14ac:dyDescent="0.2">
      <c r="E51" s="88"/>
      <c r="F51" s="88"/>
      <c r="G51" s="88"/>
      <c r="H51" s="14"/>
      <c r="L51" s="14"/>
      <c r="P51" s="14"/>
    </row>
    <row r="52" spans="5:20" x14ac:dyDescent="0.2">
      <c r="Q52" s="47"/>
      <c r="R52" s="47"/>
      <c r="S52" s="47"/>
    </row>
    <row r="53" spans="5:20" x14ac:dyDescent="0.2">
      <c r="J53" s="25"/>
      <c r="N53" s="25"/>
      <c r="Q53" s="47"/>
      <c r="R53" s="47"/>
      <c r="S53" s="47"/>
    </row>
    <row r="54" spans="5:20" x14ac:dyDescent="0.2">
      <c r="J54" s="25"/>
      <c r="N54" s="25"/>
      <c r="R54" s="25"/>
    </row>
    <row r="60" spans="5:20" x14ac:dyDescent="0.2">
      <c r="Q60" s="47"/>
      <c r="R60" s="47"/>
      <c r="S60" s="47"/>
      <c r="T60" s="77"/>
    </row>
    <row r="61" spans="5:20" x14ac:dyDescent="0.2">
      <c r="Q61" s="47"/>
      <c r="R61" s="47"/>
      <c r="S61" s="47"/>
    </row>
    <row r="62" spans="5:20" x14ac:dyDescent="0.2">
      <c r="R62" s="25"/>
    </row>
    <row r="64" spans="5:20" ht="15" customHeight="1" x14ac:dyDescent="0.2"/>
  </sheetData>
  <mergeCells count="11">
    <mergeCell ref="E48:G51"/>
    <mergeCell ref="H13:K13"/>
    <mergeCell ref="L13:O13"/>
    <mergeCell ref="P13:S13"/>
    <mergeCell ref="P14:Q14"/>
    <mergeCell ref="L14:M14"/>
    <mergeCell ref="D1:E1"/>
    <mergeCell ref="H14:I14"/>
    <mergeCell ref="B39:C39"/>
    <mergeCell ref="B40:C40"/>
    <mergeCell ref="A41:C4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5</vt:i4>
      </vt:variant>
      <vt:variant>
        <vt:lpstr>Navngivne områder</vt:lpstr>
      </vt:variant>
      <vt:variant>
        <vt:i4>5</vt:i4>
      </vt:variant>
    </vt:vector>
  </HeadingPairs>
  <TitlesOfParts>
    <vt:vector size="10" baseType="lpstr">
      <vt:lpstr>Initial</vt:lpstr>
      <vt:lpstr>Example</vt:lpstr>
      <vt:lpstr>Example (2)</vt:lpstr>
      <vt:lpstr>Ark2</vt:lpstr>
      <vt:lpstr>Ark3</vt:lpstr>
      <vt:lpstr>'Example (2)'!debt_face_value</vt:lpstr>
      <vt:lpstr>debt_face_value</vt:lpstr>
      <vt:lpstr>Example!riskfree_rate</vt:lpstr>
      <vt:lpstr>'Example (2)'!riskfree_rate</vt:lpstr>
      <vt:lpstr>riskfree_rate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Sebastian Baltser</cp:lastModifiedBy>
  <dcterms:created xsi:type="dcterms:W3CDTF">2016-02-21T15:49:16Z</dcterms:created>
  <dcterms:modified xsi:type="dcterms:W3CDTF">2022-02-10T15:36:21Z</dcterms:modified>
</cp:coreProperties>
</file>