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GitHub\CRMA_FSR\workflow\240130_lower-level problem (primal &amp; dual)\input data\"/>
    </mc:Choice>
  </mc:AlternateContent>
  <bookViews>
    <workbookView xWindow="-105" yWindow="-105" windowWidth="23250" windowHeight="12450"/>
  </bookViews>
  <sheets>
    <sheet name="Data" sheetId="1" r:id="rId1"/>
    <sheet name="Conversions" sheetId="2" r:id="rId2"/>
    <sheet name="Calculation Stockpiling Cost" sheetId="4" r:id="rId3"/>
    <sheet name="Calculation Total Demand" sheetId="3" r:id="rId4"/>
    <sheet name="EV Sales Share ICE Decline EST" sheetId="6" r:id="rId5"/>
    <sheet name="Calculation Maintenance Cost" sheetId="9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I4" i="3" l="1"/>
  <c r="G9" i="1"/>
  <c r="E3" i="9"/>
  <c r="D3" i="9"/>
  <c r="C3" i="9"/>
  <c r="J4" i="2"/>
  <c r="G6" i="1"/>
  <c r="G5" i="1"/>
  <c r="G4" i="1"/>
  <c r="G3" i="1"/>
  <c r="G10" i="1"/>
  <c r="D32" i="6"/>
  <c r="G32" i="6" s="1"/>
  <c r="C32" i="6"/>
  <c r="F32" i="6" s="1"/>
  <c r="G31" i="6"/>
  <c r="H31" i="6" s="1"/>
  <c r="F31" i="6"/>
  <c r="E31" i="6"/>
  <c r="G30" i="6"/>
  <c r="H30" i="6" s="1"/>
  <c r="F30" i="6"/>
  <c r="E30" i="6"/>
  <c r="G29" i="6"/>
  <c r="F29" i="6"/>
  <c r="E29" i="6"/>
  <c r="G28" i="6"/>
  <c r="F28" i="6"/>
  <c r="E28" i="6"/>
  <c r="D24" i="6"/>
  <c r="G24" i="6" s="1"/>
  <c r="C24" i="6"/>
  <c r="F24" i="6" s="1"/>
  <c r="G23" i="6"/>
  <c r="H23" i="6" s="1"/>
  <c r="F23" i="6"/>
  <c r="E23" i="6"/>
  <c r="G22" i="6"/>
  <c r="H22" i="6" s="1"/>
  <c r="F22" i="6"/>
  <c r="E22" i="6"/>
  <c r="G21" i="6"/>
  <c r="F21" i="6"/>
  <c r="E21" i="6"/>
  <c r="G20" i="6"/>
  <c r="F20" i="6"/>
  <c r="E20" i="6"/>
  <c r="D16" i="6"/>
  <c r="G16" i="6" s="1"/>
  <c r="C16" i="6"/>
  <c r="F16" i="6" s="1"/>
  <c r="G15" i="6"/>
  <c r="H15" i="6" s="1"/>
  <c r="F15" i="6"/>
  <c r="E15" i="6"/>
  <c r="G14" i="6"/>
  <c r="F14" i="6"/>
  <c r="E14" i="6"/>
  <c r="G13" i="6"/>
  <c r="H13" i="6" s="1"/>
  <c r="F13" i="6"/>
  <c r="E13" i="6"/>
  <c r="G12" i="6"/>
  <c r="H12" i="6" s="1"/>
  <c r="F12" i="6"/>
  <c r="E12" i="6"/>
  <c r="H4" i="6"/>
  <c r="H5" i="6"/>
  <c r="H6" i="6"/>
  <c r="H7" i="6"/>
  <c r="H8" i="6"/>
  <c r="G4" i="6"/>
  <c r="G5" i="6"/>
  <c r="G6" i="6"/>
  <c r="G7" i="6"/>
  <c r="G8" i="6"/>
  <c r="F4" i="6"/>
  <c r="F5" i="6"/>
  <c r="F6" i="6"/>
  <c r="F7" i="6"/>
  <c r="E4" i="6"/>
  <c r="E5" i="6"/>
  <c r="E6" i="6"/>
  <c r="E7" i="6"/>
  <c r="D8" i="6"/>
  <c r="C8" i="6"/>
  <c r="F8" i="6" s="1"/>
  <c r="D22" i="3" a="1"/>
  <c r="D22" i="3" s="1"/>
  <c r="D16" i="3" a="1"/>
  <c r="D16" i="3" s="1"/>
  <c r="D10" i="3" a="1"/>
  <c r="D10" i="3" s="1"/>
  <c r="F22" i="3"/>
  <c r="G22" i="3" s="1"/>
  <c r="G23" i="3" s="1"/>
  <c r="F16" i="3"/>
  <c r="G16" i="3" s="1"/>
  <c r="G17" i="3" s="1"/>
  <c r="F10" i="3"/>
  <c r="G10" i="3" s="1"/>
  <c r="G11" i="3" s="1"/>
  <c r="F4" i="3"/>
  <c r="D6" i="3"/>
  <c r="I6" i="3" s="1"/>
  <c r="G13" i="1" s="1"/>
  <c r="D5" i="3"/>
  <c r="D4" i="3"/>
  <c r="G11" i="1" l="1"/>
  <c r="I18" i="3"/>
  <c r="G16" i="1" s="1"/>
  <c r="G4" i="3"/>
  <c r="G5" i="3" s="1"/>
  <c r="I5" i="3" s="1"/>
  <c r="G12" i="1" s="1"/>
  <c r="I24" i="3"/>
  <c r="G22" i="1" s="1"/>
  <c r="I22" i="3"/>
  <c r="G20" i="1" s="1"/>
  <c r="I23" i="3"/>
  <c r="G21" i="1" s="1"/>
  <c r="I16" i="3"/>
  <c r="G14" i="1" s="1"/>
  <c r="I11" i="3"/>
  <c r="G18" i="1" s="1"/>
  <c r="I12" i="3"/>
  <c r="G19" i="1" s="1"/>
  <c r="I10" i="3"/>
  <c r="G17" i="1" s="1"/>
  <c r="I17" i="3"/>
  <c r="G15" i="1" s="1"/>
  <c r="H28" i="6"/>
  <c r="H29" i="6"/>
  <c r="E32" i="6"/>
  <c r="H24" i="6"/>
  <c r="H21" i="6"/>
  <c r="H20" i="6"/>
  <c r="H14" i="6"/>
  <c r="H16" i="6"/>
  <c r="H32" i="6"/>
  <c r="E24" i="6"/>
  <c r="E16" i="6"/>
  <c r="E8" i="6"/>
  <c r="D4" i="4" l="1"/>
  <c r="E22" i="2"/>
  <c r="D22" i="2"/>
  <c r="D18" i="2" l="1"/>
  <c r="D17" i="2"/>
  <c r="D16" i="2"/>
  <c r="D15" i="2" l="1"/>
  <c r="L5" i="2" l="1"/>
  <c r="L8" i="2"/>
  <c r="L4" i="2"/>
  <c r="J5" i="2"/>
  <c r="J6" i="2"/>
  <c r="L6" i="2" s="1"/>
  <c r="J7" i="2"/>
  <c r="L7" i="2" s="1"/>
  <c r="J8" i="2"/>
  <c r="D24" i="3"/>
  <c r="D23" i="3"/>
  <c r="D18" i="3"/>
  <c r="D17" i="3"/>
  <c r="D12" i="3"/>
  <c r="D11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<sst xmlns="http://schemas.openxmlformats.org/spreadsheetml/2006/main" count="348" uniqueCount="126">
  <si>
    <t>Model</t>
  </si>
  <si>
    <t>Scenario</t>
  </si>
  <si>
    <t>Region</t>
  </si>
  <si>
    <t>Variable</t>
  </si>
  <si>
    <t>Unit</t>
  </si>
  <si>
    <t>Year</t>
  </si>
  <si>
    <t>Comment</t>
  </si>
  <si>
    <t>Mathematical symbol</t>
  </si>
  <si>
    <t>EUR/ton/year</t>
  </si>
  <si>
    <t>Major exporter</t>
  </si>
  <si>
    <t>Scenario 123</t>
  </si>
  <si>
    <t>Source ABC</t>
  </si>
  <si>
    <t>EUR/ton</t>
  </si>
  <si>
    <t>c^{stock}</t>
  </si>
  <si>
    <t>c^{main}_{e'}</t>
  </si>
  <si>
    <t>c^{gen}_{e,t}</t>
  </si>
  <si>
    <t>For each fringe exporter and material (one value for each because we assume it stays constant over time)</t>
  </si>
  <si>
    <t>For each exporter and material (one value for each because we assume it stays constant over time)</t>
  </si>
  <si>
    <t>ton/year</t>
  </si>
  <si>
    <t>d_{m,t}</t>
  </si>
  <si>
    <t>For each market and material and year {2025 to 2040}</t>
  </si>
  <si>
    <t>Value</t>
  </si>
  <si>
    <t xml:space="preserve">Source </t>
  </si>
  <si>
    <t>Thomson Reuters, &amp; GFMS. (May 31, 2019). Production costs of platinum by selected region from 2013 to 2018 (in U.S. dollars per equivalent ounce) [Graph]. In Statista. Retrieved December 03, 2023, from https://www-statista-com.eui.idm.oclc.org/statistics/418242/average-costs-of-platinum-production-globally-by-region/</t>
  </si>
  <si>
    <t>Average Production Cost|Platinum</t>
  </si>
  <si>
    <t>Average cost of platinum production by region 2013-2018 | Production costs of platinum by selected region from 2013 to 2018 (in U.S. dollars per equivalent ounce)</t>
  </si>
  <si>
    <t>South Africa</t>
  </si>
  <si>
    <t>North America</t>
  </si>
  <si>
    <t>Zimbabwe</t>
  </si>
  <si>
    <t>Russia</t>
  </si>
  <si>
    <t>-</t>
  </si>
  <si>
    <t>World*</t>
  </si>
  <si>
    <t>2013</t>
  </si>
  <si>
    <t>2014</t>
  </si>
  <si>
    <t>2015</t>
  </si>
  <si>
    <t>2016</t>
  </si>
  <si>
    <t>2017</t>
  </si>
  <si>
    <t>2018</t>
  </si>
  <si>
    <t>X</t>
  </si>
  <si>
    <t>2018 Euros</t>
  </si>
  <si>
    <t>Currency conversion rate source: https://data.oecd.org/conversion/exchange-rates.htm</t>
  </si>
  <si>
    <t>X2</t>
  </si>
  <si>
    <t xml:space="preserve">2018 Euros/metric ton </t>
  </si>
  <si>
    <t>Yes</t>
  </si>
  <si>
    <t>1 USD (2018) = 0.847 EUR (2018)</t>
  </si>
  <si>
    <t>1 mentric ton = 32150.7466 troy ounces</t>
  </si>
  <si>
    <t>Demand|Platinum</t>
  </si>
  <si>
    <t>EU</t>
  </si>
  <si>
    <t>EU+ Platinum Demand 2020</t>
  </si>
  <si>
    <t>Troy Ounces</t>
  </si>
  <si>
    <t>N/A</t>
  </si>
  <si>
    <t>China Platinum Demand 2020</t>
  </si>
  <si>
    <t>US Platinum Demand 2020</t>
  </si>
  <si>
    <t>Traditional Applications (China)</t>
  </si>
  <si>
    <t>Traditional Applications (North America)</t>
  </si>
  <si>
    <t>China</t>
  </si>
  <si>
    <t>World</t>
  </si>
  <si>
    <t>World Platinum Demand 2020</t>
  </si>
  <si>
    <t>Traditional Applications (World)</t>
  </si>
  <si>
    <t>No</t>
  </si>
  <si>
    <t>Sources</t>
  </si>
  <si>
    <t>Transition Sectors (Renewable energy, E-mobility, ICT)</t>
  </si>
  <si>
    <t>European Commission and others, Supply Chain Analysis and Material Demand Forecast in Strategic Technologies and Sectors in the EU: A Foresight Study (Publications Office of the European Union 2023)</t>
  </si>
  <si>
    <t>Johnson Mathey, PGM market Data, https://matthey.com/products-and-markets/pgms-and-circularity/pgm-market-data</t>
  </si>
  <si>
    <t>See sheet "Calculation Total Demand"</t>
  </si>
  <si>
    <t>EU/EU+</t>
  </si>
  <si>
    <t>USD Per Troy Ounce</t>
  </si>
  <si>
    <t>USD Per Tonne</t>
  </si>
  <si>
    <t xml:space="preserve">Unit conversion rate source: https://metric-calculator.com/convert-metric-ton-to-troy-ounce.htm </t>
  </si>
  <si>
    <t xml:space="preserve">Currency Conversion Rate Source: https://www.ecb.europa.eu/stats/policy_and_exchange_rates/euro_reference_exchange_rates/html/eurofxref-graph-usd.en.html </t>
  </si>
  <si>
    <t>1 USD (2023 avg) = 0.924 EUR</t>
  </si>
  <si>
    <t>2023 Average Platium Price</t>
  </si>
  <si>
    <t xml:space="preserve">Platinum Price Source: https://matthey.com/products-and-markets/pgms-and-circularity/pgm-management </t>
  </si>
  <si>
    <t>2023 Average Platinum price Per Tonne (Johnson Matthey)</t>
  </si>
  <si>
    <t>Annual Stockpiling Cost for a 60 Day Supply (Risk and Policy Analysts Ltd, 2012, page 120)</t>
  </si>
  <si>
    <t>Annual Stockpiling Cost Per Tonne</t>
  </si>
  <si>
    <t>Traditional Applications (EU+) oz</t>
  </si>
  <si>
    <t>Transition Sectors (EU) tonnes</t>
  </si>
  <si>
    <t>Transition Sectors (China) tonnes</t>
  </si>
  <si>
    <t>Transition Sectors (USA) tonnes</t>
  </si>
  <si>
    <t>Transition Sectors (World) tonnes</t>
  </si>
  <si>
    <t>Total tonnes</t>
  </si>
  <si>
    <t>Traditional Applications (EU+) tonnes</t>
  </si>
  <si>
    <t>Traditional Applications (China) tonnes</t>
  </si>
  <si>
    <t>Traditional Applications (North America) tonnes</t>
  </si>
  <si>
    <t>Traditional Applications (World) tonnes</t>
  </si>
  <si>
    <t>Buses</t>
  </si>
  <si>
    <t>Cars</t>
  </si>
  <si>
    <t>Trucks</t>
  </si>
  <si>
    <t>Vans</t>
  </si>
  <si>
    <t>Avg</t>
  </si>
  <si>
    <t>2020</t>
  </si>
  <si>
    <t>2030</t>
  </si>
  <si>
    <t>Diff</t>
  </si>
  <si>
    <t>ICE Share 2020</t>
  </si>
  <si>
    <t>ICE Share 2030</t>
  </si>
  <si>
    <t>ICE Share Decline</t>
  </si>
  <si>
    <t>China EV Sales Share</t>
  </si>
  <si>
    <t xml:space="preserve">Source: IEA EV Data Explorer: https://www.iea.org/data-and-statistics/data-tools/global-ev-data-explorer </t>
  </si>
  <si>
    <t>USA EV Sales Share</t>
  </si>
  <si>
    <t>World EV Sales Share</t>
  </si>
  <si>
    <t>Automotive Platinum Demand oz</t>
  </si>
  <si>
    <t>Automotive Platinum Demand (EU+) tonnes</t>
  </si>
  <si>
    <t>Automotive Platinum Demand (World) tonnes</t>
  </si>
  <si>
    <t>Automotive Platinum Demand (North America) tonnes</t>
  </si>
  <si>
    <t>Automotive Platinum Demand (China) tonnes</t>
  </si>
  <si>
    <t>ICE Platinum Demand</t>
  </si>
  <si>
    <t>Traditional Applications 2020 (Chemical, Dental &amp; Biomedical, Electrical &amp; Electronics, Glass, Investment, Jewellery, Petroleum, Pollution Control, Other)</t>
  </si>
  <si>
    <t>North America (Excl Mex)/USA</t>
  </si>
  <si>
    <t>Conversion: Troy Ouncies per Tonne</t>
  </si>
  <si>
    <t>Source: Risk and Policy Analysts Ltd, 2012, page 120</t>
  </si>
  <si>
    <t>Maintenance cost per export capacity|Platinum</t>
  </si>
  <si>
    <t>Euro Per metric ton</t>
  </si>
  <si>
    <t>metric tons</t>
  </si>
  <si>
    <t>See sheet "Calculation Stockpiling Costs"</t>
  </si>
  <si>
    <t xml:space="preserve">Robatto Simard, S.; Gamache, M.; Doyon-Poulin, P. Current Practices for Preventive Maintenance and Expectations for Predictive Maintenance in East-Canadian Mines. Mining 2023, 3, 26-53. https://doi.org/10.3390/mining3010002 </t>
  </si>
  <si>
    <t>Maintenance Cost</t>
  </si>
  <si>
    <t>CashOpEx per troy ounce of PGM (USD)</t>
  </si>
  <si>
    <t>CashOpEx per troy ounce of PGM (EUR)</t>
  </si>
  <si>
    <t>CashOpEx per metric ton of PGM (EUR)</t>
  </si>
  <si>
    <t xml:space="preserve">Source OpEx: https://www.angloamericanplatinum.com/investors/financial-results-centre#2023 </t>
  </si>
  <si>
    <t xml:space="preserve">Source Maintenance Cost: Robatto Simard, S.; Gamache, M.; Doyon-Poulin, P. Current Practices for Preventive Maintenance and Expectations for Predictive Maintenance in East-Canadian Mines. Mining 2023, 3, 26-53. https://doi.org/10.3390/mining3010002  </t>
  </si>
  <si>
    <t>EU Sales Share</t>
  </si>
  <si>
    <t>Stockpiling cost for the European market|Platinum</t>
  </si>
  <si>
    <t>Recycling</t>
  </si>
  <si>
    <t>Slack exporter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</si>
</sst>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-* #,##0.00_-;\-* #,##0.00_-;_-* &quot;-&quot;??_-;_-@_-"/>
    <numFmt numFmtId="164" formatCode="_-&quot;€&quot;* #,##0.00_-;\-&quot;€&quot;* #,##0.00_-;_-&quot;€&quot;* &quot;-&quot;??_-;_-@_-"/>
    <numFmt numFmtId="165" formatCode="[$$-409]#,##0.00"/>
    <numFmt numFmtId="166" formatCode="_-[$€-2]\ * #,##0.00_-;\-[$€-2]\ * #,##0.00_-;_-[$€-2]\ * &quot;-&quot;??_-;_-@_-"/>
    <numFmt numFmtId="167" formatCode="_-[$€-1809]* #,##0.00_-;\-[$€-1809]* #,##0.00_-;_-[$€-1809]* &quot;-&quot;??_-;_-@_-"/>
    <numFmt numFmtId="168" formatCode="&quot;€&quot;#,##0.00"/>
    <numFmt numFmtId="169" formatCode="_-[$$-409]* #,##0.00_ ;_-[$$-409]* \-#,##0.00\ ;_-[$$-409]* &quot;-&quot;??_ ;_-@_ "/>
    <numFmt numFmtId="170" formatCode="0.0%"/>
    <numFmt numFmtId="171" formatCode="0.000%"/>
    <numFmt numFmtId="172" formatCode="_-* #,##0_-;\-* #,##0_-;_-* &quot;-&quot;??_-;_-@_-"/>
  </numFmts>
  <fonts count="14" x14ac:knownFonts="1">
    <font>
      <sz val="11"/>
      <color theme="1"/>
      <name val="Segoe UI Light"/>
      <family val="2"/>
    </font>
    <font>
      <sz val="11"/>
      <color theme="1"/>
      <name val="Segoe UI Light"/>
      <family val="2"/>
    </font>
    <font>
      <sz val="10"/>
      <name val="Arial"/>
    </font>
    <font>
      <sz val="10"/>
      <name val="Arial"/>
      <family val="2"/>
    </font>
    <font>
      <sz val="8"/>
      <name val="Segoe UI Light"/>
      <family val="2"/>
    </font>
    <font>
      <b/>
      <sz val="10"/>
      <color theme="0"/>
      <name val="Arial"/>
      <family val="2"/>
    </font>
    <font>
      <sz val="11"/>
      <color theme="0"/>
      <name val="Segoe UI Light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1"/>
      <color theme="0"/>
      <name val="Segoe UI Light"/>
      <family val="2"/>
    </font>
    <font>
      <sz val="11"/>
      <color theme="1"/>
      <name val="Calibri Light"/>
      <family val="2"/>
      <scheme val="major"/>
    </font>
    <font>
      <sz val="11"/>
      <color theme="0"/>
      <name val="Calibri Light"/>
      <family val="2"/>
      <scheme val="major"/>
    </font>
    <font>
      <b/>
      <sz val="11"/>
      <color theme="1"/>
      <name val="Segoe UI Light"/>
      <family val="2"/>
    </font>
    <font>
      <u/>
      <sz val="11"/>
      <color theme="10"/>
      <name val="Segoe UI 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165" fontId="2" fillId="0" borderId="0" xfId="0" applyNumberFormat="1" applyFont="1"/>
    <xf numFmtId="165" fontId="2" fillId="0" borderId="0" xfId="0" quotePrefix="1" applyNumberFormat="1" applyFont="1"/>
    <xf numFmtId="0" fontId="3" fillId="0" borderId="0" xfId="0" applyFont="1"/>
    <xf numFmtId="0" fontId="5" fillId="3" borderId="1" xfId="0" applyFont="1" applyFill="1" applyBorder="1" applyAlignment="1">
      <alignment wrapText="1"/>
    </xf>
    <xf numFmtId="0" fontId="7" fillId="0" borderId="0" xfId="0" applyFont="1"/>
    <xf numFmtId="0" fontId="6" fillId="0" borderId="0" xfId="0" applyFont="1"/>
    <xf numFmtId="0" fontId="8" fillId="0" borderId="0" xfId="0" applyFont="1"/>
    <xf numFmtId="166" fontId="3" fillId="0" borderId="0" xfId="0" applyNumberFormat="1" applyFont="1"/>
    <xf numFmtId="164" fontId="3" fillId="0" borderId="0" xfId="1" applyFont="1" applyFill="1" applyAlignment="1"/>
    <xf numFmtId="0" fontId="9" fillId="4" borderId="0" xfId="0" applyFont="1" applyFill="1"/>
    <xf numFmtId="0" fontId="10" fillId="0" borderId="0" xfId="0" applyFont="1"/>
    <xf numFmtId="0" fontId="11" fillId="4" borderId="0" xfId="0" applyFont="1" applyFill="1"/>
    <xf numFmtId="0" fontId="6" fillId="4" borderId="0" xfId="0" applyFont="1" applyFill="1"/>
    <xf numFmtId="168" fontId="0" fillId="0" borderId="0" xfId="0" applyNumberFormat="1"/>
    <xf numFmtId="169" fontId="0" fillId="0" borderId="0" xfId="0" applyNumberFormat="1"/>
    <xf numFmtId="167" fontId="0" fillId="0" borderId="0" xfId="0" applyNumberFormat="1"/>
    <xf numFmtId="170" fontId="0" fillId="0" borderId="0" xfId="2" applyNumberFormat="1" applyFont="1"/>
    <xf numFmtId="10" fontId="0" fillId="0" borderId="0" xfId="2" applyNumberFormat="1" applyFont="1"/>
    <xf numFmtId="171" fontId="0" fillId="0" borderId="0" xfId="2" applyNumberFormat="1" applyFont="1"/>
    <xf numFmtId="170" fontId="0" fillId="0" borderId="0" xfId="0" applyNumberFormat="1"/>
    <xf numFmtId="0" fontId="12" fillId="0" borderId="0" xfId="0" applyFont="1"/>
    <xf numFmtId="0" fontId="10" fillId="0" borderId="0" xfId="0" applyFont="1" applyAlignment="1">
      <alignment horizontal="right"/>
    </xf>
    <xf numFmtId="0" fontId="0" fillId="5" borderId="0" xfId="0" applyFill="1"/>
    <xf numFmtId="172" fontId="0" fillId="2" borderId="0" xfId="4" applyNumberFormat="1" applyFont="1" applyFill="1"/>
    <xf numFmtId="172" fontId="0" fillId="5" borderId="0" xfId="4" applyNumberFormat="1" applyFont="1" applyFill="1"/>
    <xf numFmtId="0" fontId="13" fillId="5" borderId="0" xfId="3" applyFill="1"/>
  </cellXfs>
  <cellStyles count="5">
    <cellStyle name="Komma" xfId="4" builtinId="3"/>
    <cellStyle name="Link" xfId="3" builtinId="8"/>
    <cellStyle name="Prozent" xfId="2" builtinId="5"/>
    <cellStyle name="Standard" xfId="0" builtinId="0"/>
    <cellStyle name="Währung" xfId="1" builtinId="4"/>
  </cellStyles>
  <dxfs count="37">
    <dxf>
      <numFmt numFmtId="170" formatCode="0.0%"/>
    </dxf>
    <dxf>
      <numFmt numFmtId="170" formatCode="0.0%"/>
    </dxf>
    <dxf>
      <numFmt numFmtId="170" formatCode="0.0%"/>
    </dxf>
    <dxf>
      <numFmt numFmtId="170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numFmt numFmtId="170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numFmt numFmtId="170" formatCode="0.0%"/>
    </dxf>
    <dxf>
      <numFmt numFmtId="170" formatCode="0.0%"/>
    </dxf>
    <dxf>
      <numFmt numFmtId="170" formatCode="0.0%"/>
    </dxf>
    <dxf>
      <numFmt numFmtId="170" formatCode="0.0%"/>
    </dxf>
    <dxf>
      <numFmt numFmtId="170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numFmt numFmtId="170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numFmt numFmtId="170" formatCode="0.0%"/>
    </dxf>
    <dxf>
      <numFmt numFmtId="170" formatCode="0.0%"/>
    </dxf>
    <dxf>
      <numFmt numFmtId="170" formatCode="0.0%"/>
    </dxf>
    <dxf>
      <numFmt numFmtId="170" formatCode="0.0%"/>
    </dxf>
    <dxf>
      <numFmt numFmtId="170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numFmt numFmtId="170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numFmt numFmtId="170" formatCode="0.0%"/>
    </dxf>
    <dxf>
      <numFmt numFmtId="170" formatCode="0.0%"/>
    </dxf>
    <dxf>
      <numFmt numFmtId="170" formatCode="0.0%"/>
    </dxf>
    <dxf>
      <numFmt numFmtId="170" formatCode="0.0%"/>
    </dxf>
    <dxf>
      <numFmt numFmtId="170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numFmt numFmtId="170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numFmt numFmtId="170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_-[$€-2]\ * #,##0.00_-;\-[$€-2]\ * #,##0.00_-;_-[$€-2]\ 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le8" displayName="Table8" ref="B3:L8" totalsRowShown="0" headerRowDxfId="36" dataDxfId="35">
  <autoFilter ref="B3:L8"/>
  <tableColumns count="11">
    <tableColumn id="1" name="Region" dataDxfId="34"/>
    <tableColumn id="2" name="2013" dataDxfId="33"/>
    <tableColumn id="3" name="2014" dataDxfId="32"/>
    <tableColumn id="4" name="2015" dataDxfId="31"/>
    <tableColumn id="5" name="2016" dataDxfId="30"/>
    <tableColumn id="6" name="2017" dataDxfId="29"/>
    <tableColumn id="7" name="2018" dataDxfId="28"/>
    <tableColumn id="8" name="X" dataDxfId="27"/>
    <tableColumn id="9" name="2018 Euros" dataDxfId="26">
      <calculatedColumnFormula>PRODUCT(Table8[[#This Row],[2018]],0.847)</calculatedColumnFormula>
    </tableColumn>
    <tableColumn id="10" name="X2" dataDxfId="25"/>
    <tableColumn id="11" name="2018 Euros/metric ton " dataDxfId="24">
      <calculatedColumnFormula>PRODUCT(Table8[[#This Row],[2018 Euros]],32150.7466)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3:H8" totalsRowShown="0">
  <autoFilter ref="B3:H8"/>
  <tableColumns count="7">
    <tableColumn id="1" name="EU Sales Share"/>
    <tableColumn id="2" name="2020" dataDxfId="23"/>
    <tableColumn id="3" name="2030" dataDxfId="22"/>
    <tableColumn id="4" name="Diff" dataDxfId="21">
      <calculatedColumnFormula>Table2[[#This Row],[2030]]-Table2[[#This Row],[2020]]</calculatedColumnFormula>
    </tableColumn>
    <tableColumn id="5" name="ICE Share 2020" dataDxfId="20">
      <calculatedColumnFormula>1-Table2[[#This Row],[2020]]</calculatedColumnFormula>
    </tableColumn>
    <tableColumn id="6" name="ICE Share 2030" dataDxfId="19">
      <calculatedColumnFormula>1-Table2[[#This Row],[2030]]</calculatedColumnFormula>
    </tableColumn>
    <tableColumn id="7" name="ICE Share Decline" dataDxfId="18">
      <calculatedColumnFormula>((Table2[[#This Row],[ICE Share 2030]]-Table2[[#This Row],[ICE Share 2020]])/Table2[[#This Row],[ICE Share 2020]])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B11:H16" totalsRowShown="0">
  <autoFilter ref="B11:H16"/>
  <tableColumns count="7">
    <tableColumn id="1" name="China EV Sales Share"/>
    <tableColumn id="2" name="2020" dataDxfId="17"/>
    <tableColumn id="3" name="2030" dataDxfId="16"/>
    <tableColumn id="4" name="Diff" dataDxfId="15">
      <calculatedColumnFormula>Table24[[#This Row],[2030]]-Table24[[#This Row],[2020]]</calculatedColumnFormula>
    </tableColumn>
    <tableColumn id="5" name="ICE Share 2020" dataDxfId="14">
      <calculatedColumnFormula>1-Table24[[#This Row],[2020]]</calculatedColumnFormula>
    </tableColumn>
    <tableColumn id="6" name="ICE Share 2030" dataDxfId="13">
      <calculatedColumnFormula>1-Table24[[#This Row],[2030]]</calculatedColumnFormula>
    </tableColumn>
    <tableColumn id="7" name="ICE Share Decline" dataDxfId="12">
      <calculatedColumnFormula>((Table24[[#This Row],[ICE Share 2030]]-Table24[[#This Row],[ICE Share 2020]])/Table24[[#This Row],[ICE Share 2020]])</calculatedColumn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4" name="Table25" displayName="Table25" ref="B19:H24" totalsRowShown="0">
  <autoFilter ref="B19:H24"/>
  <tableColumns count="7">
    <tableColumn id="1" name="USA EV Sales Share"/>
    <tableColumn id="2" name="2020" dataDxfId="11"/>
    <tableColumn id="3" name="2030" dataDxfId="10"/>
    <tableColumn id="4" name="Diff" dataDxfId="9">
      <calculatedColumnFormula>Table25[[#This Row],[2030]]-Table25[[#This Row],[2020]]</calculatedColumnFormula>
    </tableColumn>
    <tableColumn id="5" name="ICE Share 2020" dataDxfId="8">
      <calculatedColumnFormula>1-Table25[[#This Row],[2020]]</calculatedColumnFormula>
    </tableColumn>
    <tableColumn id="6" name="ICE Share 2030" dataDxfId="7">
      <calculatedColumnFormula>1-Table25[[#This Row],[2030]]</calculatedColumnFormula>
    </tableColumn>
    <tableColumn id="7" name="ICE Share Decline" dataDxfId="6">
      <calculatedColumnFormula>((Table25[[#This Row],[ICE Share 2030]]-Table25[[#This Row],[ICE Share 2020]])/Table25[[#This Row],[ICE Share 2020]])</calculatedColumnFormula>
    </tableColumn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id="5" name="Table26" displayName="Table26" ref="B27:H32" totalsRowShown="0">
  <autoFilter ref="B27:H32"/>
  <tableColumns count="7">
    <tableColumn id="1" name="World EV Sales Share"/>
    <tableColumn id="2" name="2020" dataDxfId="5"/>
    <tableColumn id="3" name="2030" dataDxfId="4"/>
    <tableColumn id="4" name="Diff" dataDxfId="3">
      <calculatedColumnFormula>Table26[[#This Row],[2030]]-Table26[[#This Row],[2020]]</calculatedColumnFormula>
    </tableColumn>
    <tableColumn id="5" name="ICE Share 2020" dataDxfId="2">
      <calculatedColumnFormula>1-Table26[[#This Row],[2020]]</calculatedColumnFormula>
    </tableColumn>
    <tableColumn id="6" name="ICE Share 2030" dataDxfId="1">
      <calculatedColumnFormula>1-Table26[[#This Row],[2030]]</calculatedColumnFormula>
    </tableColumn>
    <tableColumn id="7" name="ICE Share Decline" dataDxfId="0">
      <calculatedColumnFormula>((Table26[[#This Row],[ICE Share 2030]]-Table26[[#This Row],[ICE Share 2020]])/Table26[[#This Row],[ICE Share 2020]])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dpi.com/2673-6489/3/1/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H16" sqref="H16"/>
    </sheetView>
  </sheetViews>
  <sheetFormatPr baseColWidth="10" defaultColWidth="11" defaultRowHeight="16.5" x14ac:dyDescent="0.3"/>
  <cols>
    <col min="1" max="1" width="10" bestFit="1" customWidth="1"/>
    <col min="2" max="2" width="10.625" bestFit="1" customWidth="1"/>
    <col min="3" max="3" width="24.625" bestFit="1" customWidth="1"/>
    <col min="4" max="4" width="43.125" bestFit="1" customWidth="1"/>
    <col min="5" max="5" width="11.25" bestFit="1" customWidth="1"/>
    <col min="6" max="6" width="4.875" bestFit="1" customWidth="1"/>
    <col min="7" max="7" width="14.25" bestFit="1" customWidth="1"/>
    <col min="8" max="8" width="17.25" bestFit="1" customWidth="1"/>
    <col min="9" max="9" width="12.25" bestFit="1" customWidth="1"/>
    <col min="10" max="10" width="84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7</v>
      </c>
      <c r="I1" t="s">
        <v>9</v>
      </c>
      <c r="J1" t="s">
        <v>6</v>
      </c>
      <c r="K1" t="s">
        <v>22</v>
      </c>
    </row>
    <row r="2" spans="1:13" x14ac:dyDescent="0.3">
      <c r="A2" t="s">
        <v>11</v>
      </c>
      <c r="B2" t="s">
        <v>10</v>
      </c>
      <c r="C2" t="s">
        <v>26</v>
      </c>
      <c r="D2" t="s">
        <v>24</v>
      </c>
      <c r="E2" t="s">
        <v>12</v>
      </c>
      <c r="F2">
        <v>2018</v>
      </c>
      <c r="G2" s="25">
        <f>Conversions!L4</f>
        <v>26823207.134646997</v>
      </c>
      <c r="H2" t="s">
        <v>15</v>
      </c>
      <c r="I2" t="s">
        <v>43</v>
      </c>
      <c r="J2" t="s">
        <v>17</v>
      </c>
      <c r="K2" t="s">
        <v>23</v>
      </c>
    </row>
    <row r="3" spans="1:13" x14ac:dyDescent="0.3">
      <c r="A3" t="s">
        <v>11</v>
      </c>
      <c r="B3" t="s">
        <v>10</v>
      </c>
      <c r="C3" t="s">
        <v>27</v>
      </c>
      <c r="D3" t="s">
        <v>24</v>
      </c>
      <c r="E3" t="s">
        <v>12</v>
      </c>
      <c r="F3">
        <v>2018</v>
      </c>
      <c r="G3" s="25">
        <f>Conversions!L5</f>
        <v>21785345.896159999</v>
      </c>
      <c r="H3" t="s">
        <v>15</v>
      </c>
      <c r="I3" t="s">
        <v>43</v>
      </c>
      <c r="J3" t="s">
        <v>17</v>
      </c>
      <c r="K3" t="s">
        <v>23</v>
      </c>
    </row>
    <row r="4" spans="1:13" x14ac:dyDescent="0.3">
      <c r="A4" t="s">
        <v>11</v>
      </c>
      <c r="B4" t="s">
        <v>10</v>
      </c>
      <c r="C4" t="s">
        <v>28</v>
      </c>
      <c r="D4" t="s">
        <v>24</v>
      </c>
      <c r="E4" t="s">
        <v>12</v>
      </c>
      <c r="F4">
        <v>2018</v>
      </c>
      <c r="G4" s="25">
        <f>Conversions!L6</f>
        <v>21431334.025347397</v>
      </c>
      <c r="H4" t="s">
        <v>15</v>
      </c>
      <c r="I4" t="s">
        <v>43</v>
      </c>
      <c r="J4" t="s">
        <v>17</v>
      </c>
      <c r="K4" t="s">
        <v>23</v>
      </c>
    </row>
    <row r="5" spans="1:13" x14ac:dyDescent="0.3">
      <c r="A5" t="s">
        <v>11</v>
      </c>
      <c r="B5" t="s">
        <v>10</v>
      </c>
      <c r="C5" t="s">
        <v>29</v>
      </c>
      <c r="D5" t="s">
        <v>24</v>
      </c>
      <c r="E5" t="s">
        <v>12</v>
      </c>
      <c r="F5">
        <v>2018</v>
      </c>
      <c r="G5" s="25">
        <f>Conversions!L7</f>
        <v>13942621.373542398</v>
      </c>
      <c r="H5" t="s">
        <v>15</v>
      </c>
      <c r="I5" t="s">
        <v>43</v>
      </c>
      <c r="J5" t="s">
        <v>17</v>
      </c>
      <c r="K5" t="s">
        <v>23</v>
      </c>
    </row>
    <row r="6" spans="1:13" x14ac:dyDescent="0.3">
      <c r="A6" t="s">
        <v>11</v>
      </c>
      <c r="B6" t="s">
        <v>10</v>
      </c>
      <c r="C6" t="s">
        <v>56</v>
      </c>
      <c r="D6" t="s">
        <v>24</v>
      </c>
      <c r="E6" t="s">
        <v>12</v>
      </c>
      <c r="F6">
        <v>2018</v>
      </c>
      <c r="G6" s="25">
        <f>Conversions!L8</f>
        <v>20151444.953947999</v>
      </c>
      <c r="H6" t="s">
        <v>15</v>
      </c>
      <c r="I6" t="s">
        <v>43</v>
      </c>
      <c r="J6" t="s">
        <v>17</v>
      </c>
      <c r="K6" t="s">
        <v>23</v>
      </c>
    </row>
    <row r="7" spans="1:13" x14ac:dyDescent="0.3">
      <c r="A7" t="s">
        <v>11</v>
      </c>
      <c r="B7" t="s">
        <v>10</v>
      </c>
      <c r="C7" t="s">
        <v>124</v>
      </c>
      <c r="D7" t="s">
        <v>24</v>
      </c>
      <c r="E7" t="s">
        <v>12</v>
      </c>
      <c r="F7">
        <v>2018</v>
      </c>
      <c r="G7" s="25">
        <v>35000000</v>
      </c>
      <c r="H7" t="s">
        <v>15</v>
      </c>
      <c r="I7" t="s">
        <v>59</v>
      </c>
      <c r="J7" t="s">
        <v>17</v>
      </c>
    </row>
    <row r="8" spans="1:13" x14ac:dyDescent="0.3">
      <c r="A8" t="s">
        <v>11</v>
      </c>
      <c r="B8" t="s">
        <v>10</v>
      </c>
      <c r="C8" t="s">
        <v>125</v>
      </c>
      <c r="D8" t="s">
        <v>24</v>
      </c>
      <c r="E8" t="s">
        <v>12</v>
      </c>
      <c r="F8">
        <v>2018</v>
      </c>
      <c r="G8" s="25">
        <v>50000000</v>
      </c>
      <c r="H8" t="s">
        <v>15</v>
      </c>
      <c r="I8" t="s">
        <v>59</v>
      </c>
      <c r="J8" t="s">
        <v>17</v>
      </c>
    </row>
    <row r="9" spans="1:13" s="24" customFormat="1" x14ac:dyDescent="0.3">
      <c r="A9" s="24" t="s">
        <v>11</v>
      </c>
      <c r="B9" s="24" t="s">
        <v>10</v>
      </c>
      <c r="C9" s="24" t="s">
        <v>56</v>
      </c>
      <c r="D9" s="24" t="s">
        <v>111</v>
      </c>
      <c r="E9" s="24" t="s">
        <v>8</v>
      </c>
      <c r="F9" s="24">
        <v>2023</v>
      </c>
      <c r="G9" s="26">
        <f>'Calculation Maintenance Cost'!E3</f>
        <v>8849801.6488173604</v>
      </c>
      <c r="H9" s="24" t="s">
        <v>14</v>
      </c>
      <c r="I9" s="24" t="s">
        <v>59</v>
      </c>
      <c r="J9" s="24" t="s">
        <v>16</v>
      </c>
      <c r="K9" s="27" t="s">
        <v>115</v>
      </c>
    </row>
    <row r="10" spans="1:13" x14ac:dyDescent="0.3">
      <c r="A10" s="24" t="s">
        <v>11</v>
      </c>
      <c r="B10" s="24" t="s">
        <v>10</v>
      </c>
      <c r="C10" s="24" t="s">
        <v>47</v>
      </c>
      <c r="D10" s="24" t="s">
        <v>123</v>
      </c>
      <c r="E10" s="24" t="s">
        <v>8</v>
      </c>
      <c r="F10" s="24">
        <v>2023</v>
      </c>
      <c r="G10" s="26">
        <f>'Calculation Stockpiling Cost'!D4</f>
        <v>36166.862255658452</v>
      </c>
      <c r="H10" s="24" t="s">
        <v>13</v>
      </c>
      <c r="I10" s="24" t="s">
        <v>59</v>
      </c>
      <c r="J10" s="24" t="s">
        <v>16</v>
      </c>
      <c r="K10" s="24" t="s">
        <v>114</v>
      </c>
    </row>
    <row r="11" spans="1:13" x14ac:dyDescent="0.3">
      <c r="A11" s="24" t="s">
        <v>11</v>
      </c>
      <c r="B11" s="24" t="s">
        <v>10</v>
      </c>
      <c r="C11" s="24" t="s">
        <v>65</v>
      </c>
      <c r="D11" s="24" t="s">
        <v>46</v>
      </c>
      <c r="E11" s="24" t="s">
        <v>18</v>
      </c>
      <c r="F11" s="24">
        <v>2020</v>
      </c>
      <c r="G11" s="26">
        <f>'Calculation Total Demand'!I4</f>
        <v>51.538461007309863</v>
      </c>
      <c r="H11" s="24" t="s">
        <v>19</v>
      </c>
      <c r="I11" s="24" t="s">
        <v>59</v>
      </c>
      <c r="J11" s="24" t="s">
        <v>20</v>
      </c>
      <c r="K11" s="24" t="s">
        <v>64</v>
      </c>
      <c r="L11" s="24"/>
      <c r="M11" s="24"/>
    </row>
    <row r="12" spans="1:13" x14ac:dyDescent="0.3">
      <c r="A12" s="24" t="s">
        <v>11</v>
      </c>
      <c r="B12" s="24" t="s">
        <v>10</v>
      </c>
      <c r="C12" s="24" t="s">
        <v>65</v>
      </c>
      <c r="D12" s="24" t="s">
        <v>46</v>
      </c>
      <c r="E12" s="24" t="s">
        <v>18</v>
      </c>
      <c r="F12" s="24">
        <v>2030</v>
      </c>
      <c r="G12" s="26">
        <f>'Calculation Total Demand'!I5</f>
        <v>40.942230047446465</v>
      </c>
      <c r="H12" s="24" t="s">
        <v>19</v>
      </c>
      <c r="I12" s="24" t="s">
        <v>59</v>
      </c>
      <c r="J12" s="24" t="s">
        <v>20</v>
      </c>
      <c r="K12" s="24" t="s">
        <v>64</v>
      </c>
      <c r="L12" s="24"/>
      <c r="M12" s="24"/>
    </row>
    <row r="13" spans="1:13" x14ac:dyDescent="0.3">
      <c r="A13" s="24" t="s">
        <v>11</v>
      </c>
      <c r="B13" s="24" t="s">
        <v>10</v>
      </c>
      <c r="C13" s="24" t="s">
        <v>65</v>
      </c>
      <c r="D13" s="24" t="s">
        <v>46</v>
      </c>
      <c r="E13" s="24" t="s">
        <v>18</v>
      </c>
      <c r="F13" s="24">
        <v>2050</v>
      </c>
      <c r="G13" s="26">
        <f>'Calculation Total Demand'!I6</f>
        <v>44.621441728950259</v>
      </c>
      <c r="H13" s="24" t="s">
        <v>19</v>
      </c>
      <c r="I13" s="24" t="s">
        <v>59</v>
      </c>
      <c r="J13" s="24" t="s">
        <v>20</v>
      </c>
      <c r="K13" s="24" t="s">
        <v>64</v>
      </c>
      <c r="L13" s="24"/>
      <c r="M13" s="24"/>
    </row>
    <row r="14" spans="1:13" x14ac:dyDescent="0.3">
      <c r="A14" s="24" t="s">
        <v>11</v>
      </c>
      <c r="B14" s="24" t="s">
        <v>10</v>
      </c>
      <c r="C14" s="24" t="s">
        <v>108</v>
      </c>
      <c r="D14" s="24" t="s">
        <v>46</v>
      </c>
      <c r="E14" s="24" t="s">
        <v>18</v>
      </c>
      <c r="F14" s="24">
        <v>2020</v>
      </c>
      <c r="G14" s="26">
        <f>'Calculation Total Demand'!I16</f>
        <v>43.202729233043691</v>
      </c>
      <c r="H14" s="24" t="s">
        <v>19</v>
      </c>
      <c r="I14" s="24" t="s">
        <v>59</v>
      </c>
      <c r="J14" s="24" t="s">
        <v>20</v>
      </c>
      <c r="K14" s="24" t="s">
        <v>64</v>
      </c>
      <c r="L14" s="24"/>
      <c r="M14" s="24"/>
    </row>
    <row r="15" spans="1:13" x14ac:dyDescent="0.3">
      <c r="A15" s="24" t="s">
        <v>11</v>
      </c>
      <c r="B15" s="24" t="s">
        <v>10</v>
      </c>
      <c r="C15" s="24" t="s">
        <v>108</v>
      </c>
      <c r="D15" s="24" t="s">
        <v>46</v>
      </c>
      <c r="E15" s="24" t="s">
        <v>18</v>
      </c>
      <c r="F15" s="24">
        <v>2030</v>
      </c>
      <c r="G15" s="26">
        <f>'Calculation Total Demand'!I17</f>
        <v>44.758879793489896</v>
      </c>
      <c r="H15" s="24" t="s">
        <v>19</v>
      </c>
      <c r="I15" s="24" t="s">
        <v>59</v>
      </c>
      <c r="J15" s="24" t="s">
        <v>20</v>
      </c>
      <c r="K15" s="24" t="s">
        <v>64</v>
      </c>
      <c r="L15" s="24"/>
      <c r="M15" s="24"/>
    </row>
    <row r="16" spans="1:13" x14ac:dyDescent="0.3">
      <c r="A16" s="24" t="s">
        <v>11</v>
      </c>
      <c r="B16" s="24" t="s">
        <v>10</v>
      </c>
      <c r="C16" s="24" t="s">
        <v>108</v>
      </c>
      <c r="D16" s="24" t="s">
        <v>46</v>
      </c>
      <c r="E16" s="24" t="s">
        <v>18</v>
      </c>
      <c r="F16" s="24">
        <v>2050</v>
      </c>
      <c r="G16" s="26">
        <f>'Calculation Total Demand'!I18</f>
        <v>59.085918094338609</v>
      </c>
      <c r="H16" s="24" t="s">
        <v>19</v>
      </c>
      <c r="I16" s="24" t="s">
        <v>59</v>
      </c>
      <c r="J16" s="24" t="s">
        <v>20</v>
      </c>
      <c r="K16" s="24" t="s">
        <v>64</v>
      </c>
      <c r="L16" s="24"/>
      <c r="M16" s="24"/>
    </row>
    <row r="17" spans="1:13" x14ac:dyDescent="0.3">
      <c r="A17" s="24" t="s">
        <v>11</v>
      </c>
      <c r="B17" s="24" t="s">
        <v>10</v>
      </c>
      <c r="C17" s="24" t="s">
        <v>55</v>
      </c>
      <c r="D17" s="24" t="s">
        <v>46</v>
      </c>
      <c r="E17" s="24" t="s">
        <v>18</v>
      </c>
      <c r="F17" s="24">
        <v>2020</v>
      </c>
      <c r="G17" s="26">
        <f>'Calculation Total Demand'!I10</f>
        <v>68.0233036952243</v>
      </c>
      <c r="H17" s="24" t="s">
        <v>19</v>
      </c>
      <c r="I17" s="24" t="s">
        <v>59</v>
      </c>
      <c r="J17" s="24" t="s">
        <v>20</v>
      </c>
      <c r="K17" s="24" t="s">
        <v>64</v>
      </c>
      <c r="L17" s="24"/>
      <c r="M17" s="24"/>
    </row>
    <row r="18" spans="1:13" x14ac:dyDescent="0.3">
      <c r="A18" s="24" t="s">
        <v>11</v>
      </c>
      <c r="B18" s="24" t="s">
        <v>10</v>
      </c>
      <c r="C18" s="24" t="s">
        <v>55</v>
      </c>
      <c r="D18" s="24" t="s">
        <v>46</v>
      </c>
      <c r="E18" s="24" t="s">
        <v>18</v>
      </c>
      <c r="F18" s="24">
        <v>2030</v>
      </c>
      <c r="G18" s="26">
        <f>'Calculation Total Demand'!I11</f>
        <v>67.260343961113833</v>
      </c>
      <c r="H18" s="24" t="s">
        <v>19</v>
      </c>
      <c r="I18" s="24" t="s">
        <v>59</v>
      </c>
      <c r="J18" s="24" t="s">
        <v>20</v>
      </c>
      <c r="K18" s="24" t="s">
        <v>64</v>
      </c>
      <c r="L18" s="24"/>
      <c r="M18" s="24"/>
    </row>
    <row r="19" spans="1:13" x14ac:dyDescent="0.3">
      <c r="A19" s="24" t="s">
        <v>11</v>
      </c>
      <c r="B19" s="24" t="s">
        <v>10</v>
      </c>
      <c r="C19" s="24" t="s">
        <v>55</v>
      </c>
      <c r="D19" s="24" t="s">
        <v>46</v>
      </c>
      <c r="E19" s="24" t="s">
        <v>18</v>
      </c>
      <c r="F19" s="24">
        <v>2050</v>
      </c>
      <c r="G19" s="26">
        <f>'Calculation Total Demand'!I12</f>
        <v>84.393861042979921</v>
      </c>
      <c r="H19" s="24" t="s">
        <v>19</v>
      </c>
      <c r="I19" s="24" t="s">
        <v>59</v>
      </c>
      <c r="J19" s="24" t="s">
        <v>20</v>
      </c>
      <c r="K19" s="24" t="s">
        <v>64</v>
      </c>
      <c r="L19" s="24"/>
      <c r="M19" s="24"/>
    </row>
    <row r="20" spans="1:13" x14ac:dyDescent="0.3">
      <c r="A20" s="24" t="s">
        <v>11</v>
      </c>
      <c r="B20" s="24" t="s">
        <v>10</v>
      </c>
      <c r="C20" s="24" t="s">
        <v>56</v>
      </c>
      <c r="D20" s="24" t="s">
        <v>46</v>
      </c>
      <c r="E20" s="24" t="s">
        <v>18</v>
      </c>
      <c r="F20" s="24">
        <v>2020</v>
      </c>
      <c r="G20" s="26">
        <f>'Calculation Total Demand'!I22</f>
        <v>222.32765194945739</v>
      </c>
      <c r="H20" s="24" t="s">
        <v>19</v>
      </c>
      <c r="I20" s="24" t="s">
        <v>59</v>
      </c>
      <c r="J20" s="24" t="s">
        <v>20</v>
      </c>
      <c r="K20" s="24" t="s">
        <v>64</v>
      </c>
      <c r="L20" s="24"/>
      <c r="M20" s="24"/>
    </row>
    <row r="21" spans="1:13" x14ac:dyDescent="0.3">
      <c r="A21" s="24" t="s">
        <v>11</v>
      </c>
      <c r="B21" s="24" t="s">
        <v>10</v>
      </c>
      <c r="C21" s="24" t="s">
        <v>56</v>
      </c>
      <c r="D21" s="24" t="s">
        <v>46</v>
      </c>
      <c r="E21" s="24" t="s">
        <v>18</v>
      </c>
      <c r="F21" s="24">
        <v>2030</v>
      </c>
      <c r="G21" s="26">
        <f>'Calculation Total Demand'!I23</f>
        <v>223.66606452828796</v>
      </c>
      <c r="H21" s="24" t="s">
        <v>19</v>
      </c>
      <c r="I21" s="24" t="s">
        <v>59</v>
      </c>
      <c r="J21" s="24" t="s">
        <v>20</v>
      </c>
      <c r="K21" s="24" t="s">
        <v>64</v>
      </c>
      <c r="L21" s="24"/>
      <c r="M21" s="24"/>
    </row>
    <row r="22" spans="1:13" x14ac:dyDescent="0.3">
      <c r="A22" s="24" t="s">
        <v>11</v>
      </c>
      <c r="B22" s="24" t="s">
        <v>10</v>
      </c>
      <c r="C22" s="24" t="s">
        <v>56</v>
      </c>
      <c r="D22" s="24" t="s">
        <v>46</v>
      </c>
      <c r="E22" s="24" t="s">
        <v>18</v>
      </c>
      <c r="F22" s="24">
        <v>2050</v>
      </c>
      <c r="G22" s="26">
        <f>'Calculation Total Demand'!I24</f>
        <v>267.02577258768599</v>
      </c>
      <c r="H22" s="24" t="s">
        <v>19</v>
      </c>
      <c r="I22" s="24" t="s">
        <v>59</v>
      </c>
      <c r="J22" s="24" t="s">
        <v>20</v>
      </c>
      <c r="K22" s="24" t="s">
        <v>64</v>
      </c>
      <c r="L22" s="24"/>
      <c r="M22" s="24"/>
    </row>
  </sheetData>
  <hyperlinks>
    <hyperlink ref="K9" r:id="rId1" display="https://www.mdpi.com/2673-6489/3/1/2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7"/>
  <sheetViews>
    <sheetView workbookViewId="0">
      <selection activeCell="K7" sqref="K7"/>
    </sheetView>
  </sheetViews>
  <sheetFormatPr baseColWidth="10" defaultColWidth="9" defaultRowHeight="16.5" x14ac:dyDescent="0.3"/>
  <cols>
    <col min="2" max="2" width="45.125" customWidth="1"/>
    <col min="3" max="3" width="8.75" customWidth="1"/>
    <col min="4" max="4" width="13.625" bestFit="1" customWidth="1"/>
    <col min="5" max="5" width="14.625" bestFit="1" customWidth="1"/>
    <col min="9" max="9" width="3.25" customWidth="1"/>
    <col min="10" max="10" width="13.75" customWidth="1"/>
    <col min="11" max="11" width="4.5" customWidth="1"/>
    <col min="12" max="12" width="21.625" customWidth="1"/>
  </cols>
  <sheetData>
    <row r="2" spans="2:12" ht="52.5" x14ac:dyDescent="0.3">
      <c r="B2" s="5" t="s">
        <v>25</v>
      </c>
    </row>
    <row r="3" spans="2:12" s="7" customFormat="1" ht="19.5" customHeight="1" x14ac:dyDescent="0.3">
      <c r="B3" s="6" t="s">
        <v>2</v>
      </c>
      <c r="C3" s="6" t="s">
        <v>32</v>
      </c>
      <c r="D3" s="6" t="s">
        <v>33</v>
      </c>
      <c r="E3" s="6" t="s">
        <v>34</v>
      </c>
      <c r="F3" s="6" t="s">
        <v>35</v>
      </c>
      <c r="G3" s="6" t="s">
        <v>36</v>
      </c>
      <c r="H3" s="6" t="s">
        <v>37</v>
      </c>
      <c r="I3" s="8" t="s">
        <v>38</v>
      </c>
      <c r="J3" s="6" t="s">
        <v>39</v>
      </c>
      <c r="K3" s="6" t="s">
        <v>41</v>
      </c>
      <c r="L3" s="6" t="s">
        <v>42</v>
      </c>
    </row>
    <row r="4" spans="2:12" x14ac:dyDescent="0.3">
      <c r="B4" s="1" t="s">
        <v>26</v>
      </c>
      <c r="C4" s="2">
        <v>1212</v>
      </c>
      <c r="D4" s="2">
        <v>1286</v>
      </c>
      <c r="E4" s="2">
        <v>1072</v>
      </c>
      <c r="F4" s="2">
        <v>975</v>
      </c>
      <c r="G4" s="2">
        <v>979</v>
      </c>
      <c r="H4" s="2">
        <v>985</v>
      </c>
      <c r="I4" s="4"/>
      <c r="J4" s="9">
        <f>PRODUCT(Table8[[#This Row],[2018]],0.847)</f>
        <v>834.29499999999996</v>
      </c>
      <c r="K4" s="4"/>
      <c r="L4" s="10">
        <f>PRODUCT(Table8[[#This Row],[2018 Euros]],32150.7466)</f>
        <v>26823207.134646997</v>
      </c>
    </row>
    <row r="5" spans="2:12" x14ac:dyDescent="0.3">
      <c r="B5" s="1" t="s">
        <v>27</v>
      </c>
      <c r="C5" s="2">
        <v>1003</v>
      </c>
      <c r="D5" s="2">
        <v>938</v>
      </c>
      <c r="E5" s="2">
        <v>1040</v>
      </c>
      <c r="F5" s="2">
        <v>977</v>
      </c>
      <c r="G5" s="2">
        <v>752</v>
      </c>
      <c r="H5" s="2">
        <v>800</v>
      </c>
      <c r="I5" s="4"/>
      <c r="J5" s="9">
        <f>PRODUCT(Table8[[#This Row],[2018]],0.847)</f>
        <v>677.6</v>
      </c>
      <c r="K5" s="4"/>
      <c r="L5" s="10">
        <f>PRODUCT(Table8[[#This Row],[2018 Euros]],32150.7466)</f>
        <v>21785345.896159999</v>
      </c>
    </row>
    <row r="6" spans="2:12" x14ac:dyDescent="0.3">
      <c r="B6" s="1" t="s">
        <v>28</v>
      </c>
      <c r="C6" s="2">
        <v>943</v>
      </c>
      <c r="D6" s="2">
        <v>978</v>
      </c>
      <c r="E6" s="2">
        <v>1106</v>
      </c>
      <c r="F6" s="2">
        <v>955</v>
      </c>
      <c r="G6" s="2">
        <v>725</v>
      </c>
      <c r="H6" s="2">
        <v>787</v>
      </c>
      <c r="I6" s="4"/>
      <c r="J6" s="9">
        <f>PRODUCT(Table8[[#This Row],[2018]],0.847)</f>
        <v>666.58899999999994</v>
      </c>
      <c r="K6" s="4"/>
      <c r="L6" s="10">
        <f>PRODUCT(Table8[[#This Row],[2018 Euros]],32150.7466)</f>
        <v>21431334.025347397</v>
      </c>
    </row>
    <row r="7" spans="2:12" x14ac:dyDescent="0.3">
      <c r="B7" s="1" t="s">
        <v>29</v>
      </c>
      <c r="C7" s="3" t="s">
        <v>30</v>
      </c>
      <c r="D7" s="2">
        <v>475</v>
      </c>
      <c r="E7" s="2">
        <v>448</v>
      </c>
      <c r="F7" s="2">
        <v>477</v>
      </c>
      <c r="G7" s="2">
        <v>567</v>
      </c>
      <c r="H7" s="2">
        <v>512</v>
      </c>
      <c r="I7" s="4"/>
      <c r="J7" s="9">
        <f>PRODUCT(Table8[[#This Row],[2018]],0.847)</f>
        <v>433.66399999999999</v>
      </c>
      <c r="K7" s="4"/>
      <c r="L7" s="10">
        <f>PRODUCT(Table8[[#This Row],[2018 Euros]],32150.7466)</f>
        <v>13942621.373542398</v>
      </c>
    </row>
    <row r="8" spans="2:12" x14ac:dyDescent="0.3">
      <c r="B8" s="1" t="s">
        <v>31</v>
      </c>
      <c r="C8" s="2">
        <v>1172</v>
      </c>
      <c r="D8" s="2">
        <v>1215</v>
      </c>
      <c r="E8" s="2">
        <v>1069</v>
      </c>
      <c r="F8" s="2">
        <v>974</v>
      </c>
      <c r="G8" s="2">
        <v>766</v>
      </c>
      <c r="H8" s="2">
        <v>740</v>
      </c>
      <c r="I8" s="4"/>
      <c r="J8" s="9">
        <f>PRODUCT(Table8[[#This Row],[2018]],0.847)</f>
        <v>626.78</v>
      </c>
      <c r="K8" s="4"/>
      <c r="L8" s="10">
        <f>PRODUCT(Table8[[#This Row],[2018 Euros]],32150.7466)</f>
        <v>20151444.953947999</v>
      </c>
    </row>
    <row r="10" spans="2:12" x14ac:dyDescent="0.3">
      <c r="B10" t="s">
        <v>40</v>
      </c>
      <c r="C10" t="s">
        <v>44</v>
      </c>
    </row>
    <row r="11" spans="2:12" x14ac:dyDescent="0.3">
      <c r="B11" t="s">
        <v>68</v>
      </c>
      <c r="C11" t="s">
        <v>45</v>
      </c>
      <c r="E11">
        <v>32150.746599999999</v>
      </c>
    </row>
    <row r="14" spans="2:12" x14ac:dyDescent="0.3">
      <c r="B14" s="11"/>
      <c r="C14" s="11" t="s">
        <v>49</v>
      </c>
      <c r="D14" s="11" t="s">
        <v>113</v>
      </c>
    </row>
    <row r="15" spans="2:12" x14ac:dyDescent="0.3">
      <c r="B15" s="11" t="s">
        <v>48</v>
      </c>
      <c r="C15">
        <v>1657000</v>
      </c>
      <c r="D15">
        <f>C15/32150.7466</f>
        <v>51.538461007309863</v>
      </c>
    </row>
    <row r="16" spans="2:12" x14ac:dyDescent="0.3">
      <c r="B16" s="11" t="s">
        <v>51</v>
      </c>
      <c r="C16">
        <v>2187000</v>
      </c>
      <c r="D16">
        <f>C16/32150.7466</f>
        <v>68.0233036952243</v>
      </c>
    </row>
    <row r="17" spans="2:5" x14ac:dyDescent="0.3">
      <c r="B17" s="11" t="s">
        <v>52</v>
      </c>
      <c r="C17">
        <v>1389000</v>
      </c>
      <c r="D17">
        <f>C17/32150.7466</f>
        <v>43.202729233043691</v>
      </c>
    </row>
    <row r="18" spans="2:5" x14ac:dyDescent="0.3">
      <c r="B18" s="11" t="s">
        <v>57</v>
      </c>
      <c r="C18">
        <v>7148000</v>
      </c>
      <c r="D18">
        <f>C18/32150.7466</f>
        <v>222.32765194945739</v>
      </c>
    </row>
    <row r="21" spans="2:5" x14ac:dyDescent="0.3">
      <c r="B21" s="11" t="s">
        <v>71</v>
      </c>
      <c r="C21" s="11" t="s">
        <v>66</v>
      </c>
      <c r="D21" s="11" t="s">
        <v>67</v>
      </c>
      <c r="E21" s="11" t="s">
        <v>112</v>
      </c>
    </row>
    <row r="22" spans="2:5" x14ac:dyDescent="0.3">
      <c r="C22" s="16">
        <v>973.11</v>
      </c>
      <c r="D22" s="16">
        <f>C22*32150.7466</f>
        <v>31286213.023925997</v>
      </c>
      <c r="E22" s="17">
        <f>D22*0.9248</f>
        <v>28933489.804526761</v>
      </c>
    </row>
    <row r="24" spans="2:5" x14ac:dyDescent="0.3">
      <c r="B24" t="s">
        <v>68</v>
      </c>
      <c r="C24" t="s">
        <v>45</v>
      </c>
    </row>
    <row r="25" spans="2:5" x14ac:dyDescent="0.3">
      <c r="B25" t="s">
        <v>69</v>
      </c>
      <c r="C25" t="s">
        <v>70</v>
      </c>
    </row>
    <row r="27" spans="2:5" x14ac:dyDescent="0.3">
      <c r="B27" t="s">
        <v>72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"/>
  <sheetViews>
    <sheetView workbookViewId="0"/>
  </sheetViews>
  <sheetFormatPr baseColWidth="10" defaultColWidth="9" defaultRowHeight="16.5" x14ac:dyDescent="0.3"/>
  <cols>
    <col min="2" max="2" width="50" customWidth="1"/>
    <col min="3" max="3" width="26.25" customWidth="1"/>
    <col min="4" max="4" width="26.125" customWidth="1"/>
  </cols>
  <sheetData>
    <row r="3" spans="2:7" x14ac:dyDescent="0.3">
      <c r="B3" s="14" t="s">
        <v>73</v>
      </c>
      <c r="C3" s="14" t="s">
        <v>74</v>
      </c>
      <c r="D3" s="14" t="s">
        <v>75</v>
      </c>
      <c r="G3" s="14" t="s">
        <v>110</v>
      </c>
    </row>
    <row r="4" spans="2:7" x14ac:dyDescent="0.3">
      <c r="B4" s="17">
        <v>28933489.804526761</v>
      </c>
      <c r="C4" s="20">
        <v>1.25E-3</v>
      </c>
      <c r="D4" s="15">
        <f>B4*C4</f>
        <v>36166.862255658452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32"/>
  <sheetViews>
    <sheetView topLeftCell="D7" workbookViewId="0">
      <selection activeCell="I12" sqref="I12"/>
    </sheetView>
  </sheetViews>
  <sheetFormatPr baseColWidth="10" defaultColWidth="9" defaultRowHeight="16.5" x14ac:dyDescent="0.3"/>
  <cols>
    <col min="1" max="1" width="8.75" customWidth="1"/>
    <col min="2" max="2" width="7.125" customWidth="1"/>
    <col min="3" max="4" width="24" customWidth="1"/>
    <col min="5" max="7" width="26" customWidth="1"/>
    <col min="8" max="8" width="27.25" customWidth="1"/>
    <col min="9" max="9" width="27.125" customWidth="1"/>
    <col min="11" max="11" width="26.625" customWidth="1"/>
  </cols>
  <sheetData>
    <row r="3" spans="2:12" x14ac:dyDescent="0.3">
      <c r="B3" s="13"/>
      <c r="C3" s="13" t="s">
        <v>76</v>
      </c>
      <c r="D3" s="13" t="s">
        <v>82</v>
      </c>
      <c r="E3" s="13" t="s">
        <v>101</v>
      </c>
      <c r="F3" s="13" t="s">
        <v>102</v>
      </c>
      <c r="G3" s="13" t="s">
        <v>106</v>
      </c>
      <c r="H3" s="13" t="s">
        <v>77</v>
      </c>
      <c r="I3" s="13" t="s">
        <v>81</v>
      </c>
    </row>
    <row r="4" spans="2:12" x14ac:dyDescent="0.3">
      <c r="B4" s="13">
        <v>2020</v>
      </c>
      <c r="C4">
        <v>799000</v>
      </c>
      <c r="D4">
        <f>C4/C32</f>
        <v>24.85167793895026</v>
      </c>
      <c r="E4">
        <v>858000</v>
      </c>
      <c r="F4">
        <f>E4/C32</f>
        <v>26.686783068359603</v>
      </c>
      <c r="G4">
        <f>F4*'EV Sales Share ICE Decline EST'!F8</f>
        <v>25.60596835409104</v>
      </c>
      <c r="H4" s="23" t="s">
        <v>50</v>
      </c>
      <c r="I4" s="12">
        <f>SUM(F4,D4)</f>
        <v>51.538461007309863</v>
      </c>
    </row>
    <row r="5" spans="2:12" x14ac:dyDescent="0.3">
      <c r="B5" s="13">
        <v>2030</v>
      </c>
      <c r="C5">
        <v>799000</v>
      </c>
      <c r="D5">
        <f>C5/C32</f>
        <v>24.85167793895026</v>
      </c>
      <c r="E5" s="23" t="s">
        <v>50</v>
      </c>
      <c r="F5" s="23" t="s">
        <v>50</v>
      </c>
      <c r="G5" s="12">
        <f>G4*(1+'EV Sales Share ICE Decline EST'!H8)</f>
        <v>13.076523703496203</v>
      </c>
      <c r="H5" s="12">
        <v>3.0140284049999999</v>
      </c>
      <c r="I5" s="12">
        <f>SUM(D5,G5,H5)</f>
        <v>40.942230047446465</v>
      </c>
    </row>
    <row r="6" spans="2:12" x14ac:dyDescent="0.3">
      <c r="B6" s="13">
        <v>2050</v>
      </c>
      <c r="C6">
        <v>799000</v>
      </c>
      <c r="D6">
        <f>C6/C32</f>
        <v>24.85167793895026</v>
      </c>
      <c r="E6" s="23" t="s">
        <v>50</v>
      </c>
      <c r="F6" s="23" t="s">
        <v>50</v>
      </c>
      <c r="G6" s="12">
        <v>0</v>
      </c>
      <c r="H6" s="12">
        <v>19.769763789999999</v>
      </c>
      <c r="I6" s="12">
        <f>SUM(D6,G6,H6)</f>
        <v>44.621441728950259</v>
      </c>
    </row>
    <row r="7" spans="2:12" x14ac:dyDescent="0.3">
      <c r="B7" s="12"/>
      <c r="C7" s="12"/>
      <c r="D7" s="12"/>
      <c r="E7" s="12"/>
      <c r="F7" s="12"/>
      <c r="G7" s="12"/>
      <c r="H7" s="12"/>
      <c r="I7" s="12"/>
    </row>
    <row r="8" spans="2:12" x14ac:dyDescent="0.3">
      <c r="B8" s="12"/>
      <c r="C8" s="12"/>
      <c r="D8" s="12"/>
      <c r="E8" s="12"/>
      <c r="F8" s="12"/>
      <c r="G8" s="12"/>
      <c r="H8" s="12"/>
      <c r="I8" s="12"/>
    </row>
    <row r="9" spans="2:12" x14ac:dyDescent="0.3">
      <c r="B9" s="13"/>
      <c r="C9" s="13" t="s">
        <v>53</v>
      </c>
      <c r="D9" s="13" t="s">
        <v>83</v>
      </c>
      <c r="E9" s="13" t="s">
        <v>101</v>
      </c>
      <c r="F9" s="13" t="s">
        <v>105</v>
      </c>
      <c r="G9" s="13" t="s">
        <v>106</v>
      </c>
      <c r="H9" s="13" t="s">
        <v>78</v>
      </c>
      <c r="I9" s="13" t="s">
        <v>81</v>
      </c>
      <c r="K9" s="13" t="s">
        <v>60</v>
      </c>
    </row>
    <row r="10" spans="2:12" x14ac:dyDescent="0.3">
      <c r="B10" s="13">
        <v>2020</v>
      </c>
      <c r="C10" s="12">
        <v>1971000</v>
      </c>
      <c r="D10" s="12" cm="1">
        <f t="array" ref="D10:D12">C10:C12/C32</f>
        <v>61.304952712979926</v>
      </c>
      <c r="E10" s="12">
        <v>216000</v>
      </c>
      <c r="F10">
        <f>E10/C32</f>
        <v>6.7183509822443757</v>
      </c>
      <c r="G10">
        <f>F10*'EV Sales Share ICE Decline EST'!F16</f>
        <v>6.3555600292031791</v>
      </c>
      <c r="H10" s="23" t="s">
        <v>50</v>
      </c>
      <c r="I10" s="12">
        <f>SUM(F10,D10)</f>
        <v>68.0233036952243</v>
      </c>
      <c r="K10" t="s">
        <v>107</v>
      </c>
      <c r="L10" s="12" t="s">
        <v>63</v>
      </c>
    </row>
    <row r="11" spans="2:12" x14ac:dyDescent="0.3">
      <c r="B11" s="13">
        <v>2030</v>
      </c>
      <c r="C11" s="12">
        <v>1971000</v>
      </c>
      <c r="D11" s="12">
        <v>61.304952712979926</v>
      </c>
      <c r="E11" s="23" t="s">
        <v>50</v>
      </c>
      <c r="F11" s="23" t="s">
        <v>50</v>
      </c>
      <c r="G11" s="12">
        <f>G10*(1+'EV Sales Share ICE Decline EST'!H16)</f>
        <v>3.5439301431339083</v>
      </c>
      <c r="H11" s="12">
        <v>2.4114611050000003</v>
      </c>
      <c r="I11" s="12">
        <f>SUM(D11,G11,H11)</f>
        <v>67.260343961113833</v>
      </c>
      <c r="K11" t="s">
        <v>61</v>
      </c>
      <c r="L11" s="12" t="s">
        <v>62</v>
      </c>
    </row>
    <row r="12" spans="2:12" x14ac:dyDescent="0.3">
      <c r="B12" s="13">
        <v>2050</v>
      </c>
      <c r="C12" s="12">
        <v>1971000</v>
      </c>
      <c r="D12" s="12">
        <v>61.304952712979926</v>
      </c>
      <c r="E12" s="23" t="s">
        <v>50</v>
      </c>
      <c r="F12" s="23" t="s">
        <v>50</v>
      </c>
      <c r="G12" s="12">
        <v>0</v>
      </c>
      <c r="H12" s="12">
        <v>23.088908330000002</v>
      </c>
      <c r="I12" s="12">
        <f>SUM(D12,G12,H12)</f>
        <v>84.393861042979921</v>
      </c>
    </row>
    <row r="13" spans="2:12" x14ac:dyDescent="0.3">
      <c r="B13" s="12"/>
      <c r="C13" s="12"/>
      <c r="D13" s="12"/>
      <c r="E13" s="12"/>
      <c r="F13" s="12"/>
      <c r="G13" s="12"/>
      <c r="H13" s="12"/>
      <c r="I13" s="12"/>
    </row>
    <row r="14" spans="2:12" x14ac:dyDescent="0.3">
      <c r="B14" s="12"/>
      <c r="C14" s="12"/>
      <c r="D14" s="12"/>
      <c r="E14" s="12"/>
      <c r="F14" s="12"/>
      <c r="G14" s="12"/>
      <c r="H14" s="12"/>
      <c r="I14" s="12"/>
    </row>
    <row r="15" spans="2:12" x14ac:dyDescent="0.3">
      <c r="B15" s="13"/>
      <c r="C15" s="13" t="s">
        <v>54</v>
      </c>
      <c r="D15" s="13" t="s">
        <v>84</v>
      </c>
      <c r="E15" s="13" t="s">
        <v>101</v>
      </c>
      <c r="F15" s="13" t="s">
        <v>104</v>
      </c>
      <c r="G15" s="13" t="s">
        <v>106</v>
      </c>
      <c r="H15" s="13" t="s">
        <v>79</v>
      </c>
      <c r="I15" s="13" t="s">
        <v>81</v>
      </c>
    </row>
    <row r="16" spans="2:12" x14ac:dyDescent="0.3">
      <c r="B16" s="13">
        <v>2020</v>
      </c>
      <c r="C16" s="12">
        <v>1175000</v>
      </c>
      <c r="D16" s="12" cm="1">
        <f t="array" ref="D16:D18">C16:C18/C32</f>
        <v>36.546585204338612</v>
      </c>
      <c r="E16" s="12">
        <v>214000</v>
      </c>
      <c r="F16">
        <f>E16/C32</f>
        <v>6.6561440287050759</v>
      </c>
      <c r="G16">
        <f>'Calculation Total Demand'!F16*'EV Sales Share ICE Decline EST'!F24</f>
        <v>6.6195352365471987</v>
      </c>
      <c r="H16" s="23" t="s">
        <v>50</v>
      </c>
      <c r="I16" s="12">
        <f>SUM(F16,D16)</f>
        <v>43.202729233043691</v>
      </c>
    </row>
    <row r="17" spans="2:9" x14ac:dyDescent="0.3">
      <c r="B17" s="13">
        <v>2030</v>
      </c>
      <c r="C17" s="12">
        <v>1175000</v>
      </c>
      <c r="D17" s="12">
        <v>36.546585204338612</v>
      </c>
      <c r="E17" s="23" t="s">
        <v>50</v>
      </c>
      <c r="F17" s="23" t="s">
        <v>50</v>
      </c>
      <c r="G17" s="12">
        <f>G16*(1+'EV Sales Share ICE Decline EST'!H24)</f>
        <v>3.9770460571512829</v>
      </c>
      <c r="H17" s="12">
        <v>4.2352485319999991</v>
      </c>
      <c r="I17" s="12">
        <f>SUM(D17,G17,H17)</f>
        <v>44.758879793489896</v>
      </c>
    </row>
    <row r="18" spans="2:9" x14ac:dyDescent="0.3">
      <c r="B18" s="13">
        <v>2050</v>
      </c>
      <c r="C18" s="12">
        <v>1175000</v>
      </c>
      <c r="D18" s="12">
        <v>36.546585204338612</v>
      </c>
      <c r="E18" s="23" t="s">
        <v>50</v>
      </c>
      <c r="F18" s="23" t="s">
        <v>50</v>
      </c>
      <c r="G18" s="12">
        <v>0</v>
      </c>
      <c r="H18" s="12">
        <v>22.539332890000001</v>
      </c>
      <c r="I18" s="12">
        <f>SUM(D18,G18,H18)</f>
        <v>59.085918094338609</v>
      </c>
    </row>
    <row r="21" spans="2:9" x14ac:dyDescent="0.3">
      <c r="B21" s="14"/>
      <c r="C21" s="13" t="s">
        <v>58</v>
      </c>
      <c r="D21" s="13" t="s">
        <v>85</v>
      </c>
      <c r="E21" s="13" t="s">
        <v>101</v>
      </c>
      <c r="F21" s="13" t="s">
        <v>103</v>
      </c>
      <c r="G21" s="13" t="s">
        <v>106</v>
      </c>
      <c r="H21" s="13" t="s">
        <v>80</v>
      </c>
      <c r="I21" s="13" t="s">
        <v>81</v>
      </c>
    </row>
    <row r="22" spans="2:9" x14ac:dyDescent="0.3">
      <c r="B22" s="13">
        <v>2020</v>
      </c>
      <c r="C22" s="12">
        <v>5124000</v>
      </c>
      <c r="D22" s="12" cm="1">
        <f t="array" ref="D22:D24">C22:C24/C32</f>
        <v>159.37421496768602</v>
      </c>
      <c r="E22" s="12">
        <v>2024000</v>
      </c>
      <c r="F22">
        <f>E22/C32</f>
        <v>62.953436981771368</v>
      </c>
      <c r="G22">
        <f>'Calculation Total Demand'!F22*'EV Sales Share ICE Decline EST'!F32</f>
        <v>61.316647620245313</v>
      </c>
      <c r="H22" s="23" t="s">
        <v>50</v>
      </c>
      <c r="I22" s="12">
        <f>SUM(F22,D22)</f>
        <v>222.32765194945739</v>
      </c>
    </row>
    <row r="23" spans="2:9" x14ac:dyDescent="0.3">
      <c r="B23" s="13">
        <v>2030</v>
      </c>
      <c r="C23" s="12">
        <v>5124000</v>
      </c>
      <c r="D23" s="12">
        <v>159.37421496768602</v>
      </c>
      <c r="E23" s="23" t="s">
        <v>50</v>
      </c>
      <c r="F23" s="23" t="s">
        <v>50</v>
      </c>
      <c r="G23" s="12">
        <f>'Calculation Total Demand'!G22*(1+'EV Sales Share ICE Decline EST'!H32)</f>
        <v>46.270776181601953</v>
      </c>
      <c r="H23">
        <v>18.021073379000001</v>
      </c>
      <c r="I23" s="12">
        <f>SUM(D23,G23,H23)</f>
        <v>223.66606452828796</v>
      </c>
    </row>
    <row r="24" spans="2:9" x14ac:dyDescent="0.3">
      <c r="B24" s="13">
        <v>2050</v>
      </c>
      <c r="C24" s="12">
        <v>5124000</v>
      </c>
      <c r="D24" s="12">
        <v>159.37421496768602</v>
      </c>
      <c r="E24" s="23" t="s">
        <v>50</v>
      </c>
      <c r="F24" s="23" t="s">
        <v>50</v>
      </c>
      <c r="G24" s="12">
        <v>0</v>
      </c>
      <c r="H24">
        <v>107.65155762000001</v>
      </c>
      <c r="I24" s="12">
        <f>SUM(D24,G24,H24)</f>
        <v>267.02577258768599</v>
      </c>
    </row>
    <row r="31" spans="2:9" x14ac:dyDescent="0.3">
      <c r="C31" s="14" t="s">
        <v>109</v>
      </c>
    </row>
    <row r="32" spans="2:9" x14ac:dyDescent="0.3">
      <c r="C32">
        <v>32150.746599999999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2"/>
  <sheetViews>
    <sheetView workbookViewId="0"/>
  </sheetViews>
  <sheetFormatPr baseColWidth="10" defaultColWidth="9" defaultRowHeight="16.5" x14ac:dyDescent="0.3"/>
  <cols>
    <col min="2" max="2" width="24.875" customWidth="1"/>
    <col min="3" max="3" width="17.375" customWidth="1"/>
    <col min="4" max="4" width="17.625" customWidth="1"/>
    <col min="5" max="5" width="17.75" hidden="1" customWidth="1"/>
    <col min="6" max="6" width="17.25" customWidth="1"/>
    <col min="7" max="7" width="17.75" customWidth="1"/>
    <col min="8" max="8" width="17.25" customWidth="1"/>
  </cols>
  <sheetData>
    <row r="3" spans="2:11" x14ac:dyDescent="0.3">
      <c r="B3" t="s">
        <v>122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96</v>
      </c>
      <c r="K3" t="s">
        <v>98</v>
      </c>
    </row>
    <row r="4" spans="2:11" x14ac:dyDescent="0.3">
      <c r="B4" t="s">
        <v>86</v>
      </c>
      <c r="C4" s="18">
        <v>0.04</v>
      </c>
      <c r="D4" s="18">
        <v>0.56999999999999995</v>
      </c>
      <c r="E4" s="21">
        <f>Table2[[#This Row],[2030]]-Table2[[#This Row],[2020]]</f>
        <v>0.52999999999999992</v>
      </c>
      <c r="F4" s="21">
        <f>1-Table2[[#This Row],[2020]]</f>
        <v>0.96</v>
      </c>
      <c r="G4" s="21">
        <f>1-Table2[[#This Row],[2030]]</f>
        <v>0.43000000000000005</v>
      </c>
      <c r="H4" s="21">
        <f>((Table2[[#This Row],[ICE Share 2030]]-Table2[[#This Row],[ICE Share 2020]])/Table2[[#This Row],[ICE Share 2020]])</f>
        <v>-0.55208333333333326</v>
      </c>
    </row>
    <row r="5" spans="2:11" x14ac:dyDescent="0.3">
      <c r="B5" t="s">
        <v>87</v>
      </c>
      <c r="C5" s="18">
        <v>0.1</v>
      </c>
      <c r="D5" s="18">
        <v>0.64</v>
      </c>
      <c r="E5" s="21">
        <f>Table2[[#This Row],[2030]]-Table2[[#This Row],[2020]]</f>
        <v>0.54</v>
      </c>
      <c r="F5" s="21">
        <f>1-Table2[[#This Row],[2020]]</f>
        <v>0.9</v>
      </c>
      <c r="G5" s="21">
        <f>1-Table2[[#This Row],[2030]]</f>
        <v>0.36</v>
      </c>
      <c r="H5" s="21">
        <f>((Table2[[#This Row],[ICE Share 2030]]-Table2[[#This Row],[ICE Share 2020]])/Table2[[#This Row],[ICE Share 2020]])</f>
        <v>-0.6</v>
      </c>
    </row>
    <row r="6" spans="2:11" x14ac:dyDescent="0.3">
      <c r="B6" t="s">
        <v>88</v>
      </c>
      <c r="C6" s="18">
        <v>2E-3</v>
      </c>
      <c r="D6" s="18">
        <v>0.31</v>
      </c>
      <c r="E6" s="21">
        <f>Table2[[#This Row],[2030]]-Table2[[#This Row],[2020]]</f>
        <v>0.308</v>
      </c>
      <c r="F6" s="21">
        <f>1-Table2[[#This Row],[2020]]</f>
        <v>0.998</v>
      </c>
      <c r="G6" s="21">
        <f>1-Table2[[#This Row],[2030]]</f>
        <v>0.69</v>
      </c>
      <c r="H6" s="21">
        <f>((Table2[[#This Row],[ICE Share 2030]]-Table2[[#This Row],[ICE Share 2020]])/Table2[[#This Row],[ICE Share 2020]])</f>
        <v>-0.30861723446893791</v>
      </c>
    </row>
    <row r="7" spans="2:11" x14ac:dyDescent="0.3">
      <c r="B7" t="s">
        <v>89</v>
      </c>
      <c r="C7" s="18">
        <v>0.02</v>
      </c>
      <c r="D7" s="18">
        <v>0.52</v>
      </c>
      <c r="E7" s="21">
        <f>Table2[[#This Row],[2030]]-Table2[[#This Row],[2020]]</f>
        <v>0.5</v>
      </c>
      <c r="F7" s="21">
        <f>1-Table2[[#This Row],[2020]]</f>
        <v>0.98</v>
      </c>
      <c r="G7" s="21">
        <f>1-Table2[[#This Row],[2030]]</f>
        <v>0.48</v>
      </c>
      <c r="H7" s="21">
        <f>((Table2[[#This Row],[ICE Share 2030]]-Table2[[#This Row],[ICE Share 2020]])/Table2[[#This Row],[ICE Share 2020]])</f>
        <v>-0.51020408163265307</v>
      </c>
    </row>
    <row r="8" spans="2:11" x14ac:dyDescent="0.3">
      <c r="B8" s="22" t="s">
        <v>90</v>
      </c>
      <c r="C8" s="19">
        <f>AVERAGE(C4:C7)</f>
        <v>4.0500000000000001E-2</v>
      </c>
      <c r="D8" s="19">
        <f>AVERAGE(D4:D7)</f>
        <v>0.51</v>
      </c>
      <c r="E8" s="21">
        <f>Table2[[#This Row],[2030]]-Table2[[#This Row],[2020]]</f>
        <v>0.46950000000000003</v>
      </c>
      <c r="F8" s="21">
        <f>1-Table2[[#This Row],[2020]]</f>
        <v>0.95950000000000002</v>
      </c>
      <c r="G8" s="21">
        <f>1-Table2[[#This Row],[2030]]</f>
        <v>0.49</v>
      </c>
      <c r="H8" s="21">
        <f>((Table2[[#This Row],[ICE Share 2030]]-Table2[[#This Row],[ICE Share 2020]])/Table2[[#This Row],[ICE Share 2020]])</f>
        <v>-0.48931735278791039</v>
      </c>
    </row>
    <row r="11" spans="2:11" x14ac:dyDescent="0.3">
      <c r="B11" t="s">
        <v>97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</row>
    <row r="12" spans="2:11" x14ac:dyDescent="0.3">
      <c r="B12" t="s">
        <v>86</v>
      </c>
      <c r="C12" s="18">
        <v>0.13</v>
      </c>
      <c r="D12" s="18">
        <v>0.49</v>
      </c>
      <c r="E12" s="21">
        <f>Table24[[#This Row],[2030]]-Table24[[#This Row],[2020]]</f>
        <v>0.36</v>
      </c>
      <c r="F12" s="21">
        <f>1-Table24[[#This Row],[2020]]</f>
        <v>0.87</v>
      </c>
      <c r="G12" s="21">
        <f>1-Table24[[#This Row],[2030]]</f>
        <v>0.51</v>
      </c>
      <c r="H12" s="21">
        <f>((Table24[[#This Row],[ICE Share 2030]]-Table24[[#This Row],[ICE Share 2020]])/Table24[[#This Row],[ICE Share 2020]])</f>
        <v>-0.41379310344827586</v>
      </c>
    </row>
    <row r="13" spans="2:11" x14ac:dyDescent="0.3">
      <c r="B13" t="s">
        <v>87</v>
      </c>
      <c r="C13" s="18">
        <v>5.8000000000000003E-2</v>
      </c>
      <c r="D13" s="18">
        <v>0.62</v>
      </c>
      <c r="E13" s="21">
        <f>Table24[[#This Row],[2030]]-Table24[[#This Row],[2020]]</f>
        <v>0.56199999999999994</v>
      </c>
      <c r="F13" s="21">
        <f>1-Table24[[#This Row],[2020]]</f>
        <v>0.94199999999999995</v>
      </c>
      <c r="G13" s="21">
        <f>1-Table24[[#This Row],[2030]]</f>
        <v>0.38</v>
      </c>
      <c r="H13" s="21">
        <f>((Table24[[#This Row],[ICE Share 2030]]-Table24[[#This Row],[ICE Share 2020]])/Table24[[#This Row],[ICE Share 2020]])</f>
        <v>-0.59660297239915072</v>
      </c>
    </row>
    <row r="14" spans="2:11" x14ac:dyDescent="0.3">
      <c r="B14" t="s">
        <v>88</v>
      </c>
      <c r="C14" s="18">
        <v>1.2E-2</v>
      </c>
      <c r="D14" s="18">
        <v>0.24</v>
      </c>
      <c r="E14" s="21">
        <f>Table24[[#This Row],[2030]]-Table24[[#This Row],[2020]]</f>
        <v>0.22799999999999998</v>
      </c>
      <c r="F14" s="21">
        <f>1-Table24[[#This Row],[2020]]</f>
        <v>0.98799999999999999</v>
      </c>
      <c r="G14" s="21">
        <f>1-Table24[[#This Row],[2030]]</f>
        <v>0.76</v>
      </c>
      <c r="H14" s="21">
        <f>((Table24[[#This Row],[ICE Share 2030]]-Table24[[#This Row],[ICE Share 2020]])/Table24[[#This Row],[ICE Share 2020]])</f>
        <v>-0.23076923076923075</v>
      </c>
    </row>
    <row r="15" spans="2:11" x14ac:dyDescent="0.3">
      <c r="B15" t="s">
        <v>89</v>
      </c>
      <c r="C15" s="18">
        <v>1.6E-2</v>
      </c>
      <c r="D15" s="18">
        <v>0.54</v>
      </c>
      <c r="E15" s="21">
        <f>Table24[[#This Row],[2030]]-Table24[[#This Row],[2020]]</f>
        <v>0.52400000000000002</v>
      </c>
      <c r="F15" s="21">
        <f>1-Table24[[#This Row],[2020]]</f>
        <v>0.98399999999999999</v>
      </c>
      <c r="G15" s="21">
        <f>1-Table24[[#This Row],[2030]]</f>
        <v>0.45999999999999996</v>
      </c>
      <c r="H15" s="21">
        <f>((Table24[[#This Row],[ICE Share 2030]]-Table24[[#This Row],[ICE Share 2020]])/Table24[[#This Row],[ICE Share 2020]])</f>
        <v>-0.5325203252032521</v>
      </c>
    </row>
    <row r="16" spans="2:11" x14ac:dyDescent="0.3">
      <c r="B16" s="22" t="s">
        <v>90</v>
      </c>
      <c r="C16" s="19">
        <f>AVERAGE(C12:C15)</f>
        <v>5.4000000000000006E-2</v>
      </c>
      <c r="D16" s="19">
        <f>AVERAGE(D12:D15)</f>
        <v>0.47249999999999998</v>
      </c>
      <c r="E16" s="21">
        <f>Table24[[#This Row],[2030]]-Table24[[#This Row],[2020]]</f>
        <v>0.41849999999999998</v>
      </c>
      <c r="F16" s="21">
        <f>1-Table24[[#This Row],[2020]]</f>
        <v>0.94599999999999995</v>
      </c>
      <c r="G16" s="21">
        <f>1-Table24[[#This Row],[2030]]</f>
        <v>0.52750000000000008</v>
      </c>
      <c r="H16" s="21">
        <f>((Table24[[#This Row],[ICE Share 2030]]-Table24[[#This Row],[ICE Share 2020]])/Table24[[#This Row],[ICE Share 2020]])</f>
        <v>-0.44238900634249462</v>
      </c>
    </row>
    <row r="19" spans="2:8" x14ac:dyDescent="0.3">
      <c r="B19" t="s">
        <v>99</v>
      </c>
      <c r="C19" t="s">
        <v>91</v>
      </c>
      <c r="D19" t="s">
        <v>92</v>
      </c>
      <c r="E19" t="s">
        <v>93</v>
      </c>
      <c r="F19" t="s">
        <v>94</v>
      </c>
      <c r="G19" t="s">
        <v>95</v>
      </c>
      <c r="H19" t="s">
        <v>96</v>
      </c>
    </row>
    <row r="20" spans="2:8" x14ac:dyDescent="0.3">
      <c r="B20" t="s">
        <v>86</v>
      </c>
      <c r="C20" s="18">
        <v>0</v>
      </c>
      <c r="D20" s="18">
        <v>0.43</v>
      </c>
      <c r="E20" s="21">
        <f>Table25[[#This Row],[2030]]-Table25[[#This Row],[2020]]</f>
        <v>0.43</v>
      </c>
      <c r="F20" s="21">
        <f>1-Table25[[#This Row],[2020]]</f>
        <v>1</v>
      </c>
      <c r="G20" s="21">
        <f>1-Table25[[#This Row],[2030]]</f>
        <v>0.57000000000000006</v>
      </c>
      <c r="H20" s="21">
        <f>((Table25[[#This Row],[ICE Share 2030]]-Table25[[#This Row],[ICE Share 2020]])/Table25[[#This Row],[ICE Share 2020]])</f>
        <v>-0.42999999999999994</v>
      </c>
    </row>
    <row r="21" spans="2:8" x14ac:dyDescent="0.3">
      <c r="B21" t="s">
        <v>87</v>
      </c>
      <c r="C21" s="18">
        <v>2.1999999999999999E-2</v>
      </c>
      <c r="D21" s="18">
        <v>0.5</v>
      </c>
      <c r="E21" s="21">
        <f>Table25[[#This Row],[2030]]-Table25[[#This Row],[2020]]</f>
        <v>0.47799999999999998</v>
      </c>
      <c r="F21" s="21">
        <f>1-Table25[[#This Row],[2020]]</f>
        <v>0.97799999999999998</v>
      </c>
      <c r="G21" s="21">
        <f>1-Table25[[#This Row],[2030]]</f>
        <v>0.5</v>
      </c>
      <c r="H21" s="21">
        <f>((Table25[[#This Row],[ICE Share 2030]]-Table25[[#This Row],[ICE Share 2020]])/Table25[[#This Row],[ICE Share 2020]])</f>
        <v>-0.4887525562372188</v>
      </c>
    </row>
    <row r="22" spans="2:8" x14ac:dyDescent="0.3">
      <c r="B22" t="s">
        <v>88</v>
      </c>
      <c r="C22" s="18">
        <v>0</v>
      </c>
      <c r="D22" s="18">
        <v>0.28000000000000003</v>
      </c>
      <c r="E22" s="21">
        <f>Table25[[#This Row],[2030]]-Table25[[#This Row],[2020]]</f>
        <v>0.28000000000000003</v>
      </c>
      <c r="F22" s="21">
        <f>1-Table25[[#This Row],[2020]]</f>
        <v>1</v>
      </c>
      <c r="G22" s="21">
        <f>1-Table25[[#This Row],[2030]]</f>
        <v>0.72</v>
      </c>
      <c r="H22" s="21">
        <f>((Table25[[#This Row],[ICE Share 2030]]-Table25[[#This Row],[ICE Share 2020]])/Table25[[#This Row],[ICE Share 2020]])</f>
        <v>-0.28000000000000003</v>
      </c>
    </row>
    <row r="23" spans="2:8" x14ac:dyDescent="0.3">
      <c r="B23" t="s">
        <v>89</v>
      </c>
      <c r="C23" s="18">
        <v>0</v>
      </c>
      <c r="D23" s="18">
        <v>0.4</v>
      </c>
      <c r="E23" s="21">
        <f>Table25[[#This Row],[2030]]-Table25[[#This Row],[2020]]</f>
        <v>0.4</v>
      </c>
      <c r="F23" s="21">
        <f>1-Table25[[#This Row],[2020]]</f>
        <v>1</v>
      </c>
      <c r="G23" s="21">
        <f>1-Table25[[#This Row],[2030]]</f>
        <v>0.6</v>
      </c>
      <c r="H23" s="21">
        <f>((Table25[[#This Row],[ICE Share 2030]]-Table25[[#This Row],[ICE Share 2020]])/Table25[[#This Row],[ICE Share 2020]])</f>
        <v>-0.4</v>
      </c>
    </row>
    <row r="24" spans="2:8" x14ac:dyDescent="0.3">
      <c r="B24" s="22" t="s">
        <v>90</v>
      </c>
      <c r="C24" s="19">
        <f>AVERAGE(C20:C23)</f>
        <v>5.4999999999999997E-3</v>
      </c>
      <c r="D24" s="19">
        <f>AVERAGE(D20:D23)</f>
        <v>0.40249999999999997</v>
      </c>
      <c r="E24" s="21">
        <f>Table25[[#This Row],[2030]]-Table25[[#This Row],[2020]]</f>
        <v>0.39699999999999996</v>
      </c>
      <c r="F24" s="21">
        <f>1-Table25[[#This Row],[2020]]</f>
        <v>0.99450000000000005</v>
      </c>
      <c r="G24" s="21">
        <f>1-Table25[[#This Row],[2030]]</f>
        <v>0.59750000000000003</v>
      </c>
      <c r="H24" s="21">
        <f>((Table25[[#This Row],[ICE Share 2030]]-Table25[[#This Row],[ICE Share 2020]])/Table25[[#This Row],[ICE Share 2020]])</f>
        <v>-0.39919557566616393</v>
      </c>
    </row>
    <row r="27" spans="2:8" x14ac:dyDescent="0.3">
      <c r="B27" t="s">
        <v>100</v>
      </c>
      <c r="C27" t="s">
        <v>91</v>
      </c>
      <c r="D27" t="s">
        <v>92</v>
      </c>
      <c r="E27" t="s">
        <v>93</v>
      </c>
      <c r="F27" t="s">
        <v>94</v>
      </c>
      <c r="G27" t="s">
        <v>95</v>
      </c>
      <c r="H27" t="s">
        <v>96</v>
      </c>
    </row>
    <row r="28" spans="2:8" x14ac:dyDescent="0.3">
      <c r="B28" t="s">
        <v>86</v>
      </c>
      <c r="C28" s="18">
        <v>4.5999999999999999E-2</v>
      </c>
      <c r="D28" s="18">
        <v>0.22</v>
      </c>
      <c r="E28" s="21">
        <f>Table26[[#This Row],[2030]]-Table26[[#This Row],[2020]]</f>
        <v>0.17399999999999999</v>
      </c>
      <c r="F28" s="21">
        <f>1-Table26[[#This Row],[2020]]</f>
        <v>0.95399999999999996</v>
      </c>
      <c r="G28" s="21">
        <f>1-Table26[[#This Row],[2030]]</f>
        <v>0.78</v>
      </c>
      <c r="H28" s="21">
        <f>((Table26[[#This Row],[ICE Share 2030]]-Table26[[#This Row],[ICE Share 2020]])/Table26[[#This Row],[ICE Share 2020]])</f>
        <v>-0.18238993710691817</v>
      </c>
    </row>
    <row r="29" spans="2:8" x14ac:dyDescent="0.3">
      <c r="B29" t="s">
        <v>87</v>
      </c>
      <c r="C29" s="18">
        <v>4.2000000000000003E-2</v>
      </c>
      <c r="D29" s="18">
        <v>0.41</v>
      </c>
      <c r="E29" s="21">
        <f>Table26[[#This Row],[2030]]-Table26[[#This Row],[2020]]</f>
        <v>0.36799999999999999</v>
      </c>
      <c r="F29" s="21">
        <f>1-Table26[[#This Row],[2020]]</f>
        <v>0.95799999999999996</v>
      </c>
      <c r="G29" s="21">
        <f>1-Table26[[#This Row],[2030]]</f>
        <v>0.59000000000000008</v>
      </c>
      <c r="H29" s="21">
        <f>((Table26[[#This Row],[ICE Share 2030]]-Table26[[#This Row],[ICE Share 2020]])/Table26[[#This Row],[ICE Share 2020]])</f>
        <v>-0.38413361169102284</v>
      </c>
    </row>
    <row r="30" spans="2:8" x14ac:dyDescent="0.3">
      <c r="B30" t="s">
        <v>88</v>
      </c>
      <c r="C30" s="18">
        <v>6.0000000000000001E-3</v>
      </c>
      <c r="D30" s="18">
        <v>0.13</v>
      </c>
      <c r="E30" s="21">
        <f>Table26[[#This Row],[2030]]-Table26[[#This Row],[2020]]</f>
        <v>0.124</v>
      </c>
      <c r="F30" s="21">
        <f>1-Table26[[#This Row],[2020]]</f>
        <v>0.99399999999999999</v>
      </c>
      <c r="G30" s="21">
        <f>1-Table26[[#This Row],[2030]]</f>
        <v>0.87</v>
      </c>
      <c r="H30" s="21">
        <f>((Table26[[#This Row],[ICE Share 2030]]-Table26[[#This Row],[ICE Share 2020]])/Table26[[#This Row],[ICE Share 2020]])</f>
        <v>-0.12474849094567404</v>
      </c>
    </row>
    <row r="31" spans="2:8" x14ac:dyDescent="0.3">
      <c r="B31" t="s">
        <v>89</v>
      </c>
      <c r="C31" s="18">
        <v>0.01</v>
      </c>
      <c r="D31" s="18">
        <v>0.3</v>
      </c>
      <c r="E31" s="21">
        <f>Table26[[#This Row],[2030]]-Table26[[#This Row],[2020]]</f>
        <v>0.28999999999999998</v>
      </c>
      <c r="F31" s="21">
        <f>1-Table26[[#This Row],[2020]]</f>
        <v>0.99</v>
      </c>
      <c r="G31" s="21">
        <f>1-Table26[[#This Row],[2030]]</f>
        <v>0.7</v>
      </c>
      <c r="H31" s="21">
        <f>((Table26[[#This Row],[ICE Share 2030]]-Table26[[#This Row],[ICE Share 2020]])/Table26[[#This Row],[ICE Share 2020]])</f>
        <v>-0.29292929292929298</v>
      </c>
    </row>
    <row r="32" spans="2:8" x14ac:dyDescent="0.3">
      <c r="B32" s="22" t="s">
        <v>90</v>
      </c>
      <c r="C32" s="19">
        <f>AVERAGE(C28:C31)</f>
        <v>2.5999999999999999E-2</v>
      </c>
      <c r="D32" s="19">
        <f>AVERAGE(D28:D31)</f>
        <v>0.26500000000000001</v>
      </c>
      <c r="E32" s="21">
        <f>Table26[[#This Row],[2030]]-Table26[[#This Row],[2020]]</f>
        <v>0.23900000000000002</v>
      </c>
      <c r="F32" s="21">
        <f>1-Table26[[#This Row],[2020]]</f>
        <v>0.97399999999999998</v>
      </c>
      <c r="G32" s="21">
        <f>1-Table26[[#This Row],[2030]]</f>
        <v>0.73499999999999999</v>
      </c>
      <c r="H32" s="21">
        <f>((Table26[[#This Row],[ICE Share 2030]]-Table26[[#This Row],[ICE Share 2020]])/Table26[[#This Row],[ICE Share 2020]])</f>
        <v>-0.24537987679671458</v>
      </c>
    </row>
  </sheetData>
  <phoneticPr fontId="4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workbookViewId="0"/>
  </sheetViews>
  <sheetFormatPr baseColWidth="10" defaultColWidth="9" defaultRowHeight="16.5" x14ac:dyDescent="0.3"/>
  <cols>
    <col min="2" max="3" width="34.375" customWidth="1"/>
    <col min="4" max="4" width="31.625" customWidth="1"/>
    <col min="5" max="5" width="26.875" customWidth="1"/>
  </cols>
  <sheetData>
    <row r="2" spans="2:7" x14ac:dyDescent="0.3">
      <c r="B2" s="14" t="s">
        <v>117</v>
      </c>
      <c r="C2" s="14" t="s">
        <v>118</v>
      </c>
      <c r="D2" s="14" t="s">
        <v>119</v>
      </c>
      <c r="E2" s="14" t="s">
        <v>116</v>
      </c>
      <c r="G2" s="14" t="s">
        <v>120</v>
      </c>
    </row>
    <row r="3" spans="2:7" x14ac:dyDescent="0.3">
      <c r="B3" s="16">
        <v>993</v>
      </c>
      <c r="C3" s="17">
        <f>B3*0.924</f>
        <v>917.53200000000004</v>
      </c>
      <c r="D3" s="17">
        <f>C3*32150.7466</f>
        <v>29499338.8293912</v>
      </c>
      <c r="E3" s="17">
        <f>D3*0.3</f>
        <v>8849801.6488173604</v>
      </c>
      <c r="G3" s="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Data</vt:lpstr>
      <vt:lpstr>Conversions</vt:lpstr>
      <vt:lpstr>Calculation Stockpiling Cost</vt:lpstr>
      <vt:lpstr>Calculation Total Demand</vt:lpstr>
      <vt:lpstr>EV Sales Share ICE Decline EST</vt:lpstr>
      <vt:lpstr>Calculation Maintenance Cost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2023-11-24T15:28:36Z</dcterms:created>
  <dcterms:modified xsi:type="dcterms:W3CDTF">2024-01-31T16:47:05Z</dcterms:modified>
</cp:coreProperties>
</file>