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GitHub\CRMA_FSR\model_v1.0\input data\"/>
    </mc:Choice>
  </mc:AlternateContent>
  <bookViews>
    <workbookView xWindow="11160" yWindow="-15855" windowWidth="17220" windowHeight="8850"/>
  </bookViews>
  <sheets>
    <sheet name="Data" sheetId="1" r:id="rId1"/>
    <sheet name="Currency and Unit Conversions" sheetId="2" r:id="rId2"/>
    <sheet name="Calculation Stockpiling Cost" sheetId="4" r:id="rId3"/>
    <sheet name="Calculation Total Demand" sheetId="3" r:id="rId4"/>
    <sheet name="Population Change 2030 2050" sheetId="10" r:id="rId5"/>
    <sheet name="EV Sales Share ICE Decline EST" sheetId="6" r:id="rId6"/>
    <sheet name="Calculation Maintenance Cost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" i="1" l="1"/>
  <c r="G58" i="1"/>
  <c r="G57" i="1"/>
  <c r="G8" i="1" l="1"/>
  <c r="G7" i="1"/>
  <c r="G6" i="1"/>
  <c r="G5" i="1"/>
  <c r="G4" i="1"/>
  <c r="G3" i="1"/>
  <c r="G2" i="1"/>
  <c r="J9" i="2" l="1"/>
  <c r="L9" i="2" s="1"/>
  <c r="I11" i="3"/>
  <c r="I10" i="3"/>
  <c r="I6" i="3"/>
  <c r="D6" i="3"/>
  <c r="D5" i="3"/>
  <c r="D12" i="3"/>
  <c r="D11" i="3"/>
  <c r="D10" i="3"/>
  <c r="D18" i="3"/>
  <c r="D17" i="3"/>
  <c r="J8" i="6"/>
  <c r="D16" i="3" l="1"/>
  <c r="D22" i="3"/>
  <c r="D23" i="3" s="1"/>
  <c r="G13" i="10"/>
  <c r="E13" i="10"/>
  <c r="G10" i="10"/>
  <c r="E10" i="10"/>
  <c r="G7" i="10"/>
  <c r="E7" i="10"/>
  <c r="G4" i="10"/>
  <c r="E4" i="10"/>
  <c r="C32" i="6"/>
  <c r="F32" i="6"/>
  <c r="D28" i="6"/>
  <c r="D32" i="6" s="1"/>
  <c r="E32" i="6" s="1"/>
  <c r="D29" i="6"/>
  <c r="D30" i="6"/>
  <c r="D31" i="6"/>
  <c r="E29" i="6"/>
  <c r="E30" i="6"/>
  <c r="E31" i="6"/>
  <c r="G28" i="6"/>
  <c r="I28" i="6" s="1"/>
  <c r="G29" i="6"/>
  <c r="G30" i="6"/>
  <c r="G31" i="6"/>
  <c r="H29" i="6"/>
  <c r="H30" i="6"/>
  <c r="J30" i="6" s="1"/>
  <c r="H31" i="6"/>
  <c r="I29" i="6"/>
  <c r="I30" i="6"/>
  <c r="I31" i="6"/>
  <c r="J29" i="6"/>
  <c r="J31" i="6"/>
  <c r="C24" i="6"/>
  <c r="D24" i="6"/>
  <c r="E24" i="6" s="1"/>
  <c r="F24" i="6"/>
  <c r="H24" i="6"/>
  <c r="E20" i="6"/>
  <c r="E21" i="6"/>
  <c r="E22" i="6"/>
  <c r="E23" i="6"/>
  <c r="G20" i="6"/>
  <c r="I20" i="6" s="1"/>
  <c r="G21" i="6"/>
  <c r="G22" i="6"/>
  <c r="I22" i="6" s="1"/>
  <c r="J22" i="6" s="1"/>
  <c r="G23" i="6"/>
  <c r="I23" i="6" s="1"/>
  <c r="J23" i="6" s="1"/>
  <c r="I21" i="6"/>
  <c r="J21" i="6" s="1"/>
  <c r="C16" i="6"/>
  <c r="F16" i="6"/>
  <c r="D12" i="6"/>
  <c r="D16" i="6" s="1"/>
  <c r="E16" i="6" s="1"/>
  <c r="D13" i="6"/>
  <c r="D14" i="6"/>
  <c r="D15" i="6"/>
  <c r="E13" i="6"/>
  <c r="E14" i="6"/>
  <c r="E15" i="6"/>
  <c r="G12" i="6"/>
  <c r="G16" i="6" s="1"/>
  <c r="G13" i="6"/>
  <c r="G14" i="6"/>
  <c r="G15" i="6"/>
  <c r="I15" i="6"/>
  <c r="I13" i="6"/>
  <c r="I14" i="6"/>
  <c r="I8" i="6"/>
  <c r="H8" i="6"/>
  <c r="G8" i="6"/>
  <c r="F8" i="6"/>
  <c r="E8" i="6"/>
  <c r="D8" i="6"/>
  <c r="C8" i="6"/>
  <c r="H21" i="6"/>
  <c r="D21" i="6"/>
  <c r="H12" i="6"/>
  <c r="D4" i="6"/>
  <c r="E4" i="6" s="1"/>
  <c r="G4" i="6"/>
  <c r="I4" i="6"/>
  <c r="D5" i="6"/>
  <c r="E5" i="6"/>
  <c r="G5" i="6"/>
  <c r="I5" i="6" s="1"/>
  <c r="D6" i="6"/>
  <c r="E6" i="6"/>
  <c r="G6" i="6"/>
  <c r="I6" i="6" s="1"/>
  <c r="J6" i="6" s="1"/>
  <c r="H6" i="6"/>
  <c r="D7" i="6"/>
  <c r="E7" i="6" s="1"/>
  <c r="G7" i="6"/>
  <c r="H7" i="6"/>
  <c r="I7" i="6"/>
  <c r="J7" i="6"/>
  <c r="P12" i="6"/>
  <c r="Q12" i="6" s="1"/>
  <c r="T31" i="6"/>
  <c r="U31" i="6" s="1"/>
  <c r="P31" i="6"/>
  <c r="Q31" i="6" s="1"/>
  <c r="T30" i="6"/>
  <c r="U30" i="6" s="1"/>
  <c r="P30" i="6"/>
  <c r="Q30" i="6" s="1"/>
  <c r="T29" i="6"/>
  <c r="U29" i="6" s="1"/>
  <c r="P29" i="6"/>
  <c r="Q29" i="6" s="1"/>
  <c r="T28" i="6"/>
  <c r="U28" i="6" s="1"/>
  <c r="P28" i="6"/>
  <c r="Q28" i="6" s="1"/>
  <c r="T23" i="6"/>
  <c r="U23" i="6" s="1"/>
  <c r="P23" i="6"/>
  <c r="T22" i="6"/>
  <c r="U22" i="6" s="1"/>
  <c r="P22" i="6"/>
  <c r="T21" i="6"/>
  <c r="U21" i="6" s="1"/>
  <c r="P21" i="6"/>
  <c r="Q21" i="6" s="1"/>
  <c r="T20" i="6"/>
  <c r="U20" i="6" s="1"/>
  <c r="P20" i="6"/>
  <c r="T15" i="6"/>
  <c r="U15" i="6" s="1"/>
  <c r="P15" i="6"/>
  <c r="Q15" i="6" s="1"/>
  <c r="T14" i="6"/>
  <c r="U14" i="6" s="1"/>
  <c r="P14" i="6"/>
  <c r="Q14" i="6" s="1"/>
  <c r="T13" i="6"/>
  <c r="U13" i="6" s="1"/>
  <c r="P13" i="6"/>
  <c r="Q13" i="6" s="1"/>
  <c r="T12" i="6"/>
  <c r="U12" i="6" s="1"/>
  <c r="T4" i="6"/>
  <c r="U4" i="6" s="1"/>
  <c r="T5" i="6"/>
  <c r="U5" i="6" s="1"/>
  <c r="T6" i="6"/>
  <c r="U6" i="6" s="1"/>
  <c r="T7" i="6"/>
  <c r="U7" i="6" s="1"/>
  <c r="P4" i="6"/>
  <c r="Q4" i="6" s="1"/>
  <c r="P5" i="6"/>
  <c r="Q5" i="6" s="1"/>
  <c r="P6" i="6"/>
  <c r="Q6" i="6" s="1"/>
  <c r="P7" i="6"/>
  <c r="Q7" i="6" s="1"/>
  <c r="E3" i="9"/>
  <c r="D3" i="9"/>
  <c r="C3" i="9"/>
  <c r="J4" i="2"/>
  <c r="F22" i="3"/>
  <c r="F16" i="3"/>
  <c r="G16" i="3" s="1"/>
  <c r="F10" i="3"/>
  <c r="F4" i="3"/>
  <c r="I4" i="3" s="1"/>
  <c r="G11" i="1"/>
  <c r="D4" i="3"/>
  <c r="G15" i="1" l="1"/>
  <c r="G4" i="3"/>
  <c r="G5" i="3" s="1"/>
  <c r="I5" i="3" s="1"/>
  <c r="D24" i="3"/>
  <c r="I24" i="3" s="1"/>
  <c r="G20" i="1" s="1"/>
  <c r="G10" i="3"/>
  <c r="I32" i="6"/>
  <c r="H28" i="6"/>
  <c r="H32" i="6" s="1"/>
  <c r="E28" i="6"/>
  <c r="G32" i="6"/>
  <c r="J20" i="6"/>
  <c r="J24" i="6" s="1"/>
  <c r="I24" i="6"/>
  <c r="G24" i="6"/>
  <c r="E12" i="6"/>
  <c r="H14" i="6"/>
  <c r="J14" i="6" s="1"/>
  <c r="H13" i="6"/>
  <c r="J13" i="6" s="1"/>
  <c r="I12" i="6"/>
  <c r="I16" i="6" s="1"/>
  <c r="H4" i="6"/>
  <c r="H5" i="6"/>
  <c r="J5" i="6" s="1"/>
  <c r="G9" i="1"/>
  <c r="I18" i="3"/>
  <c r="G14" i="1" s="1"/>
  <c r="I22" i="3"/>
  <c r="G18" i="1" s="1"/>
  <c r="I16" i="3"/>
  <c r="G12" i="1" s="1"/>
  <c r="I12" i="3"/>
  <c r="G17" i="1" s="1"/>
  <c r="J28" i="6" l="1"/>
  <c r="J32" i="6" s="1"/>
  <c r="H15" i="6"/>
  <c r="J15" i="6" s="1"/>
  <c r="J12" i="6"/>
  <c r="J16" i="6" s="1"/>
  <c r="J4" i="6"/>
  <c r="D4" i="4"/>
  <c r="E22" i="2"/>
  <c r="D22" i="2"/>
  <c r="H16" i="6" l="1"/>
  <c r="G11" i="3" s="1"/>
  <c r="G16" i="1" s="1"/>
  <c r="G17" i="3"/>
  <c r="I17" i="3" s="1"/>
  <c r="G13" i="1" s="1"/>
  <c r="G10" i="1"/>
  <c r="D18" i="2"/>
  <c r="D17" i="2"/>
  <c r="D16" i="2"/>
  <c r="G22" i="3" l="1"/>
  <c r="G23" i="3" s="1"/>
  <c r="D15" i="2"/>
  <c r="L5" i="2" l="1"/>
  <c r="L4" i="2"/>
  <c r="J5" i="2"/>
  <c r="J6" i="2"/>
  <c r="L6" i="2" s="1"/>
  <c r="J7" i="2"/>
  <c r="L7" i="2" s="1"/>
  <c r="J8" i="2"/>
  <c r="L8" i="2" s="1"/>
  <c r="I23" i="3"/>
  <c r="G19" i="1" s="1"/>
</calcChain>
</file>

<file path=xl/sharedStrings.xml><?xml version="1.0" encoding="utf-8"?>
<sst xmlns="http://schemas.openxmlformats.org/spreadsheetml/2006/main" count="717" uniqueCount="190">
  <si>
    <t>Model</t>
  </si>
  <si>
    <t>Scenario</t>
  </si>
  <si>
    <t>Region</t>
  </si>
  <si>
    <t>Variable</t>
  </si>
  <si>
    <t>Unit</t>
  </si>
  <si>
    <t>Year</t>
  </si>
  <si>
    <t>Comment</t>
  </si>
  <si>
    <t>Mathematical symbol</t>
  </si>
  <si>
    <t>Major exporter</t>
  </si>
  <si>
    <t>Scenario 123</t>
  </si>
  <si>
    <t>Source ABC</t>
  </si>
  <si>
    <t>c^{stock}</t>
  </si>
  <si>
    <t>c^{main}_{e'}</t>
  </si>
  <si>
    <t>c^{gen}_{e,t}</t>
  </si>
  <si>
    <t>For each fringe exporter and material (one value for each because we assume it stays constant over time)</t>
  </si>
  <si>
    <t>For each exporter and material (one value for each because we assume it stays constant over time)</t>
  </si>
  <si>
    <t>ton/year</t>
  </si>
  <si>
    <t>d_{m,t}</t>
  </si>
  <si>
    <t>For each market and material and year {2025 to 2040}</t>
  </si>
  <si>
    <t>Value</t>
  </si>
  <si>
    <t xml:space="preserve">Source </t>
  </si>
  <si>
    <t>Thomson Reuters, &amp; GFMS. (May 31, 2019). Production costs of platinum by selected region from 2013 to 2018 (in U.S. dollars per equivalent ounce) [Graph]. In Statista. Retrieved December 03, 2023, from https://www-statista-com.eui.idm.oclc.org/statistics/418242/average-costs-of-platinum-production-globally-by-region/</t>
  </si>
  <si>
    <t>Average Production Cost|Platinum</t>
  </si>
  <si>
    <t>Average cost of platinum production by region 2013-2018 | Production costs of platinum by selected region from 2013 to 2018 (in U.S. dollars per equivalent ounce)</t>
  </si>
  <si>
    <t>South Africa</t>
  </si>
  <si>
    <t>North America</t>
  </si>
  <si>
    <t>Zimbabwe</t>
  </si>
  <si>
    <t>Russia</t>
  </si>
  <si>
    <t>-</t>
  </si>
  <si>
    <t>2013</t>
  </si>
  <si>
    <t>2014</t>
  </si>
  <si>
    <t>2015</t>
  </si>
  <si>
    <t>2016</t>
  </si>
  <si>
    <t>2017</t>
  </si>
  <si>
    <t>2018</t>
  </si>
  <si>
    <t>X</t>
  </si>
  <si>
    <t>2018 Euros</t>
  </si>
  <si>
    <t>Currency conversion rate source: https://data.oecd.org/conversion/exchange-rates.htm</t>
  </si>
  <si>
    <t>X2</t>
  </si>
  <si>
    <t xml:space="preserve">2018 Euros/metric ton </t>
  </si>
  <si>
    <t>Yes</t>
  </si>
  <si>
    <t>1 USD (2018) = 0.847 EUR (2018)</t>
  </si>
  <si>
    <t>1 mentric ton = 32150.7466 troy ounces</t>
  </si>
  <si>
    <t>Demand|Platinum</t>
  </si>
  <si>
    <t>EU</t>
  </si>
  <si>
    <t>EU+ Platinum Demand 2020</t>
  </si>
  <si>
    <t>Troy Ounces</t>
  </si>
  <si>
    <t>N/A</t>
  </si>
  <si>
    <t>China Platinum Demand 2020</t>
  </si>
  <si>
    <t>US Platinum Demand 2020</t>
  </si>
  <si>
    <t>Traditional Applications (China)</t>
  </si>
  <si>
    <t>Traditional Applications (North America)</t>
  </si>
  <si>
    <t>China</t>
  </si>
  <si>
    <t>World</t>
  </si>
  <si>
    <t>World Platinum Demand 2020</t>
  </si>
  <si>
    <t>Traditional Applications (World)</t>
  </si>
  <si>
    <t>No</t>
  </si>
  <si>
    <t>Sources</t>
  </si>
  <si>
    <t>Transition Sectors (Renewable energy, E-mobility, ICT)</t>
  </si>
  <si>
    <t>European Commission and others, Supply Chain Analysis and Material Demand Forecast in Strategic Technologies and Sectors in the EU: A Foresight Study (Publications Office of the European Union 2023)</t>
  </si>
  <si>
    <t>Johnson Mathey, PGM market Data, https://matthey.com/products-and-markets/pgms-and-circularity/pgm-market-data</t>
  </si>
  <si>
    <t>See sheet "Calculation Total Demand"</t>
  </si>
  <si>
    <t>EU/EU+</t>
  </si>
  <si>
    <t>USD Per Troy Ounce</t>
  </si>
  <si>
    <t xml:space="preserve">Unit conversion rate source: https://metric-calculator.com/convert-metric-ton-to-troy-ounce.htm </t>
  </si>
  <si>
    <t xml:space="preserve">Currency Conversion Rate Source: https://www.ecb.europa.eu/stats/policy_and_exchange_rates/euro_reference_exchange_rates/html/eurofxref-graph-usd.en.html </t>
  </si>
  <si>
    <t>1 USD (2023 avg) = 0.924 EUR</t>
  </si>
  <si>
    <t>2023 Average Platium Price</t>
  </si>
  <si>
    <t xml:space="preserve">Platinum Price Source: https://matthey.com/products-and-markets/pgms-and-circularity/pgm-management </t>
  </si>
  <si>
    <t>2023 Average Platinum price Per Tonne (Johnson Matthey)</t>
  </si>
  <si>
    <t>Annual Stockpiling Cost for a 60 Day Supply (Risk and Policy Analysts Ltd, 2012, page 120)</t>
  </si>
  <si>
    <t>Traditional Applications (EU+) oz</t>
  </si>
  <si>
    <t>Buses</t>
  </si>
  <si>
    <t>Cars</t>
  </si>
  <si>
    <t>Trucks</t>
  </si>
  <si>
    <t>Vans</t>
  </si>
  <si>
    <t>Diff</t>
  </si>
  <si>
    <t>China EV Sales Share</t>
  </si>
  <si>
    <t>USA EV Sales Share</t>
  </si>
  <si>
    <t>World EV Sales Share</t>
  </si>
  <si>
    <t>Automotive Platinum Demand oz</t>
  </si>
  <si>
    <t>Automotive Platinum Demand (EU+) tonnes</t>
  </si>
  <si>
    <t>Automotive Platinum Demand (World) tonnes</t>
  </si>
  <si>
    <t>Automotive Platinum Demand (North America) tonnes</t>
  </si>
  <si>
    <t>Automotive Platinum Demand (China) tonnes</t>
  </si>
  <si>
    <t>Traditional Applications 2020 (Chemical, Dental &amp; Biomedical, Electrical &amp; Electronics, Glass, Investment, Jewellery, Petroleum, Pollution Control, Other)</t>
  </si>
  <si>
    <t>North America (Excl Mex)/USA</t>
  </si>
  <si>
    <t>Source: Risk and Policy Analysts Ltd, 2012, page 120</t>
  </si>
  <si>
    <t>Maintenance cost per export capacity|Platinum</t>
  </si>
  <si>
    <t>metric tons</t>
  </si>
  <si>
    <t>See sheet "Calculation Stockpiling Costs"</t>
  </si>
  <si>
    <t xml:space="preserve">Robatto Simard, S.; Gamache, M.; Doyon-Poulin, P. Current Practices for Preventive Maintenance and Expectations for Predictive Maintenance in East-Canadian Mines. Mining 2023, 3, 26-53. https://doi.org/10.3390/mining3010002 </t>
  </si>
  <si>
    <t>CashOpEx per troy ounce of PGM (USD)</t>
  </si>
  <si>
    <t>CashOpEx per troy ounce of PGM (EUR)</t>
  </si>
  <si>
    <t>CashOpEx per metric ton of PGM (EUR)</t>
  </si>
  <si>
    <t xml:space="preserve">Source OpEx: https://www.angloamericanplatinum.com/investors/financial-results-centre#2023 </t>
  </si>
  <si>
    <t xml:space="preserve">Source Maintenance Cost: Robatto Simard, S.; Gamache, M.; Doyon-Poulin, P. Current Practices for Preventive Maintenance and Expectations for Predictive Maintenance in East-Canadian Mines. Mining 2023, 3, 26-53. https://doi.org/10.3390/mining3010002  </t>
  </si>
  <si>
    <t>Stockpiling cost for the European market|Platinum</t>
  </si>
  <si>
    <t>USD Per metric ton</t>
  </si>
  <si>
    <t>Euro per metric ton</t>
  </si>
  <si>
    <t>annual maintenance cost per metric  ton</t>
  </si>
  <si>
    <t>Transition Sectors (EU) metric tons</t>
  </si>
  <si>
    <t>Transition Sectors (China) metric tons</t>
  </si>
  <si>
    <t>Transition Sectors (USA) metric tons</t>
  </si>
  <si>
    <t>Transition Sectors (World) metric tons</t>
  </si>
  <si>
    <t>Total metric tons</t>
  </si>
  <si>
    <t>Annual Stockpiling Cost Per Metric Ton</t>
  </si>
  <si>
    <t>Europe EV Sales Share</t>
  </si>
  <si>
    <t>Europe EV Sales</t>
  </si>
  <si>
    <t>BEV Share 2020</t>
  </si>
  <si>
    <t>BEV Share of EV Sales 20</t>
  </si>
  <si>
    <t>2020 Total</t>
  </si>
  <si>
    <t>2030 Total</t>
  </si>
  <si>
    <t>BEVs (2020)</t>
  </si>
  <si>
    <t>PHEVs (2020)</t>
  </si>
  <si>
    <t>BEV Share of EV Sales 2020</t>
  </si>
  <si>
    <t>BEVs (2030)</t>
  </si>
  <si>
    <t>PHEVs (2030)</t>
  </si>
  <si>
    <t>World EV Sales</t>
  </si>
  <si>
    <t>USA EV Sales</t>
  </si>
  <si>
    <t>China EV Sales</t>
  </si>
  <si>
    <t>BEV Share 2030</t>
  </si>
  <si>
    <t>EV Share 2020</t>
  </si>
  <si>
    <t>EV Share 2030</t>
  </si>
  <si>
    <t>Median</t>
  </si>
  <si>
    <t>Conversion: Troy Ounces per Tonne</t>
  </si>
  <si>
    <t xml:space="preserve">Source: https://population.un.org/wpp/Download/Standard/MostUsed/ </t>
  </si>
  <si>
    <t>EU+</t>
  </si>
  <si>
    <t xml:space="preserve"> North America</t>
  </si>
  <si>
    <t>Mine Production</t>
  </si>
  <si>
    <t>USA</t>
  </si>
  <si>
    <t>Canada</t>
  </si>
  <si>
    <t>2023 data is an estimate by the USGS</t>
  </si>
  <si>
    <t>USGS, Minerals Yearbook, 2022, https://www.usgs.gov/centers/national-minerals-information-center/platinum-group-metals-statistics-and-information</t>
  </si>
  <si>
    <t>USGS, Mineral Commodity Survey, 2024: https://www.sciencebase.gov/catalog/item/65b7d842d34e36a39045b500</t>
  </si>
  <si>
    <t>Traditional Applications (World) tonnes (2030 and 2050 values adjusted for population change)</t>
  </si>
  <si>
    <t>Traditional Applications (EU+) tonnes (2030 and 2050 values adjusted for population change)</t>
  </si>
  <si>
    <t>Traditional Applications (China) tonnes (2030 and 2050 values adjusted for population change)</t>
  </si>
  <si>
    <t>Traditional Applications (North America) tonnes (2030 and 2050 values adjusted for population change)</t>
  </si>
  <si>
    <t>% change (2020)</t>
  </si>
  <si>
    <t>World (excluding Russia)</t>
  </si>
  <si>
    <t>World (including Russia)</t>
  </si>
  <si>
    <t>CCV Share 2020</t>
  </si>
  <si>
    <t>CCV Share 2030</t>
  </si>
  <si>
    <t>CCV Share Decline</t>
  </si>
  <si>
    <t>CCV Platinum Demand (EU+) metric tons</t>
  </si>
  <si>
    <t>CCV Platinum Demand (China) metric tons</t>
  </si>
  <si>
    <t>CCV Platinum Demand (North America) metric tons</t>
  </si>
  <si>
    <t>CCV Platinum Demand (World) metric tons</t>
  </si>
  <si>
    <t>MEUR/ton</t>
  </si>
  <si>
    <t>MEUR/ton/year</t>
  </si>
  <si>
    <t>Scenario 124</t>
  </si>
  <si>
    <t>Scenario 125</t>
  </si>
  <si>
    <t>Scenario 126</t>
  </si>
  <si>
    <t>Scenario 127</t>
  </si>
  <si>
    <t>Scenario 128</t>
  </si>
  <si>
    <t>Scenario 129</t>
  </si>
  <si>
    <t>Scenario 130</t>
  </si>
  <si>
    <t>Scenario 131</t>
  </si>
  <si>
    <t>Scenario 132</t>
  </si>
  <si>
    <t>Scenario 133</t>
  </si>
  <si>
    <t>Scenario 134</t>
  </si>
  <si>
    <t>Scenario 135</t>
  </si>
  <si>
    <t>Scenario 136</t>
  </si>
  <si>
    <t>Scenario 137</t>
  </si>
  <si>
    <t>Scenario 138</t>
  </si>
  <si>
    <t>Scenario 139</t>
  </si>
  <si>
    <t>Scenario 140</t>
  </si>
  <si>
    <t>Scenario 141</t>
  </si>
  <si>
    <t>Scenario 142</t>
  </si>
  <si>
    <t>Scenario 143</t>
  </si>
  <si>
    <t>Scenario 144</t>
  </si>
  <si>
    <t>Scenario 145</t>
  </si>
  <si>
    <t>Scenario 146</t>
  </si>
  <si>
    <t>Scenario 147</t>
  </si>
  <si>
    <t>Scenario 148</t>
  </si>
  <si>
    <t>Scenario 149</t>
  </si>
  <si>
    <t>Scenario 150</t>
  </si>
  <si>
    <t>Scenario 151</t>
  </si>
  <si>
    <t>Scenario 152</t>
  </si>
  <si>
    <t>Scenario 153</t>
  </si>
  <si>
    <t>Scenario 154</t>
  </si>
  <si>
    <t>Scenario 155</t>
  </si>
  <si>
    <t>Scenario 156</t>
  </si>
  <si>
    <t>Scenario 157</t>
  </si>
  <si>
    <t>Scenario 158</t>
  </si>
  <si>
    <t>Placeholder</t>
  </si>
  <si>
    <t>Slack exporter</t>
  </si>
  <si>
    <t>Recycling_low</t>
  </si>
  <si>
    <t>Recycling_high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</si>
</sst>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&quot;€&quot;* #,##0.00_-;\-&quot;€&quot;* #,##0.00_-;_-&quot;€&quot;* &quot;-&quot;??_-;_-@_-"/>
    <numFmt numFmtId="165" formatCode="[$$-409]#,##0.00"/>
    <numFmt numFmtId="166" formatCode="_-[$€-2]\ * #,##0.00_-;\-[$€-2]\ * #,##0.00_-;_-[$€-2]\ * &quot;-&quot;??_-;_-@_-"/>
    <numFmt numFmtId="167" formatCode="_-[$€-1809]* #,##0.00_-;\-[$€-1809]* #,##0.00_-;_-[$€-1809]* &quot;-&quot;??_-;_-@_-"/>
    <numFmt numFmtId="168" formatCode="&quot;€&quot;#,##0.00"/>
    <numFmt numFmtId="169" formatCode="_-[$$-409]* #,##0.00_ ;_-[$$-409]* \-#,##0.00\ ;_-[$$-409]* &quot;-&quot;??_ ;_-@_ "/>
    <numFmt numFmtId="170" formatCode="0.0%"/>
    <numFmt numFmtId="171" formatCode="0.000%"/>
  </numFmts>
  <fonts count="14" x14ac:knownFonts="1">
    <font>
      <sz val="11"/>
      <color theme="1"/>
      <name val="Segoe UI Light"/>
      <family val="2"/>
    </font>
    <font>
      <sz val="11"/>
      <color theme="1"/>
      <name val="Segoe UI Light"/>
      <family val="2"/>
    </font>
    <font>
      <sz val="10"/>
      <name val="Arial"/>
    </font>
    <font>
      <sz val="10"/>
      <name val="Arial"/>
      <family val="2"/>
    </font>
    <font>
      <sz val="8"/>
      <name val="Segoe UI Light"/>
      <family val="2"/>
    </font>
    <font>
      <b/>
      <sz val="10"/>
      <color theme="0"/>
      <name val="Arial"/>
      <family val="2"/>
    </font>
    <font>
      <sz val="11"/>
      <color theme="0"/>
      <name val="Segoe UI Light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1"/>
      <color theme="0"/>
      <name val="Segoe UI Light"/>
      <family val="2"/>
    </font>
    <font>
      <sz val="11"/>
      <color theme="1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1"/>
      <color theme="1"/>
      <name val="Segoe UI Light"/>
      <family val="2"/>
    </font>
    <font>
      <u/>
      <sz val="11"/>
      <color theme="10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2" fillId="0" borderId="0" xfId="0" applyFont="1"/>
    <xf numFmtId="165" fontId="2" fillId="0" borderId="0" xfId="0" applyNumberFormat="1" applyFont="1"/>
    <xf numFmtId="165" fontId="2" fillId="0" borderId="0" xfId="0" quotePrefix="1" applyNumberFormat="1" applyFont="1"/>
    <xf numFmtId="0" fontId="3" fillId="0" borderId="0" xfId="0" applyFont="1"/>
    <xf numFmtId="0" fontId="5" fillId="3" borderId="1" xfId="0" applyFont="1" applyFill="1" applyBorder="1" applyAlignment="1">
      <alignment wrapText="1"/>
    </xf>
    <xf numFmtId="0" fontId="7" fillId="0" borderId="0" xfId="0" applyFont="1"/>
    <xf numFmtId="0" fontId="6" fillId="0" borderId="0" xfId="0" applyFont="1"/>
    <xf numFmtId="0" fontId="8" fillId="0" borderId="0" xfId="0" applyFont="1"/>
    <xf numFmtId="166" fontId="3" fillId="0" borderId="0" xfId="0" applyNumberFormat="1" applyFont="1"/>
    <xf numFmtId="164" fontId="3" fillId="0" borderId="0" xfId="1" applyFont="1" applyFill="1" applyAlignment="1"/>
    <xf numFmtId="167" fontId="0" fillId="2" borderId="0" xfId="0" applyNumberFormat="1" applyFill="1"/>
    <xf numFmtId="0" fontId="9" fillId="4" borderId="0" xfId="0" applyFont="1" applyFill="1"/>
    <xf numFmtId="0" fontId="10" fillId="0" borderId="0" xfId="0" applyFont="1"/>
    <xf numFmtId="0" fontId="11" fillId="4" borderId="0" xfId="0" applyFont="1" applyFill="1"/>
    <xf numFmtId="0" fontId="6" fillId="4" borderId="0" xfId="0" applyFont="1" applyFill="1"/>
    <xf numFmtId="168" fontId="0" fillId="0" borderId="0" xfId="0" applyNumberFormat="1"/>
    <xf numFmtId="169" fontId="0" fillId="0" borderId="0" xfId="0" applyNumberFormat="1"/>
    <xf numFmtId="167" fontId="0" fillId="0" borderId="0" xfId="0" applyNumberFormat="1"/>
    <xf numFmtId="170" fontId="0" fillId="0" borderId="0" xfId="2" applyNumberFormat="1" applyFont="1"/>
    <xf numFmtId="10" fontId="0" fillId="0" borderId="0" xfId="2" applyNumberFormat="1" applyFont="1"/>
    <xf numFmtId="171" fontId="0" fillId="0" borderId="0" xfId="2" applyNumberFormat="1" applyFont="1"/>
    <xf numFmtId="168" fontId="0" fillId="2" borderId="0" xfId="0" applyNumberFormat="1" applyFill="1"/>
    <xf numFmtId="170" fontId="0" fillId="0" borderId="0" xfId="0" applyNumberFormat="1"/>
    <xf numFmtId="0" fontId="12" fillId="0" borderId="0" xfId="0" applyFont="1"/>
    <xf numFmtId="0" fontId="13" fillId="0" borderId="0" xfId="3"/>
    <xf numFmtId="0" fontId="10" fillId="0" borderId="0" xfId="0" applyFont="1" applyAlignment="1">
      <alignment horizontal="right"/>
    </xf>
    <xf numFmtId="0" fontId="9" fillId="3" borderId="2" xfId="0" applyFont="1" applyFill="1" applyBorder="1"/>
    <xf numFmtId="1" fontId="0" fillId="0" borderId="0" xfId="2" applyNumberFormat="1" applyFont="1"/>
    <xf numFmtId="1" fontId="0" fillId="5" borderId="2" xfId="2" applyNumberFormat="1" applyFont="1" applyFill="1" applyBorder="1"/>
    <xf numFmtId="10" fontId="0" fillId="0" borderId="0" xfId="0" applyNumberFormat="1"/>
    <xf numFmtId="0" fontId="3" fillId="0" borderId="0" xfId="0" applyFont="1" applyFill="1" applyAlignment="1"/>
    <xf numFmtId="3" fontId="3" fillId="0" borderId="0" xfId="0" applyNumberFormat="1" applyFont="1" applyFill="1" applyAlignment="1"/>
    <xf numFmtId="166" fontId="3" fillId="0" borderId="0" xfId="0" applyNumberFormat="1" applyFont="1" applyFill="1" applyAlignment="1"/>
    <xf numFmtId="165" fontId="3" fillId="0" borderId="0" xfId="0" applyNumberFormat="1" applyFont="1" applyFill="1" applyAlignment="1"/>
  </cellXfs>
  <cellStyles count="4">
    <cellStyle name="Link" xfId="3" builtinId="8"/>
    <cellStyle name="Prozent" xfId="2" builtinId="5"/>
    <cellStyle name="Standard" xfId="0" builtinId="0"/>
    <cellStyle name="Währung" xfId="1" builtinId="4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numFmt numFmtId="170" formatCode="0.0%"/>
    </dxf>
    <dxf>
      <numFmt numFmtId="170" formatCode="0.0%"/>
    </dxf>
    <dxf>
      <numFmt numFmtId="170" formatCode="0.0%"/>
    </dxf>
    <dxf>
      <numFmt numFmtId="14" formatCode="0.00%"/>
    </dxf>
    <dxf>
      <numFmt numFmtId="170" formatCode="0.0%"/>
    </dxf>
    <dxf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numFmt numFmtId="14" formatCode="0.00%"/>
    </dxf>
    <dxf>
      <numFmt numFmtId="14" formatCode="0.00%"/>
    </dxf>
    <dxf>
      <numFmt numFmtId="14" formatCode="0.00%"/>
    </dxf>
    <dxf>
      <numFmt numFmtId="170" formatCode="0.0%"/>
    </dxf>
    <dxf>
      <numFmt numFmtId="170" formatCode="0.0%"/>
    </dxf>
    <dxf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_-[$€-2]\ * #,##0.00_-;\-[$€-2]\ * #,##0.00_-;_-[$€-2]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8" displayName="Table8" ref="B3:L9" totalsRowShown="0" headerRowDxfId="76" dataDxfId="75">
  <autoFilter ref="B3:L9"/>
  <tableColumns count="11">
    <tableColumn id="1" name="Region" dataDxfId="74"/>
    <tableColumn id="2" name="2013" dataDxfId="73"/>
    <tableColumn id="3" name="2014" dataDxfId="72"/>
    <tableColumn id="4" name="2015" dataDxfId="71"/>
    <tableColumn id="5" name="2016" dataDxfId="70"/>
    <tableColumn id="6" name="2017" dataDxfId="69"/>
    <tableColumn id="7" name="2018" dataDxfId="68"/>
    <tableColumn id="8" name="X" dataDxfId="67"/>
    <tableColumn id="9" name="2018 Euros" dataDxfId="66">
      <calculatedColumnFormula>PRODUCT(Table8[[#This Row],[2018]],0.847)</calculatedColumnFormula>
    </tableColumn>
    <tableColumn id="10" name="X2" dataDxfId="65"/>
    <tableColumn id="11" name="2018 Euros/metric ton " dataDxfId="64">
      <calculatedColumnFormula>PRODUCT(Table8[[#This Row],[2018 Euros]],32150.7466)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J8" totalsRowShown="0">
  <autoFilter ref="B3:J8"/>
  <tableColumns count="9">
    <tableColumn id="1" name="Europe EV Sales Share"/>
    <tableColumn id="2" name="EV Share 2020" dataDxfId="63"/>
    <tableColumn id="3" name="BEV Share 2020" dataDxfId="62">
      <calculatedColumnFormula>Table2[[#This Row],[EV Share 2020]]*Table27[[#This Row],[BEV Share of EV Sales 2020]]</calculatedColumnFormula>
    </tableColumn>
    <tableColumn id="4" name="Diff" dataDxfId="61">
      <calculatedColumnFormula>Table2[[#This Row],[BEV Share 2020]]-Table2[[#This Row],[EV Share 2020]]</calculatedColumnFormula>
    </tableColumn>
    <tableColumn id="5" name="EV Share 2030" dataDxfId="60"/>
    <tableColumn id="6" name="BEV Share 2030" dataDxfId="59">
      <calculatedColumnFormula>Table2[[#This Row],[EV Share 2030]]*Table27[[#This Row],[BEV Share of EV Sales 20]]</calculatedColumnFormula>
    </tableColumn>
    <tableColumn id="7" name="CCV Share 2020" dataDxfId="58">
      <calculatedColumnFormula>1-Table2[[#This Row],[BEV Share 2020]]</calculatedColumnFormula>
    </tableColumn>
    <tableColumn id="8" name="CCV Share 2030" dataDxfId="57">
      <calculatedColumnFormula>1-Table2[[#This Row],[BEV Share 2030]]</calculatedColumnFormula>
    </tableColumn>
    <tableColumn id="9" name="CCV Share Decline" dataDxfId="56">
      <calculatedColumnFormula>(Table2[[#This Row],[CCV Share 2030]]-Table2[[#This Row],[CCV Share 2020]])/Table2[[#This Row],[CCV Share 2020]]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B11:J16" totalsRowShown="0">
  <autoFilter ref="B11:J16"/>
  <tableColumns count="9">
    <tableColumn id="1" name="China EV Sales Share"/>
    <tableColumn id="2" name="EV Share 2020" dataDxfId="55"/>
    <tableColumn id="3" name="BEV Share 2020" dataDxfId="54">
      <calculatedColumnFormula>Table24[[#This Row],[EV Share 2020]]*Table278[[#This Row],[BEV Share of EV Sales 2020]]</calculatedColumnFormula>
    </tableColumn>
    <tableColumn id="4" name="Diff" dataDxfId="53">
      <calculatedColumnFormula>Table24[[#This Row],[BEV Share 2020]]-Table24[[#This Row],[EV Share 2020]]</calculatedColumnFormula>
    </tableColumn>
    <tableColumn id="5" name="EV Share 2030" dataDxfId="52"/>
    <tableColumn id="6" name="BEV Share 2030" dataDxfId="51">
      <calculatedColumnFormula>Table24[[#This Row],[EV Share 2030]]*Table278[[#This Row],[BEV Share of EV Sales 20]]</calculatedColumnFormula>
    </tableColumn>
    <tableColumn id="7" name="CCV Share 2020" dataDxfId="50">
      <calculatedColumnFormula>1-Table24[[#This Row],[EV Share 2020]]</calculatedColumnFormula>
    </tableColumn>
    <tableColumn id="8" name="CCV Share 2030" dataDxfId="49">
      <calculatedColumnFormula>1-Table24[[#This Row],[BEV Share 2020]]</calculatedColumnFormula>
    </tableColumn>
    <tableColumn id="9" name="CCV Share Decline" dataDxfId="48">
      <calculatedColumnFormula>((Table24[[#This Row],[BEV Share 2030]]-Table24[[#This Row],[EV Share 2030]])/Table24[[#This Row],[EV Share 2030]])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B19:J24" totalsRowShown="0">
  <autoFilter ref="B19:J24"/>
  <tableColumns count="9">
    <tableColumn id="1" name="USA EV Sales Share"/>
    <tableColumn id="2" name="EV Share 2020" dataDxfId="47"/>
    <tableColumn id="3" name="BEV Share 2020" dataDxfId="46">
      <calculatedColumnFormula>Table25[[#This Row],[EV Share 2020]]*Table279[[#This Row],[BEV Share of EV Sales 2020]]</calculatedColumnFormula>
    </tableColumn>
    <tableColumn id="4" name="Diff" dataDxfId="45">
      <calculatedColumnFormula>Table25[[#This Row],[BEV Share 2020]]-Table25[[#This Row],[EV Share 2020]]</calculatedColumnFormula>
    </tableColumn>
    <tableColumn id="5" name="EV Share 2030" dataDxfId="44"/>
    <tableColumn id="6" name="BEV Share 2030" dataDxfId="43">
      <calculatedColumnFormula>Table25[[#This Row],[EV Share 2030]]*Table279[[#This Row],[BEV Share of EV Sales 20]]</calculatedColumnFormula>
    </tableColumn>
    <tableColumn id="7" name="CCV Share 2020" dataDxfId="42">
      <calculatedColumnFormula>1-Table25[[#This Row],[BEV Share 2020]]</calculatedColumnFormula>
    </tableColumn>
    <tableColumn id="8" name="CCV Share 2030" dataDxfId="41">
      <calculatedColumnFormula>1-Table25[[#This Row],[BEV Share 2030]]</calculatedColumnFormula>
    </tableColumn>
    <tableColumn id="9" name="CCV Share Decline" dataDxfId="40">
      <calculatedColumnFormula>((Table25[[#This Row],[CCV Share 2030]]-Table25[[#This Row],[CCV Share 2020]])/Table25[[#This Row],[CCV Share 2020]])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26" displayName="Table26" ref="B27:J32" totalsRowShown="0">
  <autoFilter ref="B27:J32"/>
  <tableColumns count="9">
    <tableColumn id="1" name="World EV Sales Share"/>
    <tableColumn id="2" name="EV Share 2020" dataDxfId="39"/>
    <tableColumn id="3" name="BEV Share 2020" dataDxfId="38">
      <calculatedColumnFormula>Table26[[#This Row],[EV Share 2020]]*Table2710[[#This Row],[BEV Share of EV Sales 2020]]</calculatedColumnFormula>
    </tableColumn>
    <tableColumn id="4" name="Diff" dataDxfId="37">
      <calculatedColumnFormula>Table26[[#This Row],[BEV Share 2020]]-Table26[[#This Row],[EV Share 2020]]</calculatedColumnFormula>
    </tableColumn>
    <tableColumn id="5" name="EV Share 2030" dataDxfId="36"/>
    <tableColumn id="6" name="BEV Share 2030" dataDxfId="35">
      <calculatedColumnFormula>Table26[[#This Row],[EV Share 2030]]*Table2710[[#This Row],[BEV Share of EV Sales 20]]</calculatedColumnFormula>
    </tableColumn>
    <tableColumn id="7" name="CCV Share 2020" dataDxfId="34">
      <calculatedColumnFormula>1-Table26[[#This Row],[BEV Share 2020]]</calculatedColumnFormula>
    </tableColumn>
    <tableColumn id="8" name="CCV Share 2030" dataDxfId="33">
      <calculatedColumnFormula>1-Table26[[#This Row],[BEV Share 2030]]</calculatedColumnFormula>
    </tableColumn>
    <tableColumn id="9" name="CCV Share Decline" dataDxfId="32">
      <calculatedColumnFormula>((Table26[[#This Row],[CCV Share 2030]]-Table26[[#This Row],[CCV Share 2020]])/Table26[[#This Row],[CCV Share 2020]])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M3:U7" totalsRowShown="0">
  <autoFilter ref="M3:U7"/>
  <tableColumns count="9">
    <tableColumn id="1" name="Europe EV Sales"/>
    <tableColumn id="2" name="BEVs (2020)" dataDxfId="31"/>
    <tableColumn id="8" name="PHEVs (2020)" dataDxfId="30"/>
    <tableColumn id="9" name="2020 Total" dataDxfId="29">
      <calculatedColumnFormula>SUM(Table27[[#This Row],[BEVs (2020)]:[PHEVs (2020)]])</calculatedColumnFormula>
    </tableColumn>
    <tableColumn id="10" name="BEV Share of EV Sales 2020" dataDxfId="28">
      <calculatedColumnFormula>Table27[[#This Row],[BEVs (2020)]]/Table27[[#This Row],[2020 Total]]</calculatedColumnFormula>
    </tableColumn>
    <tableColumn id="3" name="BEVs (2030)" dataDxfId="27"/>
    <tableColumn id="11" name="PHEVs (2030)" dataDxfId="26"/>
    <tableColumn id="12" name="2030 Total" dataDxfId="25">
      <calculatedColumnFormula>SUM(Table27[[#This Row],[BEVs (2030)]:[PHEVs (2030)]])</calculatedColumnFormula>
    </tableColumn>
    <tableColumn id="13" name="BEV Share of EV Sales 20" dataDxfId="24">
      <calculatedColumnFormula>Table27[[#This Row],[BEVs (2030)]]/Table27[[#This Row],[2030 Total]]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7" name="Table278" displayName="Table278" ref="M11:U15" totalsRowShown="0">
  <autoFilter ref="M11:U15"/>
  <tableColumns count="9">
    <tableColumn id="1" name="China EV Sales"/>
    <tableColumn id="2" name="BEVs (2020)" dataDxfId="23"/>
    <tableColumn id="8" name="PHEVs (2020)" dataDxfId="22"/>
    <tableColumn id="9" name="2020 Total" dataDxfId="21">
      <calculatedColumnFormula>SUM(Table278[[#This Row],[BEVs (2020)]:[PHEVs (2020)]])</calculatedColumnFormula>
    </tableColumn>
    <tableColumn id="10" name="BEV Share of EV Sales 2020" dataDxfId="20">
      <calculatedColumnFormula>Table278[[#This Row],[BEVs (2020)]]/Table278[[#This Row],[2020 Total]]</calculatedColumnFormula>
    </tableColumn>
    <tableColumn id="3" name="BEVs (2030)" dataDxfId="19"/>
    <tableColumn id="11" name="PHEVs (2030)" dataDxfId="18"/>
    <tableColumn id="12" name="2030 Total" dataDxfId="17">
      <calculatedColumnFormula>SUM(Table278[[#This Row],[BEVs (2030)]:[PHEVs (2030)]])</calculatedColumnFormula>
    </tableColumn>
    <tableColumn id="13" name="BEV Share of EV Sales 20" dataDxfId="16">
      <calculatedColumnFormula>Table278[[#This Row],[BEVs (2030)]]/Table278[[#This Row],[2030 Total]]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id="8" name="Table279" displayName="Table279" ref="M19:U23" totalsRowShown="0">
  <autoFilter ref="M19:U23"/>
  <tableColumns count="9">
    <tableColumn id="1" name="USA EV Sales"/>
    <tableColumn id="2" name="BEVs (2020)" dataDxfId="15"/>
    <tableColumn id="8" name="PHEVs (2020)" dataDxfId="14"/>
    <tableColumn id="9" name="2020 Total" dataDxfId="13">
      <calculatedColumnFormula>SUM(Table279[[#This Row],[BEVs (2020)]:[PHEVs (2020)]])</calculatedColumnFormula>
    </tableColumn>
    <tableColumn id="10" name="BEV Share of EV Sales 2020" dataDxfId="12">
      <calculatedColumnFormula>Table279[[#This Row],[BEVs (2020)]]/Table279[[#This Row],[2020 Total]]</calculatedColumnFormula>
    </tableColumn>
    <tableColumn id="3" name="BEVs (2030)" dataDxfId="11"/>
    <tableColumn id="11" name="PHEVs (2030)" dataDxfId="10"/>
    <tableColumn id="12" name="2030 Total" dataDxfId="9">
      <calculatedColumnFormula>SUM(Table279[[#This Row],[BEVs (2030)]:[PHEVs (2030)]])</calculatedColumnFormula>
    </tableColumn>
    <tableColumn id="13" name="BEV Share of EV Sales 20" dataDxfId="8">
      <calculatedColumnFormula>Table279[[#This Row],[BEVs (2030)]]/Table279[[#This Row],[2030 Total]]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9" name="Table2710" displayName="Table2710" ref="M27:U31" totalsRowShown="0">
  <autoFilter ref="M27:U31"/>
  <tableColumns count="9">
    <tableColumn id="1" name="World EV Sales"/>
    <tableColumn id="2" name="BEVs (2020)" dataDxfId="7"/>
    <tableColumn id="8" name="PHEVs (2020)" dataDxfId="6"/>
    <tableColumn id="9" name="2020 Total" dataDxfId="5">
      <calculatedColumnFormula>SUM(Table2710[[#This Row],[BEVs (2020)]:[PHEVs (2020)]])</calculatedColumnFormula>
    </tableColumn>
    <tableColumn id="10" name="BEV Share of EV Sales 2020" dataDxfId="4">
      <calculatedColumnFormula>Table2710[[#This Row],[BEVs (2020)]]/Table2710[[#This Row],[2020 Total]]</calculatedColumnFormula>
    </tableColumn>
    <tableColumn id="3" name="BEVs (2030)" dataDxfId="3"/>
    <tableColumn id="11" name="PHEVs (2030)" dataDxfId="2"/>
    <tableColumn id="12" name="2030 Total" dataDxfId="1">
      <calculatedColumnFormula>SUM(Table2710[[#This Row],[BEVs (2030)]:[PHEVs (2030)]])</calculatedColumnFormula>
    </tableColumn>
    <tableColumn id="13" name="BEV Share of EV Sales 20" dataDxfId="0">
      <calculatedColumnFormula>Table2710[[#This Row],[BEVs (2030)]]/Table2710[[#This Row],[2030 Total]]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dpi.com/2673-6489/3/1/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G57" sqref="G57"/>
    </sheetView>
  </sheetViews>
  <sheetFormatPr baseColWidth="10" defaultColWidth="11" defaultRowHeight="16.5" x14ac:dyDescent="0.3"/>
  <cols>
    <col min="1" max="1" width="10" bestFit="1" customWidth="1"/>
    <col min="2" max="2" width="10.625" bestFit="1" customWidth="1"/>
    <col min="3" max="3" width="24.625" bestFit="1" customWidth="1"/>
    <col min="4" max="4" width="32.25" customWidth="1"/>
    <col min="5" max="5" width="11.25" customWidth="1"/>
    <col min="6" max="6" width="4.875" bestFit="1" customWidth="1"/>
    <col min="7" max="7" width="14.5" customWidth="1"/>
    <col min="8" max="8" width="17.25" bestFit="1" customWidth="1"/>
    <col min="9" max="9" width="12.25" bestFit="1" customWidth="1"/>
    <col min="10" max="10" width="84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7</v>
      </c>
      <c r="I1" t="s">
        <v>8</v>
      </c>
      <c r="J1" t="s">
        <v>6</v>
      </c>
      <c r="K1" t="s">
        <v>20</v>
      </c>
    </row>
    <row r="2" spans="1:11" x14ac:dyDescent="0.3">
      <c r="A2" t="s">
        <v>10</v>
      </c>
      <c r="B2" t="s">
        <v>9</v>
      </c>
      <c r="C2" t="s">
        <v>24</v>
      </c>
      <c r="D2" t="s">
        <v>22</v>
      </c>
      <c r="E2" t="s">
        <v>149</v>
      </c>
      <c r="F2">
        <v>2018</v>
      </c>
      <c r="G2" s="12">
        <f>'Currency and Unit Conversions'!L4/1000000</f>
        <v>26.823207134646996</v>
      </c>
      <c r="H2" t="s">
        <v>13</v>
      </c>
      <c r="I2" t="s">
        <v>40</v>
      </c>
      <c r="J2" t="s">
        <v>15</v>
      </c>
      <c r="K2" t="s">
        <v>21</v>
      </c>
    </row>
    <row r="3" spans="1:11" x14ac:dyDescent="0.3">
      <c r="A3" t="s">
        <v>10</v>
      </c>
      <c r="B3" t="s">
        <v>9</v>
      </c>
      <c r="C3" t="s">
        <v>25</v>
      </c>
      <c r="D3" t="s">
        <v>22</v>
      </c>
      <c r="E3" t="s">
        <v>149</v>
      </c>
      <c r="F3">
        <v>2018</v>
      </c>
      <c r="G3" s="12">
        <f>'Currency and Unit Conversions'!L5/1000000</f>
        <v>21.785345896159999</v>
      </c>
      <c r="H3" t="s">
        <v>13</v>
      </c>
      <c r="I3" t="s">
        <v>56</v>
      </c>
      <c r="J3" t="s">
        <v>15</v>
      </c>
      <c r="K3" t="s">
        <v>21</v>
      </c>
    </row>
    <row r="4" spans="1:11" x14ac:dyDescent="0.3">
      <c r="A4" t="s">
        <v>10</v>
      </c>
      <c r="B4" t="s">
        <v>9</v>
      </c>
      <c r="C4" t="s">
        <v>26</v>
      </c>
      <c r="D4" t="s">
        <v>22</v>
      </c>
      <c r="E4" t="s">
        <v>149</v>
      </c>
      <c r="F4">
        <v>2018</v>
      </c>
      <c r="G4" s="12">
        <f>'Currency and Unit Conversions'!L6/1000000</f>
        <v>21.431334025347397</v>
      </c>
      <c r="H4" t="s">
        <v>13</v>
      </c>
      <c r="I4" t="s">
        <v>56</v>
      </c>
      <c r="J4" t="s">
        <v>15</v>
      </c>
      <c r="K4" t="s">
        <v>21</v>
      </c>
    </row>
    <row r="5" spans="1:11" x14ac:dyDescent="0.3">
      <c r="A5" t="s">
        <v>10</v>
      </c>
      <c r="B5" t="s">
        <v>9</v>
      </c>
      <c r="C5" t="s">
        <v>27</v>
      </c>
      <c r="D5" t="s">
        <v>22</v>
      </c>
      <c r="E5" t="s">
        <v>149</v>
      </c>
      <c r="F5">
        <v>2018</v>
      </c>
      <c r="G5" s="12">
        <f>'Currency and Unit Conversions'!L7/1000000</f>
        <v>13.942621373542398</v>
      </c>
      <c r="H5" t="s">
        <v>13</v>
      </c>
      <c r="I5" t="s">
        <v>56</v>
      </c>
      <c r="J5" t="s">
        <v>15</v>
      </c>
      <c r="K5" t="s">
        <v>21</v>
      </c>
    </row>
    <row r="6" spans="1:11" x14ac:dyDescent="0.3">
      <c r="A6" t="s">
        <v>10</v>
      </c>
      <c r="B6" t="s">
        <v>9</v>
      </c>
      <c r="C6" t="s">
        <v>53</v>
      </c>
      <c r="D6" t="s">
        <v>22</v>
      </c>
      <c r="E6" t="s">
        <v>149</v>
      </c>
      <c r="F6">
        <v>2018</v>
      </c>
      <c r="G6" s="12">
        <f>'Currency and Unit Conversions'!L8/1000000</f>
        <v>20.151444953947998</v>
      </c>
      <c r="H6" t="s">
        <v>13</v>
      </c>
      <c r="I6" t="s">
        <v>56</v>
      </c>
      <c r="J6" t="s">
        <v>15</v>
      </c>
      <c r="K6" t="s">
        <v>21</v>
      </c>
    </row>
    <row r="7" spans="1:11" x14ac:dyDescent="0.3">
      <c r="A7" t="s">
        <v>10</v>
      </c>
      <c r="B7" t="s">
        <v>9</v>
      </c>
      <c r="C7" t="s">
        <v>53</v>
      </c>
      <c r="D7" t="s">
        <v>88</v>
      </c>
      <c r="E7" t="s">
        <v>150</v>
      </c>
      <c r="F7">
        <v>2023</v>
      </c>
      <c r="G7" s="12">
        <f>'Calculation Maintenance Cost'!E3/1000000</f>
        <v>8.8498016488173601</v>
      </c>
      <c r="H7" t="s">
        <v>12</v>
      </c>
      <c r="I7" t="s">
        <v>56</v>
      </c>
      <c r="J7" t="s">
        <v>14</v>
      </c>
      <c r="K7" s="26" t="s">
        <v>91</v>
      </c>
    </row>
    <row r="8" spans="1:11" x14ac:dyDescent="0.3">
      <c r="A8" t="s">
        <v>10</v>
      </c>
      <c r="B8" t="s">
        <v>9</v>
      </c>
      <c r="C8" t="s">
        <v>44</v>
      </c>
      <c r="D8" t="s">
        <v>97</v>
      </c>
      <c r="E8" t="s">
        <v>150</v>
      </c>
      <c r="F8">
        <v>2023</v>
      </c>
      <c r="G8" s="23">
        <f>'Calculation Stockpiling Cost'!D4/1000000</f>
        <v>3.6166862255658454E-2</v>
      </c>
      <c r="H8" t="s">
        <v>11</v>
      </c>
      <c r="I8" t="s">
        <v>56</v>
      </c>
      <c r="J8" t="s">
        <v>14</v>
      </c>
      <c r="K8" t="s">
        <v>90</v>
      </c>
    </row>
    <row r="9" spans="1:11" x14ac:dyDescent="0.3">
      <c r="A9" t="s">
        <v>10</v>
      </c>
      <c r="B9" t="s">
        <v>9</v>
      </c>
      <c r="C9" t="s">
        <v>62</v>
      </c>
      <c r="D9" t="s">
        <v>43</v>
      </c>
      <c r="E9" t="s">
        <v>16</v>
      </c>
      <c r="F9">
        <v>2020</v>
      </c>
      <c r="G9" s="1">
        <f>'Calculation Total Demand'!I4</f>
        <v>51.538461007309863</v>
      </c>
      <c r="H9" t="s">
        <v>17</v>
      </c>
      <c r="I9" t="s">
        <v>56</v>
      </c>
      <c r="J9" t="s">
        <v>18</v>
      </c>
      <c r="K9" t="s">
        <v>61</v>
      </c>
    </row>
    <row r="10" spans="1:11" x14ac:dyDescent="0.3">
      <c r="A10" t="s">
        <v>10</v>
      </c>
      <c r="B10" t="s">
        <v>9</v>
      </c>
      <c r="C10" t="s">
        <v>62</v>
      </c>
      <c r="D10" t="s">
        <v>43</v>
      </c>
      <c r="E10" t="s">
        <v>16</v>
      </c>
      <c r="F10">
        <v>2030</v>
      </c>
      <c r="G10" s="1">
        <f>'Calculation Total Demand'!I5</f>
        <v>42.371412629455968</v>
      </c>
      <c r="H10" t="s">
        <v>17</v>
      </c>
      <c r="I10" t="s">
        <v>56</v>
      </c>
      <c r="J10" t="s">
        <v>18</v>
      </c>
      <c r="K10" t="s">
        <v>61</v>
      </c>
    </row>
    <row r="11" spans="1:11" x14ac:dyDescent="0.3">
      <c r="A11" t="s">
        <v>10</v>
      </c>
      <c r="B11" t="s">
        <v>9</v>
      </c>
      <c r="C11" t="s">
        <v>62</v>
      </c>
      <c r="D11" t="s">
        <v>43</v>
      </c>
      <c r="E11" t="s">
        <v>16</v>
      </c>
      <c r="F11">
        <v>2050</v>
      </c>
      <c r="G11" s="1">
        <f>'Calculation Total Demand'!I6</f>
        <v>44.402822893305668</v>
      </c>
      <c r="H11" t="s">
        <v>17</v>
      </c>
      <c r="I11" t="s">
        <v>56</v>
      </c>
      <c r="J11" t="s">
        <v>18</v>
      </c>
      <c r="K11" t="s">
        <v>61</v>
      </c>
    </row>
    <row r="12" spans="1:11" x14ac:dyDescent="0.3">
      <c r="A12" t="s">
        <v>10</v>
      </c>
      <c r="B12" t="s">
        <v>9</v>
      </c>
      <c r="C12" t="s">
        <v>86</v>
      </c>
      <c r="D12" t="s">
        <v>43</v>
      </c>
      <c r="E12" t="s">
        <v>16</v>
      </c>
      <c r="F12">
        <v>2020</v>
      </c>
      <c r="G12" s="1">
        <f>'Calculation Total Demand'!I16</f>
        <v>43.202729233043691</v>
      </c>
      <c r="H12" t="s">
        <v>17</v>
      </c>
      <c r="I12" t="s">
        <v>56</v>
      </c>
      <c r="J12" t="s">
        <v>18</v>
      </c>
      <c r="K12" t="s">
        <v>61</v>
      </c>
    </row>
    <row r="13" spans="1:11" x14ac:dyDescent="0.3">
      <c r="A13" t="s">
        <v>10</v>
      </c>
      <c r="B13" t="s">
        <v>9</v>
      </c>
      <c r="C13" t="s">
        <v>86</v>
      </c>
      <c r="D13" t="s">
        <v>43</v>
      </c>
      <c r="E13" t="s">
        <v>16</v>
      </c>
      <c r="F13">
        <v>2030</v>
      </c>
      <c r="G13" s="1">
        <f>'Calculation Total Demand'!I17</f>
        <v>46.823762883702116</v>
      </c>
      <c r="H13" t="s">
        <v>17</v>
      </c>
      <c r="I13" t="s">
        <v>56</v>
      </c>
      <c r="J13" t="s">
        <v>18</v>
      </c>
      <c r="K13" t="s">
        <v>61</v>
      </c>
    </row>
    <row r="14" spans="1:11" x14ac:dyDescent="0.3">
      <c r="A14" t="s">
        <v>10</v>
      </c>
      <c r="B14" t="s">
        <v>9</v>
      </c>
      <c r="C14" t="s">
        <v>86</v>
      </c>
      <c r="D14" t="s">
        <v>43</v>
      </c>
      <c r="E14" t="s">
        <v>16</v>
      </c>
      <c r="F14">
        <v>2050</v>
      </c>
      <c r="G14" s="1">
        <f>'Calculation Total Demand'!I18</f>
        <v>63.761560955497302</v>
      </c>
      <c r="H14" t="s">
        <v>17</v>
      </c>
      <c r="I14" t="s">
        <v>56</v>
      </c>
      <c r="J14" t="s">
        <v>18</v>
      </c>
      <c r="K14" t="s">
        <v>61</v>
      </c>
    </row>
    <row r="15" spans="1:11" x14ac:dyDescent="0.3">
      <c r="A15" t="s">
        <v>10</v>
      </c>
      <c r="B15" t="s">
        <v>9</v>
      </c>
      <c r="C15" t="s">
        <v>52</v>
      </c>
      <c r="D15" t="s">
        <v>43</v>
      </c>
      <c r="E15" t="s">
        <v>16</v>
      </c>
      <c r="F15">
        <v>2020</v>
      </c>
      <c r="G15" s="1">
        <f>'Calculation Total Demand'!I10</f>
        <v>68.0233036952243</v>
      </c>
      <c r="H15" t="s">
        <v>17</v>
      </c>
      <c r="I15" t="s">
        <v>56</v>
      </c>
      <c r="J15" t="s">
        <v>18</v>
      </c>
      <c r="K15" t="s">
        <v>61</v>
      </c>
    </row>
    <row r="16" spans="1:11" x14ac:dyDescent="0.3">
      <c r="A16" t="s">
        <v>10</v>
      </c>
      <c r="B16" t="s">
        <v>9</v>
      </c>
      <c r="C16" t="s">
        <v>52</v>
      </c>
      <c r="D16" t="s">
        <v>43</v>
      </c>
      <c r="E16" t="s">
        <v>16</v>
      </c>
      <c r="F16">
        <v>2030</v>
      </c>
      <c r="G16" s="1">
        <f>'Calculation Total Demand'!I11</f>
        <v>67.268669677428051</v>
      </c>
      <c r="H16" t="s">
        <v>17</v>
      </c>
      <c r="I16" t="s">
        <v>56</v>
      </c>
      <c r="J16" t="s">
        <v>18</v>
      </c>
      <c r="K16" t="s">
        <v>61</v>
      </c>
    </row>
    <row r="17" spans="1:11" x14ac:dyDescent="0.3">
      <c r="A17" t="s">
        <v>10</v>
      </c>
      <c r="B17" t="s">
        <v>9</v>
      </c>
      <c r="C17" t="s">
        <v>52</v>
      </c>
      <c r="D17" t="s">
        <v>43</v>
      </c>
      <c r="E17" t="s">
        <v>16</v>
      </c>
      <c r="F17">
        <v>2050</v>
      </c>
      <c r="G17" s="1">
        <f>'Calculation Total Demand'!I12</f>
        <v>79.785134206404365</v>
      </c>
      <c r="H17" t="s">
        <v>17</v>
      </c>
      <c r="I17" t="s">
        <v>56</v>
      </c>
      <c r="J17" t="s">
        <v>18</v>
      </c>
      <c r="K17" t="s">
        <v>61</v>
      </c>
    </row>
    <row r="18" spans="1:11" x14ac:dyDescent="0.3">
      <c r="A18" t="s">
        <v>10</v>
      </c>
      <c r="B18" t="s">
        <v>9</v>
      </c>
      <c r="C18" t="s">
        <v>53</v>
      </c>
      <c r="D18" t="s">
        <v>43</v>
      </c>
      <c r="E18" t="s">
        <v>16</v>
      </c>
      <c r="F18">
        <v>2020</v>
      </c>
      <c r="G18" s="1">
        <f>'Calculation Total Demand'!I22</f>
        <v>222.32765194945739</v>
      </c>
      <c r="H18" t="s">
        <v>17</v>
      </c>
      <c r="I18" t="s">
        <v>56</v>
      </c>
      <c r="J18" t="s">
        <v>18</v>
      </c>
      <c r="K18" t="s">
        <v>61</v>
      </c>
    </row>
    <row r="19" spans="1:11" x14ac:dyDescent="0.3">
      <c r="A19" t="s">
        <v>10</v>
      </c>
      <c r="B19" t="s">
        <v>9</v>
      </c>
      <c r="C19" t="s">
        <v>53</v>
      </c>
      <c r="D19" t="s">
        <v>43</v>
      </c>
      <c r="E19" t="s">
        <v>16</v>
      </c>
      <c r="F19">
        <v>2030</v>
      </c>
      <c r="G19" s="1">
        <f>'Calculation Total Demand'!I23</f>
        <v>240.47020001226903</v>
      </c>
      <c r="H19" t="s">
        <v>17</v>
      </c>
      <c r="I19" t="s">
        <v>56</v>
      </c>
      <c r="J19" t="s">
        <v>18</v>
      </c>
      <c r="K19" t="s">
        <v>61</v>
      </c>
    </row>
    <row r="20" spans="1:11" x14ac:dyDescent="0.3">
      <c r="A20" t="s">
        <v>10</v>
      </c>
      <c r="B20" t="s">
        <v>9</v>
      </c>
      <c r="C20" t="s">
        <v>53</v>
      </c>
      <c r="D20" t="s">
        <v>43</v>
      </c>
      <c r="E20" t="s">
        <v>16</v>
      </c>
      <c r="F20">
        <v>2050</v>
      </c>
      <c r="G20" s="1">
        <f>'Calculation Total Demand'!I24</f>
        <v>305.4649193360749</v>
      </c>
      <c r="H20" t="s">
        <v>17</v>
      </c>
      <c r="I20" t="s">
        <v>56</v>
      </c>
      <c r="J20" t="s">
        <v>18</v>
      </c>
      <c r="K20" t="s">
        <v>61</v>
      </c>
    </row>
    <row r="21" spans="1:11" x14ac:dyDescent="0.3">
      <c r="A21" t="s">
        <v>10</v>
      </c>
      <c r="B21" t="s">
        <v>9</v>
      </c>
      <c r="C21" t="s">
        <v>24</v>
      </c>
      <c r="D21" t="s">
        <v>129</v>
      </c>
      <c r="E21" t="s">
        <v>16</v>
      </c>
      <c r="F21">
        <v>2018</v>
      </c>
      <c r="G21" s="1">
        <v>137.053</v>
      </c>
      <c r="I21" t="s">
        <v>40</v>
      </c>
      <c r="J21" t="s">
        <v>186</v>
      </c>
      <c r="K21" t="s">
        <v>133</v>
      </c>
    </row>
    <row r="22" spans="1:11" x14ac:dyDescent="0.3">
      <c r="A22" t="s">
        <v>10</v>
      </c>
      <c r="B22" t="s">
        <v>151</v>
      </c>
      <c r="C22" t="s">
        <v>130</v>
      </c>
      <c r="D22" t="s">
        <v>129</v>
      </c>
      <c r="E22" t="s">
        <v>16</v>
      </c>
      <c r="F22">
        <v>2018</v>
      </c>
      <c r="G22" s="1">
        <v>4.16</v>
      </c>
      <c r="I22" t="s">
        <v>56</v>
      </c>
      <c r="J22" t="s">
        <v>186</v>
      </c>
      <c r="K22" t="s">
        <v>133</v>
      </c>
    </row>
    <row r="23" spans="1:11" x14ac:dyDescent="0.3">
      <c r="A23" t="s">
        <v>10</v>
      </c>
      <c r="B23" t="s">
        <v>152</v>
      </c>
      <c r="C23" t="s">
        <v>131</v>
      </c>
      <c r="D23" t="s">
        <v>129</v>
      </c>
      <c r="E23" t="s">
        <v>16</v>
      </c>
      <c r="F23">
        <v>2018</v>
      </c>
      <c r="G23" s="1">
        <v>7.6</v>
      </c>
      <c r="I23" t="s">
        <v>56</v>
      </c>
      <c r="J23" t="s">
        <v>186</v>
      </c>
      <c r="K23" t="s">
        <v>133</v>
      </c>
    </row>
    <row r="24" spans="1:11" x14ac:dyDescent="0.3">
      <c r="A24" t="s">
        <v>10</v>
      </c>
      <c r="B24" t="s">
        <v>153</v>
      </c>
      <c r="C24" t="s">
        <v>26</v>
      </c>
      <c r="D24" t="s">
        <v>129</v>
      </c>
      <c r="E24" t="s">
        <v>16</v>
      </c>
      <c r="F24">
        <v>2018</v>
      </c>
      <c r="G24" s="1">
        <v>14.702999999999999</v>
      </c>
      <c r="I24" t="s">
        <v>56</v>
      </c>
      <c r="J24" t="s">
        <v>186</v>
      </c>
      <c r="K24" t="s">
        <v>133</v>
      </c>
    </row>
    <row r="25" spans="1:11" x14ac:dyDescent="0.3">
      <c r="A25" t="s">
        <v>10</v>
      </c>
      <c r="B25" t="s">
        <v>154</v>
      </c>
      <c r="C25" t="s">
        <v>27</v>
      </c>
      <c r="D25" t="s">
        <v>129</v>
      </c>
      <c r="E25" t="s">
        <v>16</v>
      </c>
      <c r="F25">
        <v>2018</v>
      </c>
      <c r="G25" s="1">
        <v>22</v>
      </c>
      <c r="I25" t="s">
        <v>56</v>
      </c>
      <c r="J25" t="s">
        <v>186</v>
      </c>
      <c r="K25" t="s">
        <v>133</v>
      </c>
    </row>
    <row r="26" spans="1:11" x14ac:dyDescent="0.3">
      <c r="A26" t="s">
        <v>10</v>
      </c>
      <c r="B26" t="s">
        <v>155</v>
      </c>
      <c r="C26" t="s">
        <v>53</v>
      </c>
      <c r="D26" t="s">
        <v>129</v>
      </c>
      <c r="E26" t="s">
        <v>16</v>
      </c>
      <c r="F26">
        <v>2018</v>
      </c>
      <c r="G26" s="1">
        <v>190</v>
      </c>
      <c r="I26" t="s">
        <v>56</v>
      </c>
      <c r="J26" t="s">
        <v>186</v>
      </c>
      <c r="K26" t="s">
        <v>133</v>
      </c>
    </row>
    <row r="27" spans="1:11" x14ac:dyDescent="0.3">
      <c r="A27" t="s">
        <v>10</v>
      </c>
      <c r="B27" t="s">
        <v>156</v>
      </c>
      <c r="C27" t="s">
        <v>24</v>
      </c>
      <c r="D27" t="s">
        <v>129</v>
      </c>
      <c r="E27" t="s">
        <v>16</v>
      </c>
      <c r="F27">
        <v>2019</v>
      </c>
      <c r="G27" s="1">
        <v>132.989</v>
      </c>
      <c r="I27" t="s">
        <v>40</v>
      </c>
      <c r="J27" t="s">
        <v>186</v>
      </c>
      <c r="K27" t="s">
        <v>133</v>
      </c>
    </row>
    <row r="28" spans="1:11" x14ac:dyDescent="0.3">
      <c r="A28" t="s">
        <v>10</v>
      </c>
      <c r="B28" t="s">
        <v>157</v>
      </c>
      <c r="C28" t="s">
        <v>130</v>
      </c>
      <c r="D28" t="s">
        <v>129</v>
      </c>
      <c r="E28" t="s">
        <v>16</v>
      </c>
      <c r="F28">
        <v>2019</v>
      </c>
      <c r="G28" s="1">
        <v>4.1500000000000004</v>
      </c>
      <c r="I28" t="s">
        <v>56</v>
      </c>
      <c r="J28" t="s">
        <v>186</v>
      </c>
      <c r="K28" t="s">
        <v>133</v>
      </c>
    </row>
    <row r="29" spans="1:11" x14ac:dyDescent="0.3">
      <c r="A29" t="s">
        <v>10</v>
      </c>
      <c r="B29" t="s">
        <v>158</v>
      </c>
      <c r="C29" t="s">
        <v>131</v>
      </c>
      <c r="D29" t="s">
        <v>129</v>
      </c>
      <c r="E29" t="s">
        <v>16</v>
      </c>
      <c r="F29">
        <v>2019</v>
      </c>
      <c r="G29" s="1">
        <v>8.5</v>
      </c>
      <c r="I29" t="s">
        <v>56</v>
      </c>
      <c r="J29" t="s">
        <v>186</v>
      </c>
      <c r="K29" t="s">
        <v>133</v>
      </c>
    </row>
    <row r="30" spans="1:11" x14ac:dyDescent="0.3">
      <c r="A30" t="s">
        <v>10</v>
      </c>
      <c r="B30" t="s">
        <v>159</v>
      </c>
      <c r="C30" t="s">
        <v>26</v>
      </c>
      <c r="D30" t="s">
        <v>129</v>
      </c>
      <c r="E30" t="s">
        <v>16</v>
      </c>
      <c r="F30">
        <v>2019</v>
      </c>
      <c r="G30" s="1">
        <v>13.856999999999999</v>
      </c>
      <c r="I30" t="s">
        <v>56</v>
      </c>
      <c r="J30" t="s">
        <v>186</v>
      </c>
      <c r="K30" t="s">
        <v>133</v>
      </c>
    </row>
    <row r="31" spans="1:11" x14ac:dyDescent="0.3">
      <c r="A31" t="s">
        <v>10</v>
      </c>
      <c r="B31" t="s">
        <v>160</v>
      </c>
      <c r="C31" t="s">
        <v>27</v>
      </c>
      <c r="D31" t="s">
        <v>129</v>
      </c>
      <c r="E31" t="s">
        <v>16</v>
      </c>
      <c r="F31">
        <v>2019</v>
      </c>
      <c r="G31" s="1">
        <v>24</v>
      </c>
      <c r="I31" t="s">
        <v>56</v>
      </c>
      <c r="J31" t="s">
        <v>186</v>
      </c>
      <c r="K31" t="s">
        <v>133</v>
      </c>
    </row>
    <row r="32" spans="1:11" x14ac:dyDescent="0.3">
      <c r="A32" t="s">
        <v>10</v>
      </c>
      <c r="B32" t="s">
        <v>161</v>
      </c>
      <c r="C32" t="s">
        <v>53</v>
      </c>
      <c r="D32" t="s">
        <v>129</v>
      </c>
      <c r="E32" t="s">
        <v>16</v>
      </c>
      <c r="F32">
        <v>2019</v>
      </c>
      <c r="G32" s="1">
        <v>187</v>
      </c>
      <c r="I32" t="s">
        <v>56</v>
      </c>
      <c r="J32" t="s">
        <v>186</v>
      </c>
      <c r="K32" t="s">
        <v>133</v>
      </c>
    </row>
    <row r="33" spans="1:11" x14ac:dyDescent="0.3">
      <c r="A33" t="s">
        <v>10</v>
      </c>
      <c r="B33" t="s">
        <v>162</v>
      </c>
      <c r="C33" t="s">
        <v>24</v>
      </c>
      <c r="D33" t="s">
        <v>129</v>
      </c>
      <c r="E33" t="s">
        <v>16</v>
      </c>
      <c r="F33">
        <v>2020</v>
      </c>
      <c r="G33" s="1">
        <v>111.99299999999999</v>
      </c>
      <c r="I33" t="s">
        <v>40</v>
      </c>
      <c r="J33" t="s">
        <v>186</v>
      </c>
      <c r="K33" t="s">
        <v>133</v>
      </c>
    </row>
    <row r="34" spans="1:11" x14ac:dyDescent="0.3">
      <c r="A34" t="s">
        <v>10</v>
      </c>
      <c r="B34" t="s">
        <v>163</v>
      </c>
      <c r="C34" t="s">
        <v>130</v>
      </c>
      <c r="D34" t="s">
        <v>129</v>
      </c>
      <c r="E34" t="s">
        <v>16</v>
      </c>
      <c r="F34">
        <v>2020</v>
      </c>
      <c r="G34" s="1">
        <v>4.2</v>
      </c>
      <c r="I34" t="s">
        <v>56</v>
      </c>
      <c r="J34" t="s">
        <v>186</v>
      </c>
      <c r="K34" t="s">
        <v>133</v>
      </c>
    </row>
    <row r="35" spans="1:11" x14ac:dyDescent="0.3">
      <c r="A35" t="s">
        <v>10</v>
      </c>
      <c r="B35" t="s">
        <v>164</v>
      </c>
      <c r="C35" t="s">
        <v>131</v>
      </c>
      <c r="D35" t="s">
        <v>129</v>
      </c>
      <c r="E35" t="s">
        <v>16</v>
      </c>
      <c r="F35">
        <v>2020</v>
      </c>
      <c r="G35" s="1">
        <v>5.3</v>
      </c>
      <c r="I35" t="s">
        <v>56</v>
      </c>
      <c r="J35" t="s">
        <v>186</v>
      </c>
      <c r="K35" t="s">
        <v>133</v>
      </c>
    </row>
    <row r="36" spans="1:11" x14ac:dyDescent="0.3">
      <c r="A36" t="s">
        <v>10</v>
      </c>
      <c r="B36" t="s">
        <v>165</v>
      </c>
      <c r="C36" t="s">
        <v>26</v>
      </c>
      <c r="D36" t="s">
        <v>129</v>
      </c>
      <c r="E36" t="s">
        <v>16</v>
      </c>
      <c r="F36">
        <v>2020</v>
      </c>
      <c r="G36" s="1">
        <v>15.005000000000001</v>
      </c>
      <c r="I36" t="s">
        <v>56</v>
      </c>
      <c r="J36" t="s">
        <v>186</v>
      </c>
      <c r="K36" t="s">
        <v>133</v>
      </c>
    </row>
    <row r="37" spans="1:11" x14ac:dyDescent="0.3">
      <c r="A37" t="s">
        <v>10</v>
      </c>
      <c r="B37" t="s">
        <v>166</v>
      </c>
      <c r="C37" t="s">
        <v>27</v>
      </c>
      <c r="D37" t="s">
        <v>129</v>
      </c>
      <c r="E37" t="s">
        <v>16</v>
      </c>
      <c r="F37">
        <v>2020</v>
      </c>
      <c r="G37" s="1">
        <v>23</v>
      </c>
      <c r="I37" t="s">
        <v>56</v>
      </c>
      <c r="J37" t="s">
        <v>186</v>
      </c>
      <c r="K37" t="s">
        <v>133</v>
      </c>
    </row>
    <row r="38" spans="1:11" x14ac:dyDescent="0.3">
      <c r="A38" t="s">
        <v>10</v>
      </c>
      <c r="B38" t="s">
        <v>167</v>
      </c>
      <c r="C38" t="s">
        <v>53</v>
      </c>
      <c r="D38" t="s">
        <v>129</v>
      </c>
      <c r="E38" t="s">
        <v>16</v>
      </c>
      <c r="F38">
        <v>2020</v>
      </c>
      <c r="G38" s="1">
        <v>164</v>
      </c>
      <c r="I38" t="s">
        <v>56</v>
      </c>
      <c r="J38" t="s">
        <v>186</v>
      </c>
      <c r="K38" t="s">
        <v>133</v>
      </c>
    </row>
    <row r="39" spans="1:11" x14ac:dyDescent="0.3">
      <c r="A39" t="s">
        <v>10</v>
      </c>
      <c r="B39" t="s">
        <v>168</v>
      </c>
      <c r="C39" t="s">
        <v>24</v>
      </c>
      <c r="D39" t="s">
        <v>129</v>
      </c>
      <c r="E39" t="s">
        <v>16</v>
      </c>
      <c r="F39">
        <v>2021</v>
      </c>
      <c r="G39" s="1">
        <v>141.626</v>
      </c>
      <c r="I39" t="s">
        <v>40</v>
      </c>
      <c r="J39" t="s">
        <v>186</v>
      </c>
      <c r="K39" t="s">
        <v>133</v>
      </c>
    </row>
    <row r="40" spans="1:11" x14ac:dyDescent="0.3">
      <c r="A40" t="s">
        <v>10</v>
      </c>
      <c r="B40" t="s">
        <v>169</v>
      </c>
      <c r="C40" t="s">
        <v>130</v>
      </c>
      <c r="D40" t="s">
        <v>129</v>
      </c>
      <c r="E40" t="s">
        <v>16</v>
      </c>
      <c r="F40">
        <v>2021</v>
      </c>
      <c r="G40" s="1">
        <v>4.0199999999999996</v>
      </c>
      <c r="I40" t="s">
        <v>56</v>
      </c>
      <c r="J40" t="s">
        <v>186</v>
      </c>
      <c r="K40" t="s">
        <v>133</v>
      </c>
    </row>
    <row r="41" spans="1:11" x14ac:dyDescent="0.3">
      <c r="A41" t="s">
        <v>10</v>
      </c>
      <c r="B41" t="s">
        <v>170</v>
      </c>
      <c r="C41" t="s">
        <v>131</v>
      </c>
      <c r="D41" t="s">
        <v>129</v>
      </c>
      <c r="E41" t="s">
        <v>16</v>
      </c>
      <c r="F41">
        <v>2021</v>
      </c>
      <c r="G41" s="1">
        <v>6</v>
      </c>
      <c r="I41" t="s">
        <v>56</v>
      </c>
      <c r="J41" t="s">
        <v>186</v>
      </c>
      <c r="K41" t="s">
        <v>133</v>
      </c>
    </row>
    <row r="42" spans="1:11" x14ac:dyDescent="0.3">
      <c r="A42" t="s">
        <v>10</v>
      </c>
      <c r="B42" t="s">
        <v>171</v>
      </c>
      <c r="C42" t="s">
        <v>26</v>
      </c>
      <c r="D42" t="s">
        <v>129</v>
      </c>
      <c r="E42" t="s">
        <v>16</v>
      </c>
      <c r="F42">
        <v>2021</v>
      </c>
      <c r="G42" s="1">
        <v>14.731999999999999</v>
      </c>
      <c r="I42" t="s">
        <v>56</v>
      </c>
      <c r="J42" t="s">
        <v>186</v>
      </c>
      <c r="K42" t="s">
        <v>133</v>
      </c>
    </row>
    <row r="43" spans="1:11" x14ac:dyDescent="0.3">
      <c r="A43" t="s">
        <v>10</v>
      </c>
      <c r="B43" t="s">
        <v>172</v>
      </c>
      <c r="C43" t="s">
        <v>27</v>
      </c>
      <c r="D43" t="s">
        <v>129</v>
      </c>
      <c r="E43" t="s">
        <v>16</v>
      </c>
      <c r="F43">
        <v>2021</v>
      </c>
      <c r="G43" s="1">
        <v>21</v>
      </c>
      <c r="I43" t="s">
        <v>56</v>
      </c>
      <c r="J43" t="s">
        <v>186</v>
      </c>
      <c r="K43" t="s">
        <v>133</v>
      </c>
    </row>
    <row r="44" spans="1:11" x14ac:dyDescent="0.3">
      <c r="A44" t="s">
        <v>10</v>
      </c>
      <c r="B44" t="s">
        <v>173</v>
      </c>
      <c r="C44" t="s">
        <v>53</v>
      </c>
      <c r="D44" t="s">
        <v>129</v>
      </c>
      <c r="E44" t="s">
        <v>16</v>
      </c>
      <c r="F44">
        <v>2021</v>
      </c>
      <c r="G44" s="1">
        <v>192</v>
      </c>
      <c r="I44" t="s">
        <v>56</v>
      </c>
      <c r="J44" t="s">
        <v>186</v>
      </c>
      <c r="K44" t="s">
        <v>133</v>
      </c>
    </row>
    <row r="45" spans="1:11" x14ac:dyDescent="0.3">
      <c r="A45" t="s">
        <v>10</v>
      </c>
      <c r="B45" t="s">
        <v>174</v>
      </c>
      <c r="C45" t="s">
        <v>24</v>
      </c>
      <c r="D45" t="s">
        <v>129</v>
      </c>
      <c r="E45" t="s">
        <v>16</v>
      </c>
      <c r="F45">
        <v>2022</v>
      </c>
      <c r="G45" s="1">
        <v>124</v>
      </c>
      <c r="I45" t="s">
        <v>40</v>
      </c>
      <c r="J45" t="s">
        <v>186</v>
      </c>
      <c r="K45" t="s">
        <v>134</v>
      </c>
    </row>
    <row r="46" spans="1:11" x14ac:dyDescent="0.3">
      <c r="A46" t="s">
        <v>10</v>
      </c>
      <c r="B46" t="s">
        <v>175</v>
      </c>
      <c r="C46" t="s">
        <v>130</v>
      </c>
      <c r="D46" t="s">
        <v>129</v>
      </c>
      <c r="E46" t="s">
        <v>16</v>
      </c>
      <c r="F46">
        <v>2022</v>
      </c>
      <c r="G46" s="1">
        <v>3</v>
      </c>
      <c r="I46" t="s">
        <v>56</v>
      </c>
      <c r="J46" t="s">
        <v>186</v>
      </c>
      <c r="K46" t="s">
        <v>134</v>
      </c>
    </row>
    <row r="47" spans="1:11" x14ac:dyDescent="0.3">
      <c r="A47" t="s">
        <v>10</v>
      </c>
      <c r="B47" t="s">
        <v>176</v>
      </c>
      <c r="C47" t="s">
        <v>131</v>
      </c>
      <c r="D47" t="s">
        <v>129</v>
      </c>
      <c r="E47" t="s">
        <v>16</v>
      </c>
      <c r="F47">
        <v>2022</v>
      </c>
      <c r="G47" s="1">
        <v>5.4</v>
      </c>
      <c r="I47" t="s">
        <v>56</v>
      </c>
      <c r="J47" t="s">
        <v>186</v>
      </c>
      <c r="K47" t="s">
        <v>134</v>
      </c>
    </row>
    <row r="48" spans="1:11" x14ac:dyDescent="0.3">
      <c r="A48" t="s">
        <v>10</v>
      </c>
      <c r="B48" t="s">
        <v>177</v>
      </c>
      <c r="C48" t="s">
        <v>26</v>
      </c>
      <c r="D48" t="s">
        <v>129</v>
      </c>
      <c r="E48" t="s">
        <v>16</v>
      </c>
      <c r="F48">
        <v>2022</v>
      </c>
      <c r="G48" s="1">
        <v>17</v>
      </c>
      <c r="I48" t="s">
        <v>56</v>
      </c>
      <c r="J48" t="s">
        <v>186</v>
      </c>
      <c r="K48" t="s">
        <v>134</v>
      </c>
    </row>
    <row r="49" spans="1:11" x14ac:dyDescent="0.3">
      <c r="A49" t="s">
        <v>10</v>
      </c>
      <c r="B49" t="s">
        <v>178</v>
      </c>
      <c r="C49" t="s">
        <v>27</v>
      </c>
      <c r="D49" t="s">
        <v>129</v>
      </c>
      <c r="E49" t="s">
        <v>16</v>
      </c>
      <c r="F49">
        <v>2022</v>
      </c>
      <c r="G49" s="1">
        <v>20</v>
      </c>
      <c r="I49" t="s">
        <v>56</v>
      </c>
      <c r="J49" t="s">
        <v>186</v>
      </c>
      <c r="K49" t="s">
        <v>134</v>
      </c>
    </row>
    <row r="50" spans="1:11" x14ac:dyDescent="0.3">
      <c r="A50" t="s">
        <v>10</v>
      </c>
      <c r="B50" t="s">
        <v>179</v>
      </c>
      <c r="C50" t="s">
        <v>53</v>
      </c>
      <c r="D50" t="s">
        <v>129</v>
      </c>
      <c r="E50" t="s">
        <v>16</v>
      </c>
      <c r="F50">
        <v>2022</v>
      </c>
      <c r="G50" s="1">
        <v>174</v>
      </c>
      <c r="I50" t="s">
        <v>56</v>
      </c>
      <c r="J50" t="s">
        <v>186</v>
      </c>
      <c r="K50" t="s">
        <v>134</v>
      </c>
    </row>
    <row r="51" spans="1:11" x14ac:dyDescent="0.3">
      <c r="A51" t="s">
        <v>10</v>
      </c>
      <c r="B51" t="s">
        <v>180</v>
      </c>
      <c r="C51" t="s">
        <v>24</v>
      </c>
      <c r="D51" t="s">
        <v>129</v>
      </c>
      <c r="E51" t="s">
        <v>16</v>
      </c>
      <c r="F51">
        <v>2023</v>
      </c>
      <c r="G51" s="1">
        <v>120</v>
      </c>
      <c r="I51" t="s">
        <v>40</v>
      </c>
      <c r="J51" t="s">
        <v>132</v>
      </c>
      <c r="K51" t="s">
        <v>134</v>
      </c>
    </row>
    <row r="52" spans="1:11" x14ac:dyDescent="0.3">
      <c r="A52" t="s">
        <v>10</v>
      </c>
      <c r="B52" t="s">
        <v>181</v>
      </c>
      <c r="C52" t="s">
        <v>130</v>
      </c>
      <c r="D52" t="s">
        <v>129</v>
      </c>
      <c r="E52" t="s">
        <v>16</v>
      </c>
      <c r="F52">
        <v>2023</v>
      </c>
      <c r="G52" s="1">
        <v>2.9</v>
      </c>
      <c r="I52" t="s">
        <v>56</v>
      </c>
      <c r="J52" t="s">
        <v>132</v>
      </c>
      <c r="K52" t="s">
        <v>134</v>
      </c>
    </row>
    <row r="53" spans="1:11" x14ac:dyDescent="0.3">
      <c r="A53" t="s">
        <v>10</v>
      </c>
      <c r="B53" t="s">
        <v>182</v>
      </c>
      <c r="C53" t="s">
        <v>131</v>
      </c>
      <c r="D53" t="s">
        <v>129</v>
      </c>
      <c r="E53" t="s">
        <v>16</v>
      </c>
      <c r="F53">
        <v>2023</v>
      </c>
      <c r="G53" s="1">
        <v>5.5</v>
      </c>
      <c r="I53" t="s">
        <v>56</v>
      </c>
      <c r="J53" t="s">
        <v>132</v>
      </c>
      <c r="K53" t="s">
        <v>134</v>
      </c>
    </row>
    <row r="54" spans="1:11" x14ac:dyDescent="0.3">
      <c r="A54" t="s">
        <v>10</v>
      </c>
      <c r="B54" t="s">
        <v>183</v>
      </c>
      <c r="C54" t="s">
        <v>26</v>
      </c>
      <c r="D54" t="s">
        <v>129</v>
      </c>
      <c r="E54" t="s">
        <v>16</v>
      </c>
      <c r="F54">
        <v>2023</v>
      </c>
      <c r="G54" s="1">
        <v>19</v>
      </c>
      <c r="I54" t="s">
        <v>56</v>
      </c>
      <c r="J54" t="s">
        <v>132</v>
      </c>
      <c r="K54" t="s">
        <v>134</v>
      </c>
    </row>
    <row r="55" spans="1:11" x14ac:dyDescent="0.3">
      <c r="A55" t="s">
        <v>10</v>
      </c>
      <c r="B55" t="s">
        <v>184</v>
      </c>
      <c r="C55" t="s">
        <v>27</v>
      </c>
      <c r="D55" t="s">
        <v>129</v>
      </c>
      <c r="E55" t="s">
        <v>16</v>
      </c>
      <c r="F55">
        <v>2023</v>
      </c>
      <c r="G55" s="1">
        <v>23</v>
      </c>
      <c r="I55" t="s">
        <v>56</v>
      </c>
      <c r="J55" t="s">
        <v>132</v>
      </c>
      <c r="K55" t="s">
        <v>134</v>
      </c>
    </row>
    <row r="56" spans="1:11" x14ac:dyDescent="0.3">
      <c r="A56" t="s">
        <v>10</v>
      </c>
      <c r="B56" t="s">
        <v>185</v>
      </c>
      <c r="C56" t="s">
        <v>53</v>
      </c>
      <c r="D56" t="s">
        <v>129</v>
      </c>
      <c r="E56" t="s">
        <v>16</v>
      </c>
      <c r="F56">
        <v>2023</v>
      </c>
      <c r="G56" s="1">
        <v>180</v>
      </c>
      <c r="I56" t="s">
        <v>56</v>
      </c>
      <c r="J56" t="s">
        <v>132</v>
      </c>
      <c r="K56" t="s">
        <v>134</v>
      </c>
    </row>
    <row r="57" spans="1:11" x14ac:dyDescent="0.3">
      <c r="A57" t="s">
        <v>10</v>
      </c>
      <c r="B57" t="s">
        <v>9</v>
      </c>
      <c r="C57" t="s">
        <v>188</v>
      </c>
      <c r="D57" t="s">
        <v>22</v>
      </c>
      <c r="E57" t="s">
        <v>149</v>
      </c>
      <c r="F57">
        <v>2018</v>
      </c>
      <c r="G57" s="19">
        <f>1.2*G2</f>
        <v>32.187848561576395</v>
      </c>
      <c r="H57" t="s">
        <v>13</v>
      </c>
      <c r="I57" t="s">
        <v>56</v>
      </c>
      <c r="J57" t="s">
        <v>15</v>
      </c>
    </row>
    <row r="58" spans="1:11" x14ac:dyDescent="0.3">
      <c r="A58" t="s">
        <v>10</v>
      </c>
      <c r="B58" t="s">
        <v>9</v>
      </c>
      <c r="C58" t="s">
        <v>187</v>
      </c>
      <c r="D58" t="s">
        <v>22</v>
      </c>
      <c r="E58" t="s">
        <v>149</v>
      </c>
      <c r="F58">
        <v>2018</v>
      </c>
      <c r="G58" s="19">
        <f>67.11</f>
        <v>67.11</v>
      </c>
      <c r="H58" t="s">
        <v>13</v>
      </c>
      <c r="I58" t="s">
        <v>56</v>
      </c>
      <c r="J58" t="s">
        <v>15</v>
      </c>
    </row>
    <row r="59" spans="1:11" x14ac:dyDescent="0.3">
      <c r="A59" t="s">
        <v>10</v>
      </c>
      <c r="B59" t="s">
        <v>9</v>
      </c>
      <c r="C59" t="s">
        <v>189</v>
      </c>
      <c r="D59" t="s">
        <v>22</v>
      </c>
      <c r="E59" t="s">
        <v>149</v>
      </c>
      <c r="F59">
        <v>2018</v>
      </c>
      <c r="G59" s="19">
        <f>G57*1.5</f>
        <v>48.281772842364589</v>
      </c>
      <c r="H59" t="s">
        <v>13</v>
      </c>
      <c r="I59" t="s">
        <v>56</v>
      </c>
      <c r="J59" t="s">
        <v>15</v>
      </c>
    </row>
  </sheetData>
  <hyperlinks>
    <hyperlink ref="K7" r:id="rId1" display="https://www.mdpi.com/2673-6489/3/1/2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selection activeCell="L5" sqref="L5"/>
    </sheetView>
  </sheetViews>
  <sheetFormatPr baseColWidth="10" defaultColWidth="9" defaultRowHeight="16.5" x14ac:dyDescent="0.3"/>
  <cols>
    <col min="2" max="2" width="45.125" customWidth="1"/>
    <col min="3" max="3" width="8.75" customWidth="1"/>
    <col min="4" max="4" width="13.625" bestFit="1" customWidth="1"/>
    <col min="5" max="5" width="14.625" bestFit="1" customWidth="1"/>
    <col min="7" max="8" width="9.75" bestFit="1" customWidth="1"/>
    <col min="9" max="9" width="3.25" customWidth="1"/>
    <col min="10" max="10" width="13.75" customWidth="1"/>
    <col min="11" max="11" width="4.5" customWidth="1"/>
    <col min="12" max="12" width="21.625" customWidth="1"/>
  </cols>
  <sheetData>
    <row r="2" spans="2:12" ht="52.5" x14ac:dyDescent="0.3">
      <c r="B2" s="6" t="s">
        <v>23</v>
      </c>
    </row>
    <row r="3" spans="2:12" s="8" customFormat="1" ht="19.5" customHeight="1" x14ac:dyDescent="0.3">
      <c r="B3" s="7" t="s">
        <v>2</v>
      </c>
      <c r="C3" s="7" t="s">
        <v>29</v>
      </c>
      <c r="D3" s="7" t="s">
        <v>30</v>
      </c>
      <c r="E3" s="7" t="s">
        <v>31</v>
      </c>
      <c r="F3" s="7" t="s">
        <v>32</v>
      </c>
      <c r="G3" s="7" t="s">
        <v>33</v>
      </c>
      <c r="H3" s="7" t="s">
        <v>34</v>
      </c>
      <c r="I3" s="9" t="s">
        <v>35</v>
      </c>
      <c r="J3" s="7" t="s">
        <v>36</v>
      </c>
      <c r="K3" s="7" t="s">
        <v>38</v>
      </c>
      <c r="L3" s="7" t="s">
        <v>39</v>
      </c>
    </row>
    <row r="4" spans="2:12" x14ac:dyDescent="0.3">
      <c r="B4" s="2" t="s">
        <v>24</v>
      </c>
      <c r="C4" s="3">
        <v>1212</v>
      </c>
      <c r="D4" s="3">
        <v>1286</v>
      </c>
      <c r="E4" s="3">
        <v>1072</v>
      </c>
      <c r="F4" s="3">
        <v>975</v>
      </c>
      <c r="G4" s="3">
        <v>979</v>
      </c>
      <c r="H4" s="3">
        <v>985</v>
      </c>
      <c r="I4" s="5"/>
      <c r="J4" s="10">
        <f>PRODUCT(Table8[[#This Row],[2018]],0.847)</f>
        <v>834.29499999999996</v>
      </c>
      <c r="K4" s="5"/>
      <c r="L4" s="11">
        <f>PRODUCT(Table8[[#This Row],[2018 Euros]],32150.7466)</f>
        <v>26823207.134646997</v>
      </c>
    </row>
    <row r="5" spans="2:12" x14ac:dyDescent="0.3">
      <c r="B5" s="2" t="s">
        <v>25</v>
      </c>
      <c r="C5" s="3">
        <v>1003</v>
      </c>
      <c r="D5" s="3">
        <v>938</v>
      </c>
      <c r="E5" s="3">
        <v>1040</v>
      </c>
      <c r="F5" s="3">
        <v>977</v>
      </c>
      <c r="G5" s="3">
        <v>752</v>
      </c>
      <c r="H5" s="3">
        <v>800</v>
      </c>
      <c r="I5" s="5"/>
      <c r="J5" s="10">
        <f>PRODUCT(Table8[[#This Row],[2018]],0.847)</f>
        <v>677.6</v>
      </c>
      <c r="K5" s="5"/>
      <c r="L5" s="11">
        <f>PRODUCT(Table8[[#This Row],[2018 Euros]],32150.7466)</f>
        <v>21785345.896159999</v>
      </c>
    </row>
    <row r="6" spans="2:12" x14ac:dyDescent="0.3">
      <c r="B6" s="2" t="s">
        <v>26</v>
      </c>
      <c r="C6" s="3">
        <v>943</v>
      </c>
      <c r="D6" s="3">
        <v>978</v>
      </c>
      <c r="E6" s="3">
        <v>1106</v>
      </c>
      <c r="F6" s="3">
        <v>955</v>
      </c>
      <c r="G6" s="3">
        <v>725</v>
      </c>
      <c r="H6" s="3">
        <v>787</v>
      </c>
      <c r="I6" s="5"/>
      <c r="J6" s="10">
        <f>PRODUCT(Table8[[#This Row],[2018]],0.847)</f>
        <v>666.58899999999994</v>
      </c>
      <c r="K6" s="5"/>
      <c r="L6" s="11">
        <f>PRODUCT(Table8[[#This Row],[2018 Euros]],32150.7466)</f>
        <v>21431334.025347397</v>
      </c>
    </row>
    <row r="7" spans="2:12" x14ac:dyDescent="0.3">
      <c r="B7" s="2" t="s">
        <v>27</v>
      </c>
      <c r="C7" s="4" t="s">
        <v>28</v>
      </c>
      <c r="D7" s="3">
        <v>475</v>
      </c>
      <c r="E7" s="3">
        <v>448</v>
      </c>
      <c r="F7" s="3">
        <v>477</v>
      </c>
      <c r="G7" s="3">
        <v>567</v>
      </c>
      <c r="H7" s="3">
        <v>512</v>
      </c>
      <c r="I7" s="5"/>
      <c r="J7" s="10">
        <f>PRODUCT(Table8[[#This Row],[2018]],0.847)</f>
        <v>433.66399999999999</v>
      </c>
      <c r="K7" s="5"/>
      <c r="L7" s="11">
        <f>PRODUCT(Table8[[#This Row],[2018 Euros]],32150.7466)</f>
        <v>13942621.373542398</v>
      </c>
    </row>
    <row r="8" spans="2:12" x14ac:dyDescent="0.3">
      <c r="B8" s="2" t="s">
        <v>140</v>
      </c>
      <c r="C8" s="3">
        <v>1172</v>
      </c>
      <c r="D8" s="3">
        <v>1215</v>
      </c>
      <c r="E8" s="3">
        <v>1069</v>
      </c>
      <c r="F8" s="3">
        <v>974</v>
      </c>
      <c r="G8" s="3">
        <v>766</v>
      </c>
      <c r="H8" s="3">
        <v>740</v>
      </c>
      <c r="I8" s="5"/>
      <c r="J8" s="10">
        <f>PRODUCT(Table8[[#This Row],[2018]],0.847)</f>
        <v>626.78</v>
      </c>
      <c r="K8" s="5"/>
      <c r="L8" s="11">
        <f>PRODUCT(Table8[[#This Row],[2018 Euros]],32150.7466)</f>
        <v>20151444.953947999</v>
      </c>
    </row>
    <row r="9" spans="2:12" x14ac:dyDescent="0.3">
      <c r="B9" s="32" t="s">
        <v>141</v>
      </c>
      <c r="C9" s="33"/>
      <c r="D9" s="32"/>
      <c r="E9" s="33"/>
      <c r="F9" s="32"/>
      <c r="G9" s="35">
        <v>925</v>
      </c>
      <c r="H9" s="35">
        <v>938</v>
      </c>
      <c r="I9" s="32"/>
      <c r="J9" s="34">
        <f>PRODUCT(Table8[[#This Row],[2018]],0.847)</f>
        <v>794.48599999999999</v>
      </c>
      <c r="K9" s="32"/>
      <c r="L9" s="11">
        <f>PRODUCT(Table8[[#This Row],[2018 Euros]],32150.7466)</f>
        <v>25543318.063247599</v>
      </c>
    </row>
    <row r="10" spans="2:12" x14ac:dyDescent="0.3">
      <c r="B10" t="s">
        <v>37</v>
      </c>
      <c r="C10" t="s">
        <v>41</v>
      </c>
    </row>
    <row r="11" spans="2:12" x14ac:dyDescent="0.3">
      <c r="B11" t="s">
        <v>64</v>
      </c>
      <c r="C11" t="s">
        <v>42</v>
      </c>
      <c r="E11">
        <v>32150.746599999999</v>
      </c>
    </row>
    <row r="14" spans="2:12" x14ac:dyDescent="0.3">
      <c r="B14" s="13"/>
      <c r="C14" s="13" t="s">
        <v>46</v>
      </c>
      <c r="D14" s="13" t="s">
        <v>89</v>
      </c>
    </row>
    <row r="15" spans="2:12" x14ac:dyDescent="0.3">
      <c r="B15" s="13" t="s">
        <v>45</v>
      </c>
      <c r="C15">
        <v>1657000</v>
      </c>
      <c r="D15">
        <f>C15/32150.7466</f>
        <v>51.538461007309863</v>
      </c>
    </row>
    <row r="16" spans="2:12" x14ac:dyDescent="0.3">
      <c r="B16" s="13" t="s">
        <v>48</v>
      </c>
      <c r="C16">
        <v>2187000</v>
      </c>
      <c r="D16">
        <f>C16/32150.7466</f>
        <v>68.0233036952243</v>
      </c>
    </row>
    <row r="17" spans="2:5" x14ac:dyDescent="0.3">
      <c r="B17" s="13" t="s">
        <v>49</v>
      </c>
      <c r="C17">
        <v>1389000</v>
      </c>
      <c r="D17">
        <f>C17/32150.7466</f>
        <v>43.202729233043691</v>
      </c>
    </row>
    <row r="18" spans="2:5" x14ac:dyDescent="0.3">
      <c r="B18" s="13" t="s">
        <v>54</v>
      </c>
      <c r="C18">
        <v>7148000</v>
      </c>
      <c r="D18">
        <f>C18/32150.7466</f>
        <v>222.32765194945739</v>
      </c>
    </row>
    <row r="21" spans="2:5" x14ac:dyDescent="0.3">
      <c r="B21" s="13" t="s">
        <v>67</v>
      </c>
      <c r="C21" s="13" t="s">
        <v>63</v>
      </c>
      <c r="D21" s="13" t="s">
        <v>98</v>
      </c>
      <c r="E21" s="13" t="s">
        <v>99</v>
      </c>
    </row>
    <row r="22" spans="2:5" x14ac:dyDescent="0.3">
      <c r="C22" s="18">
        <v>973.11</v>
      </c>
      <c r="D22" s="18">
        <f>C22*32150.7466</f>
        <v>31286213.023925997</v>
      </c>
      <c r="E22" s="19">
        <f>D22*0.9248</f>
        <v>28933489.804526761</v>
      </c>
    </row>
    <row r="24" spans="2:5" x14ac:dyDescent="0.3">
      <c r="B24" t="s">
        <v>64</v>
      </c>
      <c r="C24" t="s">
        <v>42</v>
      </c>
    </row>
    <row r="25" spans="2:5" x14ac:dyDescent="0.3">
      <c r="B25" t="s">
        <v>65</v>
      </c>
      <c r="C25" t="s">
        <v>66</v>
      </c>
    </row>
    <row r="27" spans="2:5" x14ac:dyDescent="0.3">
      <c r="B27" t="s">
        <v>68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"/>
  <sheetViews>
    <sheetView workbookViewId="0">
      <selection activeCell="G3" sqref="G3"/>
    </sheetView>
  </sheetViews>
  <sheetFormatPr baseColWidth="10" defaultColWidth="9" defaultRowHeight="16.5" x14ac:dyDescent="0.3"/>
  <cols>
    <col min="2" max="2" width="50" customWidth="1"/>
    <col min="3" max="3" width="26.25" customWidth="1"/>
    <col min="4" max="4" width="26.125" customWidth="1"/>
    <col min="7" max="7" width="43.875" customWidth="1"/>
  </cols>
  <sheetData>
    <row r="3" spans="2:7" x14ac:dyDescent="0.3">
      <c r="B3" s="16" t="s">
        <v>69</v>
      </c>
      <c r="C3" s="16" t="s">
        <v>70</v>
      </c>
      <c r="D3" s="16" t="s">
        <v>106</v>
      </c>
      <c r="G3" s="16" t="s">
        <v>87</v>
      </c>
    </row>
    <row r="4" spans="2:7" x14ac:dyDescent="0.3">
      <c r="B4" s="19">
        <v>28933489.804526761</v>
      </c>
      <c r="C4" s="22">
        <v>1.25E-3</v>
      </c>
      <c r="D4" s="17">
        <f>B4*C4</f>
        <v>36166.862255658452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2"/>
  <sheetViews>
    <sheetView zoomScale="85" zoomScaleNormal="85" workbookViewId="0">
      <selection activeCell="E22" sqref="E22"/>
    </sheetView>
  </sheetViews>
  <sheetFormatPr baseColWidth="10" defaultColWidth="9" defaultRowHeight="16.5" x14ac:dyDescent="0.3"/>
  <cols>
    <col min="1" max="1" width="8.75" customWidth="1"/>
    <col min="2" max="2" width="7.125" customWidth="1"/>
    <col min="3" max="3" width="24" customWidth="1"/>
    <col min="4" max="4" width="42.375" customWidth="1"/>
    <col min="5" max="5" width="41.75" customWidth="1"/>
    <col min="6" max="7" width="26" customWidth="1"/>
    <col min="8" max="8" width="27.25" customWidth="1"/>
    <col min="9" max="9" width="27.125" customWidth="1"/>
    <col min="11" max="11" width="26.625" customWidth="1"/>
  </cols>
  <sheetData>
    <row r="3" spans="2:12" x14ac:dyDescent="0.3">
      <c r="B3" s="15"/>
      <c r="C3" s="15" t="s">
        <v>71</v>
      </c>
      <c r="D3" s="15" t="s">
        <v>136</v>
      </c>
      <c r="E3" s="15" t="s">
        <v>80</v>
      </c>
      <c r="F3" s="15" t="s">
        <v>81</v>
      </c>
      <c r="G3" s="15" t="s">
        <v>145</v>
      </c>
      <c r="H3" s="15" t="s">
        <v>101</v>
      </c>
      <c r="I3" s="15" t="s">
        <v>105</v>
      </c>
    </row>
    <row r="4" spans="2:12" x14ac:dyDescent="0.3">
      <c r="B4" s="15">
        <v>2020</v>
      </c>
      <c r="C4">
        <v>799000</v>
      </c>
      <c r="D4">
        <f>C4/C32</f>
        <v>24.85167793895026</v>
      </c>
      <c r="E4">
        <v>858000</v>
      </c>
      <c r="F4">
        <f>E4/C32</f>
        <v>26.686783068359603</v>
      </c>
      <c r="G4">
        <f>F4*'EV Sales Share ICE Decline EST'!H8</f>
        <v>25.922241126603478</v>
      </c>
      <c r="H4" s="27" t="s">
        <v>47</v>
      </c>
      <c r="I4" s="14">
        <f>SUM(F4,D4)</f>
        <v>51.538461007309863</v>
      </c>
    </row>
    <row r="5" spans="2:12" x14ac:dyDescent="0.3">
      <c r="B5" s="15">
        <v>2030</v>
      </c>
      <c r="C5">
        <v>799000</v>
      </c>
      <c r="D5">
        <f>D4+(D4*'Population Change 2030 2050'!E4)</f>
        <v>25.290512902251457</v>
      </c>
      <c r="E5" s="27" t="s">
        <v>47</v>
      </c>
      <c r="F5" s="27" t="s">
        <v>47</v>
      </c>
      <c r="G5" s="14">
        <f>G4*(1+'EV Sales Share ICE Decline EST'!J8)</f>
        <v>14.066871322204516</v>
      </c>
      <c r="H5" s="14">
        <v>3.0140284049999999</v>
      </c>
      <c r="I5" s="14">
        <f>SUM(D5,G5,H5)</f>
        <v>42.371412629455968</v>
      </c>
    </row>
    <row r="6" spans="2:12" x14ac:dyDescent="0.3">
      <c r="B6" s="15">
        <v>2050</v>
      </c>
      <c r="C6">
        <v>799000</v>
      </c>
      <c r="D6">
        <f>D4+(D4*'Population Change 2030 2050'!G4)</f>
        <v>24.633059103305669</v>
      </c>
      <c r="E6" s="27" t="s">
        <v>47</v>
      </c>
      <c r="F6" s="27" t="s">
        <v>47</v>
      </c>
      <c r="G6" s="14">
        <v>0</v>
      </c>
      <c r="H6" s="14">
        <v>19.769763789999999</v>
      </c>
      <c r="I6" s="14">
        <f>SUM(D6,G6,H6)</f>
        <v>44.402822893305668</v>
      </c>
    </row>
    <row r="7" spans="2:12" x14ac:dyDescent="0.3">
      <c r="B7" s="14"/>
      <c r="C7" s="14"/>
      <c r="D7" s="14"/>
      <c r="E7" s="14"/>
      <c r="F7" s="14"/>
      <c r="G7" s="14"/>
      <c r="H7" s="14"/>
      <c r="I7" s="14"/>
    </row>
    <row r="8" spans="2:12" x14ac:dyDescent="0.3">
      <c r="B8" s="14"/>
      <c r="C8" s="14"/>
      <c r="D8" s="14"/>
      <c r="E8" s="14"/>
      <c r="F8" s="14"/>
      <c r="G8" s="14"/>
      <c r="H8" s="14"/>
      <c r="I8" s="14"/>
    </row>
    <row r="9" spans="2:12" x14ac:dyDescent="0.3">
      <c r="B9" s="15"/>
      <c r="C9" s="15" t="s">
        <v>50</v>
      </c>
      <c r="D9" s="15" t="s">
        <v>137</v>
      </c>
      <c r="E9" s="15" t="s">
        <v>80</v>
      </c>
      <c r="F9" s="15" t="s">
        <v>84</v>
      </c>
      <c r="G9" s="15" t="s">
        <v>146</v>
      </c>
      <c r="H9" s="15" t="s">
        <v>102</v>
      </c>
      <c r="I9" s="15" t="s">
        <v>105</v>
      </c>
      <c r="K9" s="15" t="s">
        <v>57</v>
      </c>
    </row>
    <row r="10" spans="2:12" x14ac:dyDescent="0.3">
      <c r="B10" s="15">
        <v>2020</v>
      </c>
      <c r="C10" s="14">
        <v>1971000</v>
      </c>
      <c r="D10" s="14">
        <f>C10/C32</f>
        <v>61.304952712979926</v>
      </c>
      <c r="E10" s="14">
        <v>216000</v>
      </c>
      <c r="F10">
        <f>E10/C32</f>
        <v>6.7183509822443757</v>
      </c>
      <c r="G10">
        <f>F10*'EV Sales Share ICE Decline EST'!H16</f>
        <v>6.3865963787955309</v>
      </c>
      <c r="H10" s="27" t="s">
        <v>47</v>
      </c>
      <c r="I10" s="14">
        <f>SUM(F10,D10)</f>
        <v>68.0233036952243</v>
      </c>
      <c r="K10" t="s">
        <v>85</v>
      </c>
      <c r="L10" s="14" t="s">
        <v>60</v>
      </c>
    </row>
    <row r="11" spans="2:12" x14ac:dyDescent="0.3">
      <c r="B11" s="15">
        <v>2030</v>
      </c>
      <c r="C11" s="14">
        <v>1971000</v>
      </c>
      <c r="D11" s="14">
        <f>D10+(D10*'Population Change 2030 2050'!E7)</f>
        <v>60.997910903406478</v>
      </c>
      <c r="E11" s="27" t="s">
        <v>47</v>
      </c>
      <c r="F11" s="27" t="s">
        <v>47</v>
      </c>
      <c r="G11" s="14">
        <f>G10*(1+'EV Sales Share ICE Decline EST'!J16)</f>
        <v>3.8592976690215779</v>
      </c>
      <c r="H11" s="14">
        <v>2.4114611050000003</v>
      </c>
      <c r="I11" s="14">
        <f>SUM(D11,G11,H11)</f>
        <v>67.268669677428051</v>
      </c>
      <c r="K11" t="s">
        <v>58</v>
      </c>
      <c r="L11" s="14" t="s">
        <v>59</v>
      </c>
    </row>
    <row r="12" spans="2:12" x14ac:dyDescent="0.3">
      <c r="B12" s="15">
        <v>2050</v>
      </c>
      <c r="C12" s="14">
        <v>1971000</v>
      </c>
      <c r="D12" s="14">
        <f>D10+(D10*'Population Change 2030 2050'!G7)</f>
        <v>56.696225876404363</v>
      </c>
      <c r="E12" s="27" t="s">
        <v>47</v>
      </c>
      <c r="F12" s="27" t="s">
        <v>47</v>
      </c>
      <c r="G12" s="14">
        <v>0</v>
      </c>
      <c r="H12" s="14">
        <v>23.088908330000002</v>
      </c>
      <c r="I12" s="14">
        <f>SUM(D12,G12,H12)</f>
        <v>79.785134206404365</v>
      </c>
    </row>
    <row r="13" spans="2:12" x14ac:dyDescent="0.3">
      <c r="B13" s="14"/>
      <c r="C13" s="14"/>
      <c r="D13" s="14"/>
      <c r="E13" s="14"/>
      <c r="F13" s="14"/>
      <c r="G13" s="14"/>
      <c r="H13" s="14"/>
      <c r="I13" s="14"/>
    </row>
    <row r="14" spans="2:12" x14ac:dyDescent="0.3">
      <c r="B14" s="14"/>
      <c r="C14" s="14"/>
      <c r="D14" s="14"/>
      <c r="E14" s="14"/>
      <c r="F14" s="14"/>
      <c r="G14" s="14"/>
      <c r="H14" s="14"/>
      <c r="I14" s="14"/>
    </row>
    <row r="15" spans="2:12" x14ac:dyDescent="0.3">
      <c r="B15" s="15"/>
      <c r="C15" s="15" t="s">
        <v>51</v>
      </c>
      <c r="D15" s="15" t="s">
        <v>138</v>
      </c>
      <c r="E15" s="15" t="s">
        <v>80</v>
      </c>
      <c r="F15" s="15" t="s">
        <v>83</v>
      </c>
      <c r="G15" s="15" t="s">
        <v>147</v>
      </c>
      <c r="H15" s="15" t="s">
        <v>103</v>
      </c>
      <c r="I15" s="15" t="s">
        <v>105</v>
      </c>
    </row>
    <row r="16" spans="2:12" x14ac:dyDescent="0.3">
      <c r="B16" s="15">
        <v>2020</v>
      </c>
      <c r="C16" s="14">
        <v>1175000</v>
      </c>
      <c r="D16" s="14">
        <f>C16/C32</f>
        <v>36.546585204338612</v>
      </c>
      <c r="E16" s="14">
        <v>214000</v>
      </c>
      <c r="F16">
        <f>E16/C32</f>
        <v>6.6561440287050759</v>
      </c>
      <c r="G16">
        <f>'Calculation Total Demand'!F16*'EV Sales Share ICE Decline EST'!H24</f>
        <v>6.5415859035851858</v>
      </c>
      <c r="H16" s="27" t="s">
        <v>47</v>
      </c>
      <c r="I16" s="14">
        <f>SUM(F16,D16)</f>
        <v>43.202729233043691</v>
      </c>
    </row>
    <row r="17" spans="2:9" x14ac:dyDescent="0.3">
      <c r="B17" s="15">
        <v>2030</v>
      </c>
      <c r="C17" s="14">
        <v>1175000</v>
      </c>
      <c r="D17" s="14">
        <f>D16+(D16*'Population Change 2030 2050'!E10)</f>
        <v>38.411494727355908</v>
      </c>
      <c r="E17" s="27" t="s">
        <v>47</v>
      </c>
      <c r="F17" s="27" t="s">
        <v>47</v>
      </c>
      <c r="G17" s="14">
        <f>G16*(1+'EV Sales Share ICE Decline EST'!J24)</f>
        <v>4.1770196243462072</v>
      </c>
      <c r="H17" s="14">
        <v>4.2352485319999991</v>
      </c>
      <c r="I17" s="14">
        <f>SUM(D17,G17,H17)</f>
        <v>46.823762883702116</v>
      </c>
    </row>
    <row r="18" spans="2:9" x14ac:dyDescent="0.3">
      <c r="B18" s="15">
        <v>2050</v>
      </c>
      <c r="C18" s="14">
        <v>1175000</v>
      </c>
      <c r="D18" s="14">
        <f>D16+(D16*'Population Change 2030 2050'!G10)</f>
        <v>41.222228065497305</v>
      </c>
      <c r="E18" s="27" t="s">
        <v>47</v>
      </c>
      <c r="F18" s="27" t="s">
        <v>47</v>
      </c>
      <c r="G18" s="14">
        <v>0</v>
      </c>
      <c r="H18" s="14">
        <v>22.539332890000001</v>
      </c>
      <c r="I18" s="14">
        <f>SUM(D18,G18,H18)</f>
        <v>63.761560955497302</v>
      </c>
    </row>
    <row r="21" spans="2:9" x14ac:dyDescent="0.3">
      <c r="B21" s="16"/>
      <c r="C21" s="15" t="s">
        <v>55</v>
      </c>
      <c r="D21" s="15" t="s">
        <v>135</v>
      </c>
      <c r="E21" s="15" t="s">
        <v>80</v>
      </c>
      <c r="F21" s="15" t="s">
        <v>82</v>
      </c>
      <c r="G21" s="15" t="s">
        <v>148</v>
      </c>
      <c r="H21" s="15" t="s">
        <v>104</v>
      </c>
      <c r="I21" s="15" t="s">
        <v>105</v>
      </c>
    </row>
    <row r="22" spans="2:9" x14ac:dyDescent="0.3">
      <c r="B22" s="15">
        <v>2020</v>
      </c>
      <c r="C22" s="14">
        <v>5124000</v>
      </c>
      <c r="D22" s="14">
        <f>C22/C32</f>
        <v>159.37421496768602</v>
      </c>
      <c r="E22" s="14">
        <v>2024000</v>
      </c>
      <c r="F22">
        <f>E22/C32</f>
        <v>62.953436981771368</v>
      </c>
      <c r="G22">
        <f>'Calculation Total Demand'!F22*'EV Sales Share ICE Decline EST'!H32</f>
        <v>61.574579884886184</v>
      </c>
      <c r="H22" s="27" t="s">
        <v>47</v>
      </c>
      <c r="I22" s="14">
        <f>SUM(F22,D22)</f>
        <v>222.32765194945739</v>
      </c>
    </row>
    <row r="23" spans="2:9" x14ac:dyDescent="0.3">
      <c r="B23" s="15">
        <v>2030</v>
      </c>
      <c r="C23" s="14">
        <v>5124000</v>
      </c>
      <c r="D23" s="14">
        <f>D22+(D22*'Population Change 2030 2050'!E13)</f>
        <v>173.80572582911836</v>
      </c>
      <c r="E23" s="27" t="s">
        <v>47</v>
      </c>
      <c r="F23" s="27" t="s">
        <v>47</v>
      </c>
      <c r="G23" s="14">
        <f>('Calculation Total Demand'!G22*(1+'EV Sales Share ICE Decline EST'!J32))</f>
        <v>48.643400804150687</v>
      </c>
      <c r="H23">
        <v>18.021073379000001</v>
      </c>
      <c r="I23" s="14">
        <f>SUM(D23,G23,H23)</f>
        <v>240.47020001226903</v>
      </c>
    </row>
    <row r="24" spans="2:9" x14ac:dyDescent="0.3">
      <c r="B24" s="15">
        <v>2050</v>
      </c>
      <c r="C24" s="14">
        <v>5124000</v>
      </c>
      <c r="D24" s="14">
        <f>D22+(D22*'Population Change 2030 2050'!G13)</f>
        <v>197.81336171607492</v>
      </c>
      <c r="E24" s="27" t="s">
        <v>47</v>
      </c>
      <c r="F24" s="27" t="s">
        <v>47</v>
      </c>
      <c r="G24" s="14">
        <v>0</v>
      </c>
      <c r="H24">
        <v>107.65155762000001</v>
      </c>
      <c r="I24" s="14">
        <f>SUM(D24,G24,H24)</f>
        <v>305.4649193360749</v>
      </c>
    </row>
    <row r="31" spans="2:9" x14ac:dyDescent="0.3">
      <c r="C31" s="16" t="s">
        <v>125</v>
      </c>
    </row>
    <row r="32" spans="2:9" x14ac:dyDescent="0.3">
      <c r="C32">
        <v>32150.746599999999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3"/>
  <sheetViews>
    <sheetView workbookViewId="0">
      <selection activeCell="E17" sqref="E17"/>
    </sheetView>
  </sheetViews>
  <sheetFormatPr baseColWidth="10" defaultColWidth="9" defaultRowHeight="16.5" x14ac:dyDescent="0.3"/>
  <cols>
    <col min="3" max="3" width="16.125" customWidth="1"/>
    <col min="4" max="4" width="17.375" customWidth="1"/>
    <col min="5" max="5" width="16.75" customWidth="1"/>
    <col min="6" max="6" width="13.875" customWidth="1"/>
    <col min="7" max="7" width="16.25" customWidth="1"/>
    <col min="8" max="8" width="12" customWidth="1"/>
  </cols>
  <sheetData>
    <row r="3" spans="2:15" x14ac:dyDescent="0.3">
      <c r="B3" s="16" t="s">
        <v>127</v>
      </c>
      <c r="C3" s="16">
        <v>2020</v>
      </c>
      <c r="D3" s="16">
        <v>2030</v>
      </c>
      <c r="E3" s="16" t="s">
        <v>139</v>
      </c>
      <c r="F3" s="16">
        <v>2050</v>
      </c>
      <c r="G3" s="16" t="s">
        <v>139</v>
      </c>
      <c r="O3" t="s">
        <v>126</v>
      </c>
    </row>
    <row r="4" spans="2:15" x14ac:dyDescent="0.3">
      <c r="C4">
        <v>591228000</v>
      </c>
      <c r="D4">
        <v>601668000</v>
      </c>
      <c r="E4" s="31">
        <f>((D4-C4)/C4)</f>
        <v>1.7658162333313035E-2</v>
      </c>
      <c r="F4">
        <v>586027000</v>
      </c>
      <c r="G4" s="31">
        <f>((F4-C4)/C4)</f>
        <v>-8.7969446643257759E-3</v>
      </c>
    </row>
    <row r="6" spans="2:15" x14ac:dyDescent="0.3">
      <c r="B6" s="16" t="s">
        <v>52</v>
      </c>
      <c r="C6" s="16">
        <v>2020</v>
      </c>
      <c r="D6" s="16">
        <v>2030</v>
      </c>
      <c r="E6" s="16" t="s">
        <v>139</v>
      </c>
      <c r="F6" s="16">
        <v>2050</v>
      </c>
      <c r="G6" s="16" t="s">
        <v>139</v>
      </c>
    </row>
    <row r="7" spans="2:15" x14ac:dyDescent="0.3">
      <c r="C7">
        <v>1423998000</v>
      </c>
      <c r="D7">
        <v>1416866000</v>
      </c>
      <c r="E7" s="31">
        <f>((D7-C7)/C7)</f>
        <v>-5.0084340006095514E-3</v>
      </c>
      <c r="F7">
        <v>1316946000</v>
      </c>
      <c r="G7" s="31">
        <f>((F7-C7)/C7)</f>
        <v>-7.5177071877909937E-2</v>
      </c>
    </row>
    <row r="9" spans="2:15" x14ac:dyDescent="0.3">
      <c r="B9" s="16" t="s">
        <v>128</v>
      </c>
      <c r="C9" s="16">
        <v>2020</v>
      </c>
      <c r="D9" s="16">
        <v>2030</v>
      </c>
      <c r="E9" s="16" t="s">
        <v>139</v>
      </c>
      <c r="F9" s="16">
        <v>2050</v>
      </c>
      <c r="G9" s="16" t="s">
        <v>139</v>
      </c>
    </row>
    <row r="10" spans="2:15" x14ac:dyDescent="0.3">
      <c r="C10">
        <v>373146000</v>
      </c>
      <c r="D10">
        <v>392187000</v>
      </c>
      <c r="E10" s="31">
        <f>((D10-C10)/C10)</f>
        <v>5.1028283835281629E-2</v>
      </c>
      <c r="F10">
        <v>420885000</v>
      </c>
      <c r="G10" s="31">
        <f>((F10-C10)/C10)</f>
        <v>0.12793651814571241</v>
      </c>
    </row>
    <row r="12" spans="2:15" x14ac:dyDescent="0.3">
      <c r="B12" s="16" t="s">
        <v>53</v>
      </c>
      <c r="C12" s="16">
        <v>2020</v>
      </c>
      <c r="D12" s="16">
        <v>2030</v>
      </c>
      <c r="E12" s="16" t="s">
        <v>139</v>
      </c>
      <c r="F12" s="16">
        <v>2050</v>
      </c>
      <c r="G12" s="16" t="s">
        <v>139</v>
      </c>
    </row>
    <row r="13" spans="2:15" x14ac:dyDescent="0.3">
      <c r="C13">
        <v>7804974000</v>
      </c>
      <c r="D13">
        <v>8511723000</v>
      </c>
      <c r="E13" s="31">
        <f>((D13-C13)/C13)</f>
        <v>9.0551102412384718E-2</v>
      </c>
      <c r="F13">
        <v>9687440000</v>
      </c>
      <c r="G13" s="31">
        <f>((F13-C13)/C13)</f>
        <v>0.24118799114513387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32"/>
  <sheetViews>
    <sheetView zoomScaleNormal="100" workbookViewId="0">
      <selection activeCell="C5" sqref="C5"/>
    </sheetView>
  </sheetViews>
  <sheetFormatPr baseColWidth="10" defaultColWidth="9" defaultRowHeight="16.5" x14ac:dyDescent="0.3"/>
  <cols>
    <col min="2" max="2" width="24.875" customWidth="1"/>
    <col min="3" max="3" width="17.375" customWidth="1"/>
    <col min="4" max="4" width="17.625" customWidth="1"/>
    <col min="5" max="5" width="17.75" hidden="1" customWidth="1"/>
    <col min="6" max="6" width="17.25" customWidth="1"/>
    <col min="7" max="7" width="17.75" customWidth="1"/>
    <col min="8" max="9" width="17.25" customWidth="1"/>
    <col min="10" max="10" width="25.625" customWidth="1"/>
    <col min="13" max="13" width="20.25" customWidth="1"/>
    <col min="14" max="16" width="19.875" customWidth="1"/>
    <col min="17" max="17" width="19.875" style="31" customWidth="1"/>
    <col min="18" max="20" width="20.625" customWidth="1"/>
    <col min="21" max="21" width="20.625" style="21" customWidth="1"/>
  </cols>
  <sheetData>
    <row r="3" spans="2:21" x14ac:dyDescent="0.3">
      <c r="B3" t="s">
        <v>107</v>
      </c>
      <c r="C3" t="s">
        <v>122</v>
      </c>
      <c r="D3" t="s">
        <v>109</v>
      </c>
      <c r="E3" t="s">
        <v>76</v>
      </c>
      <c r="F3" t="s">
        <v>123</v>
      </c>
      <c r="G3" t="s">
        <v>121</v>
      </c>
      <c r="H3" t="s">
        <v>142</v>
      </c>
      <c r="I3" t="s">
        <v>143</v>
      </c>
      <c r="J3" t="s">
        <v>144</v>
      </c>
      <c r="M3" t="s">
        <v>108</v>
      </c>
      <c r="N3" s="28" t="s">
        <v>113</v>
      </c>
      <c r="O3" s="28" t="s">
        <v>114</v>
      </c>
      <c r="P3" t="s">
        <v>111</v>
      </c>
      <c r="Q3" s="31" t="s">
        <v>115</v>
      </c>
      <c r="R3" t="s">
        <v>116</v>
      </c>
      <c r="S3" t="s">
        <v>117</v>
      </c>
      <c r="T3" t="s">
        <v>112</v>
      </c>
      <c r="U3" s="21" t="s">
        <v>110</v>
      </c>
    </row>
    <row r="4" spans="2:21" x14ac:dyDescent="0.3">
      <c r="B4" t="s">
        <v>72</v>
      </c>
      <c r="C4" s="21">
        <v>0.04</v>
      </c>
      <c r="D4" s="21">
        <f>Table2[[#This Row],[EV Share 2020]]*Table27[[#This Row],[BEV Share of EV Sales 2020]]</f>
        <v>3.7860082304526747E-2</v>
      </c>
      <c r="E4" s="31">
        <f>Table2[[#This Row],[BEV Share 2020]]-Table2[[#This Row],[EV Share 2020]]</f>
        <v>-2.1399176954732535E-3</v>
      </c>
      <c r="F4" s="21">
        <v>0.56999999999999995</v>
      </c>
      <c r="G4" s="31">
        <f>Table2[[#This Row],[EV Share 2030]]*Table27[[#This Row],[BEV Share of EV Sales 20]]</f>
        <v>0.5228571428571428</v>
      </c>
      <c r="H4" s="31">
        <f>1-Table2[[#This Row],[BEV Share 2020]]</f>
        <v>0.96213991769547325</v>
      </c>
      <c r="I4" s="31">
        <f>1-Table2[[#This Row],[BEV Share 2030]]</f>
        <v>0.4771428571428572</v>
      </c>
      <c r="J4" s="31">
        <f>(Table2[[#This Row],[CCV Share 2030]]-Table2[[#This Row],[CCV Share 2020]])/Table2[[#This Row],[CCV Share 2020]]</f>
        <v>-0.50408163265306116</v>
      </c>
      <c r="M4" t="s">
        <v>72</v>
      </c>
      <c r="N4" s="30">
        <v>2300</v>
      </c>
      <c r="O4" s="30">
        <v>130</v>
      </c>
      <c r="P4" s="29">
        <f>SUM(Table27[[#This Row],[BEVs (2020)]:[PHEVs (2020)]])</f>
        <v>2430</v>
      </c>
      <c r="Q4" s="21">
        <f>Table27[[#This Row],[BEVs (2020)]]/Table27[[#This Row],[2020 Total]]</f>
        <v>0.94650205761316875</v>
      </c>
      <c r="R4">
        <v>61000</v>
      </c>
      <c r="S4">
        <v>5500</v>
      </c>
      <c r="T4" s="29">
        <f>SUM(Table27[[#This Row],[BEVs (2030)]:[PHEVs (2030)]])</f>
        <v>66500</v>
      </c>
      <c r="U4" s="21">
        <f>Table27[[#This Row],[BEVs (2030)]]/Table27[[#This Row],[2030 Total]]</f>
        <v>0.91729323308270672</v>
      </c>
    </row>
    <row r="5" spans="2:21" x14ac:dyDescent="0.3">
      <c r="B5" t="s">
        <v>73</v>
      </c>
      <c r="C5" s="21">
        <v>0.1</v>
      </c>
      <c r="D5" s="21">
        <f>Table2[[#This Row],[EV Share 2020]]*Table27[[#This Row],[BEV Share of EV Sales 2020]]</f>
        <v>5.434782608695652E-2</v>
      </c>
      <c r="E5" s="31">
        <f>Table2[[#This Row],[BEV Share 2020]]-Table2[[#This Row],[EV Share 2020]]</f>
        <v>-4.5652173913043485E-2</v>
      </c>
      <c r="F5" s="21">
        <v>0.64</v>
      </c>
      <c r="G5" s="31">
        <f>Table2[[#This Row],[EV Share 2030]]*Table27[[#This Row],[BEV Share of EV Sales 20]]</f>
        <v>0.47223300970873788</v>
      </c>
      <c r="H5" s="31">
        <f>1-Table2[[#This Row],[BEV Share 2020]]</f>
        <v>0.94565217391304346</v>
      </c>
      <c r="I5" s="31">
        <f>1-Table2[[#This Row],[BEV Share 2030]]</f>
        <v>0.52776699029126206</v>
      </c>
      <c r="J5" s="31">
        <f>(Table2[[#This Row],[CCV Share 2030]]-Table2[[#This Row],[CCV Share 2020]])/Table2[[#This Row],[CCV Share 2020]]</f>
        <v>-0.44190157348510217</v>
      </c>
      <c r="M5" t="s">
        <v>73</v>
      </c>
      <c r="N5">
        <v>750000</v>
      </c>
      <c r="O5">
        <v>630000</v>
      </c>
      <c r="P5" s="29">
        <f>SUM(Table27[[#This Row],[BEVs (2020)]:[PHEVs (2020)]])</f>
        <v>1380000</v>
      </c>
      <c r="Q5" s="21">
        <f>Table27[[#This Row],[BEVs (2020)]]/Table27[[#This Row],[2020 Total]]</f>
        <v>0.54347826086956519</v>
      </c>
      <c r="R5">
        <v>7600000</v>
      </c>
      <c r="S5">
        <v>2700000</v>
      </c>
      <c r="T5" s="29">
        <f>SUM(Table27[[#This Row],[BEVs (2030)]:[PHEVs (2030)]])</f>
        <v>10300000</v>
      </c>
      <c r="U5" s="21">
        <f>Table27[[#This Row],[BEVs (2030)]]/Table27[[#This Row],[2030 Total]]</f>
        <v>0.73786407766990292</v>
      </c>
    </row>
    <row r="6" spans="2:21" x14ac:dyDescent="0.3">
      <c r="B6" t="s">
        <v>74</v>
      </c>
      <c r="C6" s="21">
        <v>2E-3</v>
      </c>
      <c r="D6" s="21">
        <f>Table2[[#This Row],[EV Share 2020]]*Table27[[#This Row],[BEV Share of EV Sales 2020]]</f>
        <v>1.998001998001998E-3</v>
      </c>
      <c r="E6" s="31">
        <f>Table2[[#This Row],[BEV Share 2020]]-Table2[[#This Row],[EV Share 2020]]</f>
        <v>-1.9980019980020414E-6</v>
      </c>
      <c r="F6" s="21">
        <v>0.31</v>
      </c>
      <c r="G6" s="31">
        <f>Table2[[#This Row],[EV Share 2030]]*Table27[[#This Row],[BEV Share of EV Sales 20]]</f>
        <v>0.28881987577639751</v>
      </c>
      <c r="H6" s="31">
        <f>1-Table2[[#This Row],[BEV Share 2020]]</f>
        <v>0.99800199800199796</v>
      </c>
      <c r="I6" s="31">
        <f>1-Table2[[#This Row],[BEV Share 2030]]</f>
        <v>0.71118012422360244</v>
      </c>
      <c r="J6" s="31">
        <f>(Table2[[#This Row],[CCV Share 2030]]-Table2[[#This Row],[CCV Share 2020]])/Table2[[#This Row],[CCV Share 2020]]</f>
        <v>-0.28739609174391784</v>
      </c>
      <c r="M6" t="s">
        <v>74</v>
      </c>
      <c r="N6">
        <v>1000</v>
      </c>
      <c r="O6">
        <v>1</v>
      </c>
      <c r="P6" s="29">
        <f>SUM(Table27[[#This Row],[BEVs (2020)]:[PHEVs (2020)]])</f>
        <v>1001</v>
      </c>
      <c r="Q6" s="21">
        <f>Table27[[#This Row],[BEVs (2020)]]/Table27[[#This Row],[2020 Total]]</f>
        <v>0.99900099900099903</v>
      </c>
      <c r="R6">
        <v>150000</v>
      </c>
      <c r="S6">
        <v>11000</v>
      </c>
      <c r="T6" s="29">
        <f>SUM(Table27[[#This Row],[BEVs (2030)]:[PHEVs (2030)]])</f>
        <v>161000</v>
      </c>
      <c r="U6" s="21">
        <f>Table27[[#This Row],[BEVs (2030)]]/Table27[[#This Row],[2030 Total]]</f>
        <v>0.93167701863354035</v>
      </c>
    </row>
    <row r="7" spans="2:21" x14ac:dyDescent="0.3">
      <c r="B7" t="s">
        <v>75</v>
      </c>
      <c r="C7" s="21">
        <v>0.02</v>
      </c>
      <c r="D7" s="21">
        <f>Table2[[#This Row],[EV Share 2020]]*Table27[[#This Row],[BEV Share of EV Sales 2020]]</f>
        <v>1.9437340153452685E-2</v>
      </c>
      <c r="E7" s="31">
        <f>Table2[[#This Row],[BEV Share 2020]]-Table2[[#This Row],[EV Share 2020]]</f>
        <v>-5.6265984654731496E-4</v>
      </c>
      <c r="F7" s="21">
        <v>0.52</v>
      </c>
      <c r="G7" s="31">
        <f>Table2[[#This Row],[EV Share 2030]]*Table27[[#This Row],[BEV Share of EV Sales 20]]</f>
        <v>0.48303317535545026</v>
      </c>
      <c r="H7" s="31">
        <f>1-Table2[[#This Row],[BEV Share 2020]]</f>
        <v>0.98056265984654734</v>
      </c>
      <c r="I7" s="31">
        <f>1-Table2[[#This Row],[BEV Share 2030]]</f>
        <v>0.51696682464454979</v>
      </c>
      <c r="J7" s="31">
        <f>(Table2[[#This Row],[CCV Share 2030]]-Table2[[#This Row],[CCV Share 2020]])/Table2[[#This Row],[CCV Share 2020]]</f>
        <v>-0.4727855283358921</v>
      </c>
      <c r="M7" t="s">
        <v>75</v>
      </c>
      <c r="N7">
        <v>38000</v>
      </c>
      <c r="O7">
        <v>1100</v>
      </c>
      <c r="P7" s="29">
        <f>SUM(Table27[[#This Row],[BEVs (2020)]:[PHEVs (2020)]])</f>
        <v>39100</v>
      </c>
      <c r="Q7" s="21">
        <f>Table27[[#This Row],[BEVs (2020)]]/Table27[[#This Row],[2020 Total]]</f>
        <v>0.97186700767263423</v>
      </c>
      <c r="R7">
        <v>980000</v>
      </c>
      <c r="S7">
        <v>75000</v>
      </c>
      <c r="T7" s="29">
        <f>SUM(Table27[[#This Row],[BEVs (2030)]:[PHEVs (2030)]])</f>
        <v>1055000</v>
      </c>
      <c r="U7" s="21">
        <f>Table27[[#This Row],[BEVs (2030)]]/Table27[[#This Row],[2030 Total]]</f>
        <v>0.92890995260663511</v>
      </c>
    </row>
    <row r="8" spans="2:21" x14ac:dyDescent="0.3">
      <c r="B8" s="25" t="s">
        <v>124</v>
      </c>
      <c r="C8" s="21">
        <f>MEDIAN(C4:C7)</f>
        <v>0.03</v>
      </c>
      <c r="D8" s="21">
        <f t="shared" ref="D8:J8" si="0">MEDIAN(D4:D7)</f>
        <v>2.8648711228989716E-2</v>
      </c>
      <c r="E8" s="21">
        <f t="shared" si="0"/>
        <v>-1.3512887710102842E-3</v>
      </c>
      <c r="F8" s="21">
        <f t="shared" si="0"/>
        <v>0.54499999999999993</v>
      </c>
      <c r="G8" s="21">
        <f t="shared" si="0"/>
        <v>0.47763309253209407</v>
      </c>
      <c r="H8" s="21">
        <f t="shared" si="0"/>
        <v>0.97135128877101029</v>
      </c>
      <c r="I8" s="21">
        <f t="shared" si="0"/>
        <v>0.52236690746790593</v>
      </c>
      <c r="J8" s="21">
        <f t="shared" si="0"/>
        <v>-0.45734355091049717</v>
      </c>
      <c r="M8" s="25"/>
      <c r="P8" s="29"/>
      <c r="R8" s="29"/>
      <c r="S8" s="21"/>
      <c r="T8" s="21"/>
    </row>
    <row r="11" spans="2:21" x14ac:dyDescent="0.3">
      <c r="B11" t="s">
        <v>77</v>
      </c>
      <c r="C11" t="s">
        <v>122</v>
      </c>
      <c r="D11" t="s">
        <v>109</v>
      </c>
      <c r="E11" t="s">
        <v>76</v>
      </c>
      <c r="F11" t="s">
        <v>123</v>
      </c>
      <c r="G11" t="s">
        <v>121</v>
      </c>
      <c r="H11" t="s">
        <v>142</v>
      </c>
      <c r="I11" t="s">
        <v>143</v>
      </c>
      <c r="J11" t="s">
        <v>144</v>
      </c>
      <c r="M11" t="s">
        <v>120</v>
      </c>
      <c r="N11" s="28" t="s">
        <v>113</v>
      </c>
      <c r="O11" s="28" t="s">
        <v>114</v>
      </c>
      <c r="P11" t="s">
        <v>111</v>
      </c>
      <c r="Q11" s="31" t="s">
        <v>115</v>
      </c>
      <c r="R11" t="s">
        <v>116</v>
      </c>
      <c r="S11" t="s">
        <v>117</v>
      </c>
      <c r="T11" t="s">
        <v>112</v>
      </c>
      <c r="U11" s="21" t="s">
        <v>110</v>
      </c>
    </row>
    <row r="12" spans="2:21" x14ac:dyDescent="0.3">
      <c r="B12" t="s">
        <v>72</v>
      </c>
      <c r="C12" s="21">
        <v>0.13</v>
      </c>
      <c r="D12" s="21">
        <f>Table24[[#This Row],[EV Share 2020]]*Table278[[#This Row],[BEV Share of EV Sales 2020]]</f>
        <v>0.12286585365853658</v>
      </c>
      <c r="E12" s="31">
        <f>Table24[[#This Row],[BEV Share 2020]]-Table24[[#This Row],[EV Share 2020]]</f>
        <v>-7.134146341463421E-3</v>
      </c>
      <c r="F12" s="21">
        <v>0.49</v>
      </c>
      <c r="G12" s="31">
        <f>Table24[[#This Row],[EV Share 2030]]*Table278[[#This Row],[BEV Share of EV Sales 20]]</f>
        <v>0.47659574468085109</v>
      </c>
      <c r="H12" s="31">
        <f>1-Table24[[#This Row],[BEV Share 2020]]</f>
        <v>0.87713414634146347</v>
      </c>
      <c r="I12" s="31">
        <f>1-Table24[[#This Row],[BEV Share 2030]]</f>
        <v>0.52340425531914891</v>
      </c>
      <c r="J12" s="31">
        <f>((Table24[[#This Row],[CCV Share 2030]]-Table24[[#This Row],[CCV Share 2020]])/Table24[[#This Row],[CCV Share 2020]])</f>
        <v>-0.40327912497504054</v>
      </c>
      <c r="M12" t="s">
        <v>72</v>
      </c>
      <c r="N12">
        <v>62000</v>
      </c>
      <c r="O12">
        <v>3600</v>
      </c>
      <c r="P12" s="29">
        <f>SUM(Table278[[#This Row],[BEVs (2020)]:[PHEVs (2020)]])</f>
        <v>65600</v>
      </c>
      <c r="Q12" s="21">
        <f>Table278[[#This Row],[BEVs (2020)]]/Table278[[#This Row],[2020 Total]]</f>
        <v>0.94512195121951215</v>
      </c>
      <c r="R12">
        <v>160000</v>
      </c>
      <c r="S12">
        <v>4500</v>
      </c>
      <c r="T12" s="29">
        <f>SUM(Table278[[#This Row],[BEVs (2030)]:[PHEVs (2030)]])</f>
        <v>164500</v>
      </c>
      <c r="U12" s="21">
        <f>Table278[[#This Row],[BEVs (2030)]]/Table278[[#This Row],[2030 Total]]</f>
        <v>0.97264437689969607</v>
      </c>
    </row>
    <row r="13" spans="2:21" x14ac:dyDescent="0.3">
      <c r="B13" t="s">
        <v>73</v>
      </c>
      <c r="C13" s="21">
        <v>5.8000000000000003E-2</v>
      </c>
      <c r="D13" s="21">
        <f>Table24[[#This Row],[EV Share 2020]]*Table278[[#This Row],[BEV Share of EV Sales 2020]]</f>
        <v>4.6807017543859651E-2</v>
      </c>
      <c r="E13" s="31">
        <f>Table24[[#This Row],[BEV Share 2020]]-Table24[[#This Row],[EV Share 2020]]</f>
        <v>-1.1192982456140352E-2</v>
      </c>
      <c r="F13" s="21">
        <v>0.62</v>
      </c>
      <c r="G13" s="31">
        <f>Table24[[#This Row],[EV Share 2030]]*Table278[[#This Row],[BEV Share of EV Sales 20]]</f>
        <v>0.55939849624060145</v>
      </c>
      <c r="H13" s="31">
        <f>1-Table24[[#This Row],[BEV Share 2020]]</f>
        <v>0.95319298245614037</v>
      </c>
      <c r="I13" s="31">
        <f>1-Table24[[#This Row],[BEV Share 2030]]</f>
        <v>0.44060150375939855</v>
      </c>
      <c r="J13" s="31">
        <f>((Table24[[#This Row],[CCV Share 2030]]-Table24[[#This Row],[CCV Share 2020]])/Table24[[#This Row],[CCV Share 2020]])</f>
        <v>-0.53776253930858953</v>
      </c>
      <c r="M13" t="s">
        <v>73</v>
      </c>
      <c r="N13">
        <v>920000</v>
      </c>
      <c r="O13">
        <v>220000</v>
      </c>
      <c r="P13" s="29">
        <f>SUM(Table278[[#This Row],[BEVs (2020)]:[PHEVs (2020)]])</f>
        <v>1140000</v>
      </c>
      <c r="Q13" s="21">
        <f>Table278[[#This Row],[BEVs (2020)]]/Table278[[#This Row],[2020 Total]]</f>
        <v>0.80701754385964908</v>
      </c>
      <c r="R13">
        <v>12000000</v>
      </c>
      <c r="S13">
        <v>1300000</v>
      </c>
      <c r="T13" s="29">
        <f>SUM(Table278[[#This Row],[BEVs (2030)]:[PHEVs (2030)]])</f>
        <v>13300000</v>
      </c>
      <c r="U13" s="21">
        <f>Table278[[#This Row],[BEVs (2030)]]/Table278[[#This Row],[2030 Total]]</f>
        <v>0.90225563909774431</v>
      </c>
    </row>
    <row r="14" spans="2:21" x14ac:dyDescent="0.3">
      <c r="B14" t="s">
        <v>74</v>
      </c>
      <c r="C14" s="21">
        <v>1.2E-2</v>
      </c>
      <c r="D14" s="21">
        <f>Table24[[#This Row],[EV Share 2020]]*Table278[[#This Row],[BEV Share of EV Sales 2020]]</f>
        <v>1.18491921005386E-2</v>
      </c>
      <c r="E14" s="31">
        <f>Table24[[#This Row],[BEV Share 2020]]-Table24[[#This Row],[EV Share 2020]]</f>
        <v>-1.5080789946140052E-4</v>
      </c>
      <c r="F14" s="21">
        <v>0.24</v>
      </c>
      <c r="G14" s="31">
        <f>Table24[[#This Row],[EV Share 2030]]*Table278[[#This Row],[BEV Share of EV Sales 20]]</f>
        <v>0.16173913043478261</v>
      </c>
      <c r="H14" s="31">
        <f>1-Table24[[#This Row],[BEV Share 2020]]</f>
        <v>0.98815080789946141</v>
      </c>
      <c r="I14" s="31">
        <f>1-Table24[[#This Row],[BEV Share 2030]]</f>
        <v>0.83826086956521739</v>
      </c>
      <c r="J14" s="31">
        <f>((Table24[[#This Row],[CCV Share 2030]]-Table24[[#This Row],[CCV Share 2020]])/Table24[[#This Row],[CCV Share 2020]])</f>
        <v>-0.15168731041456018</v>
      </c>
      <c r="M14" t="s">
        <v>74</v>
      </c>
      <c r="N14">
        <v>33000</v>
      </c>
      <c r="O14">
        <v>420</v>
      </c>
      <c r="P14" s="29">
        <f>SUM(Table278[[#This Row],[BEVs (2020)]:[PHEVs (2020)]])</f>
        <v>33420</v>
      </c>
      <c r="Q14" s="21">
        <f>Table278[[#This Row],[BEVs (2020)]]/Table278[[#This Row],[2020 Total]]</f>
        <v>0.9874326750448833</v>
      </c>
      <c r="R14">
        <v>310000</v>
      </c>
      <c r="S14">
        <v>150000</v>
      </c>
      <c r="T14" s="29">
        <f>SUM(Table278[[#This Row],[BEVs (2030)]:[PHEVs (2030)]])</f>
        <v>460000</v>
      </c>
      <c r="U14" s="21">
        <f>Table278[[#This Row],[BEVs (2030)]]/Table278[[#This Row],[2030 Total]]</f>
        <v>0.67391304347826086</v>
      </c>
    </row>
    <row r="15" spans="2:21" x14ac:dyDescent="0.3">
      <c r="B15" t="s">
        <v>75</v>
      </c>
      <c r="C15" s="21">
        <v>1.6E-2</v>
      </c>
      <c r="D15" s="21">
        <f>Table24[[#This Row],[EV Share 2020]]*Table278[[#This Row],[BEV Share of EV Sales 2020]]</f>
        <v>1.5999384639052344E-2</v>
      </c>
      <c r="E15" s="31">
        <f>Table24[[#This Row],[BEV Share 2020]]-Table24[[#This Row],[EV Share 2020]]</f>
        <v>-6.1536094765612948E-7</v>
      </c>
      <c r="F15" s="21">
        <v>0.54</v>
      </c>
      <c r="G15" s="31">
        <f>Table24[[#This Row],[EV Share 2030]]*Table278[[#This Row],[BEV Share of EV Sales 20]]</f>
        <v>0.49830508474576274</v>
      </c>
      <c r="H15" s="31">
        <f>1-Table24[[#This Row],[BEV Share 2020]]</f>
        <v>0.98400061536094763</v>
      </c>
      <c r="I15" s="31">
        <f>1-Table24[[#This Row],[BEV Share 2030]]</f>
        <v>0.50169491525423726</v>
      </c>
      <c r="J15" s="31">
        <f>((Table24[[#This Row],[CCV Share 2030]]-Table24[[#This Row],[CCV Share 2020]])/Table24[[#This Row],[CCV Share 2020]])</f>
        <v>-0.49014776269199051</v>
      </c>
      <c r="M15" t="s">
        <v>75</v>
      </c>
      <c r="N15">
        <v>26000</v>
      </c>
      <c r="O15">
        <v>1</v>
      </c>
      <c r="P15" s="29">
        <f>SUM(Table278[[#This Row],[BEVs (2020)]:[PHEVs (2020)]])</f>
        <v>26001</v>
      </c>
      <c r="Q15" s="21">
        <f>Table278[[#This Row],[BEVs (2020)]]/Table278[[#This Row],[2020 Total]]</f>
        <v>0.99996153994077153</v>
      </c>
      <c r="R15">
        <v>490000</v>
      </c>
      <c r="S15">
        <v>41000</v>
      </c>
      <c r="T15" s="29">
        <f>SUM(Table278[[#This Row],[BEVs (2030)]:[PHEVs (2030)]])</f>
        <v>531000</v>
      </c>
      <c r="U15" s="21">
        <f>Table278[[#This Row],[BEVs (2030)]]/Table278[[#This Row],[2030 Total]]</f>
        <v>0.92278719397363462</v>
      </c>
    </row>
    <row r="16" spans="2:21" x14ac:dyDescent="0.3">
      <c r="B16" s="25" t="s">
        <v>124</v>
      </c>
      <c r="C16" s="21">
        <f>AVERAGE(C12:C15)</f>
        <v>5.4000000000000006E-2</v>
      </c>
      <c r="D16" s="21">
        <f>AVERAGE(D12:D15)</f>
        <v>4.93803619854968E-2</v>
      </c>
      <c r="E16" s="24">
        <f>Table24[[#This Row],[BEV Share 2020]]-Table24[[#This Row],[EV Share 2020]]</f>
        <v>-4.6196380145032065E-3</v>
      </c>
      <c r="F16" s="21">
        <f>AVERAGE(F12:F15)</f>
        <v>0.47249999999999998</v>
      </c>
      <c r="G16" s="21">
        <f>AVERAGE(G12:G15)</f>
        <v>0.42400961402549953</v>
      </c>
      <c r="H16" s="21">
        <f>AVERAGE(H12:H15)</f>
        <v>0.95061963801450322</v>
      </c>
      <c r="I16" s="21">
        <f>AVERAGE(I12:I15)</f>
        <v>0.57599038597450058</v>
      </c>
      <c r="J16" s="21">
        <f>AVERAGE(J12:J15)</f>
        <v>-0.39571918434754522</v>
      </c>
    </row>
    <row r="19" spans="2:21" x14ac:dyDescent="0.3">
      <c r="B19" t="s">
        <v>78</v>
      </c>
      <c r="C19" t="s">
        <v>122</v>
      </c>
      <c r="D19" t="s">
        <v>109</v>
      </c>
      <c r="E19" t="s">
        <v>76</v>
      </c>
      <c r="F19" t="s">
        <v>123</v>
      </c>
      <c r="G19" t="s">
        <v>121</v>
      </c>
      <c r="H19" t="s">
        <v>142</v>
      </c>
      <c r="I19" t="s">
        <v>143</v>
      </c>
      <c r="J19" t="s">
        <v>144</v>
      </c>
      <c r="M19" t="s">
        <v>119</v>
      </c>
      <c r="N19" s="28" t="s">
        <v>113</v>
      </c>
      <c r="O19" s="28" t="s">
        <v>114</v>
      </c>
      <c r="P19" t="s">
        <v>111</v>
      </c>
      <c r="Q19" s="31" t="s">
        <v>115</v>
      </c>
      <c r="R19" t="s">
        <v>116</v>
      </c>
      <c r="S19" t="s">
        <v>117</v>
      </c>
      <c r="T19" t="s">
        <v>112</v>
      </c>
      <c r="U19" s="21" t="s">
        <v>110</v>
      </c>
    </row>
    <row r="20" spans="2:21" x14ac:dyDescent="0.3">
      <c r="B20" t="s">
        <v>72</v>
      </c>
      <c r="C20" s="20">
        <v>0</v>
      </c>
      <c r="D20" s="20">
        <v>0</v>
      </c>
      <c r="E20" s="24">
        <f>Table25[[#This Row],[BEV Share 2020]]-Table25[[#This Row],[EV Share 2020]]</f>
        <v>0</v>
      </c>
      <c r="F20" s="20">
        <v>0.43</v>
      </c>
      <c r="G20" s="24">
        <f>Table25[[#This Row],[EV Share 2030]]*Table279[[#This Row],[BEV Share of EV Sales 20]]</f>
        <v>0.38622754491017963</v>
      </c>
      <c r="H20" s="31">
        <v>1</v>
      </c>
      <c r="I20" s="31">
        <f>1-Table25[[#This Row],[BEV Share 2030]]</f>
        <v>0.61377245508982037</v>
      </c>
      <c r="J20" s="31">
        <f>((Table25[[#This Row],[CCV Share 2030]]-Table25[[#This Row],[CCV Share 2020]])/Table25[[#This Row],[CCV Share 2020]])</f>
        <v>-0.38622754491017963</v>
      </c>
      <c r="M20" t="s">
        <v>72</v>
      </c>
      <c r="N20" s="30"/>
      <c r="O20" s="30"/>
      <c r="P20" s="29">
        <f>SUM(Table279[[#This Row],[BEVs (2020)]:[PHEVs (2020)]])</f>
        <v>0</v>
      </c>
      <c r="Q20" s="21"/>
      <c r="R20">
        <v>60000</v>
      </c>
      <c r="S20">
        <v>6800</v>
      </c>
      <c r="T20" s="29">
        <f>SUM(Table279[[#This Row],[BEVs (2030)]:[PHEVs (2030)]])</f>
        <v>66800</v>
      </c>
      <c r="U20" s="21">
        <f>Table279[[#This Row],[BEVs (2030)]]/Table279[[#This Row],[2030 Total]]</f>
        <v>0.89820359281437123</v>
      </c>
    </row>
    <row r="21" spans="2:21" x14ac:dyDescent="0.3">
      <c r="B21" t="s">
        <v>73</v>
      </c>
      <c r="C21" s="20">
        <v>2.1999999999999999E-2</v>
      </c>
      <c r="D21" s="20">
        <f>Table25[[#This Row],[EV Share 2020]]*Table279[[#This Row],[BEV Share of EV Sales 2020]]</f>
        <v>1.7210884353741494E-2</v>
      </c>
      <c r="E21" s="24">
        <f>Table25[[#This Row],[BEV Share 2020]]-Table25[[#This Row],[EV Share 2020]]</f>
        <v>-4.7891156462585051E-3</v>
      </c>
      <c r="F21" s="20">
        <v>0.5</v>
      </c>
      <c r="G21" s="24">
        <f>Table25[[#This Row],[EV Share 2030]]*Table279[[#This Row],[BEV Share of EV Sales 20]]</f>
        <v>0.43870967741935485</v>
      </c>
      <c r="H21" s="24">
        <f>1-Table25[[#This Row],[BEV Share 2020]]</f>
        <v>0.98278911564625848</v>
      </c>
      <c r="I21" s="24">
        <f>1-Table25[[#This Row],[BEV Share 2030]]</f>
        <v>0.56129032258064515</v>
      </c>
      <c r="J21" s="24">
        <f>((Table25[[#This Row],[CCV Share 2030]]-Table25[[#This Row],[CCV Share 2020]])/Table25[[#This Row],[CCV Share 2020]])</f>
        <v>-0.42888020059974502</v>
      </c>
      <c r="M21" t="s">
        <v>73</v>
      </c>
      <c r="N21">
        <v>230000</v>
      </c>
      <c r="O21">
        <v>64000</v>
      </c>
      <c r="P21" s="29">
        <f>SUM(Table279[[#This Row],[BEVs (2020)]:[PHEVs (2020)]])</f>
        <v>294000</v>
      </c>
      <c r="Q21" s="21">
        <f>Table279[[#This Row],[BEVs (2020)]]/Table279[[#This Row],[2020 Total]]</f>
        <v>0.78231292517006801</v>
      </c>
      <c r="R21">
        <v>6800000</v>
      </c>
      <c r="S21">
        <v>950000</v>
      </c>
      <c r="T21" s="29">
        <f>SUM(Table279[[#This Row],[BEVs (2030)]:[PHEVs (2030)]])</f>
        <v>7750000</v>
      </c>
      <c r="U21" s="21">
        <f>Table279[[#This Row],[BEVs (2030)]]/Table279[[#This Row],[2030 Total]]</f>
        <v>0.8774193548387097</v>
      </c>
    </row>
    <row r="22" spans="2:21" x14ac:dyDescent="0.3">
      <c r="B22" t="s">
        <v>74</v>
      </c>
      <c r="C22" s="20">
        <v>0</v>
      </c>
      <c r="D22" s="20">
        <v>0</v>
      </c>
      <c r="E22" s="24">
        <f>Table25[[#This Row],[BEV Share 2020]]-Table25[[#This Row],[EV Share 2020]]</f>
        <v>0</v>
      </c>
      <c r="F22" s="20">
        <v>0.28000000000000003</v>
      </c>
      <c r="G22" s="24">
        <f>Table25[[#This Row],[EV Share 2030]]*Table279[[#This Row],[BEV Share of EV Sales 20]]</f>
        <v>0.26168224299065423</v>
      </c>
      <c r="H22" s="31">
        <v>1</v>
      </c>
      <c r="I22" s="24">
        <f>1-Table25[[#This Row],[BEV Share 2030]]</f>
        <v>0.73831775700934577</v>
      </c>
      <c r="J22" s="24">
        <f>((Table25[[#This Row],[CCV Share 2030]]-Table25[[#This Row],[CCV Share 2020]])/Table25[[#This Row],[CCV Share 2020]])</f>
        <v>-0.26168224299065423</v>
      </c>
      <c r="M22" t="s">
        <v>74</v>
      </c>
      <c r="P22" s="29">
        <f>SUM(Table279[[#This Row],[BEVs (2020)]:[PHEVs (2020)]])</f>
        <v>0</v>
      </c>
      <c r="Q22" s="21"/>
      <c r="R22">
        <v>200000</v>
      </c>
      <c r="S22">
        <v>14000</v>
      </c>
      <c r="T22" s="29">
        <f>SUM(Table279[[#This Row],[BEVs (2030)]:[PHEVs (2030)]])</f>
        <v>214000</v>
      </c>
      <c r="U22" s="21">
        <f>Table279[[#This Row],[BEVs (2030)]]/Table279[[#This Row],[2030 Total]]</f>
        <v>0.93457943925233644</v>
      </c>
    </row>
    <row r="23" spans="2:21" x14ac:dyDescent="0.3">
      <c r="B23" t="s">
        <v>75</v>
      </c>
      <c r="C23" s="20">
        <v>0</v>
      </c>
      <c r="D23" s="20">
        <v>0</v>
      </c>
      <c r="E23" s="24">
        <f>Table25[[#This Row],[BEV Share 2020]]-Table25[[#This Row],[EV Share 2020]]</f>
        <v>0</v>
      </c>
      <c r="F23" s="20">
        <v>0.4</v>
      </c>
      <c r="G23" s="24">
        <f>Table25[[#This Row],[EV Share 2030]]*Table279[[#This Row],[BEV Share of EV Sales 20]]</f>
        <v>0.36907730673316713</v>
      </c>
      <c r="H23" s="31">
        <v>1</v>
      </c>
      <c r="I23" s="24">
        <f>1-Table25[[#This Row],[BEV Share 2030]]</f>
        <v>0.63092269326683281</v>
      </c>
      <c r="J23" s="24">
        <f>((Table25[[#This Row],[CCV Share 2030]]-Table25[[#This Row],[CCV Share 2020]])/Table25[[#This Row],[CCV Share 2020]])</f>
        <v>-0.36907730673316719</v>
      </c>
      <c r="M23" t="s">
        <v>75</v>
      </c>
      <c r="P23" s="29">
        <f>SUM(Table279[[#This Row],[BEVs (2020)]:[PHEVs (2020)]])</f>
        <v>0</v>
      </c>
      <c r="Q23" s="21"/>
      <c r="R23">
        <v>370000</v>
      </c>
      <c r="S23">
        <v>31000</v>
      </c>
      <c r="T23" s="29">
        <f>SUM(Table279[[#This Row],[BEVs (2030)]:[PHEVs (2030)]])</f>
        <v>401000</v>
      </c>
      <c r="U23" s="21">
        <f>Table279[[#This Row],[BEVs (2030)]]/Table279[[#This Row],[2030 Total]]</f>
        <v>0.92269326683291775</v>
      </c>
    </row>
    <row r="24" spans="2:21" x14ac:dyDescent="0.3">
      <c r="B24" s="25" t="s">
        <v>124</v>
      </c>
      <c r="C24" s="21">
        <f>C21</f>
        <v>2.1999999999999999E-2</v>
      </c>
      <c r="D24" s="20">
        <f>D21</f>
        <v>1.7210884353741494E-2</v>
      </c>
      <c r="E24" s="24">
        <f>Table25[[#This Row],[BEV Share 2020]]-Table25[[#This Row],[EV Share 2020]]</f>
        <v>-4.7891156462585051E-3</v>
      </c>
      <c r="F24" s="21">
        <f>AVERAGE(F20:F23)</f>
        <v>0.40249999999999997</v>
      </c>
      <c r="G24" s="21">
        <f>AVERAGE(G20:G23)</f>
        <v>0.363924193013339</v>
      </c>
      <c r="H24" s="24">
        <f>H21</f>
        <v>0.98278911564625848</v>
      </c>
      <c r="I24" s="21">
        <f>AVERAGE(I20:I23)</f>
        <v>0.636075806986661</v>
      </c>
      <c r="J24" s="21">
        <f>AVERAGE(J20:J23)</f>
        <v>-0.36146682380843653</v>
      </c>
    </row>
    <row r="27" spans="2:21" x14ac:dyDescent="0.3">
      <c r="B27" t="s">
        <v>79</v>
      </c>
      <c r="C27" t="s">
        <v>122</v>
      </c>
      <c r="D27" t="s">
        <v>109</v>
      </c>
      <c r="E27" t="s">
        <v>76</v>
      </c>
      <c r="F27" t="s">
        <v>123</v>
      </c>
      <c r="G27" t="s">
        <v>121</v>
      </c>
      <c r="H27" t="s">
        <v>142</v>
      </c>
      <c r="I27" t="s">
        <v>143</v>
      </c>
      <c r="J27" t="s">
        <v>144</v>
      </c>
      <c r="M27" t="s">
        <v>118</v>
      </c>
      <c r="N27" s="28" t="s">
        <v>113</v>
      </c>
      <c r="O27" s="28" t="s">
        <v>114</v>
      </c>
      <c r="P27" t="s">
        <v>111</v>
      </c>
      <c r="Q27" s="31" t="s">
        <v>115</v>
      </c>
      <c r="R27" t="s">
        <v>116</v>
      </c>
      <c r="S27" t="s">
        <v>117</v>
      </c>
      <c r="T27" t="s">
        <v>112</v>
      </c>
      <c r="U27" s="21" t="s">
        <v>110</v>
      </c>
    </row>
    <row r="28" spans="2:21" x14ac:dyDescent="0.3">
      <c r="B28" t="s">
        <v>72</v>
      </c>
      <c r="C28" s="20">
        <v>4.5999999999999999E-2</v>
      </c>
      <c r="D28" s="21">
        <f>Table26[[#This Row],[EV Share 2020]]*Table2710[[#This Row],[BEV Share of EV Sales 2020]]</f>
        <v>4.3690637720488465E-2</v>
      </c>
      <c r="E28" s="24">
        <f>Table26[[#This Row],[BEV Share 2020]]-Table26[[#This Row],[EV Share 2020]]</f>
        <v>-2.3093622795115343E-3</v>
      </c>
      <c r="F28" s="20">
        <v>0.22</v>
      </c>
      <c r="G28" s="31">
        <f>Table26[[#This Row],[EV Share 2030]]*Table2710[[#This Row],[BEV Share of EV Sales 20]]</f>
        <v>0.20386100386100386</v>
      </c>
      <c r="H28" s="24">
        <f>1-Table26[[#This Row],[BEV Share 2020]]</f>
        <v>0.95630936227951158</v>
      </c>
      <c r="I28" s="24">
        <f>1-Table26[[#This Row],[BEV Share 2030]]</f>
        <v>0.79613899613899619</v>
      </c>
      <c r="J28" s="24">
        <f>((Table26[[#This Row],[CCV Share 2030]]-Table26[[#This Row],[CCV Share 2020]])/Table26[[#This Row],[CCV Share 2020]])</f>
        <v>-0.16748802475249694</v>
      </c>
      <c r="M28" t="s">
        <v>72</v>
      </c>
      <c r="N28">
        <v>70000</v>
      </c>
      <c r="O28">
        <v>3700</v>
      </c>
      <c r="P28" s="29">
        <f>SUM(Table2710[[#This Row],[BEVs (2020)]:[PHEVs (2020)]])</f>
        <v>73700</v>
      </c>
      <c r="Q28" s="21">
        <f>Table2710[[#This Row],[BEVs (2020)]]/Table2710[[#This Row],[2020 Total]]</f>
        <v>0.94979647218453189</v>
      </c>
      <c r="R28">
        <v>480000</v>
      </c>
      <c r="S28">
        <v>38000</v>
      </c>
      <c r="T28" s="29">
        <f>SUM(Table2710[[#This Row],[BEVs (2030)]:[PHEVs (2030)]])</f>
        <v>518000</v>
      </c>
      <c r="U28" s="21">
        <f>Table2710[[#This Row],[BEVs (2030)]]/Table2710[[#This Row],[2030 Total]]</f>
        <v>0.92664092664092668</v>
      </c>
    </row>
    <row r="29" spans="2:21" x14ac:dyDescent="0.3">
      <c r="B29" t="s">
        <v>73</v>
      </c>
      <c r="C29" s="20">
        <v>4.2000000000000003E-2</v>
      </c>
      <c r="D29" s="20">
        <f>Table26[[#This Row],[EV Share 2020]]*Table2710[[#This Row],[BEV Share of EV Sales 2020]]</f>
        <v>2.8282828282828288E-2</v>
      </c>
      <c r="E29" s="24">
        <f>Table26[[#This Row],[BEV Share 2020]]-Table26[[#This Row],[EV Share 2020]]</f>
        <v>-1.3717171717171715E-2</v>
      </c>
      <c r="F29" s="20">
        <v>0.41</v>
      </c>
      <c r="G29" s="24">
        <f>Table26[[#This Row],[EV Share 2030]]*Table2710[[#This Row],[BEV Share of EV Sales 20]]</f>
        <v>0.33490099009900987</v>
      </c>
      <c r="H29" s="24">
        <f>1-Table26[[#This Row],[BEV Share 2020]]</f>
        <v>0.97171717171717176</v>
      </c>
      <c r="I29" s="24">
        <f>1-Table26[[#This Row],[BEV Share 2030]]</f>
        <v>0.66509900990099013</v>
      </c>
      <c r="J29" s="24">
        <f>((Table26[[#This Row],[CCV Share 2030]]-Table26[[#This Row],[CCV Share 2020]])/Table26[[#This Row],[CCV Share 2020]])</f>
        <v>-0.31554259895844056</v>
      </c>
      <c r="M29" t="s">
        <v>73</v>
      </c>
      <c r="N29">
        <v>2000000</v>
      </c>
      <c r="O29">
        <v>970000</v>
      </c>
      <c r="P29" s="29">
        <f>SUM(Table2710[[#This Row],[BEVs (2020)]:[PHEVs (2020)]])</f>
        <v>2970000</v>
      </c>
      <c r="Q29" s="21">
        <f>Table2710[[#This Row],[BEVs (2020)]]/Table2710[[#This Row],[2020 Total]]</f>
        <v>0.67340067340067344</v>
      </c>
      <c r="R29">
        <v>33000000</v>
      </c>
      <c r="S29">
        <v>7400000</v>
      </c>
      <c r="T29" s="29">
        <f>SUM(Table2710[[#This Row],[BEVs (2030)]:[PHEVs (2030)]])</f>
        <v>40400000</v>
      </c>
      <c r="U29" s="21">
        <f>Table2710[[#This Row],[BEVs (2030)]]/Table2710[[#This Row],[2030 Total]]</f>
        <v>0.81683168316831678</v>
      </c>
    </row>
    <row r="30" spans="2:21" x14ac:dyDescent="0.3">
      <c r="B30" t="s">
        <v>74</v>
      </c>
      <c r="C30" s="20">
        <v>6.0000000000000001E-3</v>
      </c>
      <c r="D30" s="20">
        <f>Table26[[#This Row],[EV Share 2020]]*Table2710[[#This Row],[BEV Share of EV Sales 2020]]</f>
        <v>5.9267867518884368E-3</v>
      </c>
      <c r="E30" s="24">
        <f>Table26[[#This Row],[BEV Share 2020]]-Table26[[#This Row],[EV Share 2020]]</f>
        <v>-7.3213248111563337E-5</v>
      </c>
      <c r="F30" s="20">
        <v>0.13</v>
      </c>
      <c r="G30" s="24">
        <f>Table26[[#This Row],[EV Share 2030]]*Table2710[[#This Row],[BEV Share of EV Sales 20]]</f>
        <v>0.10372340425531915</v>
      </c>
      <c r="H30" s="24">
        <f>1-Table26[[#This Row],[BEV Share 2020]]</f>
        <v>0.9940732132481116</v>
      </c>
      <c r="I30" s="24">
        <f>1-Table26[[#This Row],[BEV Share 2030]]</f>
        <v>0.89627659574468088</v>
      </c>
      <c r="J30" s="24">
        <f>((Table26[[#This Row],[CCV Share 2030]]-Table26[[#This Row],[CCV Share 2020]])/Table26[[#This Row],[CCV Share 2020]])</f>
        <v>-9.8379692964346649E-2</v>
      </c>
      <c r="M30" t="s">
        <v>74</v>
      </c>
      <c r="N30">
        <v>34000</v>
      </c>
      <c r="O30">
        <v>420</v>
      </c>
      <c r="P30" s="29">
        <f>SUM(Table2710[[#This Row],[BEVs (2020)]:[PHEVs (2020)]])</f>
        <v>34420</v>
      </c>
      <c r="Q30" s="21">
        <f>Table2710[[#This Row],[BEVs (2020)]]/Table2710[[#This Row],[2020 Total]]</f>
        <v>0.98779779198140616</v>
      </c>
      <c r="R30">
        <v>750000</v>
      </c>
      <c r="S30">
        <v>190000</v>
      </c>
      <c r="T30" s="29">
        <f>SUM(Table2710[[#This Row],[BEVs (2030)]:[PHEVs (2030)]])</f>
        <v>940000</v>
      </c>
      <c r="U30" s="21">
        <f>Table2710[[#This Row],[BEVs (2030)]]/Table2710[[#This Row],[2030 Total]]</f>
        <v>0.7978723404255319</v>
      </c>
    </row>
    <row r="31" spans="2:21" x14ac:dyDescent="0.3">
      <c r="B31" t="s">
        <v>75</v>
      </c>
      <c r="C31" s="20">
        <v>0.01</v>
      </c>
      <c r="D31" s="20">
        <f>Table26[[#This Row],[EV Share 2020]]*Table2710[[#This Row],[BEV Share of EV Sales 2020]]</f>
        <v>9.7109826589595379E-3</v>
      </c>
      <c r="E31" s="24">
        <f>Table26[[#This Row],[BEV Share 2020]]-Table26[[#This Row],[EV Share 2020]]</f>
        <v>-2.8901734104046228E-4</v>
      </c>
      <c r="F31" s="20">
        <v>0.3</v>
      </c>
      <c r="G31" s="24">
        <f>Table26[[#This Row],[EV Share 2030]]*Table2710[[#This Row],[BEV Share of EV Sales 20]]</f>
        <v>0.26582278481012656</v>
      </c>
      <c r="H31" s="24">
        <f>1-Table26[[#This Row],[BEV Share 2020]]</f>
        <v>0.99028901734104047</v>
      </c>
      <c r="I31" s="24">
        <f>1-Table26[[#This Row],[BEV Share 2030]]</f>
        <v>0.73417721518987344</v>
      </c>
      <c r="J31" s="24">
        <f>((Table26[[#This Row],[CCV Share 2030]]-Table26[[#This Row],[CCV Share 2020]])/Table26[[#This Row],[CCV Share 2020]])</f>
        <v>-0.25862328842021887</v>
      </c>
      <c r="M31" t="s">
        <v>75</v>
      </c>
      <c r="N31">
        <v>84000</v>
      </c>
      <c r="O31">
        <v>2500</v>
      </c>
      <c r="P31" s="29">
        <f>SUM(Table2710[[#This Row],[BEVs (2020)]:[PHEVs (2020)]])</f>
        <v>86500</v>
      </c>
      <c r="Q31" s="21">
        <f>Table2710[[#This Row],[BEVs (2020)]]/Table2710[[#This Row],[2020 Total]]</f>
        <v>0.97109826589595372</v>
      </c>
      <c r="R31">
        <v>2800000</v>
      </c>
      <c r="S31">
        <v>360000</v>
      </c>
      <c r="T31" s="29">
        <f>SUM(Table2710[[#This Row],[BEVs (2030)]:[PHEVs (2030)]])</f>
        <v>3160000</v>
      </c>
      <c r="U31" s="21">
        <f>Table2710[[#This Row],[BEVs (2030)]]/Table2710[[#This Row],[2030 Total]]</f>
        <v>0.88607594936708856</v>
      </c>
    </row>
    <row r="32" spans="2:21" x14ac:dyDescent="0.3">
      <c r="B32" s="25" t="s">
        <v>124</v>
      </c>
      <c r="C32" s="21">
        <f>AVERAGE(C28:C31)</f>
        <v>2.5999999999999999E-2</v>
      </c>
      <c r="D32" s="21">
        <f>AVERAGE(D28:D31)</f>
        <v>2.1902808853541178E-2</v>
      </c>
      <c r="E32" s="24">
        <f>Table26[[#This Row],[BEV Share 2020]]-Table26[[#This Row],[EV Share 2020]]</f>
        <v>-4.0971911464588208E-3</v>
      </c>
      <c r="F32" s="21">
        <f>AVERAGE(F28:F31)</f>
        <v>0.26500000000000001</v>
      </c>
      <c r="G32" s="21">
        <f>AVERAGE(G28:G31)</f>
        <v>0.22707704575636484</v>
      </c>
      <c r="H32" s="21">
        <f t="shared" ref="H32:J32" si="1">AVERAGE(H28:H31)</f>
        <v>0.97809719114645888</v>
      </c>
      <c r="I32" s="21">
        <f t="shared" si="1"/>
        <v>0.77292295424363511</v>
      </c>
      <c r="J32" s="21">
        <f t="shared" si="1"/>
        <v>-0.21000840127387577</v>
      </c>
    </row>
  </sheetData>
  <phoneticPr fontId="4" type="noConversion"/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"/>
  <sheetViews>
    <sheetView workbookViewId="0">
      <selection activeCell="E11" sqref="E11"/>
    </sheetView>
  </sheetViews>
  <sheetFormatPr baseColWidth="10" defaultColWidth="9" defaultRowHeight="16.5" x14ac:dyDescent="0.3"/>
  <cols>
    <col min="2" max="3" width="34.375" customWidth="1"/>
    <col min="4" max="4" width="31.625" customWidth="1"/>
    <col min="5" max="5" width="50" customWidth="1"/>
    <col min="7" max="7" width="52.125" customWidth="1"/>
  </cols>
  <sheetData>
    <row r="2" spans="2:7" x14ac:dyDescent="0.3">
      <c r="B2" s="16" t="s">
        <v>92</v>
      </c>
      <c r="C2" s="16" t="s">
        <v>93</v>
      </c>
      <c r="D2" s="16" t="s">
        <v>94</v>
      </c>
      <c r="E2" s="16" t="s">
        <v>100</v>
      </c>
      <c r="G2" s="16" t="s">
        <v>95</v>
      </c>
    </row>
    <row r="3" spans="2:7" x14ac:dyDescent="0.3">
      <c r="B3" s="18">
        <v>993</v>
      </c>
      <c r="C3" s="19">
        <f>B3*0.924</f>
        <v>917.53200000000004</v>
      </c>
      <c r="D3" s="19">
        <f>C3*32150.7466</f>
        <v>29499338.8293912</v>
      </c>
      <c r="E3" s="19">
        <f>D3*0.3</f>
        <v>8849801.6488173604</v>
      </c>
      <c r="G3" s="16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Data</vt:lpstr>
      <vt:lpstr>Currency and Unit Conversions</vt:lpstr>
      <vt:lpstr>Calculation Stockpiling Cost</vt:lpstr>
      <vt:lpstr>Calculation Total Demand</vt:lpstr>
      <vt:lpstr>Population Change 2030 2050</vt:lpstr>
      <vt:lpstr>EV Sales Share ICE Decline EST</vt:lpstr>
      <vt:lpstr>Calculation Maintenance Cost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2023-11-24T15:28:36Z</dcterms:created>
  <dcterms:modified xsi:type="dcterms:W3CDTF">2024-02-26T13:55:25Z</dcterms:modified>
</cp:coreProperties>
</file>