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\Documents\GitHub\ME561\A1\Report\Tables\"/>
    </mc:Choice>
  </mc:AlternateContent>
  <bookViews>
    <workbookView xWindow="0" yWindow="0" windowWidth="28800" windowHeight="12360" activeTab="1"/>
  </bookViews>
  <sheets>
    <sheet name="Q1A" sheetId="1" r:id="rId1"/>
    <sheet name="Q1B" sheetId="2" r:id="rId2"/>
    <sheet name="Q2A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2" l="1"/>
  <c r="C31" i="2"/>
  <c r="C19" i="2"/>
  <c r="C18" i="2"/>
  <c r="C43" i="2" l="1"/>
  <c r="F36" i="2"/>
  <c r="C29" i="2"/>
  <c r="C41" i="2" s="1"/>
  <c r="C13" i="2"/>
  <c r="C16" i="2" s="1"/>
  <c r="C18" i="4"/>
  <c r="C19" i="4"/>
  <c r="C20" i="4" s="1"/>
  <c r="F31" i="2"/>
  <c r="C30" i="1"/>
  <c r="C31" i="1" s="1"/>
  <c r="A46" i="2"/>
  <c r="B46" i="2"/>
  <c r="D46" i="2"/>
  <c r="B44" i="2"/>
  <c r="D44" i="2"/>
  <c r="A44" i="2"/>
  <c r="A42" i="2"/>
  <c r="B42" i="2"/>
  <c r="B41" i="2"/>
  <c r="A41" i="2"/>
  <c r="C25" i="1"/>
  <c r="C16" i="4"/>
  <c r="C17" i="4"/>
  <c r="F9" i="4"/>
  <c r="F17" i="4"/>
  <c r="F18" i="4"/>
  <c r="F19" i="4"/>
  <c r="F20" i="4"/>
  <c r="F8" i="4"/>
  <c r="C9" i="4"/>
  <c r="F38" i="2"/>
  <c r="F37" i="2"/>
  <c r="F35" i="2"/>
  <c r="F34" i="2"/>
  <c r="C34" i="2"/>
  <c r="F33" i="2"/>
  <c r="F30" i="2"/>
  <c r="F29" i="2"/>
  <c r="J28" i="2"/>
  <c r="C28" i="2" s="1"/>
  <c r="F28" i="2"/>
  <c r="J27" i="2"/>
  <c r="C27" i="2" s="1"/>
  <c r="F27" i="2"/>
  <c r="J26" i="2"/>
  <c r="C26" i="2" s="1"/>
  <c r="F26" i="2"/>
  <c r="J25" i="2"/>
  <c r="C25" i="2" s="1"/>
  <c r="F25" i="2"/>
  <c r="F24" i="2"/>
  <c r="C14" i="2"/>
  <c r="F24" i="1"/>
  <c r="F25" i="1"/>
  <c r="F28" i="1"/>
  <c r="F29" i="1"/>
  <c r="F30" i="1"/>
  <c r="F31" i="1"/>
  <c r="F32" i="1"/>
  <c r="J21" i="1"/>
  <c r="C21" i="1" s="1"/>
  <c r="J22" i="1"/>
  <c r="C22" i="1" s="1"/>
  <c r="J23" i="1"/>
  <c r="C23" i="1" s="1"/>
  <c r="J20" i="1"/>
  <c r="C20" i="1" s="1"/>
  <c r="F20" i="1"/>
  <c r="F21" i="1"/>
  <c r="F22" i="1"/>
  <c r="F23" i="1"/>
  <c r="F19" i="1"/>
  <c r="C29" i="1"/>
  <c r="C24" i="1"/>
  <c r="C14" i="1"/>
  <c r="C13" i="1"/>
  <c r="C15" i="1" s="1"/>
  <c r="C17" i="2" l="1"/>
  <c r="C36" i="2" s="1"/>
  <c r="C15" i="2"/>
  <c r="C30" i="2"/>
  <c r="C42" i="2" l="1"/>
  <c r="C35" i="2"/>
  <c r="C37" i="2" s="1"/>
  <c r="C46" i="2" l="1"/>
  <c r="C44" i="2"/>
</calcChain>
</file>

<file path=xl/sharedStrings.xml><?xml version="1.0" encoding="utf-8"?>
<sst xmlns="http://schemas.openxmlformats.org/spreadsheetml/2006/main" count="217" uniqueCount="92">
  <si>
    <t>Description</t>
  </si>
  <si>
    <t>Symbol</t>
  </si>
  <si>
    <t xml:space="preserve">Value </t>
  </si>
  <si>
    <t>Unit</t>
  </si>
  <si>
    <t>Tubing diameter</t>
  </si>
  <si>
    <t>D</t>
  </si>
  <si>
    <t>in</t>
  </si>
  <si>
    <t>Specific gravity</t>
  </si>
  <si>
    <t>SG</t>
  </si>
  <si>
    <t>-</t>
  </si>
  <si>
    <t>Kinematic viscosity</t>
  </si>
  <si>
    <t>nu</t>
  </si>
  <si>
    <t>cS</t>
  </si>
  <si>
    <t>Length of tube</t>
  </si>
  <si>
    <t>L</t>
  </si>
  <si>
    <t>ft</t>
  </si>
  <si>
    <t>Maximum velocity</t>
  </si>
  <si>
    <t>v_max</t>
  </si>
  <si>
    <t>Reynolds number</t>
  </si>
  <si>
    <t>Re</t>
  </si>
  <si>
    <t>ft/s</t>
  </si>
  <si>
    <t>A</t>
  </si>
  <si>
    <t>Pipe area</t>
  </si>
  <si>
    <t>in^2</t>
  </si>
  <si>
    <t>Maximum flow</t>
  </si>
  <si>
    <t>Q_max</t>
  </si>
  <si>
    <t>gpm</t>
  </si>
  <si>
    <t>Factor</t>
  </si>
  <si>
    <t>Control valve</t>
  </si>
  <si>
    <t>Tee</t>
  </si>
  <si>
    <t>Elbow, 90 degrees</t>
  </si>
  <si>
    <t>Globe valve, open</t>
  </si>
  <si>
    <t>Shape factor</t>
  </si>
  <si>
    <t>S</t>
  </si>
  <si>
    <t>Pipe loss</t>
  </si>
  <si>
    <t>Sum</t>
  </si>
  <si>
    <t>$K_V$</t>
  </si>
  <si>
    <t>$K_T$</t>
  </si>
  <si>
    <t>$K_E$</t>
  </si>
  <si>
    <t>$K_CV$</t>
  </si>
  <si>
    <t>$K_GV$</t>
  </si>
  <si>
    <t>$K_PL$</t>
  </si>
  <si>
    <t>$K$</t>
  </si>
  <si>
    <t>Ploss filter</t>
  </si>
  <si>
    <t>psi</t>
  </si>
  <si>
    <t>Phe</t>
  </si>
  <si>
    <t>Pf</t>
  </si>
  <si>
    <t>Head loss</t>
  </si>
  <si>
    <t>gravitation</t>
  </si>
  <si>
    <t>ft/s^2</t>
  </si>
  <si>
    <t>g</t>
  </si>
  <si>
    <t>Ploss heat exch</t>
  </si>
  <si>
    <t>lb/ft^3</t>
  </si>
  <si>
    <t>Pressure loss</t>
  </si>
  <si>
    <t>$gamma$</t>
  </si>
  <si>
    <t>$h_L$</t>
  </si>
  <si>
    <t>$P_L$</t>
  </si>
  <si>
    <t>Fluid specific weight</t>
  </si>
  <si>
    <t>lpm</t>
  </si>
  <si>
    <t>Q</t>
  </si>
  <si>
    <t>Fluid pressure</t>
  </si>
  <si>
    <t>p</t>
  </si>
  <si>
    <t>bar</t>
  </si>
  <si>
    <t>Pump speed</t>
  </si>
  <si>
    <t>n</t>
  </si>
  <si>
    <t>rpm</t>
  </si>
  <si>
    <t>Theoretical volumetric flow rate</t>
  </si>
  <si>
    <t>Pump displacement</t>
  </si>
  <si>
    <t>m^3 /rev</t>
  </si>
  <si>
    <t>Nm</t>
  </si>
  <si>
    <t>Theoretical  torque</t>
  </si>
  <si>
    <t>rad/s</t>
  </si>
  <si>
    <t>HP</t>
  </si>
  <si>
    <t>Motor power</t>
  </si>
  <si>
    <t>$Q_T$</t>
  </si>
  <si>
    <t>$V_D$</t>
  </si>
  <si>
    <t>$N$</t>
  </si>
  <si>
    <t>$T_T$</t>
  </si>
  <si>
    <t>$T_A$</t>
  </si>
  <si>
    <t>$P$</t>
  </si>
  <si>
    <t>Qty</t>
  </si>
  <si>
    <t>Check valve, open</t>
  </si>
  <si>
    <t>Circuit flow</t>
  </si>
  <si>
    <t>Relief valve flow</t>
  </si>
  <si>
    <t>K_RV</t>
  </si>
  <si>
    <t>v_C</t>
  </si>
  <si>
    <t>v_RV</t>
  </si>
  <si>
    <t>H_L_RV</t>
  </si>
  <si>
    <t>Re_c</t>
  </si>
  <si>
    <t>Re_RV</t>
  </si>
  <si>
    <t>$h_Lc$</t>
  </si>
  <si>
    <t>h_lrv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</si>
</sst>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E+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E32" sqref="E32"/>
    </sheetView>
  </sheetViews>
  <sheetFormatPr defaultRowHeight="15" x14ac:dyDescent="0.25"/>
  <cols>
    <col min="1" max="1" width="29.140625" style="1" customWidth="1"/>
    <col min="2" max="2" width="9.28515625" style="1" customWidth="1"/>
    <col min="3" max="3" width="9.5703125" style="1" bestFit="1" customWidth="1"/>
    <col min="4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1.25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0.875</v>
      </c>
      <c r="D3" s="1" t="s">
        <v>9</v>
      </c>
    </row>
    <row r="4" spans="1:4" x14ac:dyDescent="0.25">
      <c r="A4" s="1" t="s">
        <v>10</v>
      </c>
      <c r="B4" s="1" t="s">
        <v>11</v>
      </c>
      <c r="C4" s="1">
        <v>110</v>
      </c>
      <c r="D4" s="1" t="s">
        <v>12</v>
      </c>
    </row>
    <row r="5" spans="1:4" x14ac:dyDescent="0.25">
      <c r="A5" s="1" t="s">
        <v>13</v>
      </c>
      <c r="B5" s="1" t="s">
        <v>14</v>
      </c>
      <c r="C5" s="1">
        <v>55</v>
      </c>
      <c r="D5" s="1" t="s">
        <v>15</v>
      </c>
    </row>
    <row r="6" spans="1:4" x14ac:dyDescent="0.25">
      <c r="A6" s="1" t="s">
        <v>18</v>
      </c>
      <c r="B6" s="1" t="s">
        <v>19</v>
      </c>
      <c r="C6" s="1">
        <v>2000</v>
      </c>
      <c r="D6" s="1" t="s">
        <v>9</v>
      </c>
    </row>
    <row r="7" spans="1:4" x14ac:dyDescent="0.25">
      <c r="A7" s="1" t="s">
        <v>32</v>
      </c>
      <c r="B7" s="1" t="s">
        <v>33</v>
      </c>
      <c r="C7" s="1">
        <v>64</v>
      </c>
      <c r="D7" s="1" t="s">
        <v>9</v>
      </c>
    </row>
    <row r="8" spans="1:4" x14ac:dyDescent="0.25">
      <c r="A8" s="1" t="s">
        <v>43</v>
      </c>
      <c r="B8" s="1" t="s">
        <v>46</v>
      </c>
      <c r="C8" s="3">
        <v>5.5</v>
      </c>
      <c r="D8" s="1" t="s">
        <v>44</v>
      </c>
    </row>
    <row r="9" spans="1:4" x14ac:dyDescent="0.25">
      <c r="A9" s="1" t="s">
        <v>51</v>
      </c>
      <c r="B9" s="1" t="s">
        <v>45</v>
      </c>
      <c r="C9" s="3">
        <v>40</v>
      </c>
      <c r="D9" s="1" t="s">
        <v>44</v>
      </c>
    </row>
    <row r="10" spans="1:4" x14ac:dyDescent="0.25">
      <c r="A10" s="1" t="s">
        <v>48</v>
      </c>
      <c r="B10" s="1" t="s">
        <v>50</v>
      </c>
      <c r="C10" s="3">
        <v>32.173999999999999</v>
      </c>
      <c r="D10" s="1" t="s">
        <v>49</v>
      </c>
    </row>
    <row r="12" spans="1:4" x14ac:dyDescent="0.25">
      <c r="A12" s="7" t="s">
        <v>0</v>
      </c>
      <c r="B12" s="7" t="s">
        <v>1</v>
      </c>
      <c r="C12" s="7" t="s">
        <v>2</v>
      </c>
      <c r="D12" s="7" t="s">
        <v>3</v>
      </c>
    </row>
    <row r="13" spans="1:4" x14ac:dyDescent="0.25">
      <c r="A13" s="1" t="s">
        <v>16</v>
      </c>
      <c r="B13" s="1" t="s">
        <v>17</v>
      </c>
      <c r="C13" s="3">
        <f>(C6*C4)/(7740*C2)</f>
        <v>22.739018087855296</v>
      </c>
      <c r="D13" s="1" t="s">
        <v>20</v>
      </c>
    </row>
    <row r="14" spans="1:4" x14ac:dyDescent="0.25">
      <c r="A14" s="1" t="s">
        <v>22</v>
      </c>
      <c r="B14" s="1" t="s">
        <v>21</v>
      </c>
      <c r="C14" s="3">
        <f>(PI()*(C2^2))/4</f>
        <v>1.227184630308513</v>
      </c>
      <c r="D14" s="1" t="s">
        <v>23</v>
      </c>
    </row>
    <row r="15" spans="1:4" x14ac:dyDescent="0.25">
      <c r="A15" s="8" t="s">
        <v>24</v>
      </c>
      <c r="B15" s="8" t="s">
        <v>25</v>
      </c>
      <c r="C15" s="9">
        <f>C13*C14*449/(144)</f>
        <v>87.00925766715109</v>
      </c>
      <c r="D15" s="8" t="s">
        <v>26</v>
      </c>
    </row>
    <row r="16" spans="1:4" x14ac:dyDescent="0.25">
      <c r="C16" s="3"/>
    </row>
    <row r="17" spans="1:10" x14ac:dyDescent="0.25">
      <c r="C17" s="3"/>
      <c r="D17"/>
    </row>
    <row r="18" spans="1:10" ht="16.5" customHeight="1" x14ac:dyDescent="0.25">
      <c r="A18" s="7" t="s">
        <v>27</v>
      </c>
      <c r="B18" s="7" t="s">
        <v>1</v>
      </c>
      <c r="C18" s="7" t="s">
        <v>2</v>
      </c>
      <c r="D18" s="7" t="s">
        <v>80</v>
      </c>
      <c r="H18">
        <v>1</v>
      </c>
      <c r="I18">
        <v>2</v>
      </c>
    </row>
    <row r="19" spans="1:10" x14ac:dyDescent="0.25">
      <c r="A19" s="1" t="s">
        <v>28</v>
      </c>
      <c r="B19" s="1" t="s">
        <v>36</v>
      </c>
      <c r="C19" s="3">
        <v>0.92</v>
      </c>
      <c r="D19" s="11">
        <v>1</v>
      </c>
      <c r="F19" t="str">
        <f>_xlfn.CONCAT("$", B19, "$")</f>
        <v>$$K_V$$</v>
      </c>
    </row>
    <row r="20" spans="1:10" x14ac:dyDescent="0.25">
      <c r="A20" s="1" t="s">
        <v>29</v>
      </c>
      <c r="B20" s="1" t="s">
        <v>37</v>
      </c>
      <c r="C20" s="3">
        <f>J20</f>
        <v>1.7</v>
      </c>
      <c r="D20" s="11">
        <v>1</v>
      </c>
      <c r="F20" t="str">
        <f t="shared" ref="F20:F32" si="0">_xlfn.CONCAT("$", B20, "$")</f>
        <v>$$K_T$$</v>
      </c>
      <c r="H20">
        <v>1.8</v>
      </c>
      <c r="I20">
        <v>1.4</v>
      </c>
      <c r="J20" s="5">
        <f>H20+($C$2-$H$18)*(I20-H20)/($I$18-$H$18)</f>
        <v>1.7</v>
      </c>
    </row>
    <row r="21" spans="1:10" x14ac:dyDescent="0.25">
      <c r="A21" s="1" t="s">
        <v>30</v>
      </c>
      <c r="B21" s="1" t="s">
        <v>38</v>
      </c>
      <c r="C21" s="3">
        <f t="shared" ref="C21:C23" si="1">J21</f>
        <v>1.3625</v>
      </c>
      <c r="D21" s="11">
        <v>3</v>
      </c>
      <c r="F21" t="str">
        <f t="shared" si="0"/>
        <v>$$K_E$$</v>
      </c>
      <c r="H21">
        <v>1.5</v>
      </c>
      <c r="I21">
        <v>0.95</v>
      </c>
      <c r="J21" s="5">
        <f>H21+($C$2-$H$18)*(I21-H21)/($I$18-$H$18)</f>
        <v>1.3625</v>
      </c>
    </row>
    <row r="22" spans="1:10" x14ac:dyDescent="0.25">
      <c r="A22" s="1" t="s">
        <v>81</v>
      </c>
      <c r="B22" s="1" t="s">
        <v>39</v>
      </c>
      <c r="C22" s="3">
        <f t="shared" si="1"/>
        <v>2.7</v>
      </c>
      <c r="D22" s="11">
        <v>1</v>
      </c>
      <c r="F22" t="str">
        <f t="shared" si="0"/>
        <v>$$K_CV$$</v>
      </c>
      <c r="H22">
        <v>2.9</v>
      </c>
      <c r="I22">
        <v>2.1</v>
      </c>
      <c r="J22" s="5">
        <f>H22+($C$2-$H$18)*(I22-H22)/($I$18-$H$18)</f>
        <v>2.7</v>
      </c>
    </row>
    <row r="23" spans="1:10" x14ac:dyDescent="0.25">
      <c r="A23" s="1" t="s">
        <v>31</v>
      </c>
      <c r="B23" s="1" t="s">
        <v>40</v>
      </c>
      <c r="C23" s="3">
        <f t="shared" si="1"/>
        <v>7.875</v>
      </c>
      <c r="D23" s="1">
        <v>2</v>
      </c>
      <c r="F23" t="str">
        <f t="shared" si="0"/>
        <v>$$K_GV$$</v>
      </c>
      <c r="H23">
        <v>8.1999999999999993</v>
      </c>
      <c r="I23">
        <v>6.9</v>
      </c>
      <c r="J23" s="5">
        <f>H23+($C$2-$H$18)*(I23-H23)/($I$18-$H$18)</f>
        <v>7.875</v>
      </c>
    </row>
    <row r="24" spans="1:10" x14ac:dyDescent="0.25">
      <c r="A24" s="1" t="s">
        <v>34</v>
      </c>
      <c r="B24" s="1" t="s">
        <v>41</v>
      </c>
      <c r="C24" s="3">
        <f>(C7*C5)/(C6*(C2/12))</f>
        <v>16.896000000000001</v>
      </c>
      <c r="D24" s="1">
        <v>1</v>
      </c>
      <c r="F24" t="str">
        <f t="shared" si="0"/>
        <v>$$K_PL$$</v>
      </c>
      <c r="J24" s="5"/>
    </row>
    <row r="25" spans="1:10" x14ac:dyDescent="0.25">
      <c r="A25" s="8" t="s">
        <v>35</v>
      </c>
      <c r="B25" s="8" t="s">
        <v>42</v>
      </c>
      <c r="C25" s="9">
        <f>SUMPRODUCT(C19:C24,D19:D24)</f>
        <v>42.0535</v>
      </c>
      <c r="D25" s="8" t="s">
        <v>9</v>
      </c>
      <c r="F25" t="str">
        <f t="shared" si="0"/>
        <v>$$K$$</v>
      </c>
      <c r="J25" s="5"/>
    </row>
    <row r="26" spans="1:10" x14ac:dyDescent="0.25">
      <c r="C26" s="4"/>
    </row>
    <row r="27" spans="1:10" x14ac:dyDescent="0.25">
      <c r="C27" s="4"/>
    </row>
    <row r="28" spans="1:10" x14ac:dyDescent="0.25">
      <c r="A28" s="7" t="s">
        <v>0</v>
      </c>
      <c r="B28" s="7" t="s">
        <v>1</v>
      </c>
      <c r="C28" s="7" t="s">
        <v>2</v>
      </c>
      <c r="D28" s="7" t="s">
        <v>3</v>
      </c>
      <c r="F28" t="str">
        <f t="shared" si="0"/>
        <v>$Symbol$</v>
      </c>
    </row>
    <row r="29" spans="1:10" x14ac:dyDescent="0.25">
      <c r="A29" s="1" t="s">
        <v>57</v>
      </c>
      <c r="B29" s="1" t="s">
        <v>54</v>
      </c>
      <c r="C29" s="3">
        <f>C3*62.42</f>
        <v>54.6175</v>
      </c>
      <c r="D29" s="6" t="s">
        <v>52</v>
      </c>
      <c r="F29" t="str">
        <f t="shared" si="0"/>
        <v>$$gamma$$</v>
      </c>
    </row>
    <row r="30" spans="1:10" x14ac:dyDescent="0.25">
      <c r="A30" s="1" t="s">
        <v>47</v>
      </c>
      <c r="B30" s="1" t="s">
        <v>55</v>
      </c>
      <c r="C30" s="3">
        <f>(C25*C13^2)/(2*32.174)</f>
        <v>337.91736337842082</v>
      </c>
      <c r="D30" s="1" t="s">
        <v>15</v>
      </c>
      <c r="F30" t="str">
        <f t="shared" si="0"/>
        <v>$$h_L$$</v>
      </c>
    </row>
    <row r="31" spans="1:10" x14ac:dyDescent="0.25">
      <c r="A31" s="8" t="s">
        <v>53</v>
      </c>
      <c r="B31" s="8" t="s">
        <v>56</v>
      </c>
      <c r="C31" s="9">
        <f>(C30*C29)/144+C8+C9</f>
        <v>173.66806662722846</v>
      </c>
      <c r="D31" s="8" t="s">
        <v>44</v>
      </c>
      <c r="F31" t="str">
        <f t="shared" si="0"/>
        <v>$$P_L$$</v>
      </c>
    </row>
    <row r="32" spans="1:10" x14ac:dyDescent="0.25">
      <c r="C32" s="3"/>
      <c r="F32" t="str">
        <f t="shared" si="0"/>
        <v>$$</v>
      </c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11" workbookViewId="0">
      <selection activeCell="C35" sqref="C35"/>
    </sheetView>
  </sheetViews>
  <sheetFormatPr defaultRowHeight="15" x14ac:dyDescent="0.25"/>
  <cols>
    <col min="1" max="1" width="29.140625" style="1" customWidth="1"/>
    <col min="2" max="2" width="9.28515625" style="1" customWidth="1"/>
    <col min="3" max="3" width="9.5703125" style="1" customWidth="1"/>
    <col min="4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1.25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0.875</v>
      </c>
      <c r="D3" s="1" t="s">
        <v>9</v>
      </c>
    </row>
    <row r="4" spans="1:4" x14ac:dyDescent="0.25">
      <c r="A4" s="1" t="s">
        <v>10</v>
      </c>
      <c r="B4" s="1" t="s">
        <v>11</v>
      </c>
      <c r="C4" s="1">
        <v>110</v>
      </c>
      <c r="D4" s="1" t="s">
        <v>12</v>
      </c>
    </row>
    <row r="5" spans="1:4" x14ac:dyDescent="0.25">
      <c r="A5" s="1" t="s">
        <v>13</v>
      </c>
      <c r="B5" s="1" t="s">
        <v>14</v>
      </c>
      <c r="C5" s="1">
        <v>55</v>
      </c>
      <c r="D5" s="1" t="s">
        <v>15</v>
      </c>
    </row>
    <row r="6" spans="1:4" x14ac:dyDescent="0.25">
      <c r="A6" s="1" t="s">
        <v>18</v>
      </c>
      <c r="B6" s="1" t="s">
        <v>19</v>
      </c>
      <c r="C6" s="1">
        <v>1150</v>
      </c>
      <c r="D6" s="1" t="s">
        <v>9</v>
      </c>
    </row>
    <row r="7" spans="1:4" x14ac:dyDescent="0.25">
      <c r="A7" s="1" t="s">
        <v>32</v>
      </c>
      <c r="B7" s="1" t="s">
        <v>33</v>
      </c>
      <c r="C7" s="1">
        <v>64</v>
      </c>
      <c r="D7" s="1" t="s">
        <v>9</v>
      </c>
    </row>
    <row r="8" spans="1:4" x14ac:dyDescent="0.25">
      <c r="A8" s="1" t="s">
        <v>43</v>
      </c>
      <c r="B8" s="1" t="s">
        <v>46</v>
      </c>
      <c r="C8" s="3">
        <v>5.5</v>
      </c>
      <c r="D8" s="1" t="s">
        <v>44</v>
      </c>
    </row>
    <row r="9" spans="1:4" x14ac:dyDescent="0.25">
      <c r="A9" s="1" t="s">
        <v>51</v>
      </c>
      <c r="B9" s="1" t="s">
        <v>45</v>
      </c>
      <c r="C9" s="3">
        <v>40</v>
      </c>
      <c r="D9" s="1" t="s">
        <v>44</v>
      </c>
    </row>
    <row r="10" spans="1:4" x14ac:dyDescent="0.25">
      <c r="A10" s="1" t="s">
        <v>48</v>
      </c>
      <c r="B10" s="1" t="s">
        <v>50</v>
      </c>
      <c r="C10" s="3">
        <v>32.173999999999999</v>
      </c>
      <c r="D10" s="1" t="s">
        <v>49</v>
      </c>
    </row>
    <row r="12" spans="1:4" x14ac:dyDescent="0.25">
      <c r="A12" s="7" t="s">
        <v>0</v>
      </c>
      <c r="B12" s="7" t="s">
        <v>1</v>
      </c>
      <c r="C12" s="7" t="s">
        <v>2</v>
      </c>
      <c r="D12" s="7" t="s">
        <v>3</v>
      </c>
    </row>
    <row r="13" spans="1:4" x14ac:dyDescent="0.25">
      <c r="A13" s="1" t="s">
        <v>16</v>
      </c>
      <c r="B13" s="1" t="s">
        <v>17</v>
      </c>
      <c r="C13" s="3">
        <f>(C6*C4)/(7740*C2)</f>
        <v>13.074935400516797</v>
      </c>
      <c r="D13" s="1" t="s">
        <v>20</v>
      </c>
    </row>
    <row r="14" spans="1:4" hidden="1" x14ac:dyDescent="0.25">
      <c r="A14" s="1" t="s">
        <v>22</v>
      </c>
      <c r="B14" s="1" t="s">
        <v>21</v>
      </c>
      <c r="C14" s="3">
        <f>(PI()*(C2^2))/4</f>
        <v>1.227184630308513</v>
      </c>
      <c r="D14" s="1" t="s">
        <v>23</v>
      </c>
    </row>
    <row r="15" spans="1:4" x14ac:dyDescent="0.25">
      <c r="A15" s="12" t="s">
        <v>24</v>
      </c>
      <c r="B15" s="12" t="s">
        <v>25</v>
      </c>
      <c r="C15" s="13">
        <f>C13*C14*449/(144)</f>
        <v>50.030323158611886</v>
      </c>
      <c r="D15" s="12" t="s">
        <v>26</v>
      </c>
    </row>
    <row r="16" spans="1:4" ht="15.75" customHeight="1" x14ac:dyDescent="0.25">
      <c r="A16" s="12" t="s">
        <v>82</v>
      </c>
      <c r="B16" s="12" t="s">
        <v>85</v>
      </c>
      <c r="C16" s="13">
        <f>C13*0.85</f>
        <v>11.113695090439277</v>
      </c>
      <c r="D16" s="12" t="s">
        <v>26</v>
      </c>
    </row>
    <row r="17" spans="1:10" x14ac:dyDescent="0.25">
      <c r="A17" s="8" t="s">
        <v>83</v>
      </c>
      <c r="B17" s="8" t="s">
        <v>86</v>
      </c>
      <c r="C17" s="9">
        <f>C13*0.15</f>
        <v>1.9612403100775193</v>
      </c>
      <c r="D17" s="8" t="s">
        <v>26</v>
      </c>
    </row>
    <row r="18" spans="1:10" x14ac:dyDescent="0.25">
      <c r="A18" s="12"/>
      <c r="B18" s="12" t="s">
        <v>88</v>
      </c>
      <c r="C18" s="14">
        <f>C6*0.85</f>
        <v>977.5</v>
      </c>
      <c r="D18" s="12" t="s">
        <v>9</v>
      </c>
    </row>
    <row r="19" spans="1:10" x14ac:dyDescent="0.25">
      <c r="A19" s="12"/>
      <c r="B19" s="12" t="s">
        <v>89</v>
      </c>
      <c r="C19" s="14">
        <f>C6*0.15</f>
        <v>172.5</v>
      </c>
      <c r="D19" s="12" t="s">
        <v>9</v>
      </c>
    </row>
    <row r="20" spans="1:10" x14ac:dyDescent="0.25">
      <c r="A20" s="12"/>
      <c r="B20" s="12"/>
      <c r="C20" s="13"/>
      <c r="D20" s="12"/>
    </row>
    <row r="21" spans="1:10" x14ac:dyDescent="0.25">
      <c r="C21" s="3"/>
    </row>
    <row r="22" spans="1:10" x14ac:dyDescent="0.25">
      <c r="C22" s="3"/>
      <c r="D22"/>
    </row>
    <row r="23" spans="1:10" ht="16.5" customHeight="1" x14ac:dyDescent="0.25">
      <c r="A23" s="7" t="s">
        <v>27</v>
      </c>
      <c r="B23" s="7" t="s">
        <v>1</v>
      </c>
      <c r="C23" s="7" t="s">
        <v>2</v>
      </c>
      <c r="D23" s="7" t="s">
        <v>80</v>
      </c>
      <c r="H23">
        <v>1</v>
      </c>
      <c r="I23">
        <v>2</v>
      </c>
    </row>
    <row r="24" spans="1:10" x14ac:dyDescent="0.25">
      <c r="A24" s="1" t="s">
        <v>28</v>
      </c>
      <c r="B24" s="1" t="s">
        <v>36</v>
      </c>
      <c r="C24" s="3">
        <v>0.92</v>
      </c>
      <c r="D24" s="11">
        <v>1</v>
      </c>
      <c r="F24" t="str">
        <f>_xlfn.CONCAT("$", B24, "$")</f>
        <v>$$K_V$$</v>
      </c>
    </row>
    <row r="25" spans="1:10" x14ac:dyDescent="0.25">
      <c r="A25" s="1" t="s">
        <v>29</v>
      </c>
      <c r="B25" s="1" t="s">
        <v>37</v>
      </c>
      <c r="C25" s="3">
        <f>J25</f>
        <v>1.7</v>
      </c>
      <c r="D25" s="11">
        <v>1</v>
      </c>
      <c r="F25" t="str">
        <f t="shared" ref="F25:F38" si="0">_xlfn.CONCAT("$", B25, "$")</f>
        <v>$$K_T$$</v>
      </c>
      <c r="H25">
        <v>1.8</v>
      </c>
      <c r="I25">
        <v>1.4</v>
      </c>
      <c r="J25" s="5">
        <f>H25+($C$2-$H$23)*(I25-H25)/($I$23-$H$23)</f>
        <v>1.7</v>
      </c>
    </row>
    <row r="26" spans="1:10" x14ac:dyDescent="0.25">
      <c r="A26" s="1" t="s">
        <v>30</v>
      </c>
      <c r="B26" s="1" t="s">
        <v>38</v>
      </c>
      <c r="C26" s="3">
        <f t="shared" ref="C26:C28" si="1">J26</f>
        <v>1.3625</v>
      </c>
      <c r="D26" s="11">
        <v>3</v>
      </c>
      <c r="F26" t="str">
        <f t="shared" si="0"/>
        <v>$$K_E$$</v>
      </c>
      <c r="H26">
        <v>1.5</v>
      </c>
      <c r="I26">
        <v>0.95</v>
      </c>
      <c r="J26" s="5">
        <f>H26+($C$2-$H$23)*(I26-H26)/($I$23-$H$23)</f>
        <v>1.3625</v>
      </c>
    </row>
    <row r="27" spans="1:10" x14ac:dyDescent="0.25">
      <c r="A27" s="1" t="s">
        <v>81</v>
      </c>
      <c r="B27" s="1" t="s">
        <v>39</v>
      </c>
      <c r="C27" s="3">
        <f t="shared" si="1"/>
        <v>2.7</v>
      </c>
      <c r="D27" s="11">
        <v>1</v>
      </c>
      <c r="F27" t="str">
        <f t="shared" si="0"/>
        <v>$$K_CV$$</v>
      </c>
      <c r="H27">
        <v>2.9</v>
      </c>
      <c r="I27">
        <v>2.1</v>
      </c>
      <c r="J27" s="5">
        <f>H27+($C$2-$H$23)*(I27-H27)/($I$23-$H$23)</f>
        <v>2.7</v>
      </c>
    </row>
    <row r="28" spans="1:10" x14ac:dyDescent="0.25">
      <c r="A28" s="1" t="s">
        <v>31</v>
      </c>
      <c r="B28" s="1" t="s">
        <v>40</v>
      </c>
      <c r="C28" s="3">
        <f t="shared" si="1"/>
        <v>7.875</v>
      </c>
      <c r="D28" s="1">
        <v>2</v>
      </c>
      <c r="F28" t="str">
        <f t="shared" si="0"/>
        <v>$$K_GV$$</v>
      </c>
      <c r="H28">
        <v>8.1999999999999993</v>
      </c>
      <c r="I28">
        <v>6.9</v>
      </c>
      <c r="J28" s="5">
        <f>H28+($C$2-$H$23)*(I28-H28)/($I$23-$H$23)</f>
        <v>7.875</v>
      </c>
    </row>
    <row r="29" spans="1:10" x14ac:dyDescent="0.25">
      <c r="A29" s="1" t="s">
        <v>34</v>
      </c>
      <c r="B29" s="1" t="s">
        <v>41</v>
      </c>
      <c r="C29" s="3">
        <f>($C$7*C5)/($C$6*0.85*($C$2/12))</f>
        <v>34.569820971867003</v>
      </c>
      <c r="D29" s="1">
        <v>1</v>
      </c>
      <c r="F29" t="str">
        <f t="shared" si="0"/>
        <v>$$K_PL$$</v>
      </c>
      <c r="J29" s="5"/>
    </row>
    <row r="30" spans="1:10" x14ac:dyDescent="0.25">
      <c r="A30" s="8" t="s">
        <v>35</v>
      </c>
      <c r="B30" s="8" t="s">
        <v>42</v>
      </c>
      <c r="C30" s="9">
        <f>SUMPRODUCT(C24:C29,D24:D29)</f>
        <v>59.727320971867002</v>
      </c>
      <c r="D30" s="8" t="s">
        <v>9</v>
      </c>
      <c r="F30" t="str">
        <f t="shared" si="0"/>
        <v>$$K$$</v>
      </c>
      <c r="J30" s="5"/>
    </row>
    <row r="31" spans="1:10" x14ac:dyDescent="0.25">
      <c r="B31" s="1" t="s">
        <v>84</v>
      </c>
      <c r="C31" s="3">
        <f>($C$7*5)/($C$6*0.15*($C$2/12))</f>
        <v>17.808695652173913</v>
      </c>
      <c r="D31" s="1">
        <v>1</v>
      </c>
      <c r="F31" t="str">
        <f>_xlfn.CONCAT("$", B31, "$")</f>
        <v>$K_RV$</v>
      </c>
      <c r="J31" s="5"/>
    </row>
    <row r="32" spans="1:10" x14ac:dyDescent="0.25">
      <c r="C32" s="4"/>
    </row>
    <row r="33" spans="1:6" x14ac:dyDescent="0.25">
      <c r="A33" s="7" t="s">
        <v>0</v>
      </c>
      <c r="B33" s="7" t="s">
        <v>1</v>
      </c>
      <c r="C33" s="7" t="s">
        <v>2</v>
      </c>
      <c r="D33" s="7" t="s">
        <v>3</v>
      </c>
      <c r="F33" t="str">
        <f t="shared" si="0"/>
        <v>$Symbol$</v>
      </c>
    </row>
    <row r="34" spans="1:6" x14ac:dyDescent="0.25">
      <c r="A34" s="1" t="s">
        <v>57</v>
      </c>
      <c r="B34" s="1" t="s">
        <v>54</v>
      </c>
      <c r="C34" s="3">
        <f>C3*62.42</f>
        <v>54.6175</v>
      </c>
      <c r="D34" s="6" t="s">
        <v>52</v>
      </c>
      <c r="F34" t="str">
        <f t="shared" si="0"/>
        <v>$$gamma$$</v>
      </c>
    </row>
    <row r="35" spans="1:6" ht="14.25" customHeight="1" x14ac:dyDescent="0.25">
      <c r="A35" s="1" t="s">
        <v>47</v>
      </c>
      <c r="B35" s="1" t="s">
        <v>90</v>
      </c>
      <c r="C35" s="3">
        <f>(C30*C16^2)/(2*32.174)</f>
        <v>114.64495208424211</v>
      </c>
      <c r="D35" s="1" t="s">
        <v>15</v>
      </c>
      <c r="F35" t="str">
        <f t="shared" si="0"/>
        <v>$$h_Lc$$</v>
      </c>
    </row>
    <row r="36" spans="1:6" ht="14.25" customHeight="1" x14ac:dyDescent="0.25">
      <c r="B36" s="1" t="s">
        <v>87</v>
      </c>
      <c r="C36" s="3">
        <f>(C31*(C17^2))/(2*32.174)</f>
        <v>1.0645319010397041</v>
      </c>
      <c r="F36" t="str">
        <f t="shared" si="0"/>
        <v>$H_L_RV$</v>
      </c>
    </row>
    <row r="37" spans="1:6" x14ac:dyDescent="0.25">
      <c r="A37" s="8" t="s">
        <v>53</v>
      </c>
      <c r="B37" s="8" t="s">
        <v>56</v>
      </c>
      <c r="C37" s="9">
        <f>((C34)/144)*(C35+C36)+C8+C9</f>
        <v>89.387241260875896</v>
      </c>
      <c r="D37" s="8" t="s">
        <v>44</v>
      </c>
      <c r="F37" t="str">
        <f t="shared" si="0"/>
        <v>$$P_L$$</v>
      </c>
    </row>
    <row r="38" spans="1:6" x14ac:dyDescent="0.25">
      <c r="C38" s="3"/>
      <c r="F38" t="str">
        <f t="shared" si="0"/>
        <v>$$</v>
      </c>
    </row>
    <row r="39" spans="1:6" x14ac:dyDescent="0.25">
      <c r="C39" s="4"/>
    </row>
    <row r="40" spans="1:6" x14ac:dyDescent="0.25">
      <c r="A40" s="7" t="s">
        <v>0</v>
      </c>
      <c r="B40" s="7" t="s">
        <v>1</v>
      </c>
      <c r="C40" s="7" t="s">
        <v>2</v>
      </c>
      <c r="D40" s="7" t="s">
        <v>3</v>
      </c>
    </row>
    <row r="41" spans="1:6" x14ac:dyDescent="0.25">
      <c r="A41" s="1" t="str">
        <f>A29</f>
        <v>Pipe loss</v>
      </c>
      <c r="B41" s="1" t="str">
        <f t="shared" ref="B41:C42" si="2">B29</f>
        <v>$K_PL$</v>
      </c>
      <c r="C41" s="3">
        <f t="shared" si="2"/>
        <v>34.569820971867003</v>
      </c>
      <c r="D41" s="1" t="s">
        <v>9</v>
      </c>
    </row>
    <row r="42" spans="1:6" x14ac:dyDescent="0.25">
      <c r="A42" s="1" t="str">
        <f>A30</f>
        <v>Sum</v>
      </c>
      <c r="B42" s="1" t="str">
        <f t="shared" si="2"/>
        <v>$K$</v>
      </c>
      <c r="C42" s="3">
        <f t="shared" si="2"/>
        <v>59.727320971867002</v>
      </c>
      <c r="D42" s="1" t="s">
        <v>9</v>
      </c>
    </row>
    <row r="43" spans="1:6" x14ac:dyDescent="0.25">
      <c r="B43" s="1" t="s">
        <v>84</v>
      </c>
      <c r="C43" s="3">
        <f>C31</f>
        <v>17.808695652173913</v>
      </c>
    </row>
    <row r="44" spans="1:6" x14ac:dyDescent="0.25">
      <c r="A44" s="1" t="str">
        <f>A35</f>
        <v>Head loss</v>
      </c>
      <c r="B44" s="1" t="str">
        <f t="shared" ref="B44:D44" si="3">B35</f>
        <v>$h_Lc$</v>
      </c>
      <c r="C44" s="3">
        <f t="shared" si="3"/>
        <v>114.64495208424211</v>
      </c>
      <c r="D44" s="1" t="str">
        <f t="shared" si="3"/>
        <v>ft</v>
      </c>
    </row>
    <row r="45" spans="1:6" x14ac:dyDescent="0.25">
      <c r="B45" s="1" t="s">
        <v>91</v>
      </c>
      <c r="C45" s="3">
        <f>C36</f>
        <v>1.0645319010397041</v>
      </c>
    </row>
    <row r="46" spans="1:6" x14ac:dyDescent="0.25">
      <c r="A46" s="8" t="str">
        <f>A37</f>
        <v>Pressure loss</v>
      </c>
      <c r="B46" s="8" t="str">
        <f>B37</f>
        <v>$P_L$</v>
      </c>
      <c r="C46" s="9">
        <f>C37</f>
        <v>89.387241260875896</v>
      </c>
      <c r="D46" s="8" t="str">
        <f>D37</f>
        <v>psi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7" sqref="D17"/>
    </sheetView>
  </sheetViews>
  <sheetFormatPr defaultRowHeight="15" x14ac:dyDescent="0.25"/>
  <cols>
    <col min="1" max="1" width="32.42578125" style="1" customWidth="1"/>
    <col min="2" max="2" width="9.28515625" style="1" customWidth="1"/>
    <col min="3" max="3" width="12" style="1" customWidth="1"/>
    <col min="4" max="4" width="10.855468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s="1" t="s">
        <v>4</v>
      </c>
      <c r="B2" s="1" t="s">
        <v>59</v>
      </c>
      <c r="C2" s="1">
        <v>50</v>
      </c>
      <c r="D2" s="1" t="s">
        <v>58</v>
      </c>
    </row>
    <row r="3" spans="1:6" x14ac:dyDescent="0.25">
      <c r="A3" s="1" t="s">
        <v>60</v>
      </c>
      <c r="B3" s="1" t="s">
        <v>61</v>
      </c>
      <c r="C3" s="1">
        <v>210</v>
      </c>
      <c r="D3" s="1" t="s">
        <v>62</v>
      </c>
    </row>
    <row r="4" spans="1:6" x14ac:dyDescent="0.25">
      <c r="A4" s="1" t="s">
        <v>63</v>
      </c>
      <c r="B4" s="1" t="s">
        <v>64</v>
      </c>
      <c r="C4" s="1">
        <v>1700</v>
      </c>
      <c r="D4" s="1" t="s">
        <v>65</v>
      </c>
    </row>
    <row r="5" spans="1:6" x14ac:dyDescent="0.25">
      <c r="C5" s="1">
        <v>90</v>
      </c>
    </row>
    <row r="7" spans="1:6" x14ac:dyDescent="0.25">
      <c r="A7" s="7" t="s">
        <v>0</v>
      </c>
      <c r="B7" s="7" t="s">
        <v>1</v>
      </c>
      <c r="C7" s="7" t="s">
        <v>2</v>
      </c>
      <c r="D7" s="7" t="s">
        <v>3</v>
      </c>
    </row>
    <row r="8" spans="1:6" x14ac:dyDescent="0.25">
      <c r="A8" s="1" t="s">
        <v>66</v>
      </c>
      <c r="B8" s="1" t="s">
        <v>74</v>
      </c>
      <c r="C8" s="1">
        <v>50</v>
      </c>
      <c r="D8" s="1" t="s">
        <v>58</v>
      </c>
      <c r="F8" t="str">
        <f>_xlfn.CONCAT("$",B8,"$")</f>
        <v>$$Q_T$$</v>
      </c>
    </row>
    <row r="9" spans="1:6" x14ac:dyDescent="0.25">
      <c r="A9" s="1" t="s">
        <v>67</v>
      </c>
      <c r="B9" s="1" t="s">
        <v>75</v>
      </c>
      <c r="C9" s="10">
        <f>(C8/1000)/C4</f>
        <v>2.9411764705882354E-5</v>
      </c>
      <c r="D9" s="1" t="s">
        <v>68</v>
      </c>
      <c r="F9" t="str">
        <f t="shared" ref="F9:F20" si="0">_xlfn.CONCAT("$",B9,"$")</f>
        <v>$$V_D$$</v>
      </c>
    </row>
    <row r="10" spans="1:6" x14ac:dyDescent="0.25">
      <c r="C10" s="10"/>
    </row>
    <row r="11" spans="1:6" x14ac:dyDescent="0.25">
      <c r="C11" s="10"/>
    </row>
    <row r="12" spans="1:6" x14ac:dyDescent="0.25">
      <c r="C12" s="10"/>
    </row>
    <row r="13" spans="1:6" x14ac:dyDescent="0.25">
      <c r="C13" s="10"/>
    </row>
    <row r="14" spans="1:6" x14ac:dyDescent="0.25">
      <c r="A14" s="7" t="s">
        <v>0</v>
      </c>
      <c r="B14" s="7" t="s">
        <v>1</v>
      </c>
      <c r="C14" s="7" t="s">
        <v>2</v>
      </c>
      <c r="D14" s="7" t="s">
        <v>3</v>
      </c>
    </row>
    <row r="15" spans="1:6" x14ac:dyDescent="0.25">
      <c r="A15" s="1" t="s">
        <v>66</v>
      </c>
      <c r="B15" s="1" t="s">
        <v>74</v>
      </c>
      <c r="C15" s="1">
        <v>54</v>
      </c>
      <c r="D15" s="1" t="s">
        <v>58</v>
      </c>
    </row>
    <row r="16" spans="1:6" x14ac:dyDescent="0.25">
      <c r="A16" s="1" t="s">
        <v>63</v>
      </c>
      <c r="B16" s="1" t="s">
        <v>76</v>
      </c>
      <c r="C16" s="3">
        <f>PI()*C4/30</f>
        <v>178.02358370342159</v>
      </c>
      <c r="D16" s="1" t="s">
        <v>71</v>
      </c>
    </row>
    <row r="17" spans="1:6" x14ac:dyDescent="0.25">
      <c r="A17" s="1" t="s">
        <v>67</v>
      </c>
      <c r="B17" s="1" t="s">
        <v>75</v>
      </c>
      <c r="C17" s="10">
        <f>(C15/1000)/C4</f>
        <v>3.1764705882352938E-5</v>
      </c>
      <c r="D17" s="1" t="s">
        <v>68</v>
      </c>
      <c r="F17" t="str">
        <f t="shared" si="0"/>
        <v>$$V_D$$</v>
      </c>
    </row>
    <row r="18" spans="1:6" x14ac:dyDescent="0.25">
      <c r="A18" s="1" t="s">
        <v>70</v>
      </c>
      <c r="B18" s="1" t="s">
        <v>77</v>
      </c>
      <c r="C18" s="3">
        <f>(C3*100000)*C17/(2*PI())</f>
        <v>106.16570909777018</v>
      </c>
      <c r="D18" s="1" t="s">
        <v>69</v>
      </c>
      <c r="F18" t="str">
        <f t="shared" si="0"/>
        <v>$$T_T$$</v>
      </c>
    </row>
    <row r="19" spans="1:6" x14ac:dyDescent="0.25">
      <c r="A19" s="1" t="s">
        <v>70</v>
      </c>
      <c r="B19" s="1" t="s">
        <v>78</v>
      </c>
      <c r="C19" s="3">
        <f>C18/(C5/100)</f>
        <v>117.96189899752241</v>
      </c>
      <c r="D19" s="1" t="s">
        <v>69</v>
      </c>
      <c r="F19" t="str">
        <f t="shared" si="0"/>
        <v>$$T_A$$</v>
      </c>
    </row>
    <row r="20" spans="1:6" x14ac:dyDescent="0.25">
      <c r="A20" s="1" t="s">
        <v>73</v>
      </c>
      <c r="B20" s="1" t="s">
        <v>79</v>
      </c>
      <c r="C20" s="3">
        <f>C16*C19/745.699872</f>
        <v>28.161463865719956</v>
      </c>
      <c r="D20" s="1" t="s">
        <v>72</v>
      </c>
      <c r="F20" t="str">
        <f t="shared" si="0"/>
        <v>$$P$$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Q1A</vt:lpstr>
      <vt:lpstr>Q1B</vt:lpstr>
      <vt:lpstr>Q2A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Blanchet</dc:creator>
  <cp:lastModifiedBy>Sebastien Blanchet</cp:lastModifiedBy>
  <dcterms:created xsi:type="dcterms:W3CDTF">2017-06-19T14:57:41Z</dcterms:created>
  <dcterms:modified xsi:type="dcterms:W3CDTF">2017-06-20T14:42:06Z</dcterms:modified>
</cp:coreProperties>
</file>