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uerreronunez/Desktop/Seba/Universidad/2020-1/Banca de Inversiones/Banca-de-Inversiones/"/>
    </mc:Choice>
  </mc:AlternateContent>
  <xr:revisionPtr revIDLastSave="0" documentId="13_ncr:1_{6B157ECA-6210-4A4F-8A58-363A4C496BEE}" xr6:coauthVersionLast="45" xr6:coauthVersionMax="45" xr10:uidLastSave="{00000000-0000-0000-0000-000000000000}"/>
  <bookViews>
    <workbookView xWindow="0" yWindow="0" windowWidth="33600" windowHeight="21000" activeTab="8" xr2:uid="{20AA55B2-BE43-E14B-A8F4-38961449886A}"/>
  </bookViews>
  <sheets>
    <sheet name="Cover" sheetId="1" r:id="rId1"/>
    <sheet name="Supuestos" sheetId="2" r:id="rId2"/>
    <sheet name="Ventas" sheetId="3" r:id="rId3"/>
    <sheet name="Costos" sheetId="10" r:id="rId4"/>
    <sheet name="Calculos" sheetId="4" r:id="rId5"/>
    <sheet name="Deuda y Patrimonio" sheetId="5" r:id="rId6"/>
    <sheet name="EERR" sheetId="6" r:id="rId7"/>
    <sheet name="Balance" sheetId="7" r:id="rId8"/>
    <sheet name="EFE" sheetId="8" r:id="rId9"/>
    <sheet name="Rati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9" l="1"/>
  <c r="G30" i="9"/>
  <c r="H30" i="9"/>
  <c r="I30" i="9"/>
  <c r="F30" i="9"/>
  <c r="G24" i="9"/>
  <c r="H24" i="9"/>
  <c r="I24" i="9"/>
  <c r="F24" i="9"/>
  <c r="G23" i="9"/>
  <c r="H23" i="9"/>
  <c r="I23" i="9"/>
  <c r="J23" i="9"/>
  <c r="K23" i="9"/>
  <c r="L23" i="9"/>
  <c r="M23" i="9"/>
  <c r="N23" i="9"/>
  <c r="O23" i="9"/>
  <c r="J22" i="9"/>
  <c r="K22" i="9"/>
  <c r="L22" i="9"/>
  <c r="M22" i="9"/>
  <c r="N22" i="9"/>
  <c r="O22" i="9"/>
  <c r="P22" i="9"/>
  <c r="J21" i="9"/>
  <c r="J38" i="9" s="1"/>
  <c r="K21" i="9"/>
  <c r="K38" i="9" s="1"/>
  <c r="L21" i="9"/>
  <c r="L38" i="9" s="1"/>
  <c r="M21" i="9"/>
  <c r="M38" i="9" s="1"/>
  <c r="N21" i="9"/>
  <c r="N38" i="9" s="1"/>
  <c r="O21" i="9"/>
  <c r="O38" i="9" s="1"/>
  <c r="P21" i="9"/>
  <c r="P38" i="9" s="1"/>
  <c r="G20" i="9"/>
  <c r="H20" i="9"/>
  <c r="I20" i="9"/>
  <c r="J20" i="9"/>
  <c r="K20" i="9"/>
  <c r="K31" i="9" s="1"/>
  <c r="L20" i="9"/>
  <c r="L31" i="9" s="1"/>
  <c r="M20" i="9"/>
  <c r="M31" i="9" s="1"/>
  <c r="N20" i="9"/>
  <c r="N31" i="9" s="1"/>
  <c r="O20" i="9"/>
  <c r="O31" i="9" s="1"/>
  <c r="P20" i="9"/>
  <c r="P23" i="9" s="1"/>
  <c r="F20" i="9"/>
  <c r="F19" i="9"/>
  <c r="H19" i="9"/>
  <c r="I19" i="9"/>
  <c r="J19" i="9"/>
  <c r="K19" i="9"/>
  <c r="L19" i="9"/>
  <c r="M19" i="9"/>
  <c r="N19" i="9"/>
  <c r="O19" i="9"/>
  <c r="P19" i="9"/>
  <c r="G19" i="9"/>
  <c r="G14" i="9"/>
  <c r="H14" i="9"/>
  <c r="I14" i="9"/>
  <c r="F14" i="9"/>
  <c r="K9" i="9"/>
  <c r="L9" i="9"/>
  <c r="M9" i="9"/>
  <c r="N9" i="9"/>
  <c r="O9" i="9"/>
  <c r="P9" i="9"/>
  <c r="K8" i="9"/>
  <c r="L8" i="9"/>
  <c r="M8" i="9"/>
  <c r="N8" i="9"/>
  <c r="O8" i="9"/>
  <c r="P8" i="9"/>
  <c r="H7" i="9"/>
  <c r="I7" i="9"/>
  <c r="J7" i="9"/>
  <c r="K7" i="9"/>
  <c r="L7" i="9"/>
  <c r="M7" i="9"/>
  <c r="N7" i="9"/>
  <c r="O7" i="9"/>
  <c r="P7" i="9"/>
  <c r="G7" i="9"/>
  <c r="H6" i="9"/>
  <c r="I6" i="9"/>
  <c r="G6" i="9"/>
  <c r="P31" i="9" l="1"/>
  <c r="F23" i="9"/>
  <c r="I38" i="8"/>
  <c r="I31" i="8"/>
  <c r="I19" i="8"/>
  <c r="J8" i="9" s="1"/>
  <c r="J19" i="7"/>
  <c r="I40" i="8" l="1"/>
  <c r="I42" i="8" s="1"/>
  <c r="I45" i="8" s="1"/>
  <c r="J44" i="8" s="1"/>
  <c r="J18" i="7"/>
  <c r="K18" i="7" s="1"/>
  <c r="L18" i="7" s="1"/>
  <c r="M18" i="7" s="1"/>
  <c r="N18" i="7" s="1"/>
  <c r="O18" i="7" s="1"/>
  <c r="P18" i="7" s="1"/>
  <c r="H36" i="2"/>
  <c r="I36" i="2"/>
  <c r="G36" i="2"/>
  <c r="K19" i="7"/>
  <c r="L19" i="7"/>
  <c r="M19" i="7"/>
  <c r="N19" i="7"/>
  <c r="O19" i="7"/>
  <c r="P19" i="7"/>
  <c r="K17" i="7"/>
  <c r="L17" i="7"/>
  <c r="M17" i="7"/>
  <c r="N17" i="7"/>
  <c r="O17" i="7"/>
  <c r="P17" i="7"/>
  <c r="J17" i="7"/>
  <c r="K15" i="7"/>
  <c r="L15" i="7"/>
  <c r="M15" i="7"/>
  <c r="N15" i="7"/>
  <c r="O15" i="7"/>
  <c r="P15" i="7"/>
  <c r="J15" i="7"/>
  <c r="K14" i="7"/>
  <c r="L14" i="7"/>
  <c r="M14" i="7"/>
  <c r="N14" i="7"/>
  <c r="O14" i="7"/>
  <c r="P14" i="7"/>
  <c r="J14" i="7"/>
  <c r="F28" i="2"/>
  <c r="G28" i="2"/>
  <c r="H28" i="2"/>
  <c r="I28" i="2"/>
  <c r="F41" i="2"/>
  <c r="G41" i="2"/>
  <c r="H41" i="2"/>
  <c r="I41" i="2"/>
  <c r="F42" i="2"/>
  <c r="G42" i="2"/>
  <c r="H42" i="2"/>
  <c r="I42" i="2"/>
  <c r="F48" i="2"/>
  <c r="G48" i="2"/>
  <c r="H48" i="2"/>
  <c r="I48" i="2"/>
  <c r="G31" i="2"/>
  <c r="H31" i="2"/>
  <c r="I31" i="2"/>
  <c r="F31" i="2"/>
  <c r="G24" i="2"/>
  <c r="H24" i="2"/>
  <c r="I24" i="2"/>
  <c r="F24" i="2"/>
  <c r="K5" i="7"/>
  <c r="L5" i="7"/>
  <c r="M5" i="7"/>
  <c r="N5" i="7"/>
  <c r="O5" i="7"/>
  <c r="P5" i="7"/>
  <c r="K13" i="7"/>
  <c r="L13" i="7"/>
  <c r="M13" i="7"/>
  <c r="N13" i="7"/>
  <c r="O13" i="7"/>
  <c r="P13" i="7"/>
  <c r="J13" i="7"/>
  <c r="J5" i="7"/>
  <c r="G9" i="10"/>
  <c r="H9" i="10"/>
  <c r="I9" i="10"/>
  <c r="F9" i="10"/>
  <c r="G7" i="10"/>
  <c r="H7" i="10"/>
  <c r="I7" i="10"/>
  <c r="F7" i="10"/>
  <c r="J7" i="10" l="1"/>
  <c r="K9" i="10"/>
  <c r="N9" i="10"/>
  <c r="L9" i="10"/>
  <c r="O9" i="10"/>
  <c r="M9" i="10"/>
  <c r="L7" i="10"/>
  <c r="J9" i="10"/>
  <c r="P9" i="10"/>
  <c r="K7" i="10"/>
  <c r="M7" i="10"/>
  <c r="O7" i="10"/>
  <c r="N7" i="10"/>
  <c r="P7" i="10"/>
  <c r="I47" i="7" l="1"/>
  <c r="I56" i="2" s="1"/>
  <c r="F47" i="7"/>
  <c r="F56" i="2" s="1"/>
  <c r="G31" i="6"/>
  <c r="H31" i="6"/>
  <c r="I31" i="6"/>
  <c r="F31" i="6"/>
  <c r="G8" i="4" l="1"/>
  <c r="H8" i="4"/>
  <c r="I8" i="4"/>
  <c r="F8" i="4"/>
  <c r="G9" i="4"/>
  <c r="H6" i="4" s="1"/>
  <c r="H9" i="4"/>
  <c r="I6" i="4" s="1"/>
  <c r="I9" i="4"/>
  <c r="J6" i="4" s="1"/>
  <c r="F9" i="4"/>
  <c r="G6" i="4" s="1"/>
  <c r="G9" i="2"/>
  <c r="H9" i="2"/>
  <c r="I9" i="2"/>
  <c r="F9" i="2"/>
  <c r="G8" i="2"/>
  <c r="H8" i="2"/>
  <c r="I8" i="2"/>
  <c r="F8" i="2"/>
  <c r="G6" i="2"/>
  <c r="H6" i="2"/>
  <c r="I6" i="2"/>
  <c r="F6" i="2"/>
  <c r="J14" i="6"/>
  <c r="J24" i="9" s="1"/>
  <c r="K14" i="6"/>
  <c r="K24" i="9" s="1"/>
  <c r="L14" i="6"/>
  <c r="L24" i="9" s="1"/>
  <c r="M14" i="6"/>
  <c r="M24" i="9" s="1"/>
  <c r="N14" i="6"/>
  <c r="N24" i="9" s="1"/>
  <c r="O14" i="6"/>
  <c r="O24" i="9" s="1"/>
  <c r="P14" i="6"/>
  <c r="P24" i="9" s="1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K13" i="6"/>
  <c r="L13" i="6"/>
  <c r="M13" i="6"/>
  <c r="N13" i="6"/>
  <c r="O13" i="6"/>
  <c r="P13" i="6"/>
  <c r="J13" i="6"/>
  <c r="K8" i="6"/>
  <c r="L8" i="6"/>
  <c r="M8" i="6"/>
  <c r="N8" i="6"/>
  <c r="O8" i="6"/>
  <c r="P8" i="6"/>
  <c r="J8" i="6"/>
  <c r="B1" i="10"/>
  <c r="F30" i="3"/>
  <c r="G30" i="3"/>
  <c r="G31" i="3" s="1"/>
  <c r="H30" i="3"/>
  <c r="H31" i="3" s="1"/>
  <c r="F13" i="3"/>
  <c r="G13" i="3"/>
  <c r="I13" i="3"/>
  <c r="H13" i="3"/>
  <c r="I30" i="3"/>
  <c r="F57" i="2"/>
  <c r="G57" i="2"/>
  <c r="H57" i="2"/>
  <c r="I57" i="2"/>
  <c r="F54" i="2"/>
  <c r="G54" i="2"/>
  <c r="H54" i="2"/>
  <c r="I54" i="2"/>
  <c r="F55" i="2"/>
  <c r="G55" i="2"/>
  <c r="H55" i="2"/>
  <c r="I55" i="2"/>
  <c r="G53" i="2"/>
  <c r="H53" i="2"/>
  <c r="I53" i="2"/>
  <c r="F53" i="2"/>
  <c r="G51" i="2"/>
  <c r="H51" i="2"/>
  <c r="I51" i="2"/>
  <c r="F51" i="2"/>
  <c r="G50" i="2"/>
  <c r="H50" i="2"/>
  <c r="I50" i="2"/>
  <c r="F50" i="2"/>
  <c r="G49" i="2"/>
  <c r="H49" i="2"/>
  <c r="I49" i="2"/>
  <c r="F49" i="2"/>
  <c r="G47" i="2"/>
  <c r="H47" i="2"/>
  <c r="I47" i="2"/>
  <c r="F47" i="2"/>
  <c r="G45" i="2"/>
  <c r="H45" i="2"/>
  <c r="I45" i="2"/>
  <c r="F45" i="2"/>
  <c r="G43" i="2"/>
  <c r="H43" i="2"/>
  <c r="I43" i="2"/>
  <c r="F43" i="2"/>
  <c r="G44" i="2"/>
  <c r="H44" i="2"/>
  <c r="I44" i="2"/>
  <c r="F44" i="2"/>
  <c r="G40" i="2"/>
  <c r="H40" i="2"/>
  <c r="I40" i="2"/>
  <c r="F40" i="2"/>
  <c r="I38" i="2"/>
  <c r="H38" i="2"/>
  <c r="G38" i="2"/>
  <c r="F38" i="2"/>
  <c r="G11" i="2"/>
  <c r="H11" i="2"/>
  <c r="I11" i="2"/>
  <c r="F12" i="2"/>
  <c r="G12" i="2"/>
  <c r="H12" i="2"/>
  <c r="I12" i="2"/>
  <c r="F13" i="2"/>
  <c r="G13" i="2"/>
  <c r="H13" i="2"/>
  <c r="I13" i="2"/>
  <c r="G37" i="2"/>
  <c r="H37" i="2"/>
  <c r="I37" i="2"/>
  <c r="F37" i="2"/>
  <c r="F34" i="2"/>
  <c r="G34" i="2"/>
  <c r="H34" i="2"/>
  <c r="I34" i="2"/>
  <c r="G27" i="2"/>
  <c r="H27" i="2"/>
  <c r="I27" i="2"/>
  <c r="F27" i="2"/>
  <c r="G26" i="2"/>
  <c r="H26" i="2"/>
  <c r="I26" i="2"/>
  <c r="F26" i="2"/>
  <c r="G25" i="2"/>
  <c r="H25" i="2"/>
  <c r="I25" i="2"/>
  <c r="F25" i="2"/>
  <c r="F11" i="2"/>
  <c r="G10" i="2"/>
  <c r="H10" i="2"/>
  <c r="I10" i="2"/>
  <c r="F10" i="2"/>
  <c r="I31" i="3" l="1"/>
  <c r="I14" i="3"/>
  <c r="I15" i="3" s="1"/>
  <c r="G14" i="3"/>
  <c r="G15" i="3" s="1"/>
  <c r="J16" i="3" s="1"/>
  <c r="J8" i="2"/>
  <c r="H14" i="3"/>
  <c r="H15" i="3" s="1"/>
  <c r="J15" i="3"/>
  <c r="M8" i="2"/>
  <c r="L8" i="2"/>
  <c r="P8" i="2"/>
  <c r="K8" i="2"/>
  <c r="N8" i="2"/>
  <c r="O8" i="2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F23" i="4"/>
  <c r="F24" i="4"/>
  <c r="F25" i="4"/>
  <c r="F26" i="4"/>
  <c r="F22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F18" i="4"/>
  <c r="F19" i="4"/>
  <c r="F17" i="4"/>
  <c r="F16" i="4"/>
  <c r="F15" i="4"/>
  <c r="F27" i="4" l="1"/>
  <c r="F20" i="4"/>
  <c r="F29" i="4" s="1"/>
  <c r="F29" i="9" s="1"/>
  <c r="G27" i="4"/>
  <c r="I27" i="4"/>
  <c r="H27" i="4"/>
  <c r="H20" i="4"/>
  <c r="H29" i="4" s="1"/>
  <c r="H29" i="9" s="1"/>
  <c r="G20" i="4"/>
  <c r="I20" i="4"/>
  <c r="J18" i="3"/>
  <c r="K15" i="3"/>
  <c r="L16" i="3" s="1"/>
  <c r="K16" i="3"/>
  <c r="G6" i="6"/>
  <c r="G11" i="6" s="1"/>
  <c r="H6" i="6"/>
  <c r="H11" i="6" s="1"/>
  <c r="I6" i="6"/>
  <c r="I11" i="6" s="1"/>
  <c r="F6" i="6"/>
  <c r="F11" i="6" s="1"/>
  <c r="G47" i="7"/>
  <c r="G56" i="2" s="1"/>
  <c r="H47" i="7"/>
  <c r="H56" i="2" s="1"/>
  <c r="G40" i="7"/>
  <c r="H40" i="7"/>
  <c r="I40" i="7"/>
  <c r="F40" i="7"/>
  <c r="G33" i="7"/>
  <c r="H33" i="7"/>
  <c r="H42" i="7" s="1"/>
  <c r="I33" i="7"/>
  <c r="F33" i="7"/>
  <c r="G22" i="7"/>
  <c r="H22" i="7"/>
  <c r="I22" i="7"/>
  <c r="F22" i="7"/>
  <c r="G11" i="7"/>
  <c r="H11" i="7"/>
  <c r="I11" i="7"/>
  <c r="F11" i="7"/>
  <c r="G17" i="6" l="1"/>
  <c r="G15" i="2" s="1"/>
  <c r="G13" i="9"/>
  <c r="G36" i="9"/>
  <c r="H24" i="7"/>
  <c r="F17" i="6"/>
  <c r="F15" i="2" s="1"/>
  <c r="F36" i="9" s="1"/>
  <c r="F13" i="9"/>
  <c r="G24" i="7"/>
  <c r="I17" i="6"/>
  <c r="I15" i="2" s="1"/>
  <c r="I36" i="9" s="1"/>
  <c r="I13" i="9"/>
  <c r="H17" i="6"/>
  <c r="H15" i="2" s="1"/>
  <c r="H36" i="9" s="1"/>
  <c r="H13" i="9"/>
  <c r="G42" i="7"/>
  <c r="F24" i="7"/>
  <c r="F42" i="7"/>
  <c r="I42" i="7"/>
  <c r="I29" i="4"/>
  <c r="I29" i="9" s="1"/>
  <c r="J19" i="3"/>
  <c r="J17" i="3"/>
  <c r="J4" i="6" s="1"/>
  <c r="F20" i="6"/>
  <c r="G20" i="6"/>
  <c r="F49" i="7"/>
  <c r="I49" i="7"/>
  <c r="H49" i="7"/>
  <c r="H21" i="9" s="1"/>
  <c r="H51" i="7"/>
  <c r="G49" i="7"/>
  <c r="I24" i="7"/>
  <c r="G29" i="4"/>
  <c r="G29" i="9" s="1"/>
  <c r="L15" i="3"/>
  <c r="K18" i="3"/>
  <c r="K17" i="3" s="1"/>
  <c r="M15" i="3"/>
  <c r="M16" i="3"/>
  <c r="B1" i="3"/>
  <c r="B1" i="2"/>
  <c r="H20" i="6" l="1"/>
  <c r="J14" i="9"/>
  <c r="J6" i="9"/>
  <c r="J15" i="9"/>
  <c r="J29" i="9"/>
  <c r="J30" i="9"/>
  <c r="J32" i="9"/>
  <c r="G51" i="7"/>
  <c r="G53" i="7" s="1"/>
  <c r="G21" i="9"/>
  <c r="H53" i="7"/>
  <c r="I51" i="7"/>
  <c r="I21" i="9"/>
  <c r="F51" i="7"/>
  <c r="F53" i="7" s="1"/>
  <c r="F21" i="9"/>
  <c r="G23" i="6"/>
  <c r="G25" i="9"/>
  <c r="F23" i="6"/>
  <c r="F25" i="9"/>
  <c r="H22" i="9"/>
  <c r="H31" i="9"/>
  <c r="H32" i="9" s="1"/>
  <c r="I20" i="6"/>
  <c r="J7" i="7"/>
  <c r="J8" i="7"/>
  <c r="J16" i="7"/>
  <c r="J22" i="7" s="1"/>
  <c r="J6" i="7"/>
  <c r="J6" i="10"/>
  <c r="J8" i="10"/>
  <c r="K4" i="6"/>
  <c r="J10" i="6"/>
  <c r="J5" i="6"/>
  <c r="J9" i="6"/>
  <c r="N16" i="3"/>
  <c r="I53" i="7"/>
  <c r="M18" i="3"/>
  <c r="M17" i="3" s="1"/>
  <c r="K19" i="3"/>
  <c r="N15" i="3"/>
  <c r="N18" i="3" s="1"/>
  <c r="N17" i="3" s="1"/>
  <c r="L18" i="3"/>
  <c r="L17" i="3" s="1"/>
  <c r="K15" i="9" l="1"/>
  <c r="K6" i="9"/>
  <c r="K14" i="9"/>
  <c r="K29" i="9"/>
  <c r="K30" i="9"/>
  <c r="K32" i="9"/>
  <c r="G30" i="6"/>
  <c r="G38" i="9"/>
  <c r="G9" i="9"/>
  <c r="G15" i="9"/>
  <c r="G22" i="9"/>
  <c r="G31" i="9"/>
  <c r="H23" i="6"/>
  <c r="H25" i="9"/>
  <c r="F15" i="9"/>
  <c r="F38" i="9"/>
  <c r="F30" i="6"/>
  <c r="I22" i="9"/>
  <c r="I31" i="9"/>
  <c r="H37" i="9"/>
  <c r="F22" i="9"/>
  <c r="F31" i="9"/>
  <c r="I23" i="6"/>
  <c r="I25" i="9"/>
  <c r="K6" i="7"/>
  <c r="K7" i="7"/>
  <c r="K16" i="7"/>
  <c r="K22" i="7" s="1"/>
  <c r="K8" i="7"/>
  <c r="O15" i="3"/>
  <c r="P15" i="3" s="1"/>
  <c r="P18" i="3" s="1"/>
  <c r="J6" i="6"/>
  <c r="J11" i="6" s="1"/>
  <c r="J9" i="7"/>
  <c r="J11" i="7" s="1"/>
  <c r="J24" i="7" s="1"/>
  <c r="J29" i="10"/>
  <c r="K8" i="10"/>
  <c r="K6" i="10"/>
  <c r="K29" i="10" s="1"/>
  <c r="L4" i="6"/>
  <c r="O16" i="3"/>
  <c r="K10" i="6"/>
  <c r="K5" i="6"/>
  <c r="K9" i="6"/>
  <c r="N19" i="3"/>
  <c r="L19" i="3"/>
  <c r="M19" i="3"/>
  <c r="J17" i="6" l="1"/>
  <c r="J19" i="6" s="1"/>
  <c r="J20" i="6" s="1"/>
  <c r="J25" i="9" s="1"/>
  <c r="J13" i="9"/>
  <c r="J36" i="9"/>
  <c r="J37" i="9" s="1"/>
  <c r="L30" i="9"/>
  <c r="L15" i="9"/>
  <c r="L6" i="9"/>
  <c r="L14" i="9"/>
  <c r="L29" i="9"/>
  <c r="L32" i="9"/>
  <c r="I30" i="6"/>
  <c r="I38" i="9"/>
  <c r="I15" i="9"/>
  <c r="I9" i="9"/>
  <c r="J9" i="9"/>
  <c r="F32" i="9"/>
  <c r="F37" i="9"/>
  <c r="G32" i="9"/>
  <c r="G37" i="9"/>
  <c r="I32" i="9"/>
  <c r="I37" i="9"/>
  <c r="P16" i="3"/>
  <c r="P17" i="3" s="1"/>
  <c r="H30" i="6"/>
  <c r="H38" i="9"/>
  <c r="H9" i="9"/>
  <c r="H15" i="9"/>
  <c r="O18" i="3"/>
  <c r="O17" i="3" s="1"/>
  <c r="L9" i="6"/>
  <c r="L6" i="7"/>
  <c r="L7" i="7"/>
  <c r="L8" i="7"/>
  <c r="L16" i="7"/>
  <c r="L22" i="7" s="1"/>
  <c r="K6" i="6"/>
  <c r="K11" i="6" s="1"/>
  <c r="K9" i="7"/>
  <c r="K11" i="7" s="1"/>
  <c r="K24" i="7" s="1"/>
  <c r="M4" i="6"/>
  <c r="M6" i="10"/>
  <c r="L6" i="10"/>
  <c r="L8" i="10"/>
  <c r="L5" i="6"/>
  <c r="L10" i="6"/>
  <c r="O19" i="3"/>
  <c r="M29" i="9" l="1"/>
  <c r="M14" i="9"/>
  <c r="M30" i="9"/>
  <c r="M15" i="9"/>
  <c r="M6" i="9"/>
  <c r="M32" i="9"/>
  <c r="K17" i="6"/>
  <c r="K19" i="6" s="1"/>
  <c r="K20" i="6" s="1"/>
  <c r="K25" i="9" s="1"/>
  <c r="K13" i="9"/>
  <c r="K36" i="9"/>
  <c r="K37" i="9" s="1"/>
  <c r="P19" i="3"/>
  <c r="M9" i="6"/>
  <c r="M5" i="6"/>
  <c r="M6" i="6" s="1"/>
  <c r="M11" i="6" s="1"/>
  <c r="M10" i="6"/>
  <c r="N4" i="6"/>
  <c r="M8" i="10"/>
  <c r="N9" i="6"/>
  <c r="N8" i="7"/>
  <c r="N16" i="7"/>
  <c r="N22" i="7" s="1"/>
  <c r="N6" i="7"/>
  <c r="N7" i="7"/>
  <c r="M16" i="7"/>
  <c r="M22" i="7" s="1"/>
  <c r="M6" i="7"/>
  <c r="M7" i="7"/>
  <c r="M8" i="7"/>
  <c r="L6" i="6"/>
  <c r="L11" i="6" s="1"/>
  <c r="L9" i="7"/>
  <c r="L11" i="7" s="1"/>
  <c r="L24" i="7" s="1"/>
  <c r="N10" i="6"/>
  <c r="N8" i="10"/>
  <c r="N6" i="10"/>
  <c r="O4" i="6"/>
  <c r="N5" i="6"/>
  <c r="L29" i="10"/>
  <c r="M29" i="10"/>
  <c r="M17" i="6" l="1"/>
  <c r="M19" i="6" s="1"/>
  <c r="M20" i="6" s="1"/>
  <c r="M25" i="9" s="1"/>
  <c r="M13" i="9"/>
  <c r="M36" i="9"/>
  <c r="M37" i="9" s="1"/>
  <c r="O6" i="9"/>
  <c r="O14" i="9"/>
  <c r="O29" i="9"/>
  <c r="O15" i="9"/>
  <c r="O30" i="9"/>
  <c r="O32" i="9"/>
  <c r="L17" i="6"/>
  <c r="L19" i="6" s="1"/>
  <c r="L20" i="6" s="1"/>
  <c r="L25" i="9" s="1"/>
  <c r="L13" i="9"/>
  <c r="L36" i="9"/>
  <c r="L37" i="9" s="1"/>
  <c r="M9" i="7"/>
  <c r="N29" i="9"/>
  <c r="N6" i="9"/>
  <c r="N30" i="9"/>
  <c r="N15" i="9"/>
  <c r="N14" i="9"/>
  <c r="N32" i="9"/>
  <c r="M11" i="7"/>
  <c r="M24" i="7" s="1"/>
  <c r="O7" i="7"/>
  <c r="O16" i="7"/>
  <c r="O22" i="7" s="1"/>
  <c r="O6" i="7"/>
  <c r="O8" i="7"/>
  <c r="N6" i="6"/>
  <c r="N9" i="7"/>
  <c r="N11" i="7" s="1"/>
  <c r="N24" i="7" s="1"/>
  <c r="N11" i="6"/>
  <c r="N29" i="10"/>
  <c r="P4" i="6"/>
  <c r="O6" i="10"/>
  <c r="O8" i="10"/>
  <c r="O9" i="6"/>
  <c r="O5" i="6"/>
  <c r="O10" i="6"/>
  <c r="I29" i="10"/>
  <c r="P15" i="9" l="1"/>
  <c r="P14" i="9"/>
  <c r="P6" i="9"/>
  <c r="P29" i="9"/>
  <c r="P30" i="9"/>
  <c r="P32" i="9"/>
  <c r="N17" i="6"/>
  <c r="N19" i="6" s="1"/>
  <c r="N20" i="6" s="1"/>
  <c r="N25" i="9" s="1"/>
  <c r="N36" i="9"/>
  <c r="N37" i="9" s="1"/>
  <c r="N13" i="9"/>
  <c r="P8" i="7"/>
  <c r="P16" i="7"/>
  <c r="P22" i="7" s="1"/>
  <c r="P7" i="7"/>
  <c r="P6" i="7"/>
  <c r="O6" i="6"/>
  <c r="O9" i="7"/>
  <c r="O11" i="7" s="1"/>
  <c r="O24" i="7" s="1"/>
  <c r="O29" i="10"/>
  <c r="O11" i="6"/>
  <c r="P6" i="10"/>
  <c r="P8" i="10"/>
  <c r="P9" i="6"/>
  <c r="P5" i="6"/>
  <c r="P10" i="6"/>
  <c r="O17" i="6" l="1"/>
  <c r="O19" i="6" s="1"/>
  <c r="O20" i="6" s="1"/>
  <c r="O25" i="9" s="1"/>
  <c r="O36" i="9"/>
  <c r="O37" i="9" s="1"/>
  <c r="O13" i="9"/>
  <c r="P6" i="6"/>
  <c r="P9" i="7"/>
  <c r="P11" i="7" s="1"/>
  <c r="P24" i="7" s="1"/>
  <c r="P29" i="10"/>
  <c r="P11" i="6"/>
  <c r="P17" i="6" l="1"/>
  <c r="P19" i="6" s="1"/>
  <c r="P20" i="6" s="1"/>
  <c r="P25" i="9" s="1"/>
  <c r="P36" i="9"/>
  <c r="P37" i="9" s="1"/>
  <c r="P13" i="9"/>
</calcChain>
</file>

<file path=xl/sharedStrings.xml><?xml version="1.0" encoding="utf-8"?>
<sst xmlns="http://schemas.openxmlformats.org/spreadsheetml/2006/main" count="434" uniqueCount="290">
  <si>
    <t>Modelo de Valoración: Engie</t>
  </si>
  <si>
    <t>Profesores:</t>
  </si>
  <si>
    <t>Marco Antonio Sepulveda L.</t>
  </si>
  <si>
    <t>Guillermo Puga G.</t>
  </si>
  <si>
    <t>mnsepulveda@uc.cl</t>
  </si>
  <si>
    <t>jgpuga@uc.cl</t>
  </si>
  <si>
    <t>Integrantes:</t>
  </si>
  <si>
    <t>Sebastián Guerrero N.</t>
  </si>
  <si>
    <t>Isidora Gonzalez B.</t>
  </si>
  <si>
    <t>Roberto Massuh R.</t>
  </si>
  <si>
    <t>Josefina Menchaca T.</t>
  </si>
  <si>
    <t>Benjamin Molina O.</t>
  </si>
  <si>
    <t>jmenchaca@uc.cl</t>
  </si>
  <si>
    <t>itgonzalez@uc.cl</t>
  </si>
  <si>
    <t>saguerrero@uc.cl</t>
  </si>
  <si>
    <t>ramassuh@uc.cl</t>
  </si>
  <si>
    <t>blmolina@uc.cl</t>
  </si>
  <si>
    <t>Nombre Empresa:</t>
  </si>
  <si>
    <t>Engie</t>
  </si>
  <si>
    <t>Supuestos</t>
  </si>
  <si>
    <t>Historico</t>
  </si>
  <si>
    <t>Proyectado</t>
  </si>
  <si>
    <t>Ventas</t>
  </si>
  <si>
    <t>Deuda y Patrimonio</t>
  </si>
  <si>
    <t>Balance</t>
  </si>
  <si>
    <t>EFE</t>
  </si>
  <si>
    <t>Ratios</t>
  </si>
  <si>
    <t xml:space="preserve">Efectivo y equivalentes al efectivo </t>
  </si>
  <si>
    <t xml:space="preserve">Otros activos financieros corrientes </t>
  </si>
  <si>
    <t xml:space="preserve">Otros activos no financieros corrientes </t>
  </si>
  <si>
    <t xml:space="preserve">Cuentas comerciales por cobrar y otras cuentas por cobrar corrientes </t>
  </si>
  <si>
    <t xml:space="preserve">Cuentas por cobrar a entidades relacionadas, corrientes </t>
  </si>
  <si>
    <t xml:space="preserve">Inventarios corrientes </t>
  </si>
  <si>
    <t xml:space="preserve">Activos por impuestos corrientes, corriente </t>
  </si>
  <si>
    <t xml:space="preserve">Activos Corrientes, Total </t>
  </si>
  <si>
    <t xml:space="preserve">Otros activos financieros no corrientes </t>
  </si>
  <si>
    <t xml:space="preserve">Otros activos no financieros no corrientes </t>
  </si>
  <si>
    <t xml:space="preserve">Cuentas comerciales por cobrar y otras cuentas por cobrar no corrientes </t>
  </si>
  <si>
    <t xml:space="preserve">Cuentas por cobrar a entidades relacionadas, no corrientes </t>
  </si>
  <si>
    <t xml:space="preserve">Inversiones contabilizadas utilizando el método de la participación </t>
  </si>
  <si>
    <t xml:space="preserve">Activos intangibles distintos de la plusvalía </t>
  </si>
  <si>
    <t xml:space="preserve">Plusvalía </t>
  </si>
  <si>
    <t xml:space="preserve">Propiedades, planta y equipo </t>
  </si>
  <si>
    <t xml:space="preserve">Activos por impuestos diferidos </t>
  </si>
  <si>
    <t xml:space="preserve">Activos No Corrientes, Total </t>
  </si>
  <si>
    <t xml:space="preserve">Otros pasivos financieros corrientes </t>
  </si>
  <si>
    <t xml:space="preserve">19-20 </t>
  </si>
  <si>
    <t xml:space="preserve">Cuentas por pagar comerciales y otras cuentas por pagar </t>
  </si>
  <si>
    <t xml:space="preserve">Cuentas por pagar a entidades relacionadas, corrientes </t>
  </si>
  <si>
    <t xml:space="preserve">Pasivos por impuestos corrientes </t>
  </si>
  <si>
    <t xml:space="preserve">Provisiones corrientes por beneficios a los empleados </t>
  </si>
  <si>
    <t xml:space="preserve">Otros pasivos no financieros corrientes </t>
  </si>
  <si>
    <t xml:space="preserve">Pasivos Corrientes, Total </t>
  </si>
  <si>
    <t xml:space="preserve">Otros pasivos financieros no corrientes </t>
  </si>
  <si>
    <t xml:space="preserve">Cuentas por pagar a entidades relacionadas, no corrientes </t>
  </si>
  <si>
    <t xml:space="preserve">Otras provisiones no corrientes </t>
  </si>
  <si>
    <t xml:space="preserve">Pasivo por impuestos diferidos </t>
  </si>
  <si>
    <t xml:space="preserve">Provisiones no corrientes por beneficios a los empleados </t>
  </si>
  <si>
    <t xml:space="preserve">Pasivos, No Corrientes, Total </t>
  </si>
  <si>
    <t xml:space="preserve">Capital Emitido </t>
  </si>
  <si>
    <t xml:space="preserve">Ganancias acumuladas </t>
  </si>
  <si>
    <t xml:space="preserve">Otras Reservas </t>
  </si>
  <si>
    <t xml:space="preserve">Patrimonio Neto Atribuible a los Propietarios de la Controladora </t>
  </si>
  <si>
    <t xml:space="preserve">Participaciones No Controladoras </t>
  </si>
  <si>
    <t>nota</t>
  </si>
  <si>
    <t>TOTAL ACTIVOS</t>
  </si>
  <si>
    <t>PASIVOS</t>
  </si>
  <si>
    <t>PATRIMONIO</t>
  </si>
  <si>
    <t>TOTAL PASIVOS Y PATRIMONIO</t>
  </si>
  <si>
    <t xml:space="preserve">Ingresos de actividades ordinarias </t>
  </si>
  <si>
    <t xml:space="preserve">Costo de ventas </t>
  </si>
  <si>
    <t xml:space="preserve">Ganancia bruta </t>
  </si>
  <si>
    <t xml:space="preserve">Otros gastos o ingresos, por función </t>
  </si>
  <si>
    <t xml:space="preserve">Ingresos financieros </t>
  </si>
  <si>
    <t xml:space="preserve">Costos financieros </t>
  </si>
  <si>
    <t xml:space="preserve">Participación en las ganancias (pérdidas) de asociadas y negocios conjuntos que se contabilicen utilizando el método de la participación </t>
  </si>
  <si>
    <t xml:space="preserve">Diferencias de cambio </t>
  </si>
  <si>
    <t xml:space="preserve">Gasto por impuestos, operaciones continuadas </t>
  </si>
  <si>
    <t xml:space="preserve">Ganancia, atribuible a participaciones no controladoras </t>
  </si>
  <si>
    <t>EERR (K USD)</t>
  </si>
  <si>
    <t>Chequeo</t>
  </si>
  <si>
    <t>Ganancia antes de impuestos</t>
  </si>
  <si>
    <t>Información Accionistas</t>
  </si>
  <si>
    <t>Número de acciones promedio básicas (basic WASO)</t>
  </si>
  <si>
    <t>Número de acciones promedio diluidas (diluted WASO)</t>
  </si>
  <si>
    <t>Ganancia por acción básicas (basic EPS)</t>
  </si>
  <si>
    <t>Ganancia por acción diluidas (diluted EPS)</t>
  </si>
  <si>
    <t>Dividendos por acción</t>
  </si>
  <si>
    <t>Ganancia por actividades de operación (EBIT)</t>
  </si>
  <si>
    <t>Depreciación</t>
  </si>
  <si>
    <t>Amortización</t>
  </si>
  <si>
    <t>EBITDA</t>
  </si>
  <si>
    <t>Cálculos Intermedios</t>
  </si>
  <si>
    <t>PP&amp;E</t>
  </si>
  <si>
    <t>Balance Final</t>
  </si>
  <si>
    <t>*** BF=BI+capex-dep</t>
  </si>
  <si>
    <t>Capital de Trabajo</t>
  </si>
  <si>
    <t>Total activos operacionales corrientes</t>
  </si>
  <si>
    <t>Total pasivos operacionales corrientes</t>
  </si>
  <si>
    <t>Capital de trabajo total (OWC)</t>
  </si>
  <si>
    <t>Manual:</t>
  </si>
  <si>
    <t>Azul: datos escritos a mano y datos historicos</t>
  </si>
  <si>
    <t>Verde: referencia a otra página</t>
  </si>
  <si>
    <t>Negro: referencias en la misma página</t>
  </si>
  <si>
    <t>En el EERR, los negativos están escritos en negativos (no en positivo y luego lo resto en la formula como en clases)</t>
  </si>
  <si>
    <t>Estados de Resultados</t>
  </si>
  <si>
    <t>Tasa de Impuesto Efectiva (ETR)</t>
  </si>
  <si>
    <t>Número de acciones diluidas</t>
  </si>
  <si>
    <t>Número de acciones básicas</t>
  </si>
  <si>
    <t>Política de dividendos</t>
  </si>
  <si>
    <t>Crecimiento</t>
  </si>
  <si>
    <t>EFE por actividades de la operación</t>
  </si>
  <si>
    <t>Rentabilidad</t>
  </si>
  <si>
    <t>Crediticio</t>
  </si>
  <si>
    <t>Patrimonio</t>
  </si>
  <si>
    <t>Capital de trabajo como % de ventas totales</t>
  </si>
  <si>
    <t>PP&amp;E neto como % de ventas totales</t>
  </si>
  <si>
    <t>Capital invertido</t>
  </si>
  <si>
    <t>Capital invertido como % de ventas totales</t>
  </si>
  <si>
    <t>Retornos</t>
  </si>
  <si>
    <t>EBIAT (o NOPAT)</t>
  </si>
  <si>
    <t>Retorno sobre capital invertido (ROIC)</t>
  </si>
  <si>
    <t>Retorno sobre patrimonio (ROE)</t>
  </si>
  <si>
    <t xml:space="preserve">Engie Energía Chile </t>
  </si>
  <si>
    <t>✉</t>
  </si>
  <si>
    <t>Ventas totales</t>
  </si>
  <si>
    <t>Utilidad neta</t>
  </si>
  <si>
    <t>Margen EBIT (%)</t>
  </si>
  <si>
    <t>Margen EBITDA (%)</t>
  </si>
  <si>
    <t>Margen neto (ganancia) (%)</t>
  </si>
  <si>
    <t>Deuda total</t>
  </si>
  <si>
    <t>Deuda neta</t>
  </si>
  <si>
    <t>Deuda neta / patrimonio total (%)</t>
  </si>
  <si>
    <t>Deuda neta / EBITDA (x)</t>
  </si>
  <si>
    <t>EBITDA / gastos por intereses (x)</t>
  </si>
  <si>
    <t>Dividendos como % de utilidad neta ("payout ratio")</t>
  </si>
  <si>
    <t>Eficiencia de Activos ("Asset Turnover")</t>
  </si>
  <si>
    <t>Costo de ventas como % de los ingresos ordinarios</t>
  </si>
  <si>
    <t xml:space="preserve"> </t>
  </si>
  <si>
    <t>Otros activos no financieros corrientes como % de los ingresos ordinarios</t>
  </si>
  <si>
    <t>Cuentas comerciales por cobrar y otras cuentas por cobrar corrientes (días)</t>
  </si>
  <si>
    <t>Cuentas por cobrar a entidades relacionadas, corrientes (días)</t>
  </si>
  <si>
    <t>Inventarios corrientes (días)</t>
  </si>
  <si>
    <t>Activos por impuestos corrientes, corriente (monto)</t>
  </si>
  <si>
    <t>*** Los valores de días que son negativos son porque gastos son negativos</t>
  </si>
  <si>
    <t>Cuentas por cobrar a entidades relacionadas, no corrientes como % de los ingresos ordinarios</t>
  </si>
  <si>
    <t>Plusvalía (monto)</t>
  </si>
  <si>
    <t>Activos por impuestos diferidos (monto)</t>
  </si>
  <si>
    <t>Otros pasivos financieros corrientes como % de los ingresos ordinarios</t>
  </si>
  <si>
    <t>Cuentas por pagar comerciales y otras cuentas por pagar (dias)</t>
  </si>
  <si>
    <t>Cuentas por pagar a entidades relacionadas, corrientes (días)</t>
  </si>
  <si>
    <t>Provisiones corrientes por beneficios a los empleados (monto)</t>
  </si>
  <si>
    <t>Otros pasivos no financieros corrientes como % de los ingresos ordinarios</t>
  </si>
  <si>
    <t>Pasivos por impuestos corrientes (como % del impuesto del período)</t>
  </si>
  <si>
    <t>*** Asumo que esto es el impuesto x pagar</t>
  </si>
  <si>
    <t>Dudas:</t>
  </si>
  <si>
    <t>1. Revisar el impuesto diferido x pagar en los supuestos</t>
  </si>
  <si>
    <t>Otros pasivos financieros no corrientes como % de los ingresos ordinarios</t>
  </si>
  <si>
    <t>Cuentas por pagar a entidades relacionadas, no corrientes (días)</t>
  </si>
  <si>
    <t>Otras provisiones no corrientes (monto)</t>
  </si>
  <si>
    <t>Pasivo por impuestos diferidos como % de los ingresos ordinarios</t>
  </si>
  <si>
    <t>Provisiones no corrientes por beneficios a los empleados (monto)</t>
  </si>
  <si>
    <t>Capital Emitido (monto)</t>
  </si>
  <si>
    <t>Ganancias acumuladas (monto)</t>
  </si>
  <si>
    <t>Otras Reservas (monto)</t>
  </si>
  <si>
    <t>Patrimonio Neto Atribuible a los Propietarios de la Controladora (monto)</t>
  </si>
  <si>
    <t>Participaciones No Controladoras (monto)</t>
  </si>
  <si>
    <t>Ventas de energía y potencia</t>
  </si>
  <si>
    <t>Venta y transporte de gas</t>
  </si>
  <si>
    <t>Venta de Combustible</t>
  </si>
  <si>
    <t>Venta de peajes (1)</t>
  </si>
  <si>
    <t>Arriendo instalaciones</t>
  </si>
  <si>
    <t>Servicios Portuarios (2)</t>
  </si>
  <si>
    <t>Otras ventas - ingresos (3)</t>
  </si>
  <si>
    <t>Desglose de ingresos ordinarios por actividad</t>
  </si>
  <si>
    <t>Desglose de ingresos ordinarios por cliente</t>
  </si>
  <si>
    <t>Grupo CODELCO</t>
  </si>
  <si>
    <t>Regulados EMEL</t>
  </si>
  <si>
    <t>Regulados (Centro Sur SEN)</t>
  </si>
  <si>
    <t>Grupo AMSA (1)</t>
  </si>
  <si>
    <t>El Abra</t>
  </si>
  <si>
    <t>Grupo GLENCORE</t>
  </si>
  <si>
    <t>Otros clientes</t>
  </si>
  <si>
    <t>Total Venta</t>
  </si>
  <si>
    <t>Cambio % en Ventas</t>
  </si>
  <si>
    <t>Escenario positivo (prom + desv estándar)</t>
  </si>
  <si>
    <t>Escenario neutral (prom)</t>
  </si>
  <si>
    <t>Escenario negativo (prom - desviacion estándar)</t>
  </si>
  <si>
    <t>Desviación estándar móvil</t>
  </si>
  <si>
    <t>Promedio móvil (DESDE 2020)</t>
  </si>
  <si>
    <t>Costos</t>
  </si>
  <si>
    <t>Costos de combustibles, lubricantes y otros</t>
  </si>
  <si>
    <t>Costos de energía y potencia</t>
  </si>
  <si>
    <t>Sueldos y salarios</t>
  </si>
  <si>
    <t>Beneficios anuales</t>
  </si>
  <si>
    <t>Otros beneficios del personal</t>
  </si>
  <si>
    <t>Obligaciones post empleo</t>
  </si>
  <si>
    <t>Costo Venta Combustibles</t>
  </si>
  <si>
    <t>Transporte de Gas</t>
  </si>
  <si>
    <t>Servicio Muelle</t>
  </si>
  <si>
    <t>Servicios de Mantención y Reparación</t>
  </si>
  <si>
    <t>Servicios de Terceros</t>
  </si>
  <si>
    <t>Asesorías y Honorarios</t>
  </si>
  <si>
    <t>Operación y Mantenimiento Gasoductos</t>
  </si>
  <si>
    <t>Costo Peaje</t>
  </si>
  <si>
    <t>Depreciación propiedad, planta y equipo</t>
  </si>
  <si>
    <t>Depreciación repuestos</t>
  </si>
  <si>
    <t>Amortización Intangibles</t>
  </si>
  <si>
    <t>Contribuciones y patentes</t>
  </si>
  <si>
    <t>Seguros</t>
  </si>
  <si>
    <t>Otros egresos</t>
  </si>
  <si>
    <t>Total</t>
  </si>
  <si>
    <t>Aclaraciones:</t>
  </si>
  <si>
    <t>Otros ingresos (1)</t>
  </si>
  <si>
    <t>(1) En 2016 Venta filial Transmisora Electrica del Norte S.A.</t>
  </si>
  <si>
    <t>(1) 2014 Venta filial Transmisora Electrica del Norte S.A, por lo que podría mantenerse el ingreso en 10000 de forma conservadora</t>
  </si>
  <si>
    <t>Gastos de administración como % de los ingresos ordinarios (2)</t>
  </si>
  <si>
    <t>(2) Los gastos de administración se considera como proyección un aumento igual al promedio de los aumentos en tasas</t>
  </si>
  <si>
    <t>Gastos de administración (2)</t>
  </si>
  <si>
    <t>(2) Por el momento se está usando el supuesto de % sobre ventas, pero podría ser bueno separar ítemes de gastos y administración en otra hoja (hay algo raro en la memoria respecto a sueldos)</t>
  </si>
  <si>
    <t>Otros gastos o ingresos, por función, como % de los ingresos ordinarios (3)</t>
  </si>
  <si>
    <t>(3) Supuesto de mantener un 7% -&gt; cambiar a algo mejor</t>
  </si>
  <si>
    <t>Ingresos financieros (monto) (4)</t>
  </si>
  <si>
    <t>(4) (5) (6) (7) Asume montos -&gt; cambiar a algo mejor</t>
  </si>
  <si>
    <t>Costos financieros (monto) (5)</t>
  </si>
  <si>
    <t>Participación en las ganancias (pérdidas) de asociadas y neg (monto) (6)</t>
  </si>
  <si>
    <t>Diferencias de cambio (monto) (7)</t>
  </si>
  <si>
    <t>Balance Inicial (1)</t>
  </si>
  <si>
    <t>(1) El balance corresponde a la suma entre los ítemes Propiedades, planta y equipo y Activos intangibles distintos a plusvalía</t>
  </si>
  <si>
    <t xml:space="preserve">Capex (2) </t>
  </si>
  <si>
    <t>(2) Pendiente calcular el capex (no por diferencia, sino que por memoria)</t>
  </si>
  <si>
    <t>Desglose de costos ordinarios por actividad</t>
  </si>
  <si>
    <t>Número de acciones ordinarias emitidas</t>
  </si>
  <si>
    <t>Dividendos Pagados</t>
  </si>
  <si>
    <t>*economática</t>
  </si>
  <si>
    <t>Dividendo por acción</t>
  </si>
  <si>
    <t xml:space="preserve">Ganancia por acción ordinaria en operaciones continuadas </t>
  </si>
  <si>
    <t xml:space="preserve">Ganancia procedente de operaciones Continuadas </t>
  </si>
  <si>
    <t xml:space="preserve">Ganancia Neta, atribuible a los propietarios de la controladora </t>
  </si>
  <si>
    <t>como % de las ventas</t>
  </si>
  <si>
    <t>Tasa de Impuesto Marginal (MTR)</t>
  </si>
  <si>
    <t>Otros activos financieros corrientes - monto</t>
  </si>
  <si>
    <t>Otros activos financieros no corrientes - monto</t>
  </si>
  <si>
    <t>(8) Revisando en las notas del balance, las cuentas en la nota 13 que se mantienen relativamente constante suman aprox. 6000</t>
  </si>
  <si>
    <t>Otros activos no financieros no corrientes- monto</t>
  </si>
  <si>
    <t>Cuentas comerciales por cobrar y otras cuentas por cobrar no corrientes (9) - monto</t>
  </si>
  <si>
    <t>(9) 73.499 corresponden al impacto de la estabilización de tarifas de la ley de estabilización de precios, es un monto extraordinario y no podemos asumir que se repetirá</t>
  </si>
  <si>
    <t>Activos intangibles distintos de la plusvalía - restarle amortización del periodo</t>
  </si>
  <si>
    <t>*** EEFF: cooresponden a relaciones contractuales adquiridas en 2009, las cuales se van amortizando cada año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</si>
  <si>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</si>
  <si>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</si>
  <si>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</si>
  <si>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primas y prestaciones, anualidades y otros beneficios
de pólizas suscritas</t>
  </si>
  <si>
    <t>Otros cobros por actividades de operación</t>
  </si>
  <si>
    <t>Clases de pagos en efectivo procedentes de actividades de operación</t>
  </si>
  <si>
    <t>Pagos a proveedores por el suministro de bienes y servicios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</si>
  <si>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</si>
  <si>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</si>
  <si>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</si>
  <si>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Flujos de efectivo procedentes de (utilizados en) operaciones</t>
  </si>
  <si>
    <t>Intereses pagados, clasificados como actividades de operación</t>
  </si>
  <si>
    <t>Intereses recibidos, clasificados como actividades de operación</t>
  </si>
  <si>
    <t>Impuestos a las ganancias pagados (reembolsados), clasificados como actividades de operación)</t>
  </si>
  <si>
    <t>Otras entradas (salidas) de efectivo, clasificados como actividades de operación</t>
  </si>
  <si>
    <t>Flujos de efectivo procedentes de (utilizados en) actividades de inversión</t>
  </si>
  <si>
    <t>Flujos de efectivo utilizados para obtener el control de subsidiarias u otros negocios</t>
  </si>
  <si>
    <t>Otros cobros por la venta de patrimonio o instrumentos de deuda de otras entidades, clasificados como actividades de inversión</t>
  </si>
  <si>
    <t>Otros pagos para adquirir patrimonio o instrumentos de deuda de otras entidades, clasificados como actividades de inversión</t>
  </si>
  <si>
    <t>Importes procedentes de ventas de propiedades, planta y equipo, clasificados como actividades de inversión</t>
  </si>
  <si>
    <t>Compras de propiedades, planta y equipo, clasificados como actividades de inversión</t>
  </si>
  <si>
    <t>Cobros a entidades relacionadas</t>
  </si>
  <si>
    <t>Intereses recibidos</t>
  </si>
  <si>
    <t>Pagos derivados de contratos de futuro, a término de opciones y permuta financiera</t>
  </si>
  <si>
    <t>Cobros procedentes de contratos de futuro, a término, de opciones y de permuta financiera</t>
  </si>
  <si>
    <t>Flujos de efectivo procedentes de (utilizados en) actividades de financiación</t>
  </si>
  <si>
    <t>Importes procedentes de préstamos de corto plazo</t>
  </si>
  <si>
    <t>Pagos de préstamos</t>
  </si>
  <si>
    <t>Pagos de pasivos por arrendamientos financieros</t>
  </si>
  <si>
    <t>Dividendos pagados</t>
  </si>
  <si>
    <t>Incremento (disminución) en el efectivo y equivalentes al efectivo, antes del efecto de los cambios en la tasa de cambio</t>
  </si>
  <si>
    <t>Efectos de la variación en la tasa de cambio sobre el efectivo y equivalentes al efectivo</t>
  </si>
  <si>
    <t>Efectivo y equivalentes al efectivo al inicio del período</t>
  </si>
  <si>
    <t>Efectivo y equivalentes al efectivo al final del período</t>
  </si>
  <si>
    <t>Nota</t>
  </si>
  <si>
    <t>REVISAR</t>
  </si>
  <si>
    <t>PPE BALANCE NETO, CREO QUE SI</t>
  </si>
  <si>
    <t>Ganancia neta atrib. Es la neta recurrente?</t>
  </si>
  <si>
    <t>Utilidad neta atribuible a prop?, paso 8 usa recurrente</t>
  </si>
  <si>
    <t>CONFLICTO RAMA SEBA</t>
  </si>
  <si>
    <t>RAMA SEBA NO 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</si>
</sst>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#,##0;\(#,##0\)"/>
    <numFmt numFmtId="165" formatCode="#,##0.0_);\(#,##0.0\);0.0_);@_)"/>
    <numFmt numFmtId="166" formatCode="0.0%"/>
    <numFmt numFmtId="167" formatCode="#,##0.0000"/>
    <numFmt numFmtId="168" formatCode="#,##0.000;\(#,##0.000\)"/>
    <numFmt numFmtId="169" formatCode="0.000"/>
    <numFmt numFmtId="170" formatCode="#,##0.0\x_);\(#,##0.0\x\);0.0_);@_)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FFFFFF"/>
      <name val="Calibri (Cuerpo)_x0000_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sz val="10"/>
      <color rgb="FF008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i/>
      <sz val="12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rgb="FF4AA4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8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1" fillId="0" borderId="0" xfId="0" applyFont="1"/>
    <xf numFmtId="0" fontId="0" fillId="0" borderId="0" xfId="0" applyFont="1"/>
    <xf numFmtId="0" fontId="5" fillId="2" borderId="0" xfId="0" applyFont="1" applyFill="1"/>
    <xf numFmtId="0" fontId="6" fillId="2" borderId="0" xfId="0" applyFont="1" applyFill="1"/>
    <xf numFmtId="14" fontId="2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4" fontId="8" fillId="3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0" borderId="0" xfId="0" applyFont="1"/>
    <xf numFmtId="164" fontId="11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164" fontId="1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3" fillId="0" borderId="0" xfId="0" applyFont="1"/>
    <xf numFmtId="164" fontId="13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0" fontId="19" fillId="0" borderId="0" xfId="0" applyFont="1"/>
    <xf numFmtId="9" fontId="20" fillId="4" borderId="1" xfId="3" applyFont="1" applyFill="1" applyBorder="1"/>
    <xf numFmtId="9" fontId="21" fillId="0" borderId="0" xfId="3" applyFont="1"/>
    <xf numFmtId="166" fontId="21" fillId="0" borderId="0" xfId="3" applyNumberFormat="1" applyFont="1"/>
    <xf numFmtId="0" fontId="21" fillId="0" borderId="0" xfId="3" applyNumberFormat="1" applyFont="1"/>
    <xf numFmtId="10" fontId="21" fillId="0" borderId="0" xfId="3" applyNumberFormat="1" applyFont="1"/>
    <xf numFmtId="1" fontId="21" fillId="0" borderId="0" xfId="3" applyNumberFormat="1" applyFont="1"/>
    <xf numFmtId="9" fontId="0" fillId="0" borderId="0" xfId="3" applyFont="1"/>
    <xf numFmtId="0" fontId="21" fillId="0" borderId="0" xfId="0" applyFont="1"/>
    <xf numFmtId="3" fontId="0" fillId="0" borderId="0" xfId="0" applyNumberFormat="1"/>
    <xf numFmtId="3" fontId="20" fillId="4" borderId="1" xfId="3" applyNumberFormat="1" applyFont="1" applyFill="1" applyBorder="1"/>
    <xf numFmtId="0" fontId="22" fillId="0" borderId="0" xfId="0" applyFont="1"/>
    <xf numFmtId="10" fontId="0" fillId="0" borderId="0" xfId="0" applyNumberFormat="1"/>
    <xf numFmtId="167" fontId="0" fillId="0" borderId="0" xfId="0" applyNumberFormat="1"/>
    <xf numFmtId="10" fontId="0" fillId="0" borderId="0" xfId="3" applyNumberFormat="1" applyFont="1"/>
    <xf numFmtId="164" fontId="21" fillId="0" borderId="0" xfId="2" applyNumberFormat="1" applyFont="1"/>
    <xf numFmtId="164" fontId="23" fillId="0" borderId="0" xfId="2" applyNumberFormat="1" applyFont="1"/>
    <xf numFmtId="164" fontId="20" fillId="4" borderId="1" xfId="2" applyNumberFormat="1" applyFont="1" applyFill="1" applyBorder="1"/>
    <xf numFmtId="10" fontId="18" fillId="4" borderId="1" xfId="3" applyNumberFormat="1" applyFont="1" applyFill="1" applyBorder="1"/>
    <xf numFmtId="168" fontId="0" fillId="0" borderId="0" xfId="0" applyNumberFormat="1" applyFont="1" applyAlignment="1"/>
    <xf numFmtId="0" fontId="24" fillId="0" borderId="0" xfId="0" applyFont="1"/>
    <xf numFmtId="0" fontId="24" fillId="0" borderId="0" xfId="0" applyFont="1" applyAlignment="1">
      <alignment horizontal="left" indent="1"/>
    </xf>
    <xf numFmtId="169" fontId="24" fillId="0" borderId="0" xfId="0" applyNumberFormat="1" applyFont="1"/>
    <xf numFmtId="3" fontId="25" fillId="4" borderId="1" xfId="3" applyNumberFormat="1" applyFont="1" applyFill="1" applyBorder="1"/>
    <xf numFmtId="0" fontId="21" fillId="0" borderId="0" xfId="4" applyNumberFormat="1" applyFont="1"/>
    <xf numFmtId="0" fontId="20" fillId="4" borderId="1" xfId="4" applyNumberFormat="1" applyFont="1" applyFill="1" applyBorder="1"/>
    <xf numFmtId="0" fontId="20" fillId="4" borderId="1" xfId="3" applyNumberFormat="1" applyFont="1" applyFill="1" applyBorder="1"/>
    <xf numFmtId="164" fontId="26" fillId="0" borderId="0" xfId="0" applyNumberFormat="1" applyFont="1"/>
    <xf numFmtId="166" fontId="20" fillId="4" borderId="1" xfId="3" applyNumberFormat="1" applyFont="1" applyFill="1" applyBorder="1"/>
    <xf numFmtId="0" fontId="0" fillId="0" borderId="0" xfId="0" applyAlignment="1">
      <alignment wrapText="1"/>
    </xf>
    <xf numFmtId="3" fontId="1" fillId="0" borderId="0" xfId="0" applyNumberFormat="1" applyFont="1"/>
    <xf numFmtId="37" fontId="1" fillId="0" borderId="0" xfId="0" applyNumberFormat="1" applyFont="1"/>
    <xf numFmtId="0" fontId="0" fillId="5" borderId="0" xfId="0" applyFill="1"/>
    <xf numFmtId="166" fontId="0" fillId="0" borderId="0" xfId="3" applyNumberFormat="1" applyFont="1"/>
    <xf numFmtId="166" fontId="26" fillId="0" borderId="0" xfId="3" applyNumberFormat="1" applyFont="1"/>
    <xf numFmtId="3" fontId="0" fillId="0" borderId="0" xfId="0" applyNumberFormat="1" applyFont="1"/>
    <xf numFmtId="170" fontId="21" fillId="0" borderId="0" xfId="5" applyFont="1"/>
  </cellXfs>
  <cellStyles count="6">
    <cellStyle name="Comma [0]" xfId="2" builtinId="6"/>
    <cellStyle name="Currency [0]" xfId="4" builtinId="7"/>
    <cellStyle name="Hyperlink" xfId="1" builtinId="8"/>
    <cellStyle name="Normal" xfId="0" builtinId="0"/>
    <cellStyle name="Percent" xfId="3" builtinId="5"/>
    <cellStyle name="Times" xfId="5" xr:uid="{E4A581F4-CB3D-4AF6-BED0-4E104AF969C7}"/>
  </cellStyles>
  <dxfs count="0"/>
  <tableStyles count="0" defaultTableStyle="TableStyleMedium2" defaultPivotStyle="PivotStyleLight16"/>
  <colors>
    <mruColors>
      <color rgb="FF4AA44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Ventas!$R$24</c:f>
              <c:strCache>
                <c:ptCount val="1"/>
                <c:pt idx="0">
                  <c:v>Escenario positivo (prom + desv estándar)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Ventas!$S$24:$Y$24</c:f>
              <c:numCache>
                <c:formatCode>0.00%</c:formatCode>
                <c:ptCount val="7"/>
                <c:pt idx="0">
                  <c:v>0.20704291200821529</c:v>
                </c:pt>
                <c:pt idx="1">
                  <c:v>0.2040857150951518</c:v>
                </c:pt>
                <c:pt idx="2">
                  <c:v>0.16405337671226849</c:v>
                </c:pt>
                <c:pt idx="3">
                  <c:v>0.16438701494915575</c:v>
                </c:pt>
                <c:pt idx="4">
                  <c:v>0.16470043418826491</c:v>
                </c:pt>
                <c:pt idx="5">
                  <c:v>0.15715511477832012</c:v>
                </c:pt>
                <c:pt idx="6">
                  <c:v>0.1567577410330907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549-ABA7-210ED792B5A3}"/>
            </c:ext>
          </c:extLst>
        </c:ser>
        <c:ser>
          <c:idx val="1"/>
          <c:order val="1"/>
          <c:tx>
            <c:strRef>
              <c:f>Ventas!$R$25</c:f>
              <c:strCache>
                <c:ptCount val="1"/>
                <c:pt idx="0">
                  <c:v>Escenario neutral (prom)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Ventas!$S$25:$Y$25</c:f>
              <c:numCache>
                <c:formatCode>0.00%</c:formatCode>
                <c:ptCount val="7"/>
                <c:pt idx="0">
                  <c:v>0.14662975504751544</c:v>
                </c:pt>
                <c:pt idx="1">
                  <c:v>0.16566206311640227</c:v>
                </c:pt>
                <c:pt idx="2">
                  <c:v>0.15092038934155197</c:v>
                </c:pt>
                <c:pt idx="3">
                  <c:v>0.15440406916848989</c:v>
                </c:pt>
                <c:pt idx="4">
                  <c:v>0.15699550720881472</c:v>
                </c:pt>
                <c:pt idx="5">
                  <c:v>0.15410665523961886</c:v>
                </c:pt>
                <c:pt idx="6">
                  <c:v>0.15516874387230783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549-ABA7-210ED792B5A3}"/>
            </c:ext>
          </c:extLst>
        </c:ser>
        <c:ser>
          <c:idx val="2"/>
          <c:order val="2"/>
          <c:tx>
            <c:strRef>
              <c:f>Ventas!$R$26</c:f>
              <c:strCache>
                <c:ptCount val="1"/>
                <c:pt idx="0">
                  <c:v>Escenario negativo (prom - desviacion estándar)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Ventas!$S$26:$Y$26</c:f>
              <c:numCache>
                <c:formatCode>0.00%</c:formatCode>
                <c:ptCount val="7"/>
                <c:pt idx="0">
                  <c:v>8.6216598086815588E-2</c:v>
                </c:pt>
                <c:pt idx="1">
                  <c:v>0.12723841113765275</c:v>
                </c:pt>
                <c:pt idx="2">
                  <c:v>0.13778740197083544</c:v>
                </c:pt>
                <c:pt idx="3">
                  <c:v>0.14442112338782404</c:v>
                </c:pt>
                <c:pt idx="4">
                  <c:v>0.14929058022936453</c:v>
                </c:pt>
                <c:pt idx="5">
                  <c:v>0.15105819570091761</c:v>
                </c:pt>
                <c:pt idx="6">
                  <c:v>0.15357974671152497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549-ABA7-210ED7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5072"/>
        <c:axId val="654091136"/>
      </c:lineChart>
      <c:dateAx>
        <c:axId val="620775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54091136"/>
        <c:crosses val="autoZero"/>
        <c:auto val="1"/>
        <c:lblOffset val="100"/>
        <c:baseTimeUnit val="years"/>
      </c:dateAx>
      <c:valAx>
        <c:axId val="654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20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482600</xdr:colOff>
      <xdr:row>3</xdr:row>
      <xdr:rowOff>63500</xdr:rowOff>
    </xdr:from>
    <xdr:to>
      <xdr:col>24</xdr:col>
      <xdr:colOff>215900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299B5-6D8A-1A4A-99A6-8B38C83E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9</xdr:col>
      <xdr:colOff>88900</xdr:colOff>
      <xdr:row>26</xdr:row>
      <xdr:rowOff>0</xdr:rowOff>
    </xdr:to>
    <xdr:pic>
      <xdr:nvPicPr>
        <xdr:cNvPr id="2" name="Imagen 1" descr="page11image45784768">
          <a:extLst>
            <a:ext uri="{FF2B5EF4-FFF2-40B4-BE49-F238E27FC236}">
              <a16:creationId xmlns:a16="http://schemas.microsoft.com/office/drawing/2014/main" id="{652650F9-9952-2044-8227-BDE0CFE9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80000"/>
          <a:ext cx="914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26</xdr:row>
      <xdr:rowOff>0</xdr:rowOff>
    </xdr:from>
    <xdr:to>
      <xdr:col>8</xdr:col>
      <xdr:colOff>194734</xdr:colOff>
      <xdr:row>26</xdr:row>
      <xdr:rowOff>0</xdr:rowOff>
    </xdr:to>
    <xdr:pic>
      <xdr:nvPicPr>
        <xdr:cNvPr id="3" name="Imagen 2" descr="page11image45784960">
          <a:extLst>
            <a:ext uri="{FF2B5EF4-FFF2-40B4-BE49-F238E27FC236}">
              <a16:creationId xmlns:a16="http://schemas.microsoft.com/office/drawing/2014/main" id="{4AC96B9D-1AB5-8043-96A2-3A74D6F6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00"/>
          <a:ext cx="9186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enchaca@uc.cl" TargetMode="External"/><Relationship Id="rId7" Type="http://schemas.openxmlformats.org/officeDocument/2006/relationships/hyperlink" Target="mailto:blmolina@uc.cl" TargetMode="External"/><Relationship Id="rId2" Type="http://schemas.openxmlformats.org/officeDocument/2006/relationships/hyperlink" Target="mailto:jgpuga@uc.cl" TargetMode="External"/><Relationship Id="rId1" Type="http://schemas.openxmlformats.org/officeDocument/2006/relationships/hyperlink" Target="mailto:mnsepulveda@uc.cl" TargetMode="External"/><Relationship Id="rId6" Type="http://schemas.openxmlformats.org/officeDocument/2006/relationships/hyperlink" Target="mailto:ramassuh@uc.cl" TargetMode="External"/><Relationship Id="rId5" Type="http://schemas.openxmlformats.org/officeDocument/2006/relationships/hyperlink" Target="mailto:saguerrero@uc.cl" TargetMode="External"/><Relationship Id="rId4" Type="http://schemas.openxmlformats.org/officeDocument/2006/relationships/hyperlink" Target="mailto:itgonzalez@uc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9A3-421E-844B-8FBA-AB46F21590B8}">
  <dimension ref="B3:O28"/>
  <sheetViews>
    <sheetView topLeftCell="A11" workbookViewId="0">
      <selection activeCell="K25" sqref="K25"/>
    </sheetView>
  </sheetViews>
  <sheetFormatPr baseColWidth="10" defaultRowHeight="16"/>
  <cols>
    <col min="2" max="2" width="27.6640625" customWidth="1"/>
    <col min="3" max="3" width="5.33203125" customWidth="1"/>
    <col min="4" max="4" width="20.1640625" customWidth="1"/>
  </cols>
  <sheetData>
    <row r="3" spans="2:15" ht="37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B5" t="s">
        <v>17</v>
      </c>
      <c r="D5" t="s">
        <v>123</v>
      </c>
    </row>
    <row r="8" spans="2:15" s="5" customFormat="1"/>
    <row r="9" spans="2:15">
      <c r="B9" s="4" t="s">
        <v>1</v>
      </c>
    </row>
    <row r="10" spans="2:15">
      <c r="B10" t="s">
        <v>2</v>
      </c>
      <c r="D10" s="3" t="s">
        <v>4</v>
      </c>
    </row>
    <row r="11" spans="2:15">
      <c r="B11" t="s">
        <v>3</v>
      </c>
      <c r="D11" s="3" t="s">
        <v>5</v>
      </c>
    </row>
    <row r="13" spans="2:15">
      <c r="B13" s="4" t="s">
        <v>6</v>
      </c>
    </row>
    <row r="14" spans="2:15" ht="30">
      <c r="B14" t="s">
        <v>7</v>
      </c>
      <c r="C14" s="38" t="s">
        <v>124</v>
      </c>
      <c r="D14" s="3" t="s">
        <v>14</v>
      </c>
    </row>
    <row r="15" spans="2:15" ht="30">
      <c r="B15" t="s">
        <v>8</v>
      </c>
      <c r="C15" s="38" t="s">
        <v>124</v>
      </c>
      <c r="D15" s="3" t="s">
        <v>13</v>
      </c>
    </row>
    <row r="16" spans="2:15" ht="30">
      <c r="B16" t="s">
        <v>9</v>
      </c>
      <c r="C16" s="38" t="s">
        <v>124</v>
      </c>
      <c r="D16" s="3" t="s">
        <v>15</v>
      </c>
    </row>
    <row r="17" spans="2:11" ht="30">
      <c r="B17" t="s">
        <v>10</v>
      </c>
      <c r="C17" s="38" t="s">
        <v>124</v>
      </c>
      <c r="D17" s="3" t="s">
        <v>12</v>
      </c>
    </row>
    <row r="18" spans="2:11" ht="30">
      <c r="B18" t="s">
        <v>11</v>
      </c>
      <c r="C18" s="38" t="s">
        <v>124</v>
      </c>
      <c r="D18" s="3" t="s">
        <v>16</v>
      </c>
    </row>
    <row r="22" spans="2:11">
      <c r="B22" s="4" t="s">
        <v>100</v>
      </c>
      <c r="K22" s="4" t="s">
        <v>155</v>
      </c>
    </row>
    <row r="23" spans="2:11">
      <c r="K23" s="4"/>
    </row>
    <row r="24" spans="2:11">
      <c r="B24" s="25" t="s">
        <v>101</v>
      </c>
      <c r="K24" t="s">
        <v>156</v>
      </c>
    </row>
    <row r="25" spans="2:11">
      <c r="B25" s="36" t="s">
        <v>102</v>
      </c>
    </row>
    <row r="26" spans="2:11">
      <c r="B26" t="s">
        <v>103</v>
      </c>
    </row>
    <row r="28" spans="2:11">
      <c r="B28" t="s">
        <v>104</v>
      </c>
    </row>
  </sheetData>
  <hyperlinks>
    <hyperlink ref="D10" r:id="rId1" xr:uid="{5D50A1A0-87C4-B24A-A669-8FE630B49323}"/>
    <hyperlink ref="D11" r:id="rId2" xr:uid="{83D8A2F7-C3E2-794E-9B93-BCA988D9DA28}"/>
    <hyperlink ref="D17" r:id="rId3" xr:uid="{2C734D89-74D9-3343-A68F-C77CDF583736}"/>
    <hyperlink ref="D15" r:id="rId4" xr:uid="{4C688BC3-56F5-6046-9E16-BE6D09042ACB}"/>
    <hyperlink ref="D14" r:id="rId5" xr:uid="{1F746474-00BC-714E-AA7B-A1223B5DF4EA}"/>
    <hyperlink ref="D16" r:id="rId6" xr:uid="{EA0CCDF3-CC30-6242-B851-780600D98A04}"/>
    <hyperlink ref="D18" r:id="rId7" xr:uid="{814CBB7E-370B-C649-8B11-E5DE47B91A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99E-3EF6-674D-AA49-B8F7A83C1070}">
  <dimension ref="B1:T38"/>
  <sheetViews>
    <sheetView topLeftCell="C1" zoomScale="85" zoomScaleNormal="85" workbookViewId="0">
      <pane ySplit="2" topLeftCell="A15" activePane="bottomLeft" state="frozen"/>
      <selection pane="bottomLeft" activeCell="I31" sqref="I31"/>
    </sheetView>
  </sheetViews>
  <sheetFormatPr baseColWidth="10" defaultRowHeight="16"/>
  <cols>
    <col min="1" max="1" width="4" customWidth="1"/>
    <col min="2" max="2" width="4.83203125" customWidth="1"/>
    <col min="3" max="3" width="44.6640625" bestFit="1" customWidth="1"/>
    <col min="4" max="4" width="6.3320312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26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20">
      <c r="B4" s="39" t="s">
        <v>110</v>
      </c>
    </row>
    <row r="5" spans="2:20">
      <c r="B5" s="39"/>
    </row>
    <row r="6" spans="2:20">
      <c r="C6" t="s">
        <v>125</v>
      </c>
      <c r="G6" s="77">
        <f>EERR!G4/EERR!F4-1</f>
        <v>8.9532830840854949E-2</v>
      </c>
      <c r="H6" s="77">
        <f>EERR!H4/EERR!G4-1</f>
        <v>0.20988708444095328</v>
      </c>
      <c r="I6" s="77">
        <f>EERR!I4/EERR!H4-1</f>
        <v>0.14046934986073811</v>
      </c>
      <c r="J6" s="77">
        <f>EERR!J4/EERR!I4-1</f>
        <v>0.20704291200821534</v>
      </c>
      <c r="K6" s="77">
        <f>EERR!K4/EERR!J4-1</f>
        <v>0.20408571509515205</v>
      </c>
      <c r="L6" s="77">
        <f>EERR!L4/EERR!K4-1</f>
        <v>0.16405337671226849</v>
      </c>
      <c r="M6" s="77">
        <f>EERR!M4/EERR!L4-1</f>
        <v>0.16438701494915575</v>
      </c>
      <c r="N6" s="77">
        <f>EERR!N4/EERR!M4-1</f>
        <v>0.16470043418826497</v>
      </c>
      <c r="O6" s="77">
        <f>EERR!O4/EERR!N4-1</f>
        <v>0.15715511477832012</v>
      </c>
      <c r="P6" s="77">
        <f>EERR!P4/EERR!O4-1</f>
        <v>0.1567577410330907</v>
      </c>
    </row>
    <row r="7" spans="2:20">
      <c r="C7" t="s">
        <v>91</v>
      </c>
      <c r="G7" s="77" t="e">
        <f>EERR!G37/EERR!F37-1</f>
        <v>#DIV/0!</v>
      </c>
      <c r="H7" s="77" t="e">
        <f>EERR!H37/EERR!G37-1</f>
        <v>#DIV/0!</v>
      </c>
      <c r="I7" s="77" t="e">
        <f>EERR!I37/EERR!H37-1</f>
        <v>#DIV/0!</v>
      </c>
      <c r="J7" s="77" t="e">
        <f>EERR!J37/EERR!I37-1</f>
        <v>#DIV/0!</v>
      </c>
      <c r="K7" s="77" t="e">
        <f>EERR!K37/EERR!J37-1</f>
        <v>#DIV/0!</v>
      </c>
      <c r="L7" s="77" t="e">
        <f>EERR!L37/EERR!K37-1</f>
        <v>#DIV/0!</v>
      </c>
      <c r="M7" s="77" t="e">
        <f>EERR!M37/EERR!L37-1</f>
        <v>#DIV/0!</v>
      </c>
      <c r="N7" s="77" t="e">
        <f>EERR!N37/EERR!M37-1</f>
        <v>#DIV/0!</v>
      </c>
      <c r="O7" s="77" t="e">
        <f>EERR!O37/EERR!N37-1</f>
        <v>#DIV/0!</v>
      </c>
      <c r="P7" s="77" t="e">
        <f>EERR!P37/EERR!O37-1</f>
        <v>#DIV/0!</v>
      </c>
    </row>
    <row r="8" spans="2:20">
      <c r="C8" t="s">
        <v>111</v>
      </c>
      <c r="G8" s="77"/>
      <c r="H8" s="77"/>
      <c r="I8" s="77"/>
      <c r="J8" s="77">
        <f>EFE!J19/EFE!I19-1</f>
        <v>-1</v>
      </c>
      <c r="K8" s="77" t="e">
        <f>EFE!K19/EFE!J19-1</f>
        <v>#DIV/0!</v>
      </c>
      <c r="L8" s="77" t="e">
        <f>EFE!L19/EFE!K19-1</f>
        <v>#DIV/0!</v>
      </c>
      <c r="M8" s="77" t="e">
        <f>EFE!M19/EFE!L19-1</f>
        <v>#DIV/0!</v>
      </c>
      <c r="N8" s="77" t="e">
        <f>EFE!N19/EFE!M19-1</f>
        <v>#DIV/0!</v>
      </c>
      <c r="O8" s="77" t="e">
        <f>EFE!O19/EFE!N19-1</f>
        <v>#DIV/0!</v>
      </c>
      <c r="P8" s="77" t="e">
        <f>EFE!P19/EFE!O19-1</f>
        <v>#DIV/0!</v>
      </c>
    </row>
    <row r="9" spans="2:20">
      <c r="C9" t="s">
        <v>126</v>
      </c>
      <c r="G9" s="77">
        <f>EERR!G23/EERR!F23-1</f>
        <v>-0.60419887768316127</v>
      </c>
      <c r="H9" s="77">
        <f>EERR!H23/EERR!G23-1</f>
        <v>1.70530031131646E-2</v>
      </c>
      <c r="I9" s="77">
        <f>EERR!I23/EERR!H23-1</f>
        <v>8.033573141486805E-2</v>
      </c>
      <c r="J9" s="77">
        <f>EERR!J23/EERR!I23-1</f>
        <v>-1</v>
      </c>
      <c r="K9" s="77" t="e">
        <f>EERR!K23/EERR!J23-1</f>
        <v>#DIV/0!</v>
      </c>
      <c r="L9" s="77" t="e">
        <f>EERR!L23/EERR!K23-1</f>
        <v>#DIV/0!</v>
      </c>
      <c r="M9" s="77" t="e">
        <f>EERR!M23/EERR!L23-1</f>
        <v>#DIV/0!</v>
      </c>
      <c r="N9" s="77" t="e">
        <f>EERR!N23/EERR!M23-1</f>
        <v>#DIV/0!</v>
      </c>
      <c r="O9" s="77" t="e">
        <f>EERR!O23/EERR!N23-1</f>
        <v>#DIV/0!</v>
      </c>
      <c r="P9" s="77" t="e">
        <f>EERR!P23/EERR!O23-1</f>
        <v>#DIV/0!</v>
      </c>
      <c r="Q9" s="75" t="s">
        <v>287</v>
      </c>
      <c r="R9" s="75"/>
      <c r="S9" s="75"/>
      <c r="T9" s="75"/>
    </row>
    <row r="11" spans="2:20">
      <c r="B11" s="39" t="s">
        <v>112</v>
      </c>
    </row>
    <row r="12" spans="2:20">
      <c r="B12" s="39"/>
    </row>
    <row r="13" spans="2:20">
      <c r="C13" t="s">
        <v>127</v>
      </c>
      <c r="F13" s="77">
        <f>EERR!F11/EERR!F4</f>
        <v>0.31667982849653314</v>
      </c>
      <c r="G13" s="77">
        <f>EERR!G11/EERR!G4</f>
        <v>0.14082568198075635</v>
      </c>
      <c r="H13" s="77">
        <f>EERR!H11/EERR!H4</f>
        <v>0.11905785009911425</v>
      </c>
      <c r="I13" s="77">
        <f>EERR!I11/EERR!I4</f>
        <v>0.13041618881820857</v>
      </c>
      <c r="J13" s="77">
        <f>EERR!J11/EERR!J4</f>
        <v>0.10147585058268273</v>
      </c>
      <c r="K13" s="77">
        <f>EERR!K11/EERR!K4</f>
        <v>0.10051038259643751</v>
      </c>
      <c r="L13" s="77">
        <f>EERR!L11/EERR!L4</f>
        <v>9.9843671706166093E-2</v>
      </c>
      <c r="M13" s="77">
        <f>EERR!M11/EERR!M4</f>
        <v>9.9269921927651703E-2</v>
      </c>
      <c r="N13" s="77">
        <f>EERR!N11/EERR!N4</f>
        <v>9.8776366959072756E-2</v>
      </c>
      <c r="O13" s="77">
        <f>EERR!O11/EERR!O4</f>
        <v>9.8369382594404142E-2</v>
      </c>
      <c r="P13" s="77">
        <f>EERR!P11/EERR!P4</f>
        <v>9.8018440238820753E-2</v>
      </c>
    </row>
    <row r="14" spans="2:20">
      <c r="C14" t="s">
        <v>128</v>
      </c>
      <c r="F14" s="77">
        <f>EERR!F37/EERR!F4</f>
        <v>0</v>
      </c>
      <c r="G14" s="77">
        <f>EERR!G37/EERR!G4</f>
        <v>0</v>
      </c>
      <c r="H14" s="77">
        <f>EERR!H37/EERR!H4</f>
        <v>0</v>
      </c>
      <c r="I14" s="77">
        <f>EERR!I37/EERR!I4</f>
        <v>0</v>
      </c>
      <c r="J14" s="77">
        <f>EERR!J37/EERR!J4</f>
        <v>0</v>
      </c>
      <c r="K14" s="77">
        <f>EERR!K37/EERR!K4</f>
        <v>0</v>
      </c>
      <c r="L14" s="77">
        <f>EERR!L37/EERR!L4</f>
        <v>0</v>
      </c>
      <c r="M14" s="77">
        <f>EERR!M37/EERR!M4</f>
        <v>0</v>
      </c>
      <c r="N14" s="77">
        <f>EERR!N37/EERR!N4</f>
        <v>0</v>
      </c>
      <c r="O14" s="77">
        <f>EERR!O37/EERR!O4</f>
        <v>0</v>
      </c>
      <c r="P14" s="77">
        <f>EERR!P37/EERR!P4</f>
        <v>0</v>
      </c>
    </row>
    <row r="15" spans="2:20">
      <c r="C15" t="s">
        <v>129</v>
      </c>
      <c r="F15" s="77">
        <f>EERR!F23/EERR!F4</f>
        <v>0.26340542708415166</v>
      </c>
      <c r="G15" s="77">
        <f>EERR!G23/EERR!G4</f>
        <v>9.5688868396735682E-2</v>
      </c>
      <c r="H15" s="77">
        <f>EERR!H23/EERR!H4</f>
        <v>8.0437796401776535E-2</v>
      </c>
      <c r="I15" s="77">
        <f>EERR!I23/EERR!I4</f>
        <v>7.619654629010833E-2</v>
      </c>
      <c r="J15" s="77">
        <f>EERR!J23/EERR!J4</f>
        <v>0</v>
      </c>
      <c r="K15" s="77">
        <f>EERR!K23/EERR!K4</f>
        <v>0</v>
      </c>
      <c r="L15" s="77">
        <f>EERR!L23/EERR!L4</f>
        <v>0</v>
      </c>
      <c r="M15" s="77">
        <f>EERR!M23/EERR!M4</f>
        <v>0</v>
      </c>
      <c r="N15" s="77">
        <f>EERR!N23/EERR!N4</f>
        <v>0</v>
      </c>
      <c r="O15" s="77">
        <f>EERR!O23/EERR!O4</f>
        <v>0</v>
      </c>
      <c r="P15" s="77">
        <f>EERR!P23/EERR!P4</f>
        <v>0</v>
      </c>
    </row>
    <row r="17" spans="2:18">
      <c r="B17" s="39" t="s">
        <v>113</v>
      </c>
    </row>
    <row r="18" spans="2:18">
      <c r="B18" s="40"/>
    </row>
    <row r="19" spans="2:18">
      <c r="C19" t="s">
        <v>130</v>
      </c>
      <c r="F19" s="58">
        <f>Balance!F35/Balance!F27</f>
        <v>41.957150232318014</v>
      </c>
      <c r="G19" s="58">
        <f>Balance!G35/Balance!G27</f>
        <v>6.235458102797125</v>
      </c>
      <c r="H19" s="58">
        <f>Balance!H35/Balance!H27</f>
        <v>6.6850185186870386</v>
      </c>
      <c r="I19" s="58">
        <f>Balance!I35/Balance!I27</f>
        <v>7.3297412962177582</v>
      </c>
      <c r="J19" s="58" t="e">
        <f>Balance!J35/Balance!J27</f>
        <v>#DIV/0!</v>
      </c>
      <c r="K19" s="58" t="e">
        <f>Balance!K35/Balance!K27</f>
        <v>#DIV/0!</v>
      </c>
      <c r="L19" s="58" t="e">
        <f>Balance!L35/Balance!L27</f>
        <v>#DIV/0!</v>
      </c>
      <c r="M19" s="58" t="e">
        <f>Balance!M35/Balance!M27</f>
        <v>#DIV/0!</v>
      </c>
      <c r="N19" s="58" t="e">
        <f>Balance!N35/Balance!N27</f>
        <v>#DIV/0!</v>
      </c>
      <c r="O19" s="58" t="e">
        <f>Balance!O35/Balance!O27</f>
        <v>#DIV/0!</v>
      </c>
      <c r="P19" s="58" t="e">
        <f>Balance!P35/Balance!P27</f>
        <v>#DIV/0!</v>
      </c>
      <c r="Q19" s="75" t="s">
        <v>284</v>
      </c>
    </row>
    <row r="20" spans="2:18">
      <c r="C20" t="s">
        <v>131</v>
      </c>
      <c r="F20" s="58">
        <f>Balance!F35+Balance!F27-Balance!F4</f>
        <v>470596</v>
      </c>
      <c r="G20" s="58">
        <f>Balance!G35+Balance!G27-Balance!G4</f>
        <v>770571</v>
      </c>
      <c r="H20" s="58">
        <f>Balance!H35+Balance!H27-Balance!H4</f>
        <v>782987</v>
      </c>
      <c r="I20" s="58">
        <f>Balance!I35+Balance!I27-Balance!I4</f>
        <v>625111</v>
      </c>
      <c r="J20" s="58">
        <f>Balance!J35+Balance!J27-Balance!J4</f>
        <v>0</v>
      </c>
      <c r="K20" s="58">
        <f>Balance!K35+Balance!K27-Balance!K4</f>
        <v>0</v>
      </c>
      <c r="L20" s="58">
        <f>Balance!L35+Balance!L27-Balance!L4</f>
        <v>0</v>
      </c>
      <c r="M20" s="58">
        <f>Balance!M35+Balance!M27-Balance!M4</f>
        <v>0</v>
      </c>
      <c r="N20" s="58">
        <f>Balance!N35+Balance!N27-Balance!N4</f>
        <v>0</v>
      </c>
      <c r="O20" s="58">
        <f>Balance!O35+Balance!O27-Balance!O4</f>
        <v>0</v>
      </c>
      <c r="P20" s="58">
        <f>Balance!P35+Balance!P27-Balance!P4</f>
        <v>0</v>
      </c>
      <c r="Q20" s="75" t="s">
        <v>284</v>
      </c>
    </row>
    <row r="21" spans="2:18">
      <c r="C21" t="s">
        <v>114</v>
      </c>
      <c r="F21" s="58">
        <f>Balance!F49</f>
        <v>2006166</v>
      </c>
      <c r="G21" s="58">
        <f>Balance!G49</f>
        <v>2065471</v>
      </c>
      <c r="H21" s="58">
        <f>Balance!H49</f>
        <v>2138024</v>
      </c>
      <c r="I21" s="58">
        <f>Balance!I49</f>
        <v>2123601</v>
      </c>
      <c r="J21" s="58">
        <f>Balance!J49</f>
        <v>0</v>
      </c>
      <c r="K21" s="58">
        <f>Balance!K49</f>
        <v>0</v>
      </c>
      <c r="L21" s="58">
        <f>Balance!L49</f>
        <v>0</v>
      </c>
      <c r="M21" s="58">
        <f>Balance!M49</f>
        <v>0</v>
      </c>
      <c r="N21" s="58">
        <f>Balance!N49</f>
        <v>0</v>
      </c>
      <c r="O21" s="58">
        <f>Balance!O49</f>
        <v>0</v>
      </c>
      <c r="P21" s="58">
        <f>Balance!P49</f>
        <v>0</v>
      </c>
    </row>
    <row r="22" spans="2:18">
      <c r="C22" t="s">
        <v>132</v>
      </c>
      <c r="F22" s="76">
        <f>F20/F21</f>
        <v>0.23457480587349203</v>
      </c>
      <c r="G22" s="76">
        <f t="shared" ref="G22:P22" si="0">G20/G21</f>
        <v>0.37307277613677464</v>
      </c>
      <c r="H22" s="76">
        <f t="shared" si="0"/>
        <v>0.36621993017852</v>
      </c>
      <c r="I22" s="76">
        <f t="shared" si="0"/>
        <v>0.29436367754582898</v>
      </c>
      <c r="J22" s="76" t="e">
        <f t="shared" si="0"/>
        <v>#DIV/0!</v>
      </c>
      <c r="K22" s="76" t="e">
        <f t="shared" si="0"/>
        <v>#DIV/0!</v>
      </c>
      <c r="L22" s="76" t="e">
        <f t="shared" si="0"/>
        <v>#DIV/0!</v>
      </c>
      <c r="M22" s="76" t="e">
        <f t="shared" si="0"/>
        <v>#DIV/0!</v>
      </c>
      <c r="N22" s="76" t="e">
        <f t="shared" si="0"/>
        <v>#DIV/0!</v>
      </c>
      <c r="O22" s="76" t="e">
        <f t="shared" si="0"/>
        <v>#DIV/0!</v>
      </c>
      <c r="P22" s="76" t="e">
        <f t="shared" si="0"/>
        <v>#DIV/0!</v>
      </c>
    </row>
    <row r="23" spans="2:18">
      <c r="C23" t="s">
        <v>133</v>
      </c>
      <c r="F23" s="79" t="e">
        <f>F20/EERR!F37</f>
        <v>#DIV/0!</v>
      </c>
      <c r="G23" s="79" t="e">
        <f>G20/EERR!G37</f>
        <v>#DIV/0!</v>
      </c>
      <c r="H23" s="79" t="e">
        <f>H20/EERR!H37</f>
        <v>#DIV/0!</v>
      </c>
      <c r="I23" s="79" t="e">
        <f>I20/EERR!I37</f>
        <v>#DIV/0!</v>
      </c>
      <c r="J23" s="79" t="e">
        <f>J20/EERR!J37</f>
        <v>#DIV/0!</v>
      </c>
      <c r="K23" s="79" t="e">
        <f>K20/EERR!K37</f>
        <v>#DIV/0!</v>
      </c>
      <c r="L23" s="79" t="e">
        <f>L20/EERR!L37</f>
        <v>#DIV/0!</v>
      </c>
      <c r="M23" s="79" t="e">
        <f>M20/EERR!M37</f>
        <v>#DIV/0!</v>
      </c>
      <c r="N23" s="79" t="e">
        <f>N20/EERR!N37</f>
        <v>#DIV/0!</v>
      </c>
      <c r="O23" s="79" t="e">
        <f>O20/EERR!O37</f>
        <v>#DIV/0!</v>
      </c>
      <c r="P23" s="79" t="e">
        <f>P20/EERR!P37</f>
        <v>#DIV/0!</v>
      </c>
    </row>
    <row r="24" spans="2:18">
      <c r="C24" t="s">
        <v>134</v>
      </c>
      <c r="F24" s="79">
        <f>EERR!F37/EERR!F14</f>
        <v>0</v>
      </c>
      <c r="G24" s="79">
        <f>EERR!G37/EERR!G14</f>
        <v>0</v>
      </c>
      <c r="H24" s="79">
        <f>EERR!H37/EERR!H14</f>
        <v>0</v>
      </c>
      <c r="I24" s="79">
        <f>EERR!I37/EERR!I14</f>
        <v>0</v>
      </c>
      <c r="J24" s="79">
        <f>EERR!J37/EERR!J14</f>
        <v>0</v>
      </c>
      <c r="K24" s="79">
        <f>EERR!K37/EERR!K14</f>
        <v>0</v>
      </c>
      <c r="L24" s="79">
        <f>EERR!L37/EERR!L14</f>
        <v>0</v>
      </c>
      <c r="M24" s="79">
        <f>EERR!M37/EERR!M14</f>
        <v>0</v>
      </c>
      <c r="N24" s="79">
        <f>EERR!N37/EERR!N14</f>
        <v>0</v>
      </c>
      <c r="O24" s="79">
        <f>EERR!O37/EERR!O14</f>
        <v>0</v>
      </c>
      <c r="P24" s="79">
        <f>EERR!P37/EERR!P14</f>
        <v>0</v>
      </c>
    </row>
    <row r="25" spans="2:18">
      <c r="C25" t="s">
        <v>135</v>
      </c>
      <c r="F25" s="77">
        <f>EERR!F26/EERR!F20</f>
        <v>0.352731885403131</v>
      </c>
      <c r="G25" s="77">
        <f>EERR!G26/EERR!G20</f>
        <v>0.31731951197137875</v>
      </c>
      <c r="H25" s="77">
        <f>EERR!H26/EERR!H20</f>
        <v>0.63951700637458075</v>
      </c>
      <c r="I25" s="77">
        <f>EERR!I26/EERR!I20</f>
        <v>0.99988207249172401</v>
      </c>
      <c r="J25" s="77">
        <f>EERR!J26/EERR!J20</f>
        <v>0</v>
      </c>
      <c r="K25" s="77">
        <f>EERR!K26/EERR!K20</f>
        <v>0</v>
      </c>
      <c r="L25" s="77">
        <f>EERR!L26/EERR!L20</f>
        <v>0</v>
      </c>
      <c r="M25" s="77">
        <f>EERR!M26/EERR!M20</f>
        <v>0</v>
      </c>
      <c r="N25" s="77">
        <f>EERR!N26/EERR!N20</f>
        <v>0</v>
      </c>
      <c r="O25" s="77">
        <f>EERR!O26/EERR!O20</f>
        <v>0</v>
      </c>
      <c r="P25" s="77">
        <f>EERR!P26/EERR!P20</f>
        <v>0</v>
      </c>
    </row>
    <row r="27" spans="2:18">
      <c r="B27" s="39" t="s">
        <v>136</v>
      </c>
    </row>
    <row r="28" spans="2:18">
      <c r="B28" s="40"/>
    </row>
    <row r="29" spans="2:18">
      <c r="C29" t="s">
        <v>115</v>
      </c>
      <c r="F29" s="77">
        <f>Calculos!F29/EERR!F4</f>
        <v>7.5366636208400686E-2</v>
      </c>
      <c r="G29" s="77">
        <f>Calculos!G29/EERR!G4</f>
        <v>8.0329240594955512E-2</v>
      </c>
      <c r="H29" s="77">
        <f>Calculos!H29/EERR!H4</f>
        <v>0.13347960003011067</v>
      </c>
      <c r="I29" s="77">
        <f>Calculos!I29/EERR!I4</f>
        <v>-5.5251657687240968E-3</v>
      </c>
      <c r="J29" s="77">
        <f>Calculos!J29/EERR!J4</f>
        <v>0</v>
      </c>
      <c r="K29" s="77">
        <f>Calculos!K29/EERR!K4</f>
        <v>0</v>
      </c>
      <c r="L29" s="77">
        <f>Calculos!L29/EERR!L4</f>
        <v>0</v>
      </c>
      <c r="M29" s="77">
        <f>Calculos!M29/EERR!M4</f>
        <v>0</v>
      </c>
      <c r="N29" s="77">
        <f>Calculos!N29/EERR!N4</f>
        <v>0</v>
      </c>
      <c r="O29" s="77">
        <f>Calculos!O29/EERR!O4</f>
        <v>0</v>
      </c>
      <c r="P29" s="77">
        <f>Calculos!P29/EERR!P4</f>
        <v>0</v>
      </c>
    </row>
    <row r="30" spans="2:18">
      <c r="C30" t="s">
        <v>116</v>
      </c>
      <c r="F30" s="77">
        <f>Balance!F20/EERR!F4</f>
        <v>2.2810333207916944</v>
      </c>
      <c r="G30" s="77">
        <f>Balance!G20/EERR!G4</f>
        <v>2.4130411683563207</v>
      </c>
      <c r="H30" s="77">
        <f>Balance!H20/EERR!H4</f>
        <v>2.0667578350437861</v>
      </c>
      <c r="I30" s="77">
        <f>Balance!I20/EERR!I4</f>
        <v>1.7610888344347913</v>
      </c>
      <c r="J30" s="77">
        <f>Balance!J20/EERR!J4</f>
        <v>0</v>
      </c>
      <c r="K30" s="77">
        <f>Balance!K20/EERR!K4</f>
        <v>0</v>
      </c>
      <c r="L30" s="77">
        <f>Balance!L20/EERR!L4</f>
        <v>0</v>
      </c>
      <c r="M30" s="77">
        <f>Balance!M20/EERR!M4</f>
        <v>0</v>
      </c>
      <c r="N30" s="77">
        <f>Balance!N20/EERR!N4</f>
        <v>0</v>
      </c>
      <c r="O30" s="77">
        <f>Balance!O20/EERR!O4</f>
        <v>0</v>
      </c>
      <c r="P30" s="77">
        <f>Balance!P20/EERR!P4</f>
        <v>0</v>
      </c>
      <c r="Q30" s="75" t="s">
        <v>285</v>
      </c>
      <c r="R30" s="75"/>
    </row>
    <row r="31" spans="2:18">
      <c r="C31" t="s">
        <v>117</v>
      </c>
      <c r="F31" s="31">
        <f>F20+F21</f>
        <v>2476762</v>
      </c>
      <c r="G31" s="31">
        <f t="shared" ref="G31:P31" si="1">G20+G21</f>
        <v>2836042</v>
      </c>
      <c r="H31" s="31">
        <f t="shared" si="1"/>
        <v>2921011</v>
      </c>
      <c r="I31" s="31">
        <f t="shared" si="1"/>
        <v>2748712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1"/>
        <v>0</v>
      </c>
      <c r="N31" s="31">
        <f t="shared" si="1"/>
        <v>0</v>
      </c>
      <c r="O31" s="31">
        <f t="shared" si="1"/>
        <v>0</v>
      </c>
      <c r="P31" s="31">
        <f t="shared" si="1"/>
        <v>0</v>
      </c>
    </row>
    <row r="32" spans="2:18">
      <c r="C32" t="s">
        <v>118</v>
      </c>
      <c r="F32" s="77">
        <f>F31/EERR!F4</f>
        <v>2.5601089055283821</v>
      </c>
      <c r="G32" s="77">
        <f>G31/EERR!G4</f>
        <v>2.6905836658564675</v>
      </c>
      <c r="H32" s="77">
        <f>H31/EERR!H4</f>
        <v>2.2904572742328058</v>
      </c>
      <c r="I32" s="77">
        <f>I31/EERR!I4</f>
        <v>1.8898817135989483</v>
      </c>
      <c r="J32" s="77">
        <f>J31/EERR!J4</f>
        <v>0</v>
      </c>
      <c r="K32" s="77">
        <f>K31/EERR!K4</f>
        <v>0</v>
      </c>
      <c r="L32" s="77">
        <f>L31/EERR!L4</f>
        <v>0</v>
      </c>
      <c r="M32" s="77">
        <f>M31/EERR!M4</f>
        <v>0</v>
      </c>
      <c r="N32" s="77">
        <f>N31/EERR!N4</f>
        <v>0</v>
      </c>
      <c r="O32" s="77">
        <f>O31/EERR!O4</f>
        <v>0</v>
      </c>
      <c r="P32" s="77">
        <f>P31/EERR!P4</f>
        <v>0</v>
      </c>
    </row>
    <row r="34" spans="2:19">
      <c r="B34" s="39" t="s">
        <v>119</v>
      </c>
    </row>
    <row r="35" spans="2:19">
      <c r="B35" s="40"/>
    </row>
    <row r="36" spans="2:19">
      <c r="C36" s="41" t="s">
        <v>120</v>
      </c>
      <c r="F36" s="58">
        <f>EERR!F11*(1-Supuestos!F15)</f>
        <v>234379.87538387801</v>
      </c>
      <c r="G36" s="58">
        <f>EERR!G11*(1-Supuestos!G15)</f>
        <v>112766.63407529236</v>
      </c>
      <c r="H36" s="58">
        <f>EERR!H11*(1-Supuestos!H15)</f>
        <v>112912.5913133015</v>
      </c>
      <c r="I36" s="58">
        <f>EERR!I11*(1-Supuestos!I15)</f>
        <v>139588.01392255194</v>
      </c>
      <c r="J36" s="58">
        <f>EERR!J11*(1-Supuestos!J15)</f>
        <v>131829.2392159515</v>
      </c>
      <c r="K36" s="58">
        <f>EERR!K11*(1-Supuestos!K15)</f>
        <v>157223.46948008484</v>
      </c>
      <c r="L36" s="58">
        <f>EERR!L11*(1-Supuestos!L15)</f>
        <v>181802.5155590401</v>
      </c>
      <c r="M36" s="58">
        <f>EERR!M11*(1-Supuestos!M15)</f>
        <v>210472.0244914144</v>
      </c>
      <c r="N36" s="58">
        <f>EERR!N11*(1-Supuestos!N15)</f>
        <v>243918.07509664044</v>
      </c>
      <c r="O36" s="58">
        <f>EERR!O11*(1-Supuestos!O15)</f>
        <v>281088.10033560026</v>
      </c>
      <c r="P36" s="58">
        <f>EERR!P11*(1-Supuestos!P15)</f>
        <v>323990.82869184698</v>
      </c>
    </row>
    <row r="37" spans="2:19">
      <c r="C37" s="41" t="s">
        <v>121</v>
      </c>
      <c r="F37" s="76">
        <f>F36/F31</f>
        <v>9.4631569518539932E-2</v>
      </c>
      <c r="G37" s="76">
        <f t="shared" ref="G37:P37" si="2">G36/G31</f>
        <v>3.976197604806006E-2</v>
      </c>
      <c r="H37" s="76">
        <f t="shared" si="2"/>
        <v>3.8655311915395563E-2</v>
      </c>
      <c r="I37" s="76">
        <f t="shared" si="2"/>
        <v>5.0783062729944768E-2</v>
      </c>
      <c r="J37" s="76" t="e">
        <f t="shared" si="2"/>
        <v>#DIV/0!</v>
      </c>
      <c r="K37" s="76" t="e">
        <f t="shared" si="2"/>
        <v>#DIV/0!</v>
      </c>
      <c r="L37" s="76" t="e">
        <f t="shared" si="2"/>
        <v>#DIV/0!</v>
      </c>
      <c r="M37" s="76" t="e">
        <f t="shared" si="2"/>
        <v>#DIV/0!</v>
      </c>
      <c r="N37" s="76" t="e">
        <f t="shared" si="2"/>
        <v>#DIV/0!</v>
      </c>
      <c r="O37" s="76" t="e">
        <f t="shared" si="2"/>
        <v>#DIV/0!</v>
      </c>
      <c r="P37" s="76" t="e">
        <f t="shared" si="2"/>
        <v>#DIV/0!</v>
      </c>
    </row>
    <row r="38" spans="2:19">
      <c r="C38" s="41" t="s">
        <v>122</v>
      </c>
      <c r="F38" s="77">
        <f>EERR!F23/Ratios!F21</f>
        <v>0.12702338689819287</v>
      </c>
      <c r="G38" s="77">
        <f>EERR!G23/Ratios!G21</f>
        <v>4.8832445480958095E-2</v>
      </c>
      <c r="H38" s="77">
        <f>EERR!H23/Ratios!H21</f>
        <v>4.7979816877640288E-2</v>
      </c>
      <c r="I38" s="77">
        <f>EERR!I23/Ratios!I21</f>
        <v>5.2186357041647653E-2</v>
      </c>
      <c r="J38" s="77" t="e">
        <f>EERR!J23/Ratios!J21</f>
        <v>#DIV/0!</v>
      </c>
      <c r="K38" s="77" t="e">
        <f>EERR!K23/Ratios!K21</f>
        <v>#DIV/0!</v>
      </c>
      <c r="L38" s="77" t="e">
        <f>EERR!L23/Ratios!L21</f>
        <v>#DIV/0!</v>
      </c>
      <c r="M38" s="77" t="e">
        <f>EERR!M23/Ratios!M21</f>
        <v>#DIV/0!</v>
      </c>
      <c r="N38" s="77" t="e">
        <f>EERR!N23/Ratios!N21</f>
        <v>#DIV/0!</v>
      </c>
      <c r="O38" s="77" t="e">
        <f>EERR!O23/Ratios!O21</f>
        <v>#DIV/0!</v>
      </c>
      <c r="P38" s="77" t="e">
        <f>EERR!P23/Ratios!P21</f>
        <v>#DIV/0!</v>
      </c>
      <c r="Q38" s="75" t="s">
        <v>286</v>
      </c>
      <c r="R38" s="75"/>
      <c r="S3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D58-52D5-9841-9095-1336F5E45462}">
  <dimension ref="B1:P66"/>
  <sheetViews>
    <sheetView zoomScaleNormal="100" workbookViewId="0">
      <pane ySplit="2" topLeftCell="A3" activePane="bottomLeft" state="frozen"/>
      <selection pane="bottomLeft" activeCell="F10" sqref="F10"/>
    </sheetView>
  </sheetViews>
  <sheetFormatPr baseColWidth="10" defaultRowHeight="16"/>
  <cols>
    <col min="1" max="1" width="3" customWidth="1"/>
    <col min="2" max="2" width="4" customWidth="1"/>
    <col min="3" max="3" width="63.6640625" customWidth="1"/>
    <col min="4" max="4" width="4.1640625" customWidth="1"/>
    <col min="5" max="5" width="5.83203125" customWidth="1"/>
    <col min="6" max="6" width="12.1640625" bestFit="1" customWidth="1"/>
    <col min="7" max="7" width="12.6640625" bestFit="1" customWidth="1"/>
    <col min="8" max="8" width="11.5" bestFit="1" customWidth="1"/>
    <col min="9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105</v>
      </c>
    </row>
    <row r="6" spans="2:16">
      <c r="C6" t="s">
        <v>137</v>
      </c>
      <c r="F6" s="45">
        <f>-EERR!F5/EERR!F4</f>
        <v>0.81729485117484835</v>
      </c>
      <c r="G6" s="45">
        <f>-EERR!G5/EERR!G4</f>
        <v>0.83537875381144566</v>
      </c>
      <c r="H6" s="45">
        <f>-EERR!H5/EERR!H4</f>
        <v>0.78868748902215646</v>
      </c>
      <c r="I6" s="45">
        <f>-EERR!I5/EERR!I4</f>
        <v>0.71652860627762238</v>
      </c>
      <c r="J6" s="44">
        <v>0.8</v>
      </c>
      <c r="K6" s="44">
        <v>0.8</v>
      </c>
      <c r="L6" s="44">
        <v>0.8</v>
      </c>
      <c r="M6" s="44">
        <v>0.8</v>
      </c>
      <c r="N6" s="44">
        <v>0.8</v>
      </c>
      <c r="O6" s="44">
        <v>0.8</v>
      </c>
      <c r="P6" s="44">
        <v>0.8</v>
      </c>
    </row>
    <row r="7" spans="2:16">
      <c r="C7" s="5" t="s">
        <v>213</v>
      </c>
      <c r="F7" s="26">
        <v>208362</v>
      </c>
      <c r="G7" s="26">
        <v>20350</v>
      </c>
      <c r="H7" s="26">
        <v>9939</v>
      </c>
      <c r="I7" s="26">
        <v>6783</v>
      </c>
      <c r="J7" s="60">
        <v>10000</v>
      </c>
      <c r="K7" s="60">
        <v>10000</v>
      </c>
      <c r="L7" s="60">
        <v>10000</v>
      </c>
      <c r="M7" s="60">
        <v>10000</v>
      </c>
      <c r="N7" s="60">
        <v>10000</v>
      </c>
      <c r="O7" s="60">
        <v>10000</v>
      </c>
      <c r="P7" s="60">
        <v>10000</v>
      </c>
    </row>
    <row r="8" spans="2:16">
      <c r="C8" s="5" t="s">
        <v>216</v>
      </c>
      <c r="F8" s="48">
        <f>-EERR!F9/EERR!F4</f>
        <v>3.6547851865327607E-2</v>
      </c>
      <c r="G8" s="48">
        <f>-EERR!G9/EERR!G4</f>
        <v>3.7648639264104007E-2</v>
      </c>
      <c r="H8" s="48">
        <f>-EERR!H9/EERR!H4</f>
        <v>3.2561068175545126E-2</v>
      </c>
      <c r="I8" s="48">
        <f>-EERR!I9/EERR!I4</f>
        <v>3.0123704308749232E-2</v>
      </c>
      <c r="J8" s="61">
        <f>AVERAGE($F$8:$I$8)</f>
        <v>3.422031590343149E-2</v>
      </c>
      <c r="K8" s="61">
        <f t="shared" ref="K8:P8" si="0">AVERAGE($F$8:$I$8)</f>
        <v>3.422031590343149E-2</v>
      </c>
      <c r="L8" s="61">
        <f t="shared" si="0"/>
        <v>3.422031590343149E-2</v>
      </c>
      <c r="M8" s="61">
        <f t="shared" si="0"/>
        <v>3.422031590343149E-2</v>
      </c>
      <c r="N8" s="61">
        <f t="shared" si="0"/>
        <v>3.422031590343149E-2</v>
      </c>
      <c r="O8" s="61">
        <f t="shared" si="0"/>
        <v>3.422031590343149E-2</v>
      </c>
      <c r="P8" s="61">
        <f t="shared" si="0"/>
        <v>3.422031590343149E-2</v>
      </c>
    </row>
    <row r="9" spans="2:16">
      <c r="C9" s="5" t="s">
        <v>220</v>
      </c>
      <c r="F9" s="48">
        <f>-EERR!F10/EERR!F4</f>
        <v>4.4851174848363318E-2</v>
      </c>
      <c r="G9" s="48">
        <f>-EERR!G10/EERR!G4</f>
        <v>5.4531896605702511E-3</v>
      </c>
      <c r="H9" s="48">
        <f>-EERR!H10/EERR!H4</f>
        <v>6.7487077509848697E-2</v>
      </c>
      <c r="I9" s="48">
        <f>-EERR!I10/EERR!I4</f>
        <v>0.12759516403609372</v>
      </c>
      <c r="J9" s="44">
        <v>7.0000000000000007E-2</v>
      </c>
      <c r="K9" s="44">
        <v>7.0000000000000007E-2</v>
      </c>
      <c r="L9" s="44">
        <v>7.0000000000000007E-2</v>
      </c>
      <c r="M9" s="44">
        <v>7.0000000000000007E-2</v>
      </c>
      <c r="N9" s="44">
        <v>7.0000000000000007E-2</v>
      </c>
      <c r="O9" s="44">
        <v>7.0000000000000007E-2</v>
      </c>
      <c r="P9" s="44">
        <v>7.0000000000000007E-2</v>
      </c>
    </row>
    <row r="10" spans="2:16">
      <c r="C10" s="5" t="s">
        <v>222</v>
      </c>
      <c r="F10" s="47">
        <f>EERR!F13</f>
        <v>2140</v>
      </c>
      <c r="G10" s="47">
        <f>EERR!G13</f>
        <v>2542</v>
      </c>
      <c r="H10" s="47">
        <f>EERR!H13</f>
        <v>5846</v>
      </c>
      <c r="I10" s="47">
        <f>EERR!I13</f>
        <v>5166</v>
      </c>
      <c r="J10" s="60">
        <v>5000</v>
      </c>
      <c r="K10" s="60">
        <v>5000</v>
      </c>
      <c r="L10" s="60">
        <v>5000</v>
      </c>
      <c r="M10" s="60">
        <v>5000</v>
      </c>
      <c r="N10" s="60">
        <v>5000</v>
      </c>
      <c r="O10" s="60">
        <v>5000</v>
      </c>
      <c r="P10" s="60">
        <v>5000</v>
      </c>
    </row>
    <row r="11" spans="2:16">
      <c r="C11" s="5" t="s">
        <v>224</v>
      </c>
      <c r="F11" s="47">
        <f>EERR!F14</f>
        <v>-26727</v>
      </c>
      <c r="G11" s="47">
        <f>EERR!G14</f>
        <v>-11594</v>
      </c>
      <c r="H11" s="47">
        <f>EERR!H14</f>
        <v>-12771</v>
      </c>
      <c r="I11" s="47">
        <f>EERR!I14</f>
        <v>-37837</v>
      </c>
      <c r="J11" s="60">
        <v>-20000</v>
      </c>
      <c r="K11" s="60">
        <v>-20000</v>
      </c>
      <c r="L11" s="60">
        <v>-20000</v>
      </c>
      <c r="M11" s="60">
        <v>-20000</v>
      </c>
      <c r="N11" s="60">
        <v>-20000</v>
      </c>
      <c r="O11" s="60">
        <v>-20000</v>
      </c>
      <c r="P11" s="60">
        <v>-20000</v>
      </c>
    </row>
    <row r="12" spans="2:16">
      <c r="C12" s="5" t="s">
        <v>225</v>
      </c>
      <c r="D12" t="s">
        <v>138</v>
      </c>
      <c r="F12" s="47">
        <f>EERR!F15</f>
        <v>54069</v>
      </c>
      <c r="G12" s="47">
        <f>EERR!G15</f>
        <v>1595</v>
      </c>
      <c r="H12" s="47">
        <f>EERR!H15</f>
        <v>6938</v>
      </c>
      <c r="I12" s="47">
        <f>EERR!I15</f>
        <v>7334</v>
      </c>
      <c r="J12" s="60">
        <v>7000</v>
      </c>
      <c r="K12" s="60">
        <v>7000</v>
      </c>
      <c r="L12" s="60">
        <v>7000</v>
      </c>
      <c r="M12" s="60">
        <v>7000</v>
      </c>
      <c r="N12" s="60">
        <v>7000</v>
      </c>
      <c r="O12" s="60">
        <v>7000</v>
      </c>
      <c r="P12" s="60">
        <v>7000</v>
      </c>
    </row>
    <row r="13" spans="2:16">
      <c r="C13" s="5" t="s">
        <v>226</v>
      </c>
      <c r="F13" s="47">
        <f>EERR!F16</f>
        <v>2146</v>
      </c>
      <c r="G13" s="47">
        <f>EERR!G16</f>
        <v>2512</v>
      </c>
      <c r="H13" s="47">
        <f>EERR!H16</f>
        <v>-2285</v>
      </c>
      <c r="I13" s="47">
        <f>EERR!I16</f>
        <v>-3024</v>
      </c>
      <c r="J13" s="60">
        <v>2600</v>
      </c>
      <c r="K13" s="60">
        <v>2600</v>
      </c>
      <c r="L13" s="60">
        <v>2600</v>
      </c>
      <c r="M13" s="60">
        <v>2600</v>
      </c>
      <c r="N13" s="60">
        <v>2600</v>
      </c>
      <c r="O13" s="60">
        <v>2600</v>
      </c>
      <c r="P13" s="60">
        <v>2600</v>
      </c>
    </row>
    <row r="15" spans="2:16">
      <c r="C15" s="5" t="s">
        <v>106</v>
      </c>
      <c r="F15" s="46">
        <f>-EERR!F19/EERR!F17</f>
        <v>0.23497772176166723</v>
      </c>
      <c r="G15" s="46">
        <f>-EERR!G19/EERR!G17</f>
        <v>0.24031666829275092</v>
      </c>
      <c r="H15" s="46">
        <f>-EERR!H19/EERR!H17</f>
        <v>0.25634185153982963</v>
      </c>
      <c r="I15" s="46">
        <f>-EERR!I19/EERR!I17</f>
        <v>0.26409456921293573</v>
      </c>
      <c r="J15" s="44">
        <v>0.26</v>
      </c>
      <c r="K15" s="44">
        <v>0.26</v>
      </c>
      <c r="L15" s="44">
        <v>0.26</v>
      </c>
      <c r="M15" s="44">
        <v>0.26</v>
      </c>
      <c r="N15" s="44">
        <v>0.26</v>
      </c>
      <c r="O15" s="44">
        <v>0.26</v>
      </c>
      <c r="P15" s="44">
        <v>0.26</v>
      </c>
    </row>
    <row r="16" spans="2:16">
      <c r="C16" s="5" t="s">
        <v>240</v>
      </c>
      <c r="J16" s="44"/>
      <c r="K16" s="44"/>
      <c r="L16" s="44"/>
      <c r="M16" s="44"/>
      <c r="N16" s="44"/>
      <c r="O16" s="44"/>
      <c r="P16" s="44"/>
    </row>
    <row r="17" spans="2:16">
      <c r="C17" s="5" t="s">
        <v>108</v>
      </c>
      <c r="J17" s="44"/>
      <c r="K17" s="44"/>
      <c r="L17" s="44"/>
      <c r="M17" s="44"/>
      <c r="N17" s="44"/>
      <c r="O17" s="44"/>
      <c r="P17" s="44"/>
    </row>
    <row r="18" spans="2:16">
      <c r="C18" s="5" t="s">
        <v>107</v>
      </c>
      <c r="J18" s="44"/>
      <c r="K18" s="44"/>
      <c r="L18" s="44"/>
      <c r="M18" s="44"/>
      <c r="N18" s="44"/>
      <c r="O18" s="44"/>
      <c r="P18" s="44"/>
    </row>
    <row r="19" spans="2:16">
      <c r="C19" s="5" t="s">
        <v>109</v>
      </c>
      <c r="J19" s="44"/>
      <c r="K19" s="44"/>
      <c r="L19" s="44"/>
      <c r="M19" s="44"/>
      <c r="N19" s="44"/>
      <c r="O19" s="44"/>
      <c r="P19" s="44"/>
    </row>
    <row r="22" spans="2:16">
      <c r="B22" s="4" t="s">
        <v>24</v>
      </c>
    </row>
    <row r="23" spans="2:16">
      <c r="B23" s="4"/>
    </row>
    <row r="24" spans="2:16">
      <c r="C24" s="43" t="s">
        <v>241</v>
      </c>
      <c r="F24" s="67">
        <f>Balance!F5</f>
        <v>3281</v>
      </c>
      <c r="G24" s="67">
        <f>Balance!G5</f>
        <v>2845</v>
      </c>
      <c r="H24" s="67">
        <f>Balance!H5</f>
        <v>0</v>
      </c>
      <c r="I24" s="67">
        <f>Balance!I5</f>
        <v>471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2:16">
      <c r="C25" s="43" t="s">
        <v>139</v>
      </c>
      <c r="F25" s="46">
        <f>Balance!F6/EERR!F4</f>
        <v>3.5973141597859928E-2</v>
      </c>
      <c r="G25" s="46">
        <f>Balance!G6/EERR!G4</f>
        <v>2.7086641962237517E-2</v>
      </c>
      <c r="H25" s="46">
        <f>Balance!H6/EERR!H4</f>
        <v>7.1457920357313126E-3</v>
      </c>
      <c r="I25" s="46">
        <f>Balance!I6/EERR!I4</f>
        <v>5.6248607707730007E-3</v>
      </c>
      <c r="J25" s="71">
        <v>6.0000000000000001E-3</v>
      </c>
      <c r="K25" s="71">
        <v>6.0000000000000001E-3</v>
      </c>
      <c r="L25" s="71">
        <v>6.0000000000000001E-3</v>
      </c>
      <c r="M25" s="71">
        <v>6.0000000000000001E-3</v>
      </c>
      <c r="N25" s="71">
        <v>6.0000000000000001E-3</v>
      </c>
      <c r="O25" s="71">
        <v>6.0000000000000001E-3</v>
      </c>
      <c r="P25" s="71">
        <v>6.0000000000000001E-3</v>
      </c>
    </row>
    <row r="26" spans="2:16">
      <c r="C26" s="43" t="s">
        <v>140</v>
      </c>
      <c r="F26" s="49">
        <f>Balance!F7/EERR!F4*365</f>
        <v>37.186881101128336</v>
      </c>
      <c r="G26" s="49">
        <f>Balance!G7/EERR!G4*365</f>
        <v>42.305305570260572</v>
      </c>
      <c r="H26" s="49">
        <f>Balance!H7/EERR!H4*365</f>
        <v>46.307892442225182</v>
      </c>
      <c r="I26" s="49">
        <f>Balance!I7/EERR!I4*365</f>
        <v>24.251923082211938</v>
      </c>
      <c r="J26" s="69">
        <v>30</v>
      </c>
      <c r="K26" s="69">
        <v>30</v>
      </c>
      <c r="L26" s="69">
        <v>30</v>
      </c>
      <c r="M26" s="69">
        <v>30</v>
      </c>
      <c r="N26" s="69">
        <v>30</v>
      </c>
      <c r="O26" s="69">
        <v>30</v>
      </c>
      <c r="P26" s="69">
        <v>30</v>
      </c>
    </row>
    <row r="27" spans="2:16">
      <c r="C27" s="43" t="s">
        <v>141</v>
      </c>
      <c r="F27" s="49">
        <f>Balance!F8/EERR!F4*365</f>
        <v>2.2727517044914229</v>
      </c>
      <c r="G27" s="49">
        <f>Balance!G8/EERR!G4*365</f>
        <v>2.4873252237534413</v>
      </c>
      <c r="H27" s="49">
        <f>Balance!H8/EERR!H4*365</f>
        <v>7.4746098160740733</v>
      </c>
      <c r="I27" s="49">
        <f>Balance!I8/EERR!I4*365</f>
        <v>3.0112256572307068</v>
      </c>
      <c r="J27" s="69">
        <v>4</v>
      </c>
      <c r="K27" s="69">
        <v>4</v>
      </c>
      <c r="L27" s="69">
        <v>4</v>
      </c>
      <c r="M27" s="69">
        <v>4</v>
      </c>
      <c r="N27" s="69">
        <v>4</v>
      </c>
      <c r="O27" s="69">
        <v>4</v>
      </c>
      <c r="P27" s="69">
        <v>4</v>
      </c>
    </row>
    <row r="28" spans="2:16">
      <c r="C28" s="43" t="s">
        <v>142</v>
      </c>
      <c r="D28" t="s">
        <v>144</v>
      </c>
      <c r="E28" t="s">
        <v>138</v>
      </c>
      <c r="F28" s="49">
        <f>Balance!F9/EERR!F5*365</f>
        <v>-79.456548545758309</v>
      </c>
      <c r="G28" s="49">
        <f>Balance!G9/EERR!G5*365</f>
        <v>-53.699963999404908</v>
      </c>
      <c r="H28" s="49">
        <f>Balance!H9/EERR!H5*365</f>
        <v>-57.648959545043304</v>
      </c>
      <c r="I28" s="49">
        <f>Balance!I9/EERR!I5*365</f>
        <v>-40.699192530789858</v>
      </c>
      <c r="J28" s="69">
        <v>-50</v>
      </c>
      <c r="K28" s="69">
        <v>-50</v>
      </c>
      <c r="L28" s="69">
        <v>-50</v>
      </c>
      <c r="M28" s="69">
        <v>-50</v>
      </c>
      <c r="N28" s="69">
        <v>-50</v>
      </c>
      <c r="O28" s="69">
        <v>-50</v>
      </c>
      <c r="P28" s="69">
        <v>-50</v>
      </c>
    </row>
    <row r="29" spans="2:16">
      <c r="C29" s="43" t="s">
        <v>143</v>
      </c>
      <c r="F29" s="29">
        <v>13725</v>
      </c>
      <c r="G29" s="29">
        <v>12939</v>
      </c>
      <c r="H29" s="26">
        <v>10216</v>
      </c>
      <c r="I29" s="26">
        <v>12679</v>
      </c>
      <c r="J29" s="69"/>
      <c r="K29" s="69"/>
      <c r="L29" s="69"/>
      <c r="M29" s="69"/>
      <c r="N29" s="69"/>
      <c r="O29" s="69"/>
      <c r="P29" s="69"/>
    </row>
    <row r="30" spans="2:16">
      <c r="C30" s="42"/>
    </row>
    <row r="31" spans="2:16">
      <c r="C31" s="14" t="s">
        <v>242</v>
      </c>
      <c r="F31" s="47">
        <f>Balance!F13</f>
        <v>0</v>
      </c>
      <c r="G31" s="47">
        <f>Balance!G13</f>
        <v>71</v>
      </c>
      <c r="H31" s="47">
        <f>Balance!H13</f>
        <v>0</v>
      </c>
      <c r="I31" s="47">
        <f>Balance!I13</f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2:16">
      <c r="C32" s="14" t="s">
        <v>244</v>
      </c>
      <c r="F32" s="29">
        <v>13910</v>
      </c>
      <c r="G32" s="29">
        <v>9884</v>
      </c>
      <c r="H32" s="26">
        <v>10670</v>
      </c>
      <c r="I32" s="26">
        <v>5707</v>
      </c>
      <c r="J32" s="69">
        <v>6000</v>
      </c>
      <c r="K32" s="69">
        <v>6000</v>
      </c>
      <c r="L32" s="69">
        <v>6000</v>
      </c>
      <c r="M32" s="69">
        <v>6000</v>
      </c>
      <c r="N32" s="69">
        <v>6000</v>
      </c>
      <c r="O32" s="69">
        <v>6000</v>
      </c>
      <c r="P32" s="69">
        <v>6000</v>
      </c>
    </row>
    <row r="33" spans="3:16">
      <c r="C33" s="14" t="s">
        <v>245</v>
      </c>
      <c r="D33" t="s">
        <v>138</v>
      </c>
      <c r="F33" s="29">
        <v>248</v>
      </c>
      <c r="G33" s="29">
        <v>250</v>
      </c>
      <c r="H33" s="26">
        <v>20</v>
      </c>
      <c r="I33" s="26">
        <v>73519</v>
      </c>
      <c r="J33" s="69">
        <v>250</v>
      </c>
      <c r="K33" s="69">
        <v>250</v>
      </c>
      <c r="L33" s="69">
        <v>250</v>
      </c>
      <c r="M33" s="69">
        <v>250</v>
      </c>
      <c r="N33" s="69">
        <v>250</v>
      </c>
      <c r="O33" s="69">
        <v>250</v>
      </c>
      <c r="P33" s="69">
        <v>250</v>
      </c>
    </row>
    <row r="34" spans="3:16">
      <c r="C34" s="14" t="s">
        <v>145</v>
      </c>
      <c r="D34" t="s">
        <v>138</v>
      </c>
      <c r="F34" s="48">
        <f>Balance!F16/EERR!$F$4</f>
        <v>3.5054225360847763E-2</v>
      </c>
      <c r="G34" s="48">
        <f>Balance!G16/EERR!$F$4</f>
        <v>6.7841652850190809E-2</v>
      </c>
      <c r="H34" s="48">
        <f>Balance!H16/EERR!$F$4</f>
        <v>2.7098209302037119E-2</v>
      </c>
      <c r="I34" s="48">
        <f>Balance!I16/EERR!$F$4</f>
        <v>2.8654888551688781E-2</v>
      </c>
      <c r="J34" s="44">
        <v>0.03</v>
      </c>
      <c r="K34" s="44">
        <v>0.03</v>
      </c>
      <c r="L34" s="44">
        <v>0.03</v>
      </c>
      <c r="M34" s="44">
        <v>0.03</v>
      </c>
      <c r="N34" s="44">
        <v>0.03</v>
      </c>
      <c r="O34" s="44">
        <v>0.03</v>
      </c>
      <c r="P34" s="44">
        <v>0.03</v>
      </c>
    </row>
    <row r="35" spans="3:16">
      <c r="C35" s="14" t="s">
        <v>39</v>
      </c>
      <c r="F35" s="29">
        <v>83350</v>
      </c>
      <c r="G35" s="29">
        <v>80746</v>
      </c>
      <c r="H35" s="26">
        <v>96745</v>
      </c>
      <c r="I35" s="26">
        <v>89697</v>
      </c>
      <c r="J35" s="69">
        <v>90000</v>
      </c>
      <c r="K35" s="69">
        <v>90000</v>
      </c>
      <c r="L35" s="69">
        <v>90000</v>
      </c>
      <c r="M35" s="69">
        <v>90000</v>
      </c>
      <c r="N35" s="69">
        <v>90000</v>
      </c>
      <c r="O35" s="69">
        <v>90000</v>
      </c>
      <c r="P35" s="69">
        <v>90000</v>
      </c>
    </row>
    <row r="36" spans="3:16">
      <c r="C36" s="14" t="s">
        <v>247</v>
      </c>
      <c r="D36" t="s">
        <v>248</v>
      </c>
      <c r="E36" t="s">
        <v>138</v>
      </c>
      <c r="F36" s="47"/>
      <c r="G36" s="47">
        <f>Balance!F18-Balance!G18</f>
        <v>17201</v>
      </c>
      <c r="H36" s="47">
        <f>Balance!G18-Balance!H18</f>
        <v>16960</v>
      </c>
      <c r="I36" s="47">
        <f>Balance!H18-Balance!I18</f>
        <v>17204</v>
      </c>
      <c r="J36" s="69">
        <v>17200</v>
      </c>
      <c r="K36" s="69">
        <v>17200</v>
      </c>
      <c r="L36" s="69">
        <v>17200</v>
      </c>
      <c r="M36" s="69">
        <v>17200</v>
      </c>
      <c r="N36" s="69">
        <v>17200</v>
      </c>
      <c r="O36" s="69">
        <v>17200</v>
      </c>
      <c r="P36" s="69">
        <v>17200</v>
      </c>
    </row>
    <row r="37" spans="3:16">
      <c r="C37" s="14" t="s">
        <v>146</v>
      </c>
      <c r="F37" s="47">
        <f>Balance!F19</f>
        <v>25099</v>
      </c>
      <c r="G37" s="47">
        <f>Balance!G19</f>
        <v>25099</v>
      </c>
      <c r="H37" s="47">
        <f>Balance!H19</f>
        <v>25099</v>
      </c>
      <c r="I37" s="47">
        <f>Balance!I19</f>
        <v>25099</v>
      </c>
      <c r="J37" s="69">
        <v>25099</v>
      </c>
      <c r="K37" s="69">
        <v>25099</v>
      </c>
      <c r="L37" s="69">
        <v>25099</v>
      </c>
      <c r="M37" s="69">
        <v>25099</v>
      </c>
      <c r="N37" s="69">
        <v>25099</v>
      </c>
      <c r="O37" s="69">
        <v>25099</v>
      </c>
      <c r="P37" s="69">
        <v>25099</v>
      </c>
    </row>
    <row r="38" spans="3:16">
      <c r="C38" s="14" t="s">
        <v>147</v>
      </c>
      <c r="F38" s="47">
        <f>Balance!F21</f>
        <v>1039</v>
      </c>
      <c r="G38" s="47">
        <f>Balance!G21</f>
        <v>2195</v>
      </c>
      <c r="H38" s="47">
        <f>Balance!H21</f>
        <v>2151</v>
      </c>
      <c r="I38" s="47">
        <f>Balance!I21</f>
        <v>18112</v>
      </c>
      <c r="J38" s="44"/>
      <c r="K38" s="44"/>
      <c r="L38" s="44"/>
      <c r="M38" s="44"/>
      <c r="N38" s="44"/>
      <c r="O38" s="44"/>
      <c r="P38" s="44"/>
    </row>
    <row r="39" spans="3:16">
      <c r="C39" s="34"/>
    </row>
    <row r="40" spans="3:16">
      <c r="C40" s="14" t="s">
        <v>148</v>
      </c>
      <c r="F40" s="48">
        <f>Balance!F27/EERR!F4</f>
        <v>1.801964764885616E-2</v>
      </c>
      <c r="G40" s="48">
        <f>Balance!G27/EERR!G4</f>
        <v>0.11128282776534966</v>
      </c>
      <c r="H40" s="48">
        <f>Balance!H27/EERR!H4</f>
        <v>8.6167446616314952E-2</v>
      </c>
      <c r="I40" s="48">
        <f>Balance!I27/EERR!I4</f>
        <v>7.1332117741860074E-2</v>
      </c>
      <c r="J40" s="44"/>
      <c r="K40" s="44"/>
      <c r="L40" s="44"/>
      <c r="M40" s="44"/>
      <c r="N40" s="44"/>
      <c r="O40" s="44"/>
      <c r="P40" s="44"/>
    </row>
    <row r="41" spans="3:16">
      <c r="C41" s="14" t="s">
        <v>149</v>
      </c>
      <c r="D41" t="s">
        <v>144</v>
      </c>
      <c r="E41" t="s">
        <v>138</v>
      </c>
      <c r="F41" s="49">
        <f>Balance!F28/EERR!$F$5*365</f>
        <v>-72.923647410416507</v>
      </c>
      <c r="G41" s="49">
        <f>Balance!G28/EERR!$F$5*365</f>
        <v>-74.422078521589455</v>
      </c>
      <c r="H41" s="49">
        <f>Balance!H28/EERR!$F$5*365</f>
        <v>-74.232812731207162</v>
      </c>
      <c r="I41" s="49">
        <f>Balance!I28/EERR!$F$5*365</f>
        <v>-87.905188778872045</v>
      </c>
      <c r="J41" s="44"/>
      <c r="K41" s="44"/>
      <c r="L41" s="44"/>
      <c r="M41" s="44"/>
      <c r="N41" s="44"/>
      <c r="O41" s="44"/>
      <c r="P41" s="44"/>
    </row>
    <row r="42" spans="3:16">
      <c r="C42" s="14" t="s">
        <v>150</v>
      </c>
      <c r="F42" s="49">
        <f>Balance!F29/EERR!$F$5*365</f>
        <v>-14.125690696824407</v>
      </c>
      <c r="G42" s="49">
        <f>Balance!G29/EERR!$F$5*365</f>
        <v>-11.390107589981877</v>
      </c>
      <c r="H42" s="49">
        <f>Balance!H29/EERR!$F$5*365</f>
        <v>-4.7524178341113492</v>
      </c>
      <c r="I42" s="49">
        <f>Balance!I29/EERR!$F$5*365</f>
        <v>-5.8326177109273329</v>
      </c>
      <c r="J42" s="44"/>
      <c r="K42" s="44"/>
      <c r="L42" s="44"/>
      <c r="M42" s="44"/>
      <c r="N42" s="44"/>
      <c r="O42" s="44"/>
      <c r="P42" s="44"/>
    </row>
    <row r="43" spans="3:16">
      <c r="C43" s="14" t="s">
        <v>153</v>
      </c>
      <c r="D43" t="s">
        <v>154</v>
      </c>
      <c r="E43" t="s">
        <v>138</v>
      </c>
      <c r="F43" s="48">
        <f>Balance!F30/EERR!F19</f>
        <v>-0.52825413613356498</v>
      </c>
      <c r="G43" s="48">
        <f>Balance!G30/EERR!G19</f>
        <v>-0.26418048950237794</v>
      </c>
      <c r="H43" s="48">
        <f>Balance!H30/EERR!H19</f>
        <v>-0.26388273037898746</v>
      </c>
      <c r="I43" s="48">
        <f>Balance!I30/EERR!I19</f>
        <v>-0.54999530560510745</v>
      </c>
      <c r="J43" s="44"/>
      <c r="K43" s="44"/>
      <c r="L43" s="44"/>
      <c r="M43" s="44"/>
      <c r="N43" s="44"/>
      <c r="O43" s="44"/>
      <c r="P43" s="44"/>
    </row>
    <row r="44" spans="3:16">
      <c r="C44" s="14" t="s">
        <v>151</v>
      </c>
      <c r="F44" s="47">
        <f>Balance!F31</f>
        <v>20167</v>
      </c>
      <c r="G44" s="47">
        <f>Balance!G31</f>
        <v>14745</v>
      </c>
      <c r="H44" s="47">
        <f>Balance!H31</f>
        <v>13275</v>
      </c>
      <c r="I44" s="47">
        <f>Balance!I31</f>
        <v>12348</v>
      </c>
      <c r="J44" s="44"/>
      <c r="K44" s="44"/>
      <c r="L44" s="44"/>
      <c r="M44" s="44"/>
      <c r="N44" s="44"/>
      <c r="O44" s="44"/>
      <c r="P44" s="44"/>
    </row>
    <row r="45" spans="3:16">
      <c r="C45" s="14" t="s">
        <v>152</v>
      </c>
      <c r="F45" s="48">
        <f>Balance!F32/EERR!F4</f>
        <v>1.6879529977962549E-3</v>
      </c>
      <c r="G45" s="48">
        <f>Balance!G32/EERR!G4</f>
        <v>5.6666495898723222E-3</v>
      </c>
      <c r="H45" s="48">
        <f>Balance!H32/EERR!H4</f>
        <v>1.0836699872029708E-3</v>
      </c>
      <c r="I45" s="48">
        <f>Balance!I32/EERR!I4</f>
        <v>1.0241770693244667E-2</v>
      </c>
      <c r="J45" s="44"/>
      <c r="K45" s="44"/>
      <c r="L45" s="44"/>
      <c r="M45" s="44"/>
      <c r="N45" s="44"/>
      <c r="O45" s="44"/>
      <c r="P45" s="44"/>
    </row>
    <row r="47" spans="3:16">
      <c r="C47" s="14" t="s">
        <v>157</v>
      </c>
      <c r="F47" s="48">
        <f>Balance!F35/EERR!F4</f>
        <v>0.75605306353649415</v>
      </c>
      <c r="G47" s="48">
        <f>Balance!G35/EERR!G4</f>
        <v>0.69389941009162648</v>
      </c>
      <c r="H47" s="48">
        <f>Balance!H35/EERR!H4</f>
        <v>0.57603097633804234</v>
      </c>
      <c r="I47" s="48">
        <f>Balance!I35/EERR!I4</f>
        <v>0.52284596915917925</v>
      </c>
      <c r="J47" s="44"/>
      <c r="K47" s="44"/>
      <c r="L47" s="44"/>
      <c r="M47" s="44"/>
      <c r="N47" s="44"/>
      <c r="O47" s="44"/>
      <c r="P47" s="44"/>
    </row>
    <row r="48" spans="3:16">
      <c r="C48" s="14" t="s">
        <v>158</v>
      </c>
      <c r="F48" s="49">
        <f>Balance!F36/EERR!F5*365</f>
        <v>-0.34714115699385473</v>
      </c>
      <c r="G48" s="49">
        <f>Balance!G36/EERR!G5*365</f>
        <v>-0.22052351906384823</v>
      </c>
      <c r="H48" s="49">
        <f>Balance!H36/EERR!H5*365</f>
        <v>-21.016504111114426</v>
      </c>
      <c r="I48" s="49">
        <f>Balance!I36/EERR!I5*365</f>
        <v>-19.764346612035752</v>
      </c>
      <c r="J48" s="44"/>
      <c r="K48" s="44"/>
      <c r="L48" s="44"/>
      <c r="M48" s="44"/>
      <c r="N48" s="44"/>
      <c r="O48" s="44"/>
      <c r="P48" s="44"/>
    </row>
    <row r="49" spans="3:16">
      <c r="C49" s="14" t="s">
        <v>159</v>
      </c>
      <c r="F49" s="47">
        <f>Balance!F37</f>
        <v>8954</v>
      </c>
      <c r="G49" s="47">
        <f>Balance!G37</f>
        <v>6828</v>
      </c>
      <c r="H49" s="47">
        <f>Balance!H37</f>
        <v>4120</v>
      </c>
      <c r="I49" s="47">
        <f>Balance!I37</f>
        <v>16395</v>
      </c>
      <c r="J49" s="44"/>
      <c r="K49" s="44"/>
      <c r="L49" s="44"/>
      <c r="M49" s="44"/>
      <c r="N49" s="44"/>
      <c r="O49" s="44"/>
      <c r="P49" s="44"/>
    </row>
    <row r="50" spans="3:16">
      <c r="C50" s="14" t="s">
        <v>160</v>
      </c>
      <c r="F50" s="48">
        <f>Balance!F38/EERR!F4</f>
        <v>0.2340910688370593</v>
      </c>
      <c r="G50" s="48">
        <f>Balance!G38/EERR!G4</f>
        <v>0.21504712246528193</v>
      </c>
      <c r="H50" s="48">
        <f>Balance!H38/EERR!H4</f>
        <v>0.1742136727473465</v>
      </c>
      <c r="I50" s="48">
        <f>Balance!I38/EERR!I4</f>
        <v>0.13295187962894209</v>
      </c>
      <c r="J50" s="44"/>
      <c r="K50" s="44"/>
      <c r="L50" s="44"/>
      <c r="M50" s="44"/>
      <c r="N50" s="44"/>
      <c r="O50" s="44"/>
      <c r="P50" s="44"/>
    </row>
    <row r="51" spans="3:16">
      <c r="C51" s="14" t="s">
        <v>161</v>
      </c>
      <c r="F51" s="47">
        <f>Balance!F39</f>
        <v>240</v>
      </c>
      <c r="G51" s="47">
        <f>Balance!G39</f>
        <v>267</v>
      </c>
      <c r="H51" s="47">
        <f>Balance!H39</f>
        <v>128</v>
      </c>
      <c r="I51" s="47">
        <f>Balance!I39</f>
        <v>62</v>
      </c>
      <c r="J51" s="44"/>
      <c r="K51" s="44"/>
      <c r="L51" s="44"/>
      <c r="M51" s="44"/>
      <c r="N51" s="44"/>
      <c r="O51" s="44"/>
      <c r="P51" s="44"/>
    </row>
    <row r="53" spans="3:16">
      <c r="C53" s="14" t="s">
        <v>162</v>
      </c>
      <c r="F53" s="47">
        <f>Balance!F44</f>
        <v>1043728</v>
      </c>
      <c r="G53" s="47">
        <f>Balance!G44</f>
        <v>1043728</v>
      </c>
      <c r="H53" s="47">
        <f>Balance!H44</f>
        <v>1043728</v>
      </c>
      <c r="I53" s="47">
        <f>Balance!I44</f>
        <v>1043728</v>
      </c>
      <c r="J53" s="44"/>
      <c r="K53" s="44"/>
      <c r="L53" s="44"/>
      <c r="M53" s="44"/>
      <c r="N53" s="44"/>
      <c r="O53" s="44"/>
      <c r="P53" s="44"/>
    </row>
    <row r="54" spans="3:16">
      <c r="C54" s="14" t="s">
        <v>163</v>
      </c>
      <c r="F54" s="47">
        <f>Balance!F45</f>
        <v>555462</v>
      </c>
      <c r="G54" s="47">
        <f>Balance!G45</f>
        <v>626065</v>
      </c>
      <c r="H54" s="47">
        <f>Balance!H45</f>
        <v>697707</v>
      </c>
      <c r="I54" s="47">
        <f>Balance!I45</f>
        <v>701167</v>
      </c>
      <c r="J54" s="44"/>
      <c r="K54" s="44"/>
      <c r="L54" s="44"/>
      <c r="M54" s="44"/>
      <c r="N54" s="44"/>
      <c r="O54" s="44"/>
      <c r="P54" s="44"/>
    </row>
    <row r="55" spans="3:16">
      <c r="C55" s="14" t="s">
        <v>164</v>
      </c>
      <c r="F55" s="47">
        <f>Balance!F46</f>
        <v>323335</v>
      </c>
      <c r="G55" s="47">
        <f>Balance!G46</f>
        <v>321700</v>
      </c>
      <c r="H55" s="47">
        <f>Balance!H46</f>
        <v>328371</v>
      </c>
      <c r="I55" s="47">
        <f>Balance!I46</f>
        <v>314356</v>
      </c>
      <c r="J55" s="44"/>
      <c r="K55" s="44"/>
      <c r="L55" s="44"/>
      <c r="M55" s="44"/>
      <c r="N55" s="44"/>
      <c r="O55" s="44"/>
      <c r="P55" s="44"/>
    </row>
    <row r="56" spans="3:16">
      <c r="C56" s="15" t="s">
        <v>165</v>
      </c>
      <c r="F56" s="47">
        <f>Balance!F47</f>
        <v>1922525</v>
      </c>
      <c r="G56" s="47">
        <f>Balance!G47</f>
        <v>1991493</v>
      </c>
      <c r="H56" s="47">
        <f>Balance!H47</f>
        <v>2069806</v>
      </c>
      <c r="I56" s="47">
        <f>Balance!I47</f>
        <v>2059251</v>
      </c>
      <c r="J56" s="44"/>
      <c r="K56" s="44"/>
      <c r="L56" s="44"/>
      <c r="M56" s="44"/>
      <c r="N56" s="44"/>
      <c r="O56" s="44"/>
      <c r="P56" s="44"/>
    </row>
    <row r="57" spans="3:16">
      <c r="C57" s="14" t="s">
        <v>166</v>
      </c>
      <c r="F57" s="47">
        <f>Balance!F48</f>
        <v>83641</v>
      </c>
      <c r="G57" s="47">
        <f>Balance!G48</f>
        <v>73978</v>
      </c>
      <c r="H57" s="47">
        <f>Balance!H48</f>
        <v>68218</v>
      </c>
      <c r="I57" s="47">
        <f>Balance!I48</f>
        <v>64350</v>
      </c>
      <c r="J57" s="44"/>
      <c r="K57" s="44"/>
      <c r="L57" s="44"/>
      <c r="M57" s="44"/>
      <c r="N57" s="44"/>
      <c r="O57" s="44"/>
      <c r="P57" s="44"/>
    </row>
    <row r="60" spans="3:16">
      <c r="C60" s="4" t="s">
        <v>212</v>
      </c>
    </row>
    <row r="61" spans="3:16">
      <c r="C61" t="s">
        <v>215</v>
      </c>
    </row>
    <row r="62" spans="3:16">
      <c r="C62" t="s">
        <v>217</v>
      </c>
    </row>
    <row r="63" spans="3:16">
      <c r="C63" t="s">
        <v>221</v>
      </c>
    </row>
    <row r="64" spans="3:16">
      <c r="C64" t="s">
        <v>223</v>
      </c>
    </row>
    <row r="65" spans="3:3">
      <c r="C65" t="s">
        <v>243</v>
      </c>
    </row>
    <row r="66" spans="3:3">
      <c r="C6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B7F-A268-2248-9BEF-96B8E900EF59}">
  <dimension ref="B1:Y31"/>
  <sheetViews>
    <sheetView topLeftCell="B1" workbookViewId="0">
      <pane ySplit="2" topLeftCell="A3" activePane="bottomLeft" state="frozen"/>
      <selection pane="bottomLeft" activeCell="D4" sqref="D4"/>
    </sheetView>
  </sheetViews>
  <sheetFormatPr baseColWidth="10" defaultRowHeight="16"/>
  <cols>
    <col min="1" max="1" width="4.83203125" customWidth="1"/>
    <col min="2" max="2" width="4" customWidth="1"/>
    <col min="3" max="3" width="41" bestFit="1" customWidth="1"/>
    <col min="4" max="4" width="5.5" customWidth="1"/>
    <col min="5" max="5" width="6.1640625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22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174</v>
      </c>
    </row>
    <row r="6" spans="2:16">
      <c r="C6" t="s">
        <v>167</v>
      </c>
      <c r="F6" s="26">
        <v>878067</v>
      </c>
      <c r="G6" s="26">
        <v>953139</v>
      </c>
      <c r="H6" s="26">
        <v>1121561</v>
      </c>
      <c r="I6" s="26">
        <v>1241518</v>
      </c>
      <c r="J6" s="53"/>
      <c r="K6" s="53"/>
      <c r="L6" s="53"/>
      <c r="M6" s="53"/>
      <c r="N6" s="53"/>
      <c r="O6" s="53"/>
      <c r="P6" s="53"/>
    </row>
    <row r="7" spans="2:16">
      <c r="C7" t="s">
        <v>168</v>
      </c>
      <c r="F7" s="26">
        <v>11159</v>
      </c>
      <c r="G7" s="26">
        <v>8893</v>
      </c>
      <c r="H7" s="26">
        <v>44401</v>
      </c>
      <c r="I7" s="26">
        <v>16934</v>
      </c>
      <c r="J7" s="53"/>
      <c r="K7" s="53"/>
      <c r="L7" s="53"/>
      <c r="M7" s="53"/>
      <c r="N7" s="53"/>
      <c r="O7" s="53"/>
      <c r="P7" s="53"/>
    </row>
    <row r="8" spans="2:16">
      <c r="C8" t="s">
        <v>169</v>
      </c>
      <c r="F8" s="26">
        <v>2934</v>
      </c>
      <c r="G8" s="26">
        <v>1160</v>
      </c>
      <c r="H8" s="26">
        <v>12525</v>
      </c>
      <c r="I8" s="26">
        <v>9057</v>
      </c>
      <c r="J8" s="53"/>
      <c r="K8" s="53"/>
      <c r="L8" s="53"/>
      <c r="M8" s="53"/>
      <c r="N8" s="53"/>
      <c r="O8" s="53"/>
      <c r="P8" s="53"/>
    </row>
    <row r="9" spans="2:16">
      <c r="C9" t="s">
        <v>170</v>
      </c>
      <c r="F9" s="26">
        <v>51286</v>
      </c>
      <c r="G9" s="26">
        <v>68819</v>
      </c>
      <c r="H9" s="26">
        <v>77683</v>
      </c>
      <c r="I9" s="26">
        <v>95891</v>
      </c>
      <c r="J9" s="53"/>
      <c r="K9" s="53"/>
      <c r="L9" s="53"/>
      <c r="M9" s="53"/>
      <c r="N9" s="53"/>
      <c r="O9" s="53"/>
      <c r="P9" s="53"/>
    </row>
    <row r="10" spans="2:16">
      <c r="C10" t="s">
        <v>171</v>
      </c>
      <c r="F10" s="26">
        <v>308</v>
      </c>
      <c r="G10" s="26">
        <v>209</v>
      </c>
      <c r="H10" s="26">
        <v>1138</v>
      </c>
      <c r="I10" s="26">
        <v>337</v>
      </c>
      <c r="J10" s="53"/>
      <c r="K10" s="53"/>
      <c r="L10" s="53"/>
      <c r="M10" s="53"/>
      <c r="N10" s="53"/>
      <c r="O10" s="53"/>
      <c r="P10" s="53"/>
    </row>
    <row r="11" spans="2:16">
      <c r="C11" t="s">
        <v>172</v>
      </c>
      <c r="F11" s="26">
        <v>10409</v>
      </c>
      <c r="G11" s="26">
        <v>8600</v>
      </c>
      <c r="H11" s="26">
        <v>8295</v>
      </c>
      <c r="I11" s="26">
        <v>9119</v>
      </c>
      <c r="J11" s="53"/>
      <c r="K11" s="53"/>
      <c r="L11" s="53"/>
      <c r="M11" s="53"/>
      <c r="N11" s="53"/>
      <c r="O11" s="53"/>
      <c r="P11" s="53"/>
    </row>
    <row r="12" spans="2:16">
      <c r="C12" t="s">
        <v>173</v>
      </c>
      <c r="F12" s="26">
        <v>13281</v>
      </c>
      <c r="G12" s="26">
        <v>13242</v>
      </c>
      <c r="H12" s="26">
        <v>9693</v>
      </c>
      <c r="I12" s="26">
        <v>81580</v>
      </c>
      <c r="J12" s="53"/>
      <c r="K12" s="53"/>
      <c r="L12" s="53"/>
      <c r="M12" s="53"/>
      <c r="N12" s="53"/>
      <c r="O12" s="53"/>
      <c r="P12" s="53"/>
    </row>
    <row r="13" spans="2:16">
      <c r="C13" t="s">
        <v>183</v>
      </c>
      <c r="F13" s="52">
        <f t="shared" ref="F13:G13" si="0">SUM(F6:F12)</f>
        <v>967444</v>
      </c>
      <c r="G13" s="52">
        <f t="shared" si="0"/>
        <v>1054062</v>
      </c>
      <c r="H13" s="52">
        <f>SUM(H6:H12)</f>
        <v>1275296</v>
      </c>
      <c r="I13" s="52">
        <f>SUM(I6:I12)</f>
        <v>1454436</v>
      </c>
      <c r="J13" s="53"/>
      <c r="K13" s="53"/>
      <c r="L13" s="53"/>
      <c r="M13" s="53"/>
      <c r="N13" s="53"/>
      <c r="O13" s="53"/>
      <c r="P13" s="53"/>
    </row>
    <row r="14" spans="2:16">
      <c r="C14" s="54" t="s">
        <v>184</v>
      </c>
      <c r="F14" s="52"/>
      <c r="G14" s="50">
        <f>(G13-F13)/F13</f>
        <v>8.9532830840854866E-2</v>
      </c>
      <c r="H14" s="50">
        <f t="shared" ref="H14:I14" si="1">(H13-G13)/G13</f>
        <v>0.20988708444095319</v>
      </c>
      <c r="I14" s="50">
        <f t="shared" si="1"/>
        <v>0.14046934986073822</v>
      </c>
      <c r="J14" s="55"/>
      <c r="K14" s="55"/>
      <c r="L14" s="55"/>
      <c r="M14" s="55"/>
      <c r="N14" s="55"/>
      <c r="O14" s="55"/>
      <c r="P14" s="55"/>
    </row>
    <row r="15" spans="2:16">
      <c r="C15" s="54" t="s">
        <v>189</v>
      </c>
      <c r="F15" s="52"/>
      <c r="G15" s="50">
        <f>G14</f>
        <v>8.9532830840854866E-2</v>
      </c>
      <c r="H15" s="50">
        <f>H14</f>
        <v>0.20988708444095319</v>
      </c>
      <c r="I15" s="50">
        <f>I14</f>
        <v>0.14046934986073822</v>
      </c>
      <c r="J15" s="55">
        <f>AVERAGE(G15:I15)</f>
        <v>0.14662975504751544</v>
      </c>
      <c r="K15" s="55">
        <f t="shared" ref="K15:P15" si="2">AVERAGE(H15:J15)</f>
        <v>0.16566206311640227</v>
      </c>
      <c r="L15" s="55">
        <f t="shared" si="2"/>
        <v>0.15092038934155197</v>
      </c>
      <c r="M15" s="55">
        <f t="shared" si="2"/>
        <v>0.15440406916848989</v>
      </c>
      <c r="N15" s="55">
        <f t="shared" si="2"/>
        <v>0.15699550720881472</v>
      </c>
      <c r="O15" s="55">
        <f t="shared" si="2"/>
        <v>0.15410665523961886</v>
      </c>
      <c r="P15" s="55">
        <f t="shared" si="2"/>
        <v>0.15516874387230783</v>
      </c>
    </row>
    <row r="16" spans="2:16">
      <c r="C16" s="54" t="s">
        <v>188</v>
      </c>
      <c r="F16" s="52"/>
      <c r="G16" s="50"/>
      <c r="H16" s="50"/>
      <c r="I16" s="50"/>
      <c r="J16" s="55">
        <f>STDEV(G15:I15)</f>
        <v>6.0413156960699849E-2</v>
      </c>
      <c r="K16" s="55">
        <f t="shared" ref="K16:P16" si="3">STDEV(H15:J15)</f>
        <v>3.8423651978749536E-2</v>
      </c>
      <c r="L16" s="55">
        <f t="shared" si="3"/>
        <v>1.313298737071652E-2</v>
      </c>
      <c r="M16" s="55">
        <f t="shared" si="3"/>
        <v>9.982945780665867E-3</v>
      </c>
      <c r="N16" s="55">
        <f t="shared" si="3"/>
        <v>7.7049269794501763E-3</v>
      </c>
      <c r="O16" s="55">
        <f t="shared" si="3"/>
        <v>3.0484595387012536E-3</v>
      </c>
      <c r="P16" s="55">
        <f t="shared" si="3"/>
        <v>1.5889971607828573E-3</v>
      </c>
    </row>
    <row r="17" spans="2:25">
      <c r="C17" t="s">
        <v>185</v>
      </c>
      <c r="F17" s="52"/>
      <c r="G17" s="50"/>
      <c r="H17" s="50"/>
      <c r="I17" s="50"/>
      <c r="J17" s="55">
        <f>J18+J16</f>
        <v>0.20704291200821529</v>
      </c>
      <c r="K17" s="55">
        <f t="shared" ref="K17:P17" si="4">K18+K16</f>
        <v>0.2040857150951518</v>
      </c>
      <c r="L17" s="55">
        <f t="shared" si="4"/>
        <v>0.16405337671226849</v>
      </c>
      <c r="M17" s="55">
        <f t="shared" si="4"/>
        <v>0.16438701494915575</v>
      </c>
      <c r="N17" s="55">
        <f t="shared" si="4"/>
        <v>0.16470043418826491</v>
      </c>
      <c r="O17" s="55">
        <f t="shared" si="4"/>
        <v>0.15715511477832012</v>
      </c>
      <c r="P17" s="55">
        <f t="shared" si="4"/>
        <v>0.1567577410330907</v>
      </c>
    </row>
    <row r="18" spans="2:25">
      <c r="C18" t="s">
        <v>186</v>
      </c>
      <c r="F18" s="52"/>
      <c r="G18" s="56"/>
      <c r="H18" s="52"/>
      <c r="I18" s="52"/>
      <c r="J18" s="55">
        <f>J15</f>
        <v>0.14662975504751544</v>
      </c>
      <c r="K18" s="55">
        <f t="shared" ref="K18:P18" si="5">K15</f>
        <v>0.16566206311640227</v>
      </c>
      <c r="L18" s="55">
        <f t="shared" si="5"/>
        <v>0.15092038934155197</v>
      </c>
      <c r="M18" s="55">
        <f t="shared" si="5"/>
        <v>0.15440406916848989</v>
      </c>
      <c r="N18" s="55">
        <f t="shared" si="5"/>
        <v>0.15699550720881472</v>
      </c>
      <c r="O18" s="55">
        <f t="shared" si="5"/>
        <v>0.15410665523961886</v>
      </c>
      <c r="P18" s="55">
        <f t="shared" si="5"/>
        <v>0.15516874387230783</v>
      </c>
    </row>
    <row r="19" spans="2:25">
      <c r="C19" t="s">
        <v>187</v>
      </c>
      <c r="F19" s="52"/>
      <c r="G19" s="56"/>
      <c r="H19" s="52"/>
      <c r="I19" s="52"/>
      <c r="J19" s="55">
        <f>J18-J16</f>
        <v>8.6216598086815588E-2</v>
      </c>
      <c r="K19" s="55">
        <f t="shared" ref="K19:P19" si="6">K18-K16</f>
        <v>0.12723841113765275</v>
      </c>
      <c r="L19" s="55">
        <f t="shared" si="6"/>
        <v>0.13778740197083544</v>
      </c>
      <c r="M19" s="55">
        <f t="shared" si="6"/>
        <v>0.14442112338782404</v>
      </c>
      <c r="N19" s="55">
        <f t="shared" si="6"/>
        <v>0.14929058022936453</v>
      </c>
      <c r="O19" s="55">
        <f t="shared" si="6"/>
        <v>0.15105819570091761</v>
      </c>
      <c r="P19" s="55">
        <f t="shared" si="6"/>
        <v>0.15357974671152497</v>
      </c>
    </row>
    <row r="21" spans="2:25">
      <c r="B21" s="4" t="s">
        <v>175</v>
      </c>
    </row>
    <row r="23" spans="2:25">
      <c r="C23" t="s">
        <v>176</v>
      </c>
      <c r="F23" s="26">
        <v>298364</v>
      </c>
      <c r="G23" s="26">
        <v>317460</v>
      </c>
      <c r="H23" s="26">
        <v>283598</v>
      </c>
      <c r="I23" s="26">
        <v>246188</v>
      </c>
      <c r="J23" s="53"/>
      <c r="K23" s="53"/>
      <c r="L23" s="53"/>
      <c r="M23" s="53"/>
      <c r="N23" s="53"/>
      <c r="O23" s="53"/>
      <c r="P23" s="53"/>
      <c r="S23" s="8">
        <v>44196</v>
      </c>
      <c r="T23" s="8">
        <v>44561</v>
      </c>
      <c r="U23" s="8">
        <v>44926</v>
      </c>
      <c r="V23" s="8">
        <v>45291</v>
      </c>
      <c r="W23" s="8">
        <v>45657</v>
      </c>
      <c r="X23" s="8">
        <v>46022</v>
      </c>
      <c r="Y23" s="8">
        <v>46387</v>
      </c>
    </row>
    <row r="24" spans="2:25">
      <c r="C24" t="s">
        <v>177</v>
      </c>
      <c r="F24" s="26">
        <v>204130</v>
      </c>
      <c r="G24" s="26">
        <v>236692</v>
      </c>
      <c r="H24" s="26">
        <v>214704</v>
      </c>
      <c r="I24" s="26">
        <v>150229</v>
      </c>
      <c r="J24" s="53"/>
      <c r="K24" s="53"/>
      <c r="L24" s="53"/>
      <c r="M24" s="53"/>
      <c r="N24" s="53"/>
      <c r="O24" s="53"/>
      <c r="P24" s="53"/>
      <c r="R24" t="s">
        <v>185</v>
      </c>
      <c r="S24" s="57">
        <v>0.20704291200821529</v>
      </c>
      <c r="T24" s="57">
        <v>0.2040857150951518</v>
      </c>
      <c r="U24" s="57">
        <v>0.16405337671226849</v>
      </c>
      <c r="V24" s="57">
        <v>0.16438701494915575</v>
      </c>
      <c r="W24" s="57">
        <v>0.16470043418826491</v>
      </c>
      <c r="X24" s="57">
        <v>0.15715511477832012</v>
      </c>
      <c r="Y24" s="57">
        <v>0.1567577410330907</v>
      </c>
    </row>
    <row r="25" spans="2:25">
      <c r="C25" t="s">
        <v>178</v>
      </c>
      <c r="F25" s="26"/>
      <c r="G25" s="26"/>
      <c r="H25" s="26">
        <v>211053</v>
      </c>
      <c r="I25" s="26">
        <v>434720</v>
      </c>
      <c r="J25" s="53"/>
      <c r="K25" s="53"/>
      <c r="L25" s="53"/>
      <c r="M25" s="53"/>
      <c r="N25" s="53"/>
      <c r="O25" s="53"/>
      <c r="P25" s="53"/>
      <c r="R25" t="s">
        <v>186</v>
      </c>
      <c r="S25" s="57">
        <v>0.14662975504751544</v>
      </c>
      <c r="T25" s="57">
        <v>0.16566206311640227</v>
      </c>
      <c r="U25" s="57">
        <v>0.15092038934155197</v>
      </c>
      <c r="V25" s="57">
        <v>0.15440406916848989</v>
      </c>
      <c r="W25" s="57">
        <v>0.15699550720881472</v>
      </c>
      <c r="X25" s="57">
        <v>0.15410665523961886</v>
      </c>
      <c r="Y25" s="57">
        <v>0.15516874387230783</v>
      </c>
    </row>
    <row r="26" spans="2:25">
      <c r="C26" t="s">
        <v>179</v>
      </c>
      <c r="F26" s="26">
        <v>168013</v>
      </c>
      <c r="G26" s="26">
        <v>245742</v>
      </c>
      <c r="H26" s="26">
        <v>256951</v>
      </c>
      <c r="I26" s="26">
        <v>246048</v>
      </c>
      <c r="J26" s="53"/>
      <c r="K26" s="53"/>
      <c r="L26" s="53"/>
      <c r="M26" s="53"/>
      <c r="N26" s="53"/>
      <c r="O26" s="53"/>
      <c r="P26" s="53"/>
      <c r="R26" t="s">
        <v>187</v>
      </c>
      <c r="S26" s="57">
        <v>8.6216598086815588E-2</v>
      </c>
      <c r="T26" s="57">
        <v>0.12723841113765275</v>
      </c>
      <c r="U26" s="57">
        <v>0.13778740197083544</v>
      </c>
      <c r="V26" s="57">
        <v>0.14442112338782404</v>
      </c>
      <c r="W26" s="57">
        <v>0.14929058022936453</v>
      </c>
      <c r="X26" s="57">
        <v>0.15105819570091761</v>
      </c>
      <c r="Y26" s="57">
        <v>0.15357974671152497</v>
      </c>
    </row>
    <row r="27" spans="2:25">
      <c r="C27" t="s">
        <v>180</v>
      </c>
      <c r="F27" s="26">
        <v>59952</v>
      </c>
      <c r="G27" s="26">
        <v>60057</v>
      </c>
      <c r="H27" s="26">
        <v>75282</v>
      </c>
      <c r="I27" s="26">
        <v>68278</v>
      </c>
      <c r="J27" s="53"/>
      <c r="K27" s="53"/>
      <c r="L27" s="53"/>
      <c r="M27" s="53"/>
      <c r="N27" s="53"/>
      <c r="O27" s="53"/>
      <c r="P27" s="53"/>
    </row>
    <row r="28" spans="2:25">
      <c r="C28" t="s">
        <v>181</v>
      </c>
      <c r="F28" s="26">
        <v>60117</v>
      </c>
      <c r="G28" s="26">
        <v>74630</v>
      </c>
      <c r="H28" s="26">
        <v>84287</v>
      </c>
      <c r="I28" s="26">
        <v>74795</v>
      </c>
      <c r="J28" s="53"/>
      <c r="K28" s="53"/>
      <c r="L28" s="53"/>
      <c r="M28" s="53"/>
      <c r="N28" s="53"/>
      <c r="O28" s="53"/>
      <c r="P28" s="53"/>
    </row>
    <row r="29" spans="2:25">
      <c r="C29" t="s">
        <v>182</v>
      </c>
      <c r="F29" s="26">
        <v>176868</v>
      </c>
      <c r="G29" s="26">
        <v>119481</v>
      </c>
      <c r="H29" s="26">
        <v>149421</v>
      </c>
      <c r="I29" s="26">
        <v>234178</v>
      </c>
      <c r="J29" s="53"/>
      <c r="K29" s="53"/>
      <c r="L29" s="53"/>
      <c r="M29" s="53"/>
      <c r="N29" s="53"/>
      <c r="O29" s="53"/>
      <c r="P29" s="53"/>
    </row>
    <row r="30" spans="2:25">
      <c r="C30" t="s">
        <v>183</v>
      </c>
      <c r="F30" s="52">
        <f t="shared" ref="F30:H30" si="7">SUM(F23:F29)</f>
        <v>967444</v>
      </c>
      <c r="G30" s="52">
        <f t="shared" si="7"/>
        <v>1054062</v>
      </c>
      <c r="H30" s="52">
        <f t="shared" si="7"/>
        <v>1275296</v>
      </c>
      <c r="I30" s="52">
        <f>SUM(I23:I29)</f>
        <v>1454436</v>
      </c>
      <c r="J30" s="53"/>
      <c r="K30" s="53"/>
      <c r="L30" s="53"/>
      <c r="M30" s="53"/>
      <c r="N30" s="53"/>
      <c r="O30" s="53"/>
      <c r="P30" s="53"/>
    </row>
    <row r="31" spans="2:25">
      <c r="C31" s="54" t="s">
        <v>184</v>
      </c>
      <c r="G31" s="50">
        <f>(G30-F30)/F30</f>
        <v>8.9532830840854866E-2</v>
      </c>
      <c r="H31" s="50">
        <f t="shared" ref="H31:I31" si="8">(H30-G30)/G30</f>
        <v>0.20988708444095319</v>
      </c>
      <c r="I31" s="50">
        <f t="shared" si="8"/>
        <v>0.14046934986073822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5020-B7C6-2545-9890-1641B590A0E3}">
  <dimension ref="B1:P29"/>
  <sheetViews>
    <sheetView workbookViewId="0">
      <selection activeCell="J10" sqref="J10"/>
    </sheetView>
  </sheetViews>
  <sheetFormatPr baseColWidth="10" defaultRowHeight="16"/>
  <cols>
    <col min="1" max="1" width="4.5" customWidth="1"/>
    <col min="2" max="2" width="4.6640625" customWidth="1"/>
    <col min="3" max="3" width="40.83203125" customWidth="1"/>
    <col min="4" max="4" width="4.33203125" customWidth="1"/>
    <col min="5" max="5" width="5" customWidth="1"/>
    <col min="6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190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231</v>
      </c>
    </row>
    <row r="6" spans="2:16">
      <c r="C6" t="s">
        <v>191</v>
      </c>
      <c r="F6" s="26">
        <v>315316</v>
      </c>
      <c r="G6" s="26">
        <v>355540</v>
      </c>
      <c r="H6" s="26">
        <v>320021</v>
      </c>
      <c r="I6" s="26">
        <v>289994</v>
      </c>
      <c r="J6" s="66">
        <f>J7*EERR!J4</f>
        <v>488730.44670076226</v>
      </c>
      <c r="K6" s="66">
        <f>K7*EERR!K4</f>
        <v>588473.3494044604</v>
      </c>
      <c r="L6" s="66">
        <f>L7*EERR!L4</f>
        <v>685014.38947944064</v>
      </c>
      <c r="M6" s="66">
        <f>M7*EERR!M4</f>
        <v>797621.86016318423</v>
      </c>
      <c r="N6" s="66">
        <f>N7*EERR!N4</f>
        <v>928990.52685011236</v>
      </c>
      <c r="O6" s="66">
        <f>O7*EERR!O4</f>
        <v>1074986.1397252139</v>
      </c>
      <c r="P6" s="66">
        <f>P7*EERR!P4</f>
        <v>1243498.5386304208</v>
      </c>
    </row>
    <row r="7" spans="2:16" s="63" customFormat="1">
      <c r="C7" s="64" t="s">
        <v>239</v>
      </c>
      <c r="F7" s="65">
        <f>F6/EERR!F4</f>
        <v>0.32592687535402565</v>
      </c>
      <c r="G7" s="65">
        <f>G6/EERR!G4</f>
        <v>0.33730463672914873</v>
      </c>
      <c r="H7" s="65">
        <f>H6/EERR!H4</f>
        <v>0.25093860562567433</v>
      </c>
      <c r="I7" s="65">
        <f>I6/EERR!I4</f>
        <v>0.19938587878737876</v>
      </c>
      <c r="J7" s="65">
        <f>AVERAGE($F$7:$I$7)</f>
        <v>0.2783889991240569</v>
      </c>
      <c r="K7" s="65">
        <f t="shared" ref="K7:P7" si="0">AVERAGE($F$7:$I$7)</f>
        <v>0.2783889991240569</v>
      </c>
      <c r="L7" s="65">
        <f t="shared" si="0"/>
        <v>0.2783889991240569</v>
      </c>
      <c r="M7" s="65">
        <f t="shared" si="0"/>
        <v>0.2783889991240569</v>
      </c>
      <c r="N7" s="65">
        <f t="shared" si="0"/>
        <v>0.2783889991240569</v>
      </c>
      <c r="O7" s="65">
        <f t="shared" si="0"/>
        <v>0.2783889991240569</v>
      </c>
      <c r="P7" s="65">
        <f t="shared" si="0"/>
        <v>0.2783889991240569</v>
      </c>
    </row>
    <row r="8" spans="2:16">
      <c r="C8" t="s">
        <v>192</v>
      </c>
      <c r="F8" s="26">
        <v>132880</v>
      </c>
      <c r="G8" s="26">
        <v>201331</v>
      </c>
      <c r="H8" s="26">
        <v>301481</v>
      </c>
      <c r="I8" s="26">
        <v>393281</v>
      </c>
      <c r="J8" s="66">
        <f>J9*EERR!J4</f>
        <v>366544.040710564</v>
      </c>
      <c r="K8" s="66">
        <f>K9*EERR!K4</f>
        <v>441350.44337284594</v>
      </c>
      <c r="L8" s="66">
        <f>L9*EERR!L4</f>
        <v>513755.47392161813</v>
      </c>
      <c r="M8" s="66">
        <f>M9*EERR!M4</f>
        <v>598210.2026933817</v>
      </c>
      <c r="N8" s="66">
        <f>N9*EERR!N4</f>
        <v>696735.68281283171</v>
      </c>
      <c r="O8" s="66">
        <f>O9*EERR!O4</f>
        <v>806231.25901543349</v>
      </c>
      <c r="P8" s="66">
        <f>P9*EERR!P4</f>
        <v>932614.24992895755</v>
      </c>
    </row>
    <row r="9" spans="2:16" s="63" customFormat="1">
      <c r="C9" s="64" t="s">
        <v>239</v>
      </c>
      <c r="F9" s="65">
        <f>F8/EERR!F4</f>
        <v>0.13735161931853421</v>
      </c>
      <c r="G9" s="65">
        <f>G8/EERR!G4</f>
        <v>0.1910048934502904</v>
      </c>
      <c r="H9" s="65">
        <f>H8/EERR!H4</f>
        <v>0.23640080420545503</v>
      </c>
      <c r="I9" s="65">
        <f>I8/EERR!I4</f>
        <v>0.27040103517789715</v>
      </c>
      <c r="J9" s="65">
        <f>AVERAGE($F$9:$I$9)</f>
        <v>0.2087895880380442</v>
      </c>
      <c r="K9" s="65">
        <f t="shared" ref="K9:P9" si="1">AVERAGE($F$9:$I$9)</f>
        <v>0.2087895880380442</v>
      </c>
      <c r="L9" s="65">
        <f t="shared" si="1"/>
        <v>0.2087895880380442</v>
      </c>
      <c r="M9" s="65">
        <f t="shared" si="1"/>
        <v>0.2087895880380442</v>
      </c>
      <c r="N9" s="65">
        <f t="shared" si="1"/>
        <v>0.2087895880380442</v>
      </c>
      <c r="O9" s="65">
        <f t="shared" si="1"/>
        <v>0.2087895880380442</v>
      </c>
      <c r="P9" s="65">
        <f t="shared" si="1"/>
        <v>0.2087895880380442</v>
      </c>
    </row>
    <row r="10" spans="2:16">
      <c r="C10" t="s">
        <v>193</v>
      </c>
      <c r="F10" s="26">
        <v>26151</v>
      </c>
      <c r="G10" s="26">
        <v>25957</v>
      </c>
      <c r="H10" s="26">
        <v>27510</v>
      </c>
      <c r="I10" s="26">
        <v>26745</v>
      </c>
      <c r="J10" s="66"/>
      <c r="K10" s="66"/>
      <c r="L10" s="66"/>
      <c r="M10" s="66"/>
      <c r="N10" s="66"/>
      <c r="O10" s="66"/>
      <c r="P10" s="66"/>
    </row>
    <row r="11" spans="2:16">
      <c r="C11" t="s">
        <v>194</v>
      </c>
      <c r="F11" s="26">
        <v>10775</v>
      </c>
      <c r="G11" s="26">
        <v>6210</v>
      </c>
      <c r="H11" s="26">
        <v>7239</v>
      </c>
      <c r="I11" s="26">
        <v>6918</v>
      </c>
      <c r="J11" s="66"/>
      <c r="K11" s="66"/>
      <c r="L11" s="66"/>
      <c r="M11" s="66"/>
      <c r="N11" s="66"/>
      <c r="O11" s="66"/>
      <c r="P11" s="66"/>
    </row>
    <row r="12" spans="2:16">
      <c r="C12" t="s">
        <v>195</v>
      </c>
      <c r="F12" s="26">
        <v>13467</v>
      </c>
      <c r="G12" s="26">
        <v>7538</v>
      </c>
      <c r="H12" s="26">
        <v>11071</v>
      </c>
      <c r="I12" s="26">
        <v>12512</v>
      </c>
      <c r="J12" s="66"/>
      <c r="K12" s="66"/>
      <c r="L12" s="66"/>
      <c r="M12" s="66"/>
      <c r="N12" s="66"/>
      <c r="O12" s="66"/>
      <c r="P12" s="66"/>
    </row>
    <row r="13" spans="2:16">
      <c r="C13" t="s">
        <v>196</v>
      </c>
      <c r="F13" s="26">
        <v>11</v>
      </c>
      <c r="G13" s="26">
        <v>11</v>
      </c>
      <c r="H13" s="26">
        <v>11</v>
      </c>
      <c r="I13" s="26">
        <v>11</v>
      </c>
      <c r="J13" s="66"/>
      <c r="K13" s="66"/>
      <c r="L13" s="66"/>
      <c r="M13" s="66"/>
      <c r="N13" s="66"/>
      <c r="O13" s="66"/>
      <c r="P13" s="66"/>
    </row>
    <row r="14" spans="2:16">
      <c r="C14" t="s">
        <v>197</v>
      </c>
      <c r="F14" s="26">
        <v>10190</v>
      </c>
      <c r="G14" s="26">
        <v>7295</v>
      </c>
      <c r="H14" s="26">
        <v>54265</v>
      </c>
      <c r="I14" s="26">
        <v>23936</v>
      </c>
      <c r="J14" s="66"/>
      <c r="K14" s="66"/>
      <c r="L14" s="66"/>
      <c r="M14" s="66"/>
      <c r="N14" s="66"/>
      <c r="O14" s="66"/>
      <c r="P14" s="66"/>
    </row>
    <row r="15" spans="2:16">
      <c r="C15" t="s">
        <v>198</v>
      </c>
      <c r="F15" s="26">
        <v>4663</v>
      </c>
      <c r="G15" s="26">
        <v>3998</v>
      </c>
      <c r="H15" s="26">
        <v>5441</v>
      </c>
      <c r="I15" s="26">
        <v>2877</v>
      </c>
      <c r="J15" s="66"/>
      <c r="K15" s="66"/>
      <c r="L15" s="66"/>
      <c r="M15" s="66"/>
      <c r="N15" s="66"/>
      <c r="O15" s="66"/>
      <c r="P15" s="66"/>
    </row>
    <row r="16" spans="2:16">
      <c r="C16" t="s">
        <v>199</v>
      </c>
      <c r="F16" s="26">
        <v>17710</v>
      </c>
      <c r="G16" s="26">
        <v>20109</v>
      </c>
      <c r="H16" s="26">
        <v>11670</v>
      </c>
      <c r="I16" s="26">
        <v>11048</v>
      </c>
      <c r="J16" s="66"/>
      <c r="K16" s="66"/>
      <c r="L16" s="66"/>
      <c r="M16" s="66"/>
      <c r="N16" s="66"/>
      <c r="O16" s="66"/>
      <c r="P16" s="66"/>
    </row>
    <row r="17" spans="2:16">
      <c r="C17" t="s">
        <v>200</v>
      </c>
      <c r="F17" s="26">
        <v>11472</v>
      </c>
      <c r="G17" s="26">
        <v>11145</v>
      </c>
      <c r="H17" s="26">
        <v>8232</v>
      </c>
      <c r="I17" s="26">
        <v>7677</v>
      </c>
      <c r="J17" s="66"/>
      <c r="K17" s="66"/>
      <c r="L17" s="66"/>
      <c r="M17" s="66"/>
      <c r="N17" s="66"/>
      <c r="O17" s="66"/>
      <c r="P17" s="66"/>
    </row>
    <row r="18" spans="2:16">
      <c r="C18" t="s">
        <v>201</v>
      </c>
      <c r="F18" s="26">
        <v>11251</v>
      </c>
      <c r="G18" s="26">
        <v>8559</v>
      </c>
      <c r="H18" s="26">
        <v>23872</v>
      </c>
      <c r="I18" s="26">
        <v>22260</v>
      </c>
      <c r="J18" s="66"/>
      <c r="K18" s="66"/>
      <c r="L18" s="66"/>
      <c r="M18" s="66"/>
      <c r="N18" s="66"/>
      <c r="O18" s="66"/>
      <c r="P18" s="66"/>
    </row>
    <row r="19" spans="2:16">
      <c r="C19" t="s">
        <v>202</v>
      </c>
      <c r="F19" s="26">
        <v>1175</v>
      </c>
      <c r="G19" s="26">
        <v>1822</v>
      </c>
      <c r="H19" s="26">
        <v>1277</v>
      </c>
      <c r="I19" s="26">
        <v>1406</v>
      </c>
      <c r="J19" s="66"/>
      <c r="K19" s="66"/>
      <c r="L19" s="66"/>
      <c r="M19" s="66"/>
      <c r="N19" s="66"/>
      <c r="O19" s="66"/>
      <c r="P19" s="66"/>
    </row>
    <row r="20" spans="2:16">
      <c r="C20" t="s">
        <v>203</v>
      </c>
      <c r="F20" s="26">
        <v>3734</v>
      </c>
      <c r="G20" s="26">
        <v>4358</v>
      </c>
      <c r="H20" s="26">
        <v>4616</v>
      </c>
      <c r="I20" s="26">
        <v>3882</v>
      </c>
      <c r="J20" s="66"/>
      <c r="K20" s="66"/>
      <c r="L20" s="66"/>
      <c r="M20" s="66"/>
      <c r="N20" s="66"/>
      <c r="O20" s="66"/>
      <c r="P20" s="66"/>
    </row>
    <row r="21" spans="2:16">
      <c r="C21" t="s">
        <v>204</v>
      </c>
      <c r="F21" s="26">
        <v>45191</v>
      </c>
      <c r="G21" s="26">
        <v>51057</v>
      </c>
      <c r="H21" s="26">
        <v>63453</v>
      </c>
      <c r="I21" s="26">
        <v>60477</v>
      </c>
      <c r="J21" s="66"/>
      <c r="K21" s="66"/>
      <c r="L21" s="66"/>
      <c r="M21" s="66"/>
      <c r="N21" s="66"/>
      <c r="O21" s="66"/>
      <c r="P21" s="66"/>
    </row>
    <row r="22" spans="2:16">
      <c r="C22" t="s">
        <v>205</v>
      </c>
      <c r="F22" s="26">
        <v>116284</v>
      </c>
      <c r="G22" s="26">
        <v>111293</v>
      </c>
      <c r="H22" s="26">
        <v>113485</v>
      </c>
      <c r="I22" s="26">
        <v>134449</v>
      </c>
      <c r="J22" s="66"/>
      <c r="K22" s="66"/>
      <c r="L22" s="66"/>
      <c r="M22" s="66"/>
      <c r="N22" s="66"/>
      <c r="O22" s="66"/>
      <c r="P22" s="66"/>
    </row>
    <row r="23" spans="2:16">
      <c r="B23" s="4"/>
      <c r="C23" t="s">
        <v>206</v>
      </c>
      <c r="F23" s="26">
        <v>1511</v>
      </c>
      <c r="G23" s="26">
        <v>4483</v>
      </c>
      <c r="H23" s="26">
        <v>2843</v>
      </c>
      <c r="I23" s="26">
        <v>-2024</v>
      </c>
      <c r="J23" s="66"/>
      <c r="K23" s="66"/>
      <c r="L23" s="66"/>
      <c r="M23" s="66"/>
      <c r="N23" s="66"/>
      <c r="O23" s="66"/>
      <c r="P23" s="66"/>
    </row>
    <row r="24" spans="2:16">
      <c r="C24" t="s">
        <v>207</v>
      </c>
      <c r="F24" s="26">
        <v>17204</v>
      </c>
      <c r="G24" s="26">
        <v>17201</v>
      </c>
      <c r="H24" s="26">
        <v>17201</v>
      </c>
      <c r="I24" s="26">
        <v>17204</v>
      </c>
      <c r="J24" s="66"/>
      <c r="K24" s="66"/>
      <c r="L24" s="66"/>
      <c r="M24" s="66"/>
      <c r="N24" s="66"/>
      <c r="O24" s="66"/>
      <c r="P24" s="66"/>
    </row>
    <row r="25" spans="2:16">
      <c r="C25" t="s">
        <v>208</v>
      </c>
      <c r="F25" s="26">
        <v>2443</v>
      </c>
      <c r="G25" s="26">
        <v>2391</v>
      </c>
      <c r="H25" s="26">
        <v>4310</v>
      </c>
      <c r="I25" s="26">
        <v>3458</v>
      </c>
      <c r="J25" s="66"/>
      <c r="K25" s="66"/>
      <c r="L25" s="66"/>
      <c r="M25" s="66"/>
      <c r="N25" s="66"/>
      <c r="O25" s="66"/>
      <c r="P25" s="66"/>
    </row>
    <row r="26" spans="2:16">
      <c r="C26" t="s">
        <v>209</v>
      </c>
      <c r="F26" s="26">
        <v>14374</v>
      </c>
      <c r="G26" s="26">
        <v>11114</v>
      </c>
      <c r="H26" s="26">
        <v>9047</v>
      </c>
      <c r="I26" s="26">
        <v>10080</v>
      </c>
      <c r="J26" s="66"/>
      <c r="K26" s="66"/>
      <c r="L26" s="66"/>
      <c r="M26" s="66"/>
      <c r="N26" s="66"/>
      <c r="O26" s="66"/>
      <c r="P26" s="66"/>
    </row>
    <row r="27" spans="2:16">
      <c r="C27" t="s">
        <v>210</v>
      </c>
      <c r="F27" s="26">
        <v>34885</v>
      </c>
      <c r="G27" s="26">
        <v>29129</v>
      </c>
      <c r="H27" s="26">
        <v>18765</v>
      </c>
      <c r="I27" s="26">
        <v>15954</v>
      </c>
      <c r="J27" s="66"/>
      <c r="K27" s="66"/>
      <c r="L27" s="66"/>
      <c r="M27" s="66"/>
      <c r="N27" s="66"/>
      <c r="O27" s="66"/>
      <c r="P27" s="66"/>
    </row>
    <row r="29" spans="2:16">
      <c r="C29" s="4" t="s">
        <v>211</v>
      </c>
      <c r="D29" s="4"/>
      <c r="E29" s="4"/>
      <c r="F29" s="32"/>
      <c r="G29" s="32"/>
      <c r="H29" s="32"/>
      <c r="I29" s="32">
        <f>SUM(I6:I27)</f>
        <v>1042145.4697869141</v>
      </c>
      <c r="J29" s="32">
        <f t="shared" ref="J29:P29" si="2">J6+J8+J10+J11+J12+J13+J14+J15+J16+J17+J18+J19+J20+J21+J22+J23+J24+J25+J26+J27</f>
        <v>855274.48741132626</v>
      </c>
      <c r="K29" s="32">
        <f t="shared" si="2"/>
        <v>1029823.7927773064</v>
      </c>
      <c r="L29" s="32">
        <f t="shared" si="2"/>
        <v>1198769.8634010588</v>
      </c>
      <c r="M29" s="32">
        <f t="shared" si="2"/>
        <v>1395832.0628565659</v>
      </c>
      <c r="N29" s="32">
        <f t="shared" si="2"/>
        <v>1625726.2096629441</v>
      </c>
      <c r="O29" s="32">
        <f t="shared" si="2"/>
        <v>1881217.3987406474</v>
      </c>
      <c r="P29" s="32">
        <f t="shared" si="2"/>
        <v>2176112.7885593781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F22-0FF8-944B-ADDA-803A694294D1}">
  <dimension ref="A1:Q99"/>
  <sheetViews>
    <sheetView workbookViewId="0">
      <pane ySplit="2" topLeftCell="A20" activePane="bottomLeft" state="frozen"/>
      <selection pane="bottomLeft" activeCell="P8" sqref="P8"/>
    </sheetView>
  </sheetViews>
  <sheetFormatPr baseColWidth="10" defaultRowHeight="16"/>
  <cols>
    <col min="1" max="1" width="3.6640625" customWidth="1"/>
    <col min="2" max="2" width="2.6640625" customWidth="1"/>
    <col min="3" max="3" width="42.83203125" customWidth="1"/>
    <col min="4" max="4" width="5.33203125" customWidth="1"/>
    <col min="5" max="5" width="4.6640625" customWidth="1"/>
  </cols>
  <sheetData>
    <row r="1" spans="1:17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1:17" ht="24">
      <c r="B2" s="11" t="s">
        <v>92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1:17">
      <c r="B4" s="4" t="s">
        <v>93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>
      <c r="C6" t="s">
        <v>227</v>
      </c>
      <c r="F6" s="31"/>
      <c r="G6" s="31">
        <f>F9</f>
        <v>2479425</v>
      </c>
      <c r="H6" s="31">
        <f>G9</f>
        <v>2798947</v>
      </c>
      <c r="I6" s="31">
        <f t="shared" ref="I6:J6" si="0">H9</f>
        <v>2874220</v>
      </c>
      <c r="J6" s="31">
        <f t="shared" si="0"/>
        <v>2782679</v>
      </c>
      <c r="K6" s="31"/>
      <c r="L6" s="31"/>
      <c r="M6" s="31"/>
      <c r="N6" s="31"/>
      <c r="O6" s="31"/>
      <c r="P6" s="31"/>
      <c r="Q6" s="31"/>
    </row>
    <row r="7" spans="1:17">
      <c r="C7" s="34" t="s">
        <v>229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>
      <c r="C8" s="34" t="s">
        <v>89</v>
      </c>
      <c r="F8" s="31">
        <f>-Costos!F22</f>
        <v>-116284</v>
      </c>
      <c r="G8" s="31">
        <f>-Costos!G22</f>
        <v>-111293</v>
      </c>
      <c r="H8" s="31">
        <f>-Costos!H22</f>
        <v>-113485</v>
      </c>
      <c r="I8" s="31">
        <f>-Costos!I22</f>
        <v>-134449</v>
      </c>
      <c r="J8" s="31"/>
      <c r="K8" s="31"/>
      <c r="L8" s="31"/>
      <c r="M8" s="31"/>
      <c r="N8" s="31"/>
      <c r="O8" s="31"/>
      <c r="P8" s="31"/>
      <c r="Q8" s="31"/>
    </row>
    <row r="9" spans="1:17">
      <c r="C9" t="s">
        <v>94</v>
      </c>
      <c r="F9" s="37">
        <f>Balance!F20+Balance!F18</f>
        <v>2479425</v>
      </c>
      <c r="G9" s="37">
        <f>Balance!G20+Balance!G18</f>
        <v>2798947</v>
      </c>
      <c r="H9" s="37">
        <f>Balance!H20+Balance!H18</f>
        <v>2874220</v>
      </c>
      <c r="I9" s="37">
        <f>Balance!I20+Balance!I18</f>
        <v>2782679</v>
      </c>
      <c r="J9" s="37"/>
      <c r="K9" s="31"/>
      <c r="L9" s="31"/>
      <c r="M9" s="31"/>
      <c r="N9" s="31"/>
      <c r="O9" s="31"/>
      <c r="P9" s="31"/>
      <c r="Q9" s="31"/>
    </row>
    <row r="10" spans="1:17">
      <c r="A10" t="s">
        <v>95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4" t="s">
        <v>96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C15" s="35" t="s">
        <v>29</v>
      </c>
      <c r="F15" s="37">
        <f>Balance!F6</f>
        <v>34802</v>
      </c>
      <c r="G15" s="37">
        <f>Balance!G6</f>
        <v>28551</v>
      </c>
      <c r="H15" s="37">
        <f>Balance!H6</f>
        <v>9113</v>
      </c>
      <c r="I15" s="37">
        <f>Balance!I6</f>
        <v>8181</v>
      </c>
      <c r="J15" s="31"/>
      <c r="K15" s="31"/>
      <c r="L15" s="31"/>
      <c r="M15" s="31"/>
      <c r="N15" s="31"/>
      <c r="O15" s="31"/>
      <c r="P15" s="31"/>
      <c r="Q15" s="31"/>
    </row>
    <row r="16" spans="1:17">
      <c r="C16" s="35" t="s">
        <v>30</v>
      </c>
      <c r="F16" s="37">
        <f>Balance!F7</f>
        <v>98565</v>
      </c>
      <c r="G16" s="37">
        <f>Balance!G7</f>
        <v>122171</v>
      </c>
      <c r="H16" s="37">
        <f>Balance!H7</f>
        <v>161798</v>
      </c>
      <c r="I16" s="37">
        <f>Balance!I7</f>
        <v>96638</v>
      </c>
      <c r="J16" s="31"/>
      <c r="K16" s="31"/>
      <c r="L16" s="31"/>
      <c r="M16" s="31"/>
      <c r="N16" s="31"/>
      <c r="O16" s="31"/>
      <c r="P16" s="31"/>
      <c r="Q16" s="31"/>
    </row>
    <row r="17" spans="3:17">
      <c r="C17" s="35" t="s">
        <v>31</v>
      </c>
      <c r="F17" s="37">
        <f>Balance!F8</f>
        <v>6024</v>
      </c>
      <c r="G17" s="37">
        <f>Balance!G8</f>
        <v>7183</v>
      </c>
      <c r="H17" s="37">
        <f>Balance!H8</f>
        <v>26116</v>
      </c>
      <c r="I17" s="37">
        <f>Balance!I8</f>
        <v>11999</v>
      </c>
      <c r="J17" s="31"/>
      <c r="K17" s="31"/>
      <c r="L17" s="31"/>
      <c r="M17" s="31"/>
      <c r="N17" s="31"/>
      <c r="O17" s="31"/>
      <c r="P17" s="31"/>
      <c r="Q17" s="31"/>
    </row>
    <row r="18" spans="3:17">
      <c r="C18" s="35" t="s">
        <v>32</v>
      </c>
      <c r="F18" s="37">
        <f>Balance!F9</f>
        <v>172124</v>
      </c>
      <c r="G18" s="37">
        <f>Balance!G9</f>
        <v>129548</v>
      </c>
      <c r="H18" s="37">
        <f>Balance!H9</f>
        <v>158860</v>
      </c>
      <c r="I18" s="37">
        <f>Balance!I9</f>
        <v>116204</v>
      </c>
      <c r="J18" s="31"/>
      <c r="K18" s="31"/>
      <c r="L18" s="31"/>
      <c r="M18" s="31"/>
      <c r="N18" s="31"/>
      <c r="O18" s="31"/>
      <c r="P18" s="31"/>
      <c r="Q18" s="31"/>
    </row>
    <row r="19" spans="3:17">
      <c r="C19" s="35" t="s">
        <v>33</v>
      </c>
      <c r="F19" s="37">
        <f>Balance!F10</f>
        <v>13725</v>
      </c>
      <c r="G19" s="37">
        <f>Balance!G10</f>
        <v>12939</v>
      </c>
      <c r="H19" s="37">
        <f>Balance!H10</f>
        <v>10216</v>
      </c>
      <c r="I19" s="37">
        <f>Balance!I10</f>
        <v>12679</v>
      </c>
      <c r="J19" s="31"/>
      <c r="K19" s="31"/>
      <c r="L19" s="31"/>
      <c r="M19" s="31"/>
      <c r="N19" s="31"/>
      <c r="O19" s="31"/>
      <c r="P19" s="31"/>
      <c r="Q19" s="31"/>
    </row>
    <row r="20" spans="3:17" s="4" customFormat="1">
      <c r="C20" s="4" t="s">
        <v>97</v>
      </c>
      <c r="F20" s="32">
        <f>SUM(F15:F19)</f>
        <v>325240</v>
      </c>
      <c r="G20" s="32">
        <f t="shared" ref="G20:I20" si="1">SUM(G15:G19)</f>
        <v>300392</v>
      </c>
      <c r="H20" s="32">
        <f t="shared" si="1"/>
        <v>366103</v>
      </c>
      <c r="I20" s="32">
        <f t="shared" si="1"/>
        <v>245701</v>
      </c>
      <c r="J20" s="32"/>
      <c r="K20" s="32"/>
      <c r="L20" s="32"/>
      <c r="M20" s="32"/>
      <c r="N20" s="32"/>
      <c r="O20" s="32"/>
      <c r="P20" s="32"/>
      <c r="Q20" s="32"/>
    </row>
    <row r="21" spans="3:17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3:17">
      <c r="C22" s="35" t="s">
        <v>47</v>
      </c>
      <c r="F22" s="37">
        <f>Balance!F28</f>
        <v>157972</v>
      </c>
      <c r="G22" s="37">
        <f>Balance!G28</f>
        <v>161218</v>
      </c>
      <c r="H22" s="37">
        <f>Balance!H28</f>
        <v>160808</v>
      </c>
      <c r="I22" s="37">
        <f>Balance!I28</f>
        <v>190426</v>
      </c>
      <c r="J22" s="31"/>
      <c r="K22" s="31"/>
      <c r="L22" s="31"/>
      <c r="M22" s="31"/>
      <c r="N22" s="31"/>
      <c r="O22" s="31"/>
      <c r="P22" s="31"/>
      <c r="Q22" s="31"/>
    </row>
    <row r="23" spans="3:17">
      <c r="C23" s="35" t="s">
        <v>48</v>
      </c>
      <c r="F23" s="37">
        <f>Balance!F29</f>
        <v>30600</v>
      </c>
      <c r="G23" s="37">
        <f>Balance!G29</f>
        <v>24674</v>
      </c>
      <c r="H23" s="37">
        <f>Balance!H29</f>
        <v>10295</v>
      </c>
      <c r="I23" s="37">
        <f>Balance!I29</f>
        <v>12635</v>
      </c>
      <c r="J23" s="31"/>
      <c r="K23" s="31"/>
      <c r="L23" s="31"/>
      <c r="M23" s="31"/>
      <c r="N23" s="31"/>
      <c r="O23" s="31"/>
      <c r="P23" s="31"/>
      <c r="Q23" s="31"/>
    </row>
    <row r="24" spans="3:17">
      <c r="C24" s="35" t="s">
        <v>49</v>
      </c>
      <c r="F24" s="37">
        <f>Balance!F30</f>
        <v>41955</v>
      </c>
      <c r="G24" s="37">
        <f>Balance!G30</f>
        <v>9110</v>
      </c>
      <c r="H24" s="37">
        <f>Balance!H30</f>
        <v>10117</v>
      </c>
      <c r="I24" s="37">
        <f>Balance!I30</f>
        <v>23432</v>
      </c>
      <c r="J24" s="31"/>
      <c r="K24" s="31"/>
      <c r="L24" s="31"/>
      <c r="M24" s="31"/>
      <c r="N24" s="31"/>
      <c r="O24" s="31"/>
      <c r="P24" s="31"/>
      <c r="Q24" s="31"/>
    </row>
    <row r="25" spans="3:17">
      <c r="C25" s="35" t="s">
        <v>50</v>
      </c>
      <c r="F25" s="37">
        <f>Balance!F31</f>
        <v>20167</v>
      </c>
      <c r="G25" s="37">
        <f>Balance!G31</f>
        <v>14745</v>
      </c>
      <c r="H25" s="37">
        <f>Balance!H31</f>
        <v>13275</v>
      </c>
      <c r="I25" s="37">
        <f>Balance!I31</f>
        <v>12348</v>
      </c>
      <c r="J25" s="31"/>
      <c r="K25" s="31"/>
      <c r="L25" s="31"/>
      <c r="M25" s="31"/>
      <c r="N25" s="31"/>
      <c r="O25" s="31"/>
      <c r="P25" s="31"/>
      <c r="Q25" s="31"/>
    </row>
    <row r="26" spans="3:17">
      <c r="C26" s="35" t="s">
        <v>51</v>
      </c>
      <c r="F26" s="37">
        <f>Balance!F32</f>
        <v>1633</v>
      </c>
      <c r="G26" s="37">
        <f>Balance!G32</f>
        <v>5973</v>
      </c>
      <c r="H26" s="37">
        <f>Balance!H32</f>
        <v>1382</v>
      </c>
      <c r="I26" s="37">
        <f>Balance!I32</f>
        <v>14896</v>
      </c>
      <c r="J26" s="31"/>
      <c r="K26" s="31"/>
      <c r="L26" s="31"/>
      <c r="M26" s="31"/>
      <c r="N26" s="31"/>
      <c r="O26" s="31"/>
      <c r="P26" s="31"/>
      <c r="Q26" s="31"/>
    </row>
    <row r="27" spans="3:17" s="4" customFormat="1">
      <c r="C27" s="4" t="s">
        <v>98</v>
      </c>
      <c r="F27" s="32">
        <f>SUM(F22:F26)</f>
        <v>252327</v>
      </c>
      <c r="G27" s="32">
        <f t="shared" ref="G27:I27" si="2">SUM(G22:G26)</f>
        <v>215720</v>
      </c>
      <c r="H27" s="32">
        <f t="shared" si="2"/>
        <v>195877</v>
      </c>
      <c r="I27" s="32">
        <f t="shared" si="2"/>
        <v>253737</v>
      </c>
      <c r="J27" s="32"/>
      <c r="K27" s="32"/>
      <c r="L27" s="32"/>
      <c r="M27" s="32"/>
      <c r="N27" s="32"/>
      <c r="O27" s="32"/>
      <c r="P27" s="32"/>
      <c r="Q27" s="32"/>
    </row>
    <row r="28" spans="3:17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3:17" s="4" customFormat="1">
      <c r="C29" s="19" t="s">
        <v>99</v>
      </c>
      <c r="F29" s="32">
        <f>F20-F27</f>
        <v>72913</v>
      </c>
      <c r="G29" s="32">
        <f t="shared" ref="G29:I29" si="3">G20-G27</f>
        <v>84672</v>
      </c>
      <c r="H29" s="32">
        <f t="shared" si="3"/>
        <v>170226</v>
      </c>
      <c r="I29" s="32">
        <f t="shared" si="3"/>
        <v>-8036</v>
      </c>
      <c r="J29" s="32"/>
      <c r="K29" s="32"/>
      <c r="L29" s="32"/>
      <c r="M29" s="32"/>
      <c r="N29" s="32"/>
      <c r="O29" s="32"/>
      <c r="P29" s="32"/>
      <c r="Q29" s="32"/>
    </row>
    <row r="30" spans="3:17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3:17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3:17">
      <c r="C32" s="4" t="s">
        <v>212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3:17">
      <c r="C33" t="s">
        <v>228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3:17">
      <c r="C34" t="s">
        <v>230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3:17">
      <c r="C35" t="s">
        <v>138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3:17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3:17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3:17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3:17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3:17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3:17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3:17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3:17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3:17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3:17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3:17"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3:17"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3:17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6:17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6:17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6:17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6:17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6:17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6:17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6:17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6:17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6:17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6:17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6:17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6:17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6:17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6:17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6:17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6:17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6:17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6:17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6:17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6:17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6:17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6:17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6:17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6:17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6:17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6:17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6:17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6:17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6:17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6:17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6:17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6:17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6:17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6:17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6:17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6:17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6:17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6:17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6:1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6:17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6:17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6:17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6:17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6:17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6:17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6:17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6:17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6:17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6:17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6:17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6:17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9F4-7EC5-D74B-806B-35FAB3E493C0}">
  <dimension ref="B1:P34"/>
  <sheetViews>
    <sheetView workbookViewId="0">
      <pane ySplit="2" topLeftCell="A3" activePane="bottomLeft" state="frozen"/>
      <selection pane="bottomLeft" activeCell="K26" sqref="K26"/>
    </sheetView>
  </sheetViews>
  <sheetFormatPr baseColWidth="10" defaultRowHeight="16"/>
  <cols>
    <col min="1" max="1" width="3.33203125" customWidth="1"/>
    <col min="2" max="2" width="3.83203125" customWidth="1"/>
    <col min="3" max="3" width="34.6640625" customWidth="1"/>
    <col min="4" max="4" width="6.33203125" customWidth="1"/>
    <col min="5" max="5" width="6" customWidth="1"/>
  </cols>
  <sheetData>
    <row r="1" spans="2:16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23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16">
      <c r="B4" s="4"/>
    </row>
    <row r="11" spans="2:16">
      <c r="B11" s="4"/>
    </row>
    <row r="17" spans="2:2">
      <c r="B17" s="4"/>
    </row>
    <row r="27" spans="2:2">
      <c r="B27" s="4"/>
    </row>
    <row r="34" spans="2:2">
      <c r="B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E295-E95A-BB49-A002-96B9B8EF07D6}">
  <dimension ref="B1:P49"/>
  <sheetViews>
    <sheetView topLeftCell="B1" workbookViewId="0">
      <pane ySplit="2" topLeftCell="A3" activePane="bottomLeft" state="frozen"/>
      <selection pane="bottomLeft" activeCell="J15" sqref="J15"/>
    </sheetView>
  </sheetViews>
  <sheetFormatPr baseColWidth="10" defaultRowHeight="16"/>
  <cols>
    <col min="1" max="1" width="3.33203125" customWidth="1"/>
    <col min="2" max="2" width="3.83203125" customWidth="1"/>
    <col min="3" max="3" width="57.6640625" customWidth="1"/>
    <col min="4" max="4" width="6.5" style="18" customWidth="1"/>
    <col min="5" max="5" width="6.1640625" customWidth="1"/>
    <col min="6" max="16" width="10.83203125" style="27"/>
  </cols>
  <sheetData>
    <row r="1" spans="2:16" ht="37">
      <c r="B1" s="9" t="s">
        <v>18</v>
      </c>
      <c r="C1" s="9"/>
      <c r="D1" s="23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79</v>
      </c>
      <c r="C2" s="11"/>
      <c r="D2" s="24" t="s">
        <v>64</v>
      </c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C3" s="5"/>
      <c r="D3" s="17"/>
      <c r="F3" s="5"/>
      <c r="G3" s="5"/>
      <c r="H3" s="5"/>
      <c r="I3" s="5"/>
      <c r="J3"/>
      <c r="K3"/>
      <c r="L3"/>
      <c r="M3"/>
      <c r="N3"/>
      <c r="O3"/>
      <c r="P3"/>
    </row>
    <row r="4" spans="2:16">
      <c r="C4" s="5" t="s">
        <v>69</v>
      </c>
      <c r="D4" s="17">
        <v>29</v>
      </c>
      <c r="F4" s="26">
        <v>967444</v>
      </c>
      <c r="G4" s="26">
        <v>1054062</v>
      </c>
      <c r="H4" s="26">
        <v>1275296</v>
      </c>
      <c r="I4" s="26">
        <v>1454436</v>
      </c>
      <c r="J4" s="58">
        <f>(Ventas!J17+1)*EERR!I4</f>
        <v>1755566.6647695806</v>
      </c>
      <c r="K4" s="58">
        <f>(Ventas!K17+1)*EERR!J4</f>
        <v>2113852.7429462913</v>
      </c>
      <c r="L4" s="58">
        <f>(Ventas!L17+1)*EERR!K4</f>
        <v>2460637.4232991212</v>
      </c>
      <c r="M4" s="58">
        <f>(Ventas!M17+1)*EERR!L4</f>
        <v>2865134.2641874459</v>
      </c>
      <c r="N4" s="58">
        <f>(Ventas!N17+1)*EERR!M4</f>
        <v>3337023.1215067934</v>
      </c>
      <c r="O4" s="58">
        <f>(Ventas!O17+1)*EERR!N4</f>
        <v>3861453.3731851014</v>
      </c>
      <c r="P4" s="58">
        <f>(Ventas!P17+1)*EERR!O4</f>
        <v>4466766.0810702061</v>
      </c>
    </row>
    <row r="5" spans="2:16">
      <c r="C5" s="5" t="s">
        <v>70</v>
      </c>
      <c r="D5" s="17">
        <v>30</v>
      </c>
      <c r="F5" s="26">
        <v>-790687</v>
      </c>
      <c r="G5" s="26">
        <v>-880541</v>
      </c>
      <c r="H5" s="26">
        <v>-1005810</v>
      </c>
      <c r="I5" s="26">
        <v>-1042145</v>
      </c>
      <c r="J5" s="58">
        <f>-Supuestos!J6*EERR!J4</f>
        <v>-1404453.3318156647</v>
      </c>
      <c r="K5" s="58">
        <f>-Supuestos!K6*EERR!K4</f>
        <v>-1691082.1943570331</v>
      </c>
      <c r="L5" s="58">
        <f>-Supuestos!L6*EERR!L4</f>
        <v>-1968509.9386392972</v>
      </c>
      <c r="M5" s="58">
        <f>-Supuestos!M6*EERR!M4</f>
        <v>-2292107.4113499569</v>
      </c>
      <c r="N5" s="58">
        <f>-Supuestos!N6*EERR!N4</f>
        <v>-2669618.4972054348</v>
      </c>
      <c r="O5" s="58">
        <f>-Supuestos!O6*EERR!O4</f>
        <v>-3089162.6985480813</v>
      </c>
      <c r="P5" s="58">
        <f>-Supuestos!P6*EERR!P4</f>
        <v>-3573412.8648561649</v>
      </c>
    </row>
    <row r="6" spans="2:16">
      <c r="C6" s="4" t="s">
        <v>71</v>
      </c>
      <c r="D6" s="19"/>
      <c r="F6" s="28">
        <f>F4+F5</f>
        <v>176757</v>
      </c>
      <c r="G6" s="28">
        <f t="shared" ref="G6:I6" si="0">G4+G5</f>
        <v>173521</v>
      </c>
      <c r="H6" s="28">
        <f t="shared" si="0"/>
        <v>269486</v>
      </c>
      <c r="I6" s="28">
        <f t="shared" si="0"/>
        <v>412291</v>
      </c>
      <c r="J6" s="59">
        <f>SUM(J4:J5)</f>
        <v>351113.33295391593</v>
      </c>
      <c r="K6" s="59">
        <f t="shared" ref="K6:P6" si="1">SUM(K4:K5)</f>
        <v>422770.54858925822</v>
      </c>
      <c r="L6" s="59">
        <f t="shared" si="1"/>
        <v>492127.48465982405</v>
      </c>
      <c r="M6" s="59">
        <f t="shared" si="1"/>
        <v>573026.85283748899</v>
      </c>
      <c r="N6" s="59">
        <f t="shared" si="1"/>
        <v>667404.62430135859</v>
      </c>
      <c r="O6" s="59">
        <f t="shared" si="1"/>
        <v>772290.6746370201</v>
      </c>
      <c r="P6" s="59">
        <f t="shared" si="1"/>
        <v>893353.21621404123</v>
      </c>
    </row>
    <row r="7" spans="2:16">
      <c r="C7" s="4"/>
      <c r="D7" s="19"/>
      <c r="G7" s="28"/>
      <c r="H7" s="28"/>
      <c r="I7" s="28"/>
      <c r="J7" s="58"/>
      <c r="K7" s="58"/>
      <c r="L7" s="58"/>
      <c r="M7" s="58"/>
      <c r="N7" s="58"/>
      <c r="O7" s="58"/>
      <c r="P7" s="58"/>
    </row>
    <row r="8" spans="2:16">
      <c r="C8" s="5" t="s">
        <v>213</v>
      </c>
      <c r="D8" s="17">
        <v>31</v>
      </c>
      <c r="F8" s="26">
        <v>208362</v>
      </c>
      <c r="G8" s="26">
        <v>20350</v>
      </c>
      <c r="H8" s="26">
        <v>9939</v>
      </c>
      <c r="I8" s="26">
        <v>6783</v>
      </c>
      <c r="J8" s="58">
        <f>Supuestos!J7</f>
        <v>10000</v>
      </c>
      <c r="K8" s="58">
        <f>Supuestos!K7</f>
        <v>10000</v>
      </c>
      <c r="L8" s="58">
        <f>Supuestos!L7</f>
        <v>10000</v>
      </c>
      <c r="M8" s="58">
        <f>Supuestos!M7</f>
        <v>10000</v>
      </c>
      <c r="N8" s="58">
        <f>Supuestos!N7</f>
        <v>10000</v>
      </c>
      <c r="O8" s="58">
        <f>Supuestos!O7</f>
        <v>10000</v>
      </c>
      <c r="P8" s="58">
        <f>Supuestos!P7</f>
        <v>10000</v>
      </c>
    </row>
    <row r="9" spans="2:16">
      <c r="C9" s="5" t="s">
        <v>218</v>
      </c>
      <c r="D9" s="17">
        <v>32</v>
      </c>
      <c r="F9" s="26">
        <v>-35358</v>
      </c>
      <c r="G9" s="26">
        <v>-39684</v>
      </c>
      <c r="H9" s="26">
        <v>-41525</v>
      </c>
      <c r="I9" s="26">
        <v>-43813</v>
      </c>
      <c r="J9" s="58">
        <f>-(Supuestos!J8)*EERR!J4</f>
        <v>-60076.045857948659</v>
      </c>
      <c r="K9" s="58">
        <f>-(Supuestos!K8)*EERR!K4</f>
        <v>-72336.70863695725</v>
      </c>
      <c r="L9" s="58">
        <f>-(Supuestos!L8)*EERR!L4</f>
        <v>-84203.7899491016</v>
      </c>
      <c r="M9" s="58">
        <f>-(Supuestos!M8)*EERR!M4</f>
        <v>-98045.799626240128</v>
      </c>
      <c r="N9" s="58">
        <f>-(Supuestos!N8)*EERR!N4</f>
        <v>-114193.98539501752</v>
      </c>
      <c r="O9" s="58">
        <f>-(Supuestos!O8)*EERR!O4</f>
        <v>-132140.1542767653</v>
      </c>
      <c r="P9" s="58">
        <f>-(Supuestos!P8)*EERR!P4</f>
        <v>-152854.14636095514</v>
      </c>
    </row>
    <row r="10" spans="2:16">
      <c r="C10" s="5" t="s">
        <v>72</v>
      </c>
      <c r="D10" s="17">
        <v>34</v>
      </c>
      <c r="F10" s="26">
        <v>-43391</v>
      </c>
      <c r="G10" s="26">
        <v>-5748</v>
      </c>
      <c r="H10" s="26">
        <v>-86066</v>
      </c>
      <c r="I10" s="26">
        <v>-185579</v>
      </c>
      <c r="J10" s="58">
        <f>-Supuestos!J9*EERR!J4</f>
        <v>-122889.66653387065</v>
      </c>
      <c r="K10" s="58">
        <f>-Supuestos!K9*EERR!K4</f>
        <v>-147969.6920062404</v>
      </c>
      <c r="L10" s="58">
        <f>-Supuestos!L9*EERR!L4</f>
        <v>-172244.61963093851</v>
      </c>
      <c r="M10" s="58">
        <f>-Supuestos!M9*EERR!M4</f>
        <v>-200559.39849312123</v>
      </c>
      <c r="N10" s="58">
        <f>-Supuestos!N9*EERR!N4</f>
        <v>-233591.61850547555</v>
      </c>
      <c r="O10" s="58">
        <f>-Supuestos!O9*EERR!O4</f>
        <v>-270301.73612295714</v>
      </c>
      <c r="P10" s="58">
        <f>-Supuestos!P9*EERR!P4</f>
        <v>-312673.62567491445</v>
      </c>
    </row>
    <row r="11" spans="2:16">
      <c r="C11" s="4" t="s">
        <v>88</v>
      </c>
      <c r="D11" s="19"/>
      <c r="F11" s="28">
        <f>F6+F8+F9+F10</f>
        <v>306370</v>
      </c>
      <c r="G11" s="28">
        <f t="shared" ref="G11:H11" si="2">G6+G8+G9+G10</f>
        <v>148439</v>
      </c>
      <c r="H11" s="28">
        <f t="shared" si="2"/>
        <v>151834</v>
      </c>
      <c r="I11" s="28">
        <f>I6+I8+I9+I10</f>
        <v>189682</v>
      </c>
      <c r="J11" s="59">
        <f t="shared" ref="J11:P11" si="3">J6+J8+J9+J10</f>
        <v>178147.62056209662</v>
      </c>
      <c r="K11" s="59">
        <f t="shared" si="3"/>
        <v>212464.14794606061</v>
      </c>
      <c r="L11" s="59">
        <f t="shared" si="3"/>
        <v>245679.07507978391</v>
      </c>
      <c r="M11" s="59">
        <f t="shared" si="3"/>
        <v>284421.65471812757</v>
      </c>
      <c r="N11" s="59">
        <f t="shared" si="3"/>
        <v>329619.02040086547</v>
      </c>
      <c r="O11" s="59">
        <f t="shared" si="3"/>
        <v>379848.78423729766</v>
      </c>
      <c r="P11" s="59">
        <f t="shared" si="3"/>
        <v>437825.44417817157</v>
      </c>
    </row>
    <row r="12" spans="2:16">
      <c r="C12" s="4"/>
      <c r="D12" s="19"/>
      <c r="G12" s="28"/>
      <c r="H12" s="28"/>
      <c r="I12" s="28"/>
      <c r="J12" s="58"/>
      <c r="K12" s="58"/>
      <c r="L12" s="58"/>
      <c r="M12" s="58"/>
      <c r="N12" s="58"/>
      <c r="O12" s="58"/>
      <c r="P12" s="58"/>
    </row>
    <row r="13" spans="2:16">
      <c r="C13" s="5" t="s">
        <v>73</v>
      </c>
      <c r="D13" s="17">
        <v>35</v>
      </c>
      <c r="F13" s="26">
        <v>2140</v>
      </c>
      <c r="G13" s="26">
        <v>2542</v>
      </c>
      <c r="H13" s="26">
        <v>5846</v>
      </c>
      <c r="I13" s="26">
        <v>5166</v>
      </c>
      <c r="J13" s="58">
        <f>Supuestos!J10</f>
        <v>5000</v>
      </c>
      <c r="K13" s="58">
        <f>Supuestos!K10</f>
        <v>5000</v>
      </c>
      <c r="L13" s="58">
        <f>Supuestos!L10</f>
        <v>5000</v>
      </c>
      <c r="M13" s="58">
        <f>Supuestos!M10</f>
        <v>5000</v>
      </c>
      <c r="N13" s="58">
        <f>Supuestos!N10</f>
        <v>5000</v>
      </c>
      <c r="O13" s="58">
        <f>Supuestos!O10</f>
        <v>5000</v>
      </c>
      <c r="P13" s="58">
        <f>Supuestos!P10</f>
        <v>5000</v>
      </c>
    </row>
    <row r="14" spans="2:16">
      <c r="C14" s="5" t="s">
        <v>74</v>
      </c>
      <c r="D14" s="17">
        <v>36</v>
      </c>
      <c r="F14" s="26">
        <v>-26727</v>
      </c>
      <c r="G14" s="26">
        <v>-11594</v>
      </c>
      <c r="H14" s="26">
        <v>-12771</v>
      </c>
      <c r="I14" s="26">
        <v>-37837</v>
      </c>
      <c r="J14" s="58">
        <f>Supuestos!J11</f>
        <v>-20000</v>
      </c>
      <c r="K14" s="58">
        <f>Supuestos!K11</f>
        <v>-20000</v>
      </c>
      <c r="L14" s="58">
        <f>Supuestos!L11</f>
        <v>-20000</v>
      </c>
      <c r="M14" s="58">
        <f>Supuestos!M11</f>
        <v>-20000</v>
      </c>
      <c r="N14" s="58">
        <f>Supuestos!N11</f>
        <v>-20000</v>
      </c>
      <c r="O14" s="58">
        <f>Supuestos!O11</f>
        <v>-20000</v>
      </c>
      <c r="P14" s="58">
        <f>Supuestos!P11</f>
        <v>-20000</v>
      </c>
    </row>
    <row r="15" spans="2:16">
      <c r="C15" s="5" t="s">
        <v>75</v>
      </c>
      <c r="D15" s="17">
        <v>14</v>
      </c>
      <c r="F15" s="26">
        <v>54069</v>
      </c>
      <c r="G15" s="26">
        <v>1595</v>
      </c>
      <c r="H15" s="26">
        <v>6938</v>
      </c>
      <c r="I15" s="26">
        <v>7334</v>
      </c>
      <c r="J15" s="58">
        <f>Supuestos!J12</f>
        <v>7000</v>
      </c>
      <c r="K15" s="58">
        <f>Supuestos!K12</f>
        <v>7000</v>
      </c>
      <c r="L15" s="58">
        <f>Supuestos!L12</f>
        <v>7000</v>
      </c>
      <c r="M15" s="58">
        <f>Supuestos!M12</f>
        <v>7000</v>
      </c>
      <c r="N15" s="58">
        <f>Supuestos!N12</f>
        <v>7000</v>
      </c>
      <c r="O15" s="58">
        <f>Supuestos!O12</f>
        <v>7000</v>
      </c>
      <c r="P15" s="58">
        <f>Supuestos!P12</f>
        <v>7000</v>
      </c>
    </row>
    <row r="16" spans="2:16">
      <c r="C16" s="5" t="s">
        <v>76</v>
      </c>
      <c r="D16" s="17">
        <v>37</v>
      </c>
      <c r="F16" s="26">
        <v>2146</v>
      </c>
      <c r="G16" s="26">
        <v>2512</v>
      </c>
      <c r="H16" s="26">
        <v>-2285</v>
      </c>
      <c r="I16" s="26">
        <v>-3024</v>
      </c>
      <c r="J16" s="58">
        <f>Supuestos!J13</f>
        <v>2600</v>
      </c>
      <c r="K16" s="58">
        <f>Supuestos!K13</f>
        <v>2600</v>
      </c>
      <c r="L16" s="58">
        <f>Supuestos!L13</f>
        <v>2600</v>
      </c>
      <c r="M16" s="58">
        <f>Supuestos!M13</f>
        <v>2600</v>
      </c>
      <c r="N16" s="58">
        <f>Supuestos!N13</f>
        <v>2600</v>
      </c>
      <c r="O16" s="58">
        <f>Supuestos!O13</f>
        <v>2600</v>
      </c>
      <c r="P16" s="58">
        <f>Supuestos!P13</f>
        <v>2600</v>
      </c>
    </row>
    <row r="17" spans="3:16">
      <c r="C17" s="4" t="s">
        <v>81</v>
      </c>
      <c r="D17" s="19"/>
      <c r="F17" s="28">
        <f>F11+F13+F14+F15+F16</f>
        <v>337998</v>
      </c>
      <c r="G17" s="28">
        <f t="shared" ref="G17:H17" si="4">G11+G13+G14+G15+G16</f>
        <v>143494</v>
      </c>
      <c r="H17" s="28">
        <f t="shared" si="4"/>
        <v>149562</v>
      </c>
      <c r="I17" s="28">
        <f>I11+I13+I14+I15+I16</f>
        <v>161321</v>
      </c>
      <c r="J17" s="28">
        <f t="shared" ref="J17:P17" si="5">J11+J13+J14+J15+J16</f>
        <v>172747.62056209662</v>
      </c>
      <c r="K17" s="28">
        <f t="shared" si="5"/>
        <v>207064.14794606061</v>
      </c>
      <c r="L17" s="28">
        <f t="shared" si="5"/>
        <v>240279.07507978391</v>
      </c>
      <c r="M17" s="28">
        <f t="shared" si="5"/>
        <v>279021.65471812757</v>
      </c>
      <c r="N17" s="28">
        <f t="shared" si="5"/>
        <v>324219.02040086547</v>
      </c>
      <c r="O17" s="28">
        <f t="shared" si="5"/>
        <v>374448.78423729766</v>
      </c>
      <c r="P17" s="28">
        <f t="shared" si="5"/>
        <v>432425.44417817157</v>
      </c>
    </row>
    <row r="18" spans="3:16">
      <c r="C18" s="4"/>
      <c r="D18" s="19"/>
      <c r="G18" s="28"/>
      <c r="H18" s="28"/>
      <c r="I18" s="28"/>
    </row>
    <row r="19" spans="3:16">
      <c r="C19" s="5" t="s">
        <v>77</v>
      </c>
      <c r="D19" s="17">
        <v>18</v>
      </c>
      <c r="F19" s="26">
        <v>-79422</v>
      </c>
      <c r="G19" s="26">
        <v>-34484</v>
      </c>
      <c r="H19" s="26">
        <v>-38339</v>
      </c>
      <c r="I19" s="26">
        <v>-42604</v>
      </c>
      <c r="J19" s="58">
        <f>-Supuestos!J15*EERR!J17</f>
        <v>-44914.381346145121</v>
      </c>
      <c r="K19" s="58">
        <f>-Supuestos!K15*EERR!K17</f>
        <v>-53836.678465975761</v>
      </c>
      <c r="L19" s="58">
        <f>-Supuestos!L15*EERR!L17</f>
        <v>-62472.559520743816</v>
      </c>
      <c r="M19" s="58">
        <f>-Supuestos!M15*EERR!M17</f>
        <v>-72545.630226713169</v>
      </c>
      <c r="N19" s="58">
        <f>-Supuestos!N15*EERR!N17</f>
        <v>-84296.945304225024</v>
      </c>
      <c r="O19" s="58">
        <f>-Supuestos!O15*EERR!O17</f>
        <v>-97356.683901697397</v>
      </c>
      <c r="P19" s="58">
        <f>-Supuestos!P15*EERR!P17</f>
        <v>-112430.61548632462</v>
      </c>
    </row>
    <row r="20" spans="3:16">
      <c r="C20" s="4" t="s">
        <v>237</v>
      </c>
      <c r="D20" s="19"/>
      <c r="F20" s="28">
        <f>F17+F19</f>
        <v>258576</v>
      </c>
      <c r="G20" s="28">
        <f t="shared" ref="G20:P20" si="6">G17+G19</f>
        <v>109010</v>
      </c>
      <c r="H20" s="28">
        <f t="shared" si="6"/>
        <v>111223</v>
      </c>
      <c r="I20" s="28">
        <f t="shared" si="6"/>
        <v>118717</v>
      </c>
      <c r="J20" s="28">
        <f t="shared" si="6"/>
        <v>127833.2392159515</v>
      </c>
      <c r="K20" s="28">
        <f t="shared" si="6"/>
        <v>153227.46948008484</v>
      </c>
      <c r="L20" s="28">
        <f t="shared" si="6"/>
        <v>177806.5155590401</v>
      </c>
      <c r="M20" s="28">
        <f t="shared" si="6"/>
        <v>206476.0244914144</v>
      </c>
      <c r="N20" s="28">
        <f t="shared" si="6"/>
        <v>239922.07509664044</v>
      </c>
      <c r="O20" s="28">
        <f t="shared" si="6"/>
        <v>277092.10033560026</v>
      </c>
      <c r="P20" s="28">
        <f t="shared" si="6"/>
        <v>319994.82869184692</v>
      </c>
    </row>
    <row r="21" spans="3:16">
      <c r="C21" s="4"/>
      <c r="D21" s="19"/>
      <c r="F21" s="28"/>
      <c r="G21" s="28"/>
      <c r="H21" s="28"/>
      <c r="I21" s="28"/>
    </row>
    <row r="22" spans="3:16">
      <c r="C22" s="5" t="s">
        <v>78</v>
      </c>
      <c r="D22" s="17">
        <v>28</v>
      </c>
      <c r="F22" s="26">
        <v>3746</v>
      </c>
      <c r="G22" s="26">
        <v>8148</v>
      </c>
      <c r="H22" s="26">
        <v>8641</v>
      </c>
      <c r="I22" s="26">
        <v>7894</v>
      </c>
    </row>
    <row r="23" spans="3:16">
      <c r="C23" s="4" t="s">
        <v>238</v>
      </c>
      <c r="D23" s="19"/>
      <c r="E23" s="4"/>
      <c r="F23" s="28">
        <f>F20-F22</f>
        <v>254830</v>
      </c>
      <c r="G23" s="28">
        <f>G20-G22</f>
        <v>100862</v>
      </c>
      <c r="H23" s="28">
        <f>H20-H22</f>
        <v>102582</v>
      </c>
      <c r="I23" s="28">
        <f>I20-I22</f>
        <v>110823</v>
      </c>
      <c r="J23" s="28"/>
      <c r="K23" s="28"/>
      <c r="L23" s="28"/>
      <c r="M23" s="28"/>
      <c r="N23" s="28"/>
      <c r="O23" s="28"/>
      <c r="P23" s="28"/>
    </row>
    <row r="25" spans="3:16">
      <c r="C25" s="5"/>
      <c r="D25" s="17"/>
      <c r="F25" s="62"/>
      <c r="G25" s="62"/>
      <c r="H25" s="62"/>
      <c r="I25" s="62"/>
    </row>
    <row r="26" spans="3:16">
      <c r="C26" s="5" t="s">
        <v>233</v>
      </c>
      <c r="D26" s="17" t="s">
        <v>234</v>
      </c>
      <c r="F26" s="26">
        <v>91208</v>
      </c>
      <c r="G26" s="26">
        <v>34591</v>
      </c>
      <c r="H26" s="26">
        <v>71129</v>
      </c>
      <c r="I26" s="26">
        <v>118703</v>
      </c>
    </row>
    <row r="27" spans="3:16">
      <c r="C27" s="5"/>
      <c r="D27" s="17"/>
    </row>
    <row r="28" spans="3:16">
      <c r="C28" s="5"/>
      <c r="D28" s="17"/>
    </row>
    <row r="29" spans="3:16">
      <c r="C29" s="5" t="s">
        <v>232</v>
      </c>
      <c r="F29" s="26">
        <v>1053310</v>
      </c>
      <c r="G29" s="26">
        <v>1053310</v>
      </c>
      <c r="H29" s="26">
        <v>1053310</v>
      </c>
      <c r="I29" s="26">
        <v>1053310</v>
      </c>
    </row>
    <row r="30" spans="3:16">
      <c r="C30" s="5" t="s">
        <v>236</v>
      </c>
      <c r="D30" s="17">
        <v>38</v>
      </c>
      <c r="F30" s="62">
        <f>F23/F29</f>
        <v>0.24193257445576327</v>
      </c>
      <c r="G30" s="62">
        <f t="shared" ref="G30:I30" si="7">G23/G29</f>
        <v>9.5757184494593237E-2</v>
      </c>
      <c r="H30" s="62">
        <f t="shared" si="7"/>
        <v>9.7390132059887405E-2</v>
      </c>
      <c r="I30" s="62">
        <f t="shared" si="7"/>
        <v>0.10521403955150906</v>
      </c>
    </row>
    <row r="31" spans="3:16">
      <c r="C31" t="s">
        <v>235</v>
      </c>
      <c r="F31" s="62">
        <f>F26/F29</f>
        <v>8.6591791590320044E-2</v>
      </c>
      <c r="G31" s="62">
        <f t="shared" ref="G31:I31" si="8">G26/G29</f>
        <v>3.2840284436680557E-2</v>
      </c>
      <c r="H31" s="62">
        <f t="shared" si="8"/>
        <v>6.7529027541749345E-2</v>
      </c>
      <c r="I31" s="62">
        <f t="shared" si="8"/>
        <v>0.1126952179320428</v>
      </c>
    </row>
    <row r="35" spans="2:16" s="5" customFormat="1">
      <c r="C35" s="5" t="s">
        <v>89</v>
      </c>
      <c r="D35" s="1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2:16" s="5" customFormat="1">
      <c r="C36" s="5" t="s">
        <v>90</v>
      </c>
      <c r="D36" s="1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2:16">
      <c r="C37" s="4" t="s">
        <v>91</v>
      </c>
      <c r="D37" s="19"/>
      <c r="F37" s="28"/>
      <c r="G37" s="28"/>
      <c r="H37" s="28"/>
      <c r="I37" s="28"/>
    </row>
    <row r="39" spans="2:16">
      <c r="C39" t="s">
        <v>212</v>
      </c>
    </row>
    <row r="40" spans="2:16">
      <c r="C40" t="s">
        <v>214</v>
      </c>
    </row>
    <row r="41" spans="2:16">
      <c r="C41" t="s">
        <v>219</v>
      </c>
    </row>
    <row r="44" spans="2:16">
      <c r="B44" s="4" t="s">
        <v>82</v>
      </c>
    </row>
    <row r="45" spans="2:16">
      <c r="C45" t="s">
        <v>83</v>
      </c>
    </row>
    <row r="46" spans="2:16">
      <c r="C46" t="s">
        <v>84</v>
      </c>
    </row>
    <row r="47" spans="2:16">
      <c r="C47" t="s">
        <v>85</v>
      </c>
    </row>
    <row r="48" spans="2:16">
      <c r="C48" t="s">
        <v>86</v>
      </c>
    </row>
    <row r="49" spans="3:3">
      <c r="C49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D2-B8FC-ED49-AC5D-F8E03BC279EE}">
  <dimension ref="B1:P397"/>
  <sheetViews>
    <sheetView workbookViewId="0">
      <pane ySplit="2" topLeftCell="A4" activePane="bottomLeft" state="frozen"/>
      <selection pane="bottomLeft" activeCell="J14" sqref="J14"/>
    </sheetView>
  </sheetViews>
  <sheetFormatPr baseColWidth="10" defaultRowHeight="16"/>
  <cols>
    <col min="1" max="1" width="3.1640625" customWidth="1"/>
    <col min="2" max="2" width="4" customWidth="1"/>
    <col min="3" max="3" width="47.6640625" style="13" customWidth="1"/>
    <col min="4" max="4" width="5.83203125" style="18" customWidth="1"/>
    <col min="5" max="5" width="6.6640625" style="18" customWidth="1"/>
    <col min="6" max="6" width="11.5" bestFit="1" customWidth="1"/>
  </cols>
  <sheetData>
    <row r="1" spans="2:16" ht="37">
      <c r="B1" s="9" t="s">
        <v>18</v>
      </c>
      <c r="C1" s="21"/>
      <c r="D1" s="16"/>
      <c r="E1" s="16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24</v>
      </c>
      <c r="C2" s="22"/>
      <c r="D2" s="16" t="s">
        <v>64</v>
      </c>
      <c r="E2" s="16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B3" s="5"/>
      <c r="C3" s="14"/>
      <c r="D3" s="17"/>
      <c r="E3" s="17"/>
      <c r="F3" s="5"/>
      <c r="G3" s="5"/>
      <c r="H3" s="5"/>
      <c r="I3" s="5"/>
      <c r="J3" s="5"/>
      <c r="K3" s="5"/>
    </row>
    <row r="4" spans="2:16">
      <c r="B4" s="5"/>
      <c r="C4" s="14" t="s">
        <v>27</v>
      </c>
      <c r="D4" s="17">
        <v>6</v>
      </c>
      <c r="E4" s="17"/>
      <c r="F4" s="29">
        <v>278276</v>
      </c>
      <c r="G4" s="29">
        <v>78141</v>
      </c>
      <c r="H4" s="26">
        <v>61512</v>
      </c>
      <c r="I4" s="26">
        <v>239083</v>
      </c>
      <c r="J4" s="70"/>
      <c r="K4" s="70"/>
      <c r="L4" s="70"/>
      <c r="M4" s="70"/>
      <c r="N4" s="70"/>
      <c r="O4" s="70"/>
      <c r="P4" s="70"/>
    </row>
    <row r="5" spans="2:16">
      <c r="B5" s="5"/>
      <c r="C5" s="14" t="s">
        <v>28</v>
      </c>
      <c r="D5" s="17">
        <v>7</v>
      </c>
      <c r="E5" s="17"/>
      <c r="F5" s="29">
        <v>3281</v>
      </c>
      <c r="G5" s="29">
        <v>2845</v>
      </c>
      <c r="H5" s="26">
        <v>0</v>
      </c>
      <c r="I5" s="26">
        <v>471</v>
      </c>
      <c r="J5" s="70">
        <f>Supuestos!J24</f>
        <v>0</v>
      </c>
      <c r="K5" s="70">
        <f>Supuestos!K24</f>
        <v>0</v>
      </c>
      <c r="L5" s="70">
        <f>Supuestos!L24</f>
        <v>0</v>
      </c>
      <c r="M5" s="70">
        <f>Supuestos!M24</f>
        <v>0</v>
      </c>
      <c r="N5" s="70">
        <f>Supuestos!N24</f>
        <v>0</v>
      </c>
      <c r="O5" s="70">
        <f>Supuestos!O24</f>
        <v>0</v>
      </c>
      <c r="P5" s="70">
        <f>Supuestos!P24</f>
        <v>0</v>
      </c>
    </row>
    <row r="6" spans="2:16">
      <c r="B6" s="5"/>
      <c r="C6" s="14" t="s">
        <v>29</v>
      </c>
      <c r="D6" s="17">
        <v>8</v>
      </c>
      <c r="E6" s="17"/>
      <c r="F6" s="29">
        <v>34802</v>
      </c>
      <c r="G6" s="29">
        <v>28551</v>
      </c>
      <c r="H6" s="26">
        <v>9113</v>
      </c>
      <c r="I6" s="26">
        <v>8181</v>
      </c>
      <c r="J6" s="70">
        <f>Supuestos!J25*EERR!J4</f>
        <v>10533.399988617484</v>
      </c>
      <c r="K6" s="70">
        <f>Supuestos!K25*EERR!K4</f>
        <v>12683.116457677748</v>
      </c>
      <c r="L6" s="70">
        <f>Supuestos!L25*EERR!L4</f>
        <v>14763.824539794727</v>
      </c>
      <c r="M6" s="70">
        <f>Supuestos!M25*EERR!M4</f>
        <v>17190.805585124675</v>
      </c>
      <c r="N6" s="70">
        <f>Supuestos!N25*EERR!N4</f>
        <v>20022.138729040762</v>
      </c>
      <c r="O6" s="70">
        <f>Supuestos!O25*EERR!O4</f>
        <v>23168.720239110608</v>
      </c>
      <c r="P6" s="70">
        <f>Supuestos!P25*EERR!P4</f>
        <v>26800.596486421236</v>
      </c>
    </row>
    <row r="7" spans="2:16">
      <c r="B7" s="5"/>
      <c r="C7" s="14" t="s">
        <v>30</v>
      </c>
      <c r="D7" s="17">
        <v>9</v>
      </c>
      <c r="E7" s="17"/>
      <c r="F7" s="29">
        <v>98565</v>
      </c>
      <c r="G7" s="29">
        <v>122171</v>
      </c>
      <c r="H7" s="26">
        <v>161798</v>
      </c>
      <c r="I7" s="26">
        <v>96638</v>
      </c>
      <c r="J7" s="70">
        <f>Supuestos!J26*EERR!J4/365</f>
        <v>144293.15052900661</v>
      </c>
      <c r="K7" s="70">
        <f>Supuestos!K26*EERR!K4/365</f>
        <v>173741.32133805135</v>
      </c>
      <c r="L7" s="70">
        <f>Supuestos!L26*EERR!L4/365</f>
        <v>202244.17177800997</v>
      </c>
      <c r="M7" s="70">
        <f>Supuestos!M26*EERR!M4/365</f>
        <v>235490.48746746129</v>
      </c>
      <c r="N7" s="70">
        <f>Supuestos!N26*EERR!N4/365</f>
        <v>274275.87300055835</v>
      </c>
      <c r="O7" s="70">
        <f>Supuestos!O26*EERR!O4/365</f>
        <v>317379.72930288507</v>
      </c>
      <c r="P7" s="70">
        <f>Supuestos!P26*EERR!P4/365</f>
        <v>367131.45871809911</v>
      </c>
    </row>
    <row r="8" spans="2:16">
      <c r="B8" s="5"/>
      <c r="C8" s="14" t="s">
        <v>31</v>
      </c>
      <c r="D8" s="17">
        <v>10</v>
      </c>
      <c r="E8" s="17"/>
      <c r="F8" s="29">
        <v>6024</v>
      </c>
      <c r="G8" s="29">
        <v>7183</v>
      </c>
      <c r="H8" s="26">
        <v>26116</v>
      </c>
      <c r="I8" s="26">
        <v>11999</v>
      </c>
      <c r="J8" s="70">
        <f>Supuestos!J27*EERR!J4/365</f>
        <v>19239.086737200883</v>
      </c>
      <c r="K8" s="70">
        <f>Supuestos!K27*EERR!K4/365</f>
        <v>23165.50951174018</v>
      </c>
      <c r="L8" s="70">
        <f>Supuestos!L27*EERR!L4/365</f>
        <v>26965.889570401327</v>
      </c>
      <c r="M8" s="70">
        <f>Supuestos!M27*EERR!M4/365</f>
        <v>31398.731662328173</v>
      </c>
      <c r="N8" s="70">
        <f>Supuestos!N27*EERR!N4/365</f>
        <v>36570.116400074447</v>
      </c>
      <c r="O8" s="70">
        <f>Supuestos!O27*EERR!O4/365</f>
        <v>42317.297240384672</v>
      </c>
      <c r="P8" s="70">
        <f>Supuestos!P27*EERR!P4/365</f>
        <v>48950.861162413217</v>
      </c>
    </row>
    <row r="9" spans="2:16">
      <c r="B9" s="5"/>
      <c r="C9" s="14" t="s">
        <v>32</v>
      </c>
      <c r="D9" s="17">
        <v>11</v>
      </c>
      <c r="E9" s="17"/>
      <c r="F9" s="29">
        <v>172124</v>
      </c>
      <c r="G9" s="29">
        <v>129548</v>
      </c>
      <c r="H9" s="26">
        <v>158860</v>
      </c>
      <c r="I9" s="26">
        <v>116204</v>
      </c>
      <c r="J9" s="70">
        <f>Supuestos!J28*EERR!J5/365</f>
        <v>192390.86737200888</v>
      </c>
      <c r="K9" s="70">
        <f>Supuestos!K28*EERR!K5/365</f>
        <v>231655.0951174018</v>
      </c>
      <c r="L9" s="70">
        <f>Supuestos!L28*EERR!L5/365</f>
        <v>269658.8957040133</v>
      </c>
      <c r="M9" s="70">
        <f>Supuestos!M28*EERR!M5/365</f>
        <v>313987.3166232818</v>
      </c>
      <c r="N9" s="70">
        <f>Supuestos!N28*EERR!N5/365</f>
        <v>365701.16400074447</v>
      </c>
      <c r="O9" s="70">
        <f>Supuestos!O28*EERR!O5/365</f>
        <v>423172.9724038468</v>
      </c>
      <c r="P9" s="70">
        <f>Supuestos!P28*EERR!P5/365</f>
        <v>489508.6116241322</v>
      </c>
    </row>
    <row r="10" spans="2:16">
      <c r="B10" s="5"/>
      <c r="C10" s="14" t="s">
        <v>33</v>
      </c>
      <c r="D10" s="17">
        <v>12</v>
      </c>
      <c r="E10" s="17"/>
      <c r="F10" s="29">
        <v>13725</v>
      </c>
      <c r="G10" s="29">
        <v>12939</v>
      </c>
      <c r="H10" s="26">
        <v>10216</v>
      </c>
      <c r="I10" s="26">
        <v>12679</v>
      </c>
      <c r="J10" s="70"/>
      <c r="K10" s="70"/>
      <c r="L10" s="70"/>
      <c r="M10" s="70"/>
      <c r="N10" s="70"/>
      <c r="O10" s="70"/>
      <c r="P10" s="70"/>
    </row>
    <row r="11" spans="2:16" s="4" customFormat="1">
      <c r="C11" s="15" t="s">
        <v>34</v>
      </c>
      <c r="D11" s="19"/>
      <c r="E11" s="19"/>
      <c r="F11" s="32">
        <f>SUM(F4:F10)</f>
        <v>606797</v>
      </c>
      <c r="G11" s="32">
        <f t="shared" ref="G11:P11" si="0">SUM(G4:G10)</f>
        <v>381378</v>
      </c>
      <c r="H11" s="32">
        <f t="shared" si="0"/>
        <v>427615</v>
      </c>
      <c r="I11" s="32">
        <f t="shared" si="0"/>
        <v>485255</v>
      </c>
      <c r="J11" s="32">
        <f t="shared" si="0"/>
        <v>366456.50462683383</v>
      </c>
      <c r="K11" s="32">
        <f t="shared" si="0"/>
        <v>441245.04242487106</v>
      </c>
      <c r="L11" s="32">
        <f t="shared" si="0"/>
        <v>513632.78159221931</v>
      </c>
      <c r="M11" s="32">
        <f t="shared" si="0"/>
        <v>598067.34133819595</v>
      </c>
      <c r="N11" s="32">
        <f t="shared" si="0"/>
        <v>696569.29213041801</v>
      </c>
      <c r="O11" s="32">
        <f t="shared" si="0"/>
        <v>806038.71918622707</v>
      </c>
      <c r="P11" s="32">
        <f t="shared" si="0"/>
        <v>932391.52799106576</v>
      </c>
    </row>
    <row r="12" spans="2:16">
      <c r="B12" s="5"/>
      <c r="C12" s="15"/>
      <c r="D12" s="17"/>
      <c r="E12" s="1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B13" s="5"/>
      <c r="C13" s="14" t="s">
        <v>35</v>
      </c>
      <c r="D13" s="20">
        <v>7</v>
      </c>
      <c r="E13" s="20"/>
      <c r="F13" s="26">
        <v>0</v>
      </c>
      <c r="G13" s="29">
        <v>71</v>
      </c>
      <c r="H13" s="29">
        <v>0</v>
      </c>
      <c r="I13" s="33">
        <v>0</v>
      </c>
      <c r="J13" s="70">
        <f>Supuestos!J31</f>
        <v>0</v>
      </c>
      <c r="K13" s="70">
        <f>Supuestos!K31</f>
        <v>0</v>
      </c>
      <c r="L13" s="70">
        <f>Supuestos!L31</f>
        <v>0</v>
      </c>
      <c r="M13" s="70">
        <f>Supuestos!M31</f>
        <v>0</v>
      </c>
      <c r="N13" s="70">
        <f>Supuestos!N31</f>
        <v>0</v>
      </c>
      <c r="O13" s="70">
        <f>Supuestos!O31</f>
        <v>0</v>
      </c>
      <c r="P13" s="70">
        <f>Supuestos!P31</f>
        <v>0</v>
      </c>
    </row>
    <row r="14" spans="2:16">
      <c r="B14" s="5"/>
      <c r="C14" s="14" t="s">
        <v>36</v>
      </c>
      <c r="D14" s="17">
        <v>13</v>
      </c>
      <c r="E14" s="17"/>
      <c r="F14" s="29">
        <v>13910</v>
      </c>
      <c r="G14" s="29">
        <v>9884</v>
      </c>
      <c r="H14" s="26">
        <v>10670</v>
      </c>
      <c r="I14" s="26">
        <v>5707</v>
      </c>
      <c r="J14" s="70">
        <f>Supuestos!J32</f>
        <v>6000</v>
      </c>
      <c r="K14" s="70">
        <f>Supuestos!K32</f>
        <v>6000</v>
      </c>
      <c r="L14" s="70">
        <f>Supuestos!L32</f>
        <v>6000</v>
      </c>
      <c r="M14" s="70">
        <f>Supuestos!M32</f>
        <v>6000</v>
      </c>
      <c r="N14" s="70">
        <f>Supuestos!N32</f>
        <v>6000</v>
      </c>
      <c r="O14" s="70">
        <f>Supuestos!O32</f>
        <v>6000</v>
      </c>
      <c r="P14" s="70">
        <f>Supuestos!P32</f>
        <v>6000</v>
      </c>
    </row>
    <row r="15" spans="2:16">
      <c r="B15" s="5"/>
      <c r="C15" s="14" t="s">
        <v>37</v>
      </c>
      <c r="D15" s="17">
        <v>9</v>
      </c>
      <c r="E15" s="17"/>
      <c r="F15" s="29">
        <v>248</v>
      </c>
      <c r="G15" s="29">
        <v>250</v>
      </c>
      <c r="H15" s="26">
        <v>20</v>
      </c>
      <c r="I15" s="26">
        <v>73519</v>
      </c>
      <c r="J15" s="70">
        <f>Supuestos!J33</f>
        <v>250</v>
      </c>
      <c r="K15" s="70">
        <f>Supuestos!K33</f>
        <v>250</v>
      </c>
      <c r="L15" s="70">
        <f>Supuestos!L33</f>
        <v>250</v>
      </c>
      <c r="M15" s="70">
        <f>Supuestos!M33</f>
        <v>250</v>
      </c>
      <c r="N15" s="70">
        <f>Supuestos!N33</f>
        <v>250</v>
      </c>
      <c r="O15" s="70">
        <f>Supuestos!O33</f>
        <v>250</v>
      </c>
      <c r="P15" s="70">
        <f>Supuestos!P33</f>
        <v>250</v>
      </c>
    </row>
    <row r="16" spans="2:16">
      <c r="B16" s="5"/>
      <c r="C16" s="14" t="s">
        <v>38</v>
      </c>
      <c r="D16" s="17">
        <v>10</v>
      </c>
      <c r="E16" s="17"/>
      <c r="F16" s="29">
        <v>33913</v>
      </c>
      <c r="G16" s="29">
        <v>65633</v>
      </c>
      <c r="H16" s="26">
        <v>26216</v>
      </c>
      <c r="I16" s="26">
        <v>27722</v>
      </c>
      <c r="J16" s="70">
        <f>Supuestos!J34*EERR!J4</f>
        <v>52666.999943087416</v>
      </c>
      <c r="K16" s="70">
        <f>Supuestos!K34*EERR!K4</f>
        <v>63415.582288388738</v>
      </c>
      <c r="L16" s="70">
        <f>Supuestos!L34*EERR!L4</f>
        <v>73819.122698973631</v>
      </c>
      <c r="M16" s="70">
        <f>Supuestos!M34*EERR!M4</f>
        <v>85954.027925623377</v>
      </c>
      <c r="N16" s="70">
        <f>Supuestos!N34*EERR!N4</f>
        <v>100110.69364520381</v>
      </c>
      <c r="O16" s="70">
        <f>Supuestos!O34*EERR!O4</f>
        <v>115843.60119555304</v>
      </c>
      <c r="P16" s="70">
        <f>Supuestos!P34*EERR!P4</f>
        <v>134002.98243210619</v>
      </c>
    </row>
    <row r="17" spans="2:16">
      <c r="B17" s="5"/>
      <c r="C17" s="14" t="s">
        <v>39</v>
      </c>
      <c r="D17" s="17">
        <v>14</v>
      </c>
      <c r="E17" s="17"/>
      <c r="F17" s="29">
        <v>83350</v>
      </c>
      <c r="G17" s="29">
        <v>80746</v>
      </c>
      <c r="H17" s="26">
        <v>96745</v>
      </c>
      <c r="I17" s="26">
        <v>89697</v>
      </c>
      <c r="J17" s="70">
        <f>Supuestos!J35</f>
        <v>90000</v>
      </c>
      <c r="K17" s="70">
        <f>Supuestos!K35</f>
        <v>90000</v>
      </c>
      <c r="L17" s="70">
        <f>Supuestos!L35</f>
        <v>90000</v>
      </c>
      <c r="M17" s="70">
        <f>Supuestos!M35</f>
        <v>90000</v>
      </c>
      <c r="N17" s="70">
        <f>Supuestos!N35</f>
        <v>90000</v>
      </c>
      <c r="O17" s="70">
        <f>Supuestos!O35</f>
        <v>90000</v>
      </c>
      <c r="P17" s="70">
        <f>Supuestos!P35</f>
        <v>90000</v>
      </c>
    </row>
    <row r="18" spans="2:16">
      <c r="B18" s="5"/>
      <c r="C18" s="14" t="s">
        <v>40</v>
      </c>
      <c r="D18" s="17">
        <v>15</v>
      </c>
      <c r="E18" s="17"/>
      <c r="F18" s="29">
        <v>272653</v>
      </c>
      <c r="G18" s="29">
        <v>255452</v>
      </c>
      <c r="H18" s="26">
        <v>238492</v>
      </c>
      <c r="I18" s="26">
        <v>221288</v>
      </c>
      <c r="J18" s="70">
        <f>I18-Supuestos!J36</f>
        <v>204088</v>
      </c>
      <c r="K18" s="70">
        <f>J18-Supuestos!K36</f>
        <v>186888</v>
      </c>
      <c r="L18" s="70">
        <f>K18-Supuestos!L36</f>
        <v>169688</v>
      </c>
      <c r="M18" s="70">
        <f>L18-Supuestos!M36</f>
        <v>152488</v>
      </c>
      <c r="N18" s="70">
        <f>M18-Supuestos!N36</f>
        <v>135288</v>
      </c>
      <c r="O18" s="70">
        <f>N18-Supuestos!O36</f>
        <v>118088</v>
      </c>
      <c r="P18" s="70">
        <f>O18-Supuestos!P36</f>
        <v>100888</v>
      </c>
    </row>
    <row r="19" spans="2:16">
      <c r="B19" s="5"/>
      <c r="C19" s="14" t="s">
        <v>41</v>
      </c>
      <c r="D19" s="17">
        <v>16</v>
      </c>
      <c r="E19" s="17"/>
      <c r="F19" s="29">
        <v>25099</v>
      </c>
      <c r="G19" s="29">
        <v>25099</v>
      </c>
      <c r="H19" s="26">
        <v>25099</v>
      </c>
      <c r="I19" s="26">
        <v>25099</v>
      </c>
      <c r="J19" s="70">
        <f>Supuestos!J37</f>
        <v>25099</v>
      </c>
      <c r="K19" s="70">
        <f>Supuestos!K37</f>
        <v>25099</v>
      </c>
      <c r="L19" s="70">
        <f>Supuestos!L37</f>
        <v>25099</v>
      </c>
      <c r="M19" s="70">
        <f>Supuestos!M37</f>
        <v>25099</v>
      </c>
      <c r="N19" s="70">
        <f>Supuestos!N37</f>
        <v>25099</v>
      </c>
      <c r="O19" s="70">
        <f>Supuestos!O37</f>
        <v>25099</v>
      </c>
      <c r="P19" s="70">
        <f>Supuestos!P37</f>
        <v>25099</v>
      </c>
    </row>
    <row r="20" spans="2:16">
      <c r="B20" s="5"/>
      <c r="C20" s="14" t="s">
        <v>42</v>
      </c>
      <c r="D20" s="17">
        <v>17</v>
      </c>
      <c r="E20" s="17"/>
      <c r="F20" s="29">
        <v>2206772</v>
      </c>
      <c r="G20" s="29">
        <v>2543495</v>
      </c>
      <c r="H20" s="26">
        <v>2635728</v>
      </c>
      <c r="I20" s="26">
        <v>2561391</v>
      </c>
      <c r="J20" s="70"/>
      <c r="K20" s="70"/>
      <c r="L20" s="70"/>
      <c r="M20" s="70"/>
      <c r="N20" s="70"/>
      <c r="O20" s="70"/>
      <c r="P20" s="70"/>
    </row>
    <row r="21" spans="2:16">
      <c r="B21" s="5"/>
      <c r="C21" s="14" t="s">
        <v>43</v>
      </c>
      <c r="D21" s="17">
        <v>18</v>
      </c>
      <c r="E21" s="17"/>
      <c r="F21" s="29">
        <v>1039</v>
      </c>
      <c r="G21" s="29">
        <v>2195</v>
      </c>
      <c r="H21" s="26">
        <v>2151</v>
      </c>
      <c r="I21" s="26">
        <v>18112</v>
      </c>
      <c r="J21" s="70"/>
      <c r="K21" s="70"/>
      <c r="L21" s="70"/>
      <c r="M21" s="70"/>
      <c r="N21" s="70"/>
      <c r="O21" s="70"/>
      <c r="P21" s="70"/>
    </row>
    <row r="22" spans="2:16" s="4" customFormat="1">
      <c r="C22" s="15" t="s">
        <v>44</v>
      </c>
      <c r="D22" s="19"/>
      <c r="E22" s="19"/>
      <c r="F22" s="32">
        <f>SUM(F13:F21)</f>
        <v>2636984</v>
      </c>
      <c r="G22" s="32">
        <f t="shared" ref="G22:P22" si="1">SUM(G13:G21)</f>
        <v>2982825</v>
      </c>
      <c r="H22" s="32">
        <f t="shared" si="1"/>
        <v>3035121</v>
      </c>
      <c r="I22" s="32">
        <f t="shared" si="1"/>
        <v>3022535</v>
      </c>
      <c r="J22" s="32">
        <f t="shared" si="1"/>
        <v>378103.9999430874</v>
      </c>
      <c r="K22" s="32">
        <f t="shared" si="1"/>
        <v>371652.58228838874</v>
      </c>
      <c r="L22" s="32">
        <f t="shared" si="1"/>
        <v>364856.12269897363</v>
      </c>
      <c r="M22" s="32">
        <f t="shared" si="1"/>
        <v>359791.02792562335</v>
      </c>
      <c r="N22" s="32">
        <f t="shared" si="1"/>
        <v>356747.69364520384</v>
      </c>
      <c r="O22" s="32">
        <f t="shared" si="1"/>
        <v>355280.60119555303</v>
      </c>
      <c r="P22" s="32">
        <f t="shared" si="1"/>
        <v>356239.98243210616</v>
      </c>
    </row>
    <row r="23" spans="2:16">
      <c r="B23" s="5"/>
      <c r="C23" s="15"/>
      <c r="D23" s="17"/>
      <c r="E23" s="17"/>
      <c r="F23" s="30"/>
      <c r="G23" s="30"/>
      <c r="H23" s="30"/>
      <c r="I23" s="30"/>
      <c r="J23" s="30"/>
      <c r="K23" s="30"/>
      <c r="L23" s="31"/>
      <c r="M23" s="31"/>
      <c r="N23" s="31"/>
      <c r="O23" s="31"/>
      <c r="P23" s="31"/>
    </row>
    <row r="24" spans="2:16" s="4" customFormat="1">
      <c r="C24" s="15" t="s">
        <v>65</v>
      </c>
      <c r="D24" s="19"/>
      <c r="E24" s="19"/>
      <c r="F24" s="32">
        <f>F11+F22</f>
        <v>3243781</v>
      </c>
      <c r="G24" s="32">
        <f t="shared" ref="G24:P24" si="2">G11+G22</f>
        <v>3364203</v>
      </c>
      <c r="H24" s="32">
        <f t="shared" si="2"/>
        <v>3462736</v>
      </c>
      <c r="I24" s="32">
        <f t="shared" si="2"/>
        <v>3507790</v>
      </c>
      <c r="J24" s="32">
        <f t="shared" si="2"/>
        <v>744560.50456992118</v>
      </c>
      <c r="K24" s="32">
        <f t="shared" si="2"/>
        <v>812897.62471325975</v>
      </c>
      <c r="L24" s="32">
        <f t="shared" si="2"/>
        <v>878488.904291193</v>
      </c>
      <c r="M24" s="32">
        <f t="shared" si="2"/>
        <v>957858.3692638193</v>
      </c>
      <c r="N24" s="32">
        <f t="shared" si="2"/>
        <v>1053316.9857756218</v>
      </c>
      <c r="O24" s="32">
        <f t="shared" si="2"/>
        <v>1161319.3203817802</v>
      </c>
      <c r="P24" s="32">
        <f t="shared" si="2"/>
        <v>1288631.5104231718</v>
      </c>
    </row>
    <row r="25" spans="2:16" s="4" customFormat="1">
      <c r="C25" s="15"/>
      <c r="D25" s="19"/>
      <c r="E25" s="19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2:16">
      <c r="B26" s="5"/>
      <c r="C26" s="14"/>
      <c r="D26" s="17"/>
      <c r="E26" s="17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</row>
    <row r="27" spans="2:16">
      <c r="B27" s="5"/>
      <c r="C27" s="14" t="s">
        <v>45</v>
      </c>
      <c r="D27" s="17" t="s">
        <v>46</v>
      </c>
      <c r="E27" s="17"/>
      <c r="F27" s="29">
        <v>17433</v>
      </c>
      <c r="G27" s="29">
        <v>117299</v>
      </c>
      <c r="H27" s="26">
        <v>109889</v>
      </c>
      <c r="I27" s="26">
        <v>103748</v>
      </c>
      <c r="J27" s="51"/>
      <c r="K27" s="51"/>
      <c r="L27" s="51"/>
      <c r="M27" s="51"/>
      <c r="N27" s="51"/>
      <c r="O27" s="51"/>
      <c r="P27" s="51"/>
    </row>
    <row r="28" spans="2:16">
      <c r="B28" s="5"/>
      <c r="C28" s="14" t="s">
        <v>47</v>
      </c>
      <c r="D28" s="17">
        <v>22</v>
      </c>
      <c r="E28" s="17"/>
      <c r="F28" s="29">
        <v>157972</v>
      </c>
      <c r="G28" s="29">
        <v>161218</v>
      </c>
      <c r="H28" s="26">
        <v>160808</v>
      </c>
      <c r="I28" s="26">
        <v>190426</v>
      </c>
      <c r="J28" s="51"/>
      <c r="K28" s="51"/>
      <c r="L28" s="51"/>
      <c r="M28" s="51"/>
      <c r="N28" s="51"/>
      <c r="O28" s="51"/>
      <c r="P28" s="51"/>
    </row>
    <row r="29" spans="2:16">
      <c r="B29" s="5"/>
      <c r="C29" s="14" t="s">
        <v>48</v>
      </c>
      <c r="D29" s="17">
        <v>10</v>
      </c>
      <c r="E29" s="17"/>
      <c r="F29" s="29">
        <v>30600</v>
      </c>
      <c r="G29" s="29">
        <v>24674</v>
      </c>
      <c r="H29" s="26">
        <v>10295</v>
      </c>
      <c r="I29" s="26">
        <v>12635</v>
      </c>
      <c r="J29" s="51"/>
      <c r="K29" s="51"/>
      <c r="L29" s="51"/>
      <c r="M29" s="51"/>
      <c r="N29" s="51"/>
      <c r="O29" s="51"/>
      <c r="P29" s="51"/>
    </row>
    <row r="30" spans="2:16">
      <c r="B30" s="5"/>
      <c r="C30" s="14" t="s">
        <v>49</v>
      </c>
      <c r="D30" s="17">
        <v>12</v>
      </c>
      <c r="E30" s="17"/>
      <c r="F30" s="29">
        <v>41955</v>
      </c>
      <c r="G30" s="29">
        <v>9110</v>
      </c>
      <c r="H30" s="26">
        <v>10117</v>
      </c>
      <c r="I30" s="26">
        <v>23432</v>
      </c>
      <c r="J30" s="51"/>
      <c r="K30" s="51"/>
      <c r="L30" s="51"/>
      <c r="M30" s="51"/>
      <c r="N30" s="51"/>
      <c r="O30" s="51"/>
      <c r="P30" s="51"/>
    </row>
    <row r="31" spans="2:16">
      <c r="B31" s="5"/>
      <c r="C31" s="14" t="s">
        <v>50</v>
      </c>
      <c r="D31" s="17">
        <v>23</v>
      </c>
      <c r="E31" s="17"/>
      <c r="F31" s="29">
        <v>20167</v>
      </c>
      <c r="G31" s="29">
        <v>14745</v>
      </c>
      <c r="H31" s="26">
        <v>13275</v>
      </c>
      <c r="I31" s="26">
        <v>12348</v>
      </c>
      <c r="J31" s="51"/>
      <c r="K31" s="51"/>
      <c r="L31" s="51"/>
      <c r="M31" s="51"/>
      <c r="N31" s="51"/>
      <c r="O31" s="51"/>
      <c r="P31" s="51"/>
    </row>
    <row r="32" spans="2:16">
      <c r="B32" s="5"/>
      <c r="C32" s="14" t="s">
        <v>51</v>
      </c>
      <c r="D32" s="17">
        <v>24</v>
      </c>
      <c r="E32" s="17"/>
      <c r="F32" s="29">
        <v>1633</v>
      </c>
      <c r="G32" s="29">
        <v>5973</v>
      </c>
      <c r="H32" s="26">
        <v>1382</v>
      </c>
      <c r="I32" s="26">
        <v>14896</v>
      </c>
      <c r="J32" s="51"/>
      <c r="K32" s="51"/>
      <c r="L32" s="51"/>
      <c r="M32" s="51"/>
      <c r="N32" s="51"/>
      <c r="O32" s="51"/>
      <c r="P32" s="51"/>
    </row>
    <row r="33" spans="2:16" s="4" customFormat="1">
      <c r="C33" s="15" t="s">
        <v>52</v>
      </c>
      <c r="D33" s="19"/>
      <c r="E33" s="19"/>
      <c r="F33" s="32">
        <f>SUM(F27:F32)</f>
        <v>269760</v>
      </c>
      <c r="G33" s="32">
        <f t="shared" ref="G33:I33" si="3">SUM(G27:G32)</f>
        <v>333019</v>
      </c>
      <c r="H33" s="32">
        <f t="shared" si="3"/>
        <v>305766</v>
      </c>
      <c r="I33" s="32">
        <f t="shared" si="3"/>
        <v>357485</v>
      </c>
      <c r="J33" s="51"/>
      <c r="K33" s="51"/>
      <c r="L33" s="51"/>
      <c r="M33" s="51"/>
      <c r="N33" s="51"/>
      <c r="O33" s="51"/>
      <c r="P33" s="51"/>
    </row>
    <row r="34" spans="2:16">
      <c r="B34" s="5"/>
      <c r="C34" s="15"/>
      <c r="D34" s="17"/>
      <c r="E34" s="17"/>
      <c r="F34" s="30"/>
      <c r="G34" s="30"/>
      <c r="H34" s="30"/>
      <c r="I34" s="28"/>
      <c r="J34" s="30"/>
      <c r="K34" s="30"/>
      <c r="L34" s="31"/>
      <c r="M34" s="31"/>
      <c r="N34" s="31"/>
      <c r="O34" s="31"/>
      <c r="P34" s="31"/>
    </row>
    <row r="35" spans="2:16">
      <c r="B35" s="5"/>
      <c r="C35" s="14" t="s">
        <v>53</v>
      </c>
      <c r="D35" s="17" t="s">
        <v>46</v>
      </c>
      <c r="E35" s="17"/>
      <c r="F35" s="29">
        <v>731439</v>
      </c>
      <c r="G35" s="29">
        <v>731413</v>
      </c>
      <c r="H35" s="26">
        <v>734610</v>
      </c>
      <c r="I35" s="26">
        <v>760446</v>
      </c>
      <c r="J35" s="30"/>
      <c r="K35" s="30"/>
      <c r="L35" s="31"/>
      <c r="M35" s="31"/>
      <c r="N35" s="31"/>
      <c r="O35" s="31"/>
      <c r="P35" s="31"/>
    </row>
    <row r="36" spans="2:16">
      <c r="B36" s="5"/>
      <c r="C36" s="14" t="s">
        <v>54</v>
      </c>
      <c r="D36" s="17">
        <v>10</v>
      </c>
      <c r="E36" s="17"/>
      <c r="F36" s="29">
        <v>752</v>
      </c>
      <c r="G36" s="29">
        <v>532</v>
      </c>
      <c r="H36" s="26">
        <v>57914</v>
      </c>
      <c r="I36" s="26">
        <v>56431</v>
      </c>
      <c r="J36" s="30"/>
      <c r="K36" s="30"/>
      <c r="L36" s="31"/>
      <c r="M36" s="31"/>
      <c r="N36" s="31"/>
      <c r="O36" s="31"/>
      <c r="P36" s="31"/>
    </row>
    <row r="37" spans="2:16">
      <c r="B37" s="5"/>
      <c r="C37" s="14" t="s">
        <v>55</v>
      </c>
      <c r="D37" s="17">
        <v>25</v>
      </c>
      <c r="E37" s="17"/>
      <c r="F37" s="29">
        <v>8954</v>
      </c>
      <c r="G37" s="29">
        <v>6828</v>
      </c>
      <c r="H37" s="26">
        <v>4120</v>
      </c>
      <c r="I37" s="26">
        <v>16395</v>
      </c>
      <c r="J37" s="30"/>
      <c r="K37" s="30"/>
      <c r="L37" s="31"/>
      <c r="M37" s="31"/>
      <c r="N37" s="31"/>
      <c r="O37" s="31"/>
      <c r="P37" s="31"/>
    </row>
    <row r="38" spans="2:16">
      <c r="B38" s="5"/>
      <c r="C38" s="14" t="s">
        <v>56</v>
      </c>
      <c r="D38" s="17">
        <v>18</v>
      </c>
      <c r="E38" s="17"/>
      <c r="F38" s="29">
        <v>226470</v>
      </c>
      <c r="G38" s="29">
        <v>226673</v>
      </c>
      <c r="H38" s="26">
        <v>222174</v>
      </c>
      <c r="I38" s="26">
        <v>193370</v>
      </c>
      <c r="J38" s="30"/>
      <c r="K38" s="30"/>
      <c r="L38" s="31"/>
      <c r="M38" s="31"/>
      <c r="N38" s="31"/>
      <c r="O38" s="31"/>
      <c r="P38" s="31"/>
    </row>
    <row r="39" spans="2:16">
      <c r="B39" s="5"/>
      <c r="C39" s="14" t="s">
        <v>57</v>
      </c>
      <c r="D39" s="17">
        <v>26</v>
      </c>
      <c r="E39" s="17"/>
      <c r="F39" s="29">
        <v>240</v>
      </c>
      <c r="G39" s="29">
        <v>267</v>
      </c>
      <c r="H39" s="26">
        <v>128</v>
      </c>
      <c r="I39" s="26">
        <v>62</v>
      </c>
      <c r="J39" s="30"/>
      <c r="K39" s="30"/>
      <c r="L39" s="31"/>
      <c r="M39" s="31"/>
      <c r="N39" s="31"/>
      <c r="O39" s="31"/>
      <c r="P39" s="31"/>
    </row>
    <row r="40" spans="2:16" s="4" customFormat="1">
      <c r="C40" s="15" t="s">
        <v>58</v>
      </c>
      <c r="D40" s="19"/>
      <c r="E40" s="19"/>
      <c r="F40" s="32">
        <f>SUM(F35:F39)</f>
        <v>967855</v>
      </c>
      <c r="G40" s="32">
        <f t="shared" ref="G40:I40" si="4">SUM(G35:G39)</f>
        <v>965713</v>
      </c>
      <c r="H40" s="32">
        <f t="shared" si="4"/>
        <v>1018946</v>
      </c>
      <c r="I40" s="32">
        <f t="shared" si="4"/>
        <v>1026704</v>
      </c>
      <c r="J40" s="32"/>
      <c r="K40" s="32"/>
      <c r="L40" s="32"/>
      <c r="M40" s="32"/>
      <c r="N40" s="32"/>
      <c r="O40" s="32"/>
      <c r="P40" s="32"/>
    </row>
    <row r="41" spans="2:16">
      <c r="B41" s="5"/>
      <c r="C41" s="15"/>
      <c r="D41" s="17"/>
      <c r="E41" s="17"/>
      <c r="F41" s="30"/>
      <c r="G41" s="30"/>
      <c r="H41" s="30"/>
      <c r="I41" s="28"/>
      <c r="J41" s="30"/>
      <c r="K41" s="30"/>
      <c r="L41" s="31"/>
      <c r="M41" s="31"/>
      <c r="N41" s="31"/>
      <c r="O41" s="31"/>
      <c r="P41" s="31"/>
    </row>
    <row r="42" spans="2:16" s="4" customFormat="1">
      <c r="C42" s="15" t="s">
        <v>66</v>
      </c>
      <c r="D42" s="19"/>
      <c r="E42" s="19"/>
      <c r="F42" s="32">
        <f>F33+F40</f>
        <v>1237615</v>
      </c>
      <c r="G42" s="32">
        <f t="shared" ref="G42:I42" si="5">G33+G40</f>
        <v>1298732</v>
      </c>
      <c r="H42" s="32">
        <f t="shared" si="5"/>
        <v>1324712</v>
      </c>
      <c r="I42" s="32">
        <f t="shared" si="5"/>
        <v>1384189</v>
      </c>
      <c r="J42" s="32"/>
      <c r="K42" s="32"/>
      <c r="L42" s="32"/>
      <c r="M42" s="32"/>
      <c r="N42" s="32"/>
      <c r="O42" s="32"/>
      <c r="P42" s="32"/>
    </row>
    <row r="43" spans="2:16">
      <c r="B43" s="5"/>
      <c r="C43" s="15"/>
      <c r="D43" s="17"/>
      <c r="E43" s="17"/>
      <c r="F43" s="30"/>
      <c r="G43" s="30"/>
      <c r="H43" s="30"/>
      <c r="I43" s="28"/>
      <c r="J43" s="30"/>
      <c r="K43" s="30"/>
      <c r="L43" s="31"/>
      <c r="M43" s="31"/>
      <c r="N43" s="31"/>
      <c r="O43" s="31"/>
      <c r="P43" s="31"/>
    </row>
    <row r="44" spans="2:16">
      <c r="B44" s="5"/>
      <c r="C44" s="14" t="s">
        <v>59</v>
      </c>
      <c r="D44" s="17"/>
      <c r="E44" s="17"/>
      <c r="F44" s="29">
        <v>1043728</v>
      </c>
      <c r="G44" s="29">
        <v>1043728</v>
      </c>
      <c r="H44" s="26">
        <v>1043728</v>
      </c>
      <c r="I44" s="26">
        <v>1043728</v>
      </c>
      <c r="J44" s="30"/>
      <c r="K44" s="30"/>
      <c r="L44" s="31"/>
      <c r="M44" s="31"/>
      <c r="N44" s="31"/>
      <c r="O44" s="31"/>
      <c r="P44" s="31"/>
    </row>
    <row r="45" spans="2:16">
      <c r="B45" s="5"/>
      <c r="C45" s="14" t="s">
        <v>60</v>
      </c>
      <c r="D45" s="17"/>
      <c r="E45" s="17"/>
      <c r="F45" s="29">
        <v>555462</v>
      </c>
      <c r="G45" s="29">
        <v>626065</v>
      </c>
      <c r="H45" s="26">
        <v>697707</v>
      </c>
      <c r="I45" s="26">
        <v>701167</v>
      </c>
      <c r="J45" s="30"/>
      <c r="K45" s="30"/>
      <c r="L45" s="31"/>
      <c r="M45" s="31"/>
      <c r="N45" s="31"/>
      <c r="O45" s="31"/>
      <c r="P45" s="31"/>
    </row>
    <row r="46" spans="2:16">
      <c r="B46" s="5"/>
      <c r="C46" s="14" t="s">
        <v>61</v>
      </c>
      <c r="D46" s="17">
        <v>27</v>
      </c>
      <c r="E46" s="17"/>
      <c r="F46" s="29">
        <v>323335</v>
      </c>
      <c r="G46" s="29">
        <v>321700</v>
      </c>
      <c r="H46" s="26">
        <v>328371</v>
      </c>
      <c r="I46" s="26">
        <v>314356</v>
      </c>
      <c r="J46" s="30"/>
      <c r="K46" s="30"/>
      <c r="L46" s="31"/>
      <c r="M46" s="31"/>
      <c r="N46" s="31"/>
      <c r="O46" s="31"/>
      <c r="P46" s="31"/>
    </row>
    <row r="47" spans="2:16" s="4" customFormat="1">
      <c r="C47" s="15" t="s">
        <v>62</v>
      </c>
      <c r="D47" s="19"/>
      <c r="E47" s="19"/>
      <c r="F47" s="32">
        <f>SUM(F44:F46)</f>
        <v>1922525</v>
      </c>
      <c r="G47" s="32">
        <f t="shared" ref="G47:H47" si="6">SUM(G44:G46)</f>
        <v>1991493</v>
      </c>
      <c r="H47" s="32">
        <f t="shared" si="6"/>
        <v>2069806</v>
      </c>
      <c r="I47" s="32">
        <f>SUM(I44:I46)</f>
        <v>2059251</v>
      </c>
      <c r="J47" s="32"/>
      <c r="K47" s="32"/>
      <c r="L47" s="32"/>
      <c r="M47" s="32"/>
      <c r="N47" s="32"/>
      <c r="O47" s="32"/>
      <c r="P47" s="32"/>
    </row>
    <row r="48" spans="2:16">
      <c r="B48" s="5"/>
      <c r="C48" s="14" t="s">
        <v>63</v>
      </c>
      <c r="D48" s="17">
        <v>28</v>
      </c>
      <c r="E48" s="17"/>
      <c r="F48" s="29">
        <v>83641</v>
      </c>
      <c r="G48" s="29">
        <v>73978</v>
      </c>
      <c r="H48" s="26">
        <v>68218</v>
      </c>
      <c r="I48" s="26">
        <v>64350</v>
      </c>
      <c r="J48" s="30"/>
      <c r="K48" s="30"/>
      <c r="L48" s="31"/>
      <c r="M48" s="31"/>
      <c r="N48" s="31"/>
      <c r="O48" s="31"/>
      <c r="P48" s="31"/>
    </row>
    <row r="49" spans="2:16" s="4" customFormat="1">
      <c r="C49" s="15" t="s">
        <v>67</v>
      </c>
      <c r="D49" s="19"/>
      <c r="E49" s="19"/>
      <c r="F49" s="32">
        <f>F47+F48</f>
        <v>2006166</v>
      </c>
      <c r="G49" s="32">
        <f t="shared" ref="G49:I49" si="7">G47+G48</f>
        <v>2065471</v>
      </c>
      <c r="H49" s="32">
        <f t="shared" si="7"/>
        <v>2138024</v>
      </c>
      <c r="I49" s="32">
        <f t="shared" si="7"/>
        <v>2123601</v>
      </c>
      <c r="J49" s="32"/>
      <c r="K49" s="32"/>
      <c r="L49" s="32"/>
      <c r="M49" s="32"/>
      <c r="N49" s="32"/>
      <c r="O49" s="32"/>
      <c r="P49" s="32"/>
    </row>
    <row r="50" spans="2:16" s="4" customFormat="1">
      <c r="C50" s="15"/>
      <c r="D50" s="19"/>
      <c r="E50" s="19"/>
      <c r="F50" s="32"/>
      <c r="G50" s="32"/>
      <c r="H50" s="32"/>
      <c r="I50" s="28"/>
      <c r="J50" s="32"/>
      <c r="K50" s="32"/>
      <c r="L50" s="32"/>
      <c r="M50" s="32"/>
      <c r="N50" s="32"/>
      <c r="O50" s="32"/>
      <c r="P50" s="32"/>
    </row>
    <row r="51" spans="2:16" s="4" customFormat="1">
      <c r="C51" s="15" t="s">
        <v>68</v>
      </c>
      <c r="D51" s="19"/>
      <c r="E51" s="19"/>
      <c r="F51" s="32">
        <f>F42+F49</f>
        <v>3243781</v>
      </c>
      <c r="G51" s="32">
        <f t="shared" ref="G51:I51" si="8">G42+G49</f>
        <v>3364203</v>
      </c>
      <c r="H51" s="32">
        <f t="shared" si="8"/>
        <v>3462736</v>
      </c>
      <c r="I51" s="32">
        <f t="shared" si="8"/>
        <v>3507790</v>
      </c>
      <c r="J51" s="32"/>
      <c r="K51" s="32"/>
      <c r="L51" s="32"/>
      <c r="M51" s="32"/>
      <c r="N51" s="32"/>
      <c r="O51" s="32"/>
      <c r="P51" s="32"/>
    </row>
    <row r="52" spans="2:16">
      <c r="B52" s="5"/>
      <c r="C52" s="14"/>
      <c r="D52" s="17"/>
      <c r="E52" s="17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</row>
    <row r="53" spans="2:16" s="4" customFormat="1">
      <c r="C53" s="15" t="s">
        <v>80</v>
      </c>
      <c r="D53" s="19"/>
      <c r="E53" s="19"/>
      <c r="F53" s="32" t="str">
        <f>IF(ROUND(F24-F51,4)=0,"Ok",F24-F51)</f>
        <v>Ok</v>
      </c>
      <c r="G53" s="32" t="str">
        <f t="shared" ref="G53:I53" si="9">IF(ROUND(G24-G51,4)=0,"Ok",G24-G51)</f>
        <v>Ok</v>
      </c>
      <c r="H53" s="32" t="str">
        <f t="shared" si="9"/>
        <v>Ok</v>
      </c>
      <c r="I53" s="32" t="str">
        <f t="shared" si="9"/>
        <v>Ok</v>
      </c>
      <c r="J53" s="32"/>
      <c r="K53" s="32"/>
      <c r="L53" s="32"/>
      <c r="M53" s="32"/>
      <c r="N53" s="32"/>
      <c r="O53" s="32"/>
      <c r="P53" s="32"/>
    </row>
    <row r="54" spans="2:16">
      <c r="B54" s="5"/>
      <c r="C54" s="14"/>
      <c r="D54" s="17"/>
      <c r="E54" s="17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</row>
    <row r="55" spans="2:16">
      <c r="B55" s="5"/>
      <c r="C55" s="14"/>
      <c r="D55" s="17"/>
      <c r="E55" s="17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</row>
    <row r="56" spans="2:16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6:16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6:16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6:16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6:16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6:16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6:16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6:16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6:16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6:16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6:16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6:16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6:16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6:16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6:16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6:16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6:16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6:16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6:16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6:16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6:16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6:16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6:1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6:16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6:16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6:16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6:16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6:16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6:16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6:16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6:16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6:16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6:16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6:16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6:16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6:16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6:16"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6:16"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6:16"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6:16"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6:16"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6:16"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6:16"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6:16"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6:16"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6:16"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6:16"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6:16"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6:16"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6:16"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6:16"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6:16"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6:16"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6:16"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6:16"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6:16"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6:16"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6:16"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6:16"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6:16"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6:16"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6:16"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6:16"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6:16"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6:16"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6:16"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6:16"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6:16"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6:16"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6:16"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6:16"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6:16"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6:16"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6:16"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6:16"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6:16"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6:16"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6:16"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6:16"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6:16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6:16"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6:16"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6:16"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6:16"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6:16"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6:16"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6:16"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6:16"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6:16"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6:16"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6:16"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6:16"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6:16"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6:16"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6:16"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6:16"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6:16"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6:16"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6:16"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6:16"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6:16"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6:16"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6:16"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6:16"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6:16"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6:16"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6:16"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6:16"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6:16"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6:16"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6:16"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6:16"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6:16"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6:16"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6:16"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6:16"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6:16"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6:16"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6:16"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6:16"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6:16"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6:16"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6:16"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6:16"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6:16"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6:16"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6:16"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6:16"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6:16"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6:16"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6:16"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6:16"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6:16"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6:16"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6:16"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6:16"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6:16"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6:16"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6:16"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6:16"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6:16"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6:16"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6:16"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6:16"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6:16"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6:16"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6:16"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6:16"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6:16"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6:16"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6:16"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6:16"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6:16"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6:16"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6:16"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6:16"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6:16"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6:16"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6:16"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6:16"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6:16"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6:16"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6:16"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6:16"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6:16"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6:16"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6:16"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6:16"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6:16"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6:16"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6:16"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6:16"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6:16"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6:16"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6:16"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6:16"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6:16"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6:16"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6:16"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6:16"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6:16"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6:16"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6:16"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6:16"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6:16"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6:16"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6:16"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6:16"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6:16"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6:16"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6:16"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6:16"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6:16"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6:16"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6:16"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6:16"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6:16"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6:16"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6:16"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6:16"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6:16"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6:16"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6:16"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6:16"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6:16"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6:16"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6:16"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6:16"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6:16"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6:16"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6:16"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6:16"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6:16"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6:16"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6:16"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6:16"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6:16"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6:16"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6:16"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6:16"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6:16"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6:16"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6:16"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6:16"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6:16"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6:16"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6:16"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6:16"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6:16"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6:16"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6:16"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6:16"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6:16"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6:16"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6:16"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6:16"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6:16"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6:16"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6:16"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6:16"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6:16"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6:16"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6:16"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6:16"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6:16"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6:16"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6:16"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6:16"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6:16"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6:16"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6:16"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6:16"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6:16"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6:16"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6:16"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6:16"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6:16"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6:16"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6:16"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6:16"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6:16"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6:16"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6:16"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6:16"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6:16"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6:16"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6:16"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6:16"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6:16"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6:16"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6:16"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6:16"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6:16"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6:16"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6:16"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6:16"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6:16"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6:16"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6:16"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6:16"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6:16"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6:16"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6:16"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6:16"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6:16"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6:16"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6:16"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6:16"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6:16"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6:16"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6:16"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6:16"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6:16"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6:16"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6:16"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6:16"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6:16"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6:16"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6:16"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6:16"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6:16"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6:16"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6:16"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6:16"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6:16"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6:16"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6:16"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6:16"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6:16"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6:16"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6:16"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6:16"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6:16"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6:16"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6:16"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6:16"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6:16"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6:16"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6:16"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6:16"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6:16"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6:16"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6:16"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6:16"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6:16"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6:16"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6:16"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6:16"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6:16"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6:16"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6:16"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6:16"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6:16"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6:16"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136-2CCC-4942-8CBF-640AE7E2E9F8}">
  <dimension ref="B1:T57"/>
  <sheetViews>
    <sheetView tabSelected="1" topLeftCell="B1" zoomScale="85" zoomScaleNormal="85" workbookViewId="0">
      <pane ySplit="2" topLeftCell="A26" activePane="bottomLeft" state="frozen"/>
      <selection pane="bottomLeft" activeCell="C58" sqref="C58"/>
    </sheetView>
  </sheetViews>
  <sheetFormatPr baseColWidth="10" defaultRowHeight="16"/>
  <cols>
    <col min="1" max="2" width="4.5" customWidth="1"/>
    <col min="3" max="3" width="73.83203125" bestFit="1" customWidth="1"/>
    <col min="4" max="4" width="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25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20">
      <c r="D3" t="s">
        <v>283</v>
      </c>
    </row>
    <row r="4" spans="2:20">
      <c r="B4" s="4" t="s">
        <v>249</v>
      </c>
    </row>
    <row r="5" spans="2:20">
      <c r="C5" s="4" t="s">
        <v>250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2:20">
      <c r="C6" t="s">
        <v>251</v>
      </c>
      <c r="I6" s="26">
        <v>1621576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2:20" ht="34">
      <c r="C7" s="72" t="s">
        <v>252</v>
      </c>
      <c r="I7" s="26">
        <v>2133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2:20">
      <c r="C8" t="s">
        <v>253</v>
      </c>
      <c r="I8" s="26">
        <v>81204</v>
      </c>
      <c r="J8" s="70"/>
      <c r="K8" s="70"/>
      <c r="L8" s="70"/>
      <c r="M8" s="70"/>
      <c r="N8" s="70"/>
      <c r="O8" s="70"/>
      <c r="P8" s="70"/>
    </row>
    <row r="9" spans="2:20">
      <c r="C9" s="4" t="s">
        <v>254</v>
      </c>
      <c r="I9" s="26"/>
      <c r="J9" s="70"/>
      <c r="K9" s="70"/>
      <c r="L9" s="70"/>
      <c r="M9" s="70"/>
      <c r="N9" s="70"/>
      <c r="O9" s="70"/>
      <c r="P9" s="70"/>
    </row>
    <row r="10" spans="2:20">
      <c r="C10" t="s">
        <v>255</v>
      </c>
      <c r="I10" s="26">
        <v>-977305</v>
      </c>
      <c r="J10" s="70"/>
      <c r="K10" s="70"/>
      <c r="L10" s="70"/>
      <c r="M10" s="70"/>
      <c r="N10" s="70"/>
      <c r="O10" s="70"/>
      <c r="P10" s="70"/>
    </row>
    <row r="11" spans="2:20">
      <c r="C11" t="s">
        <v>256</v>
      </c>
      <c r="I11" s="26">
        <v>-51879</v>
      </c>
      <c r="J11" s="70"/>
      <c r="K11" s="70"/>
      <c r="L11" s="70"/>
      <c r="M11" s="70"/>
      <c r="N11" s="70"/>
      <c r="O11" s="70"/>
      <c r="P11" s="70"/>
    </row>
    <row r="12" spans="2:20">
      <c r="C12" t="s">
        <v>257</v>
      </c>
      <c r="I12" s="26">
        <v>-14127</v>
      </c>
      <c r="J12" s="70"/>
      <c r="K12" s="70"/>
      <c r="L12" s="70"/>
      <c r="M12" s="70"/>
      <c r="N12" s="70"/>
      <c r="O12" s="70"/>
      <c r="P12" s="70"/>
    </row>
    <row r="13" spans="2:20">
      <c r="C13" t="s">
        <v>258</v>
      </c>
      <c r="I13" s="26">
        <v>-266</v>
      </c>
      <c r="J13" s="4"/>
      <c r="K13" s="4"/>
      <c r="L13" s="4"/>
      <c r="M13" s="4"/>
      <c r="N13" s="4"/>
      <c r="O13" s="4"/>
      <c r="P13" s="4"/>
    </row>
    <row r="14" spans="2:20">
      <c r="C14" s="4" t="s">
        <v>259</v>
      </c>
      <c r="I14" s="26"/>
    </row>
    <row r="15" spans="2:20">
      <c r="C15" t="s">
        <v>260</v>
      </c>
      <c r="I15" s="26">
        <v>-21471</v>
      </c>
      <c r="J15" s="70"/>
      <c r="K15" s="70"/>
      <c r="L15" s="70"/>
      <c r="M15" s="70"/>
      <c r="N15" s="70"/>
      <c r="O15" s="70"/>
      <c r="P15" s="70"/>
    </row>
    <row r="16" spans="2:20">
      <c r="C16" t="s">
        <v>261</v>
      </c>
      <c r="I16" s="26">
        <v>0</v>
      </c>
      <c r="J16" s="4"/>
      <c r="K16" s="4"/>
      <c r="L16" s="4"/>
      <c r="M16" s="4"/>
      <c r="N16" s="4"/>
      <c r="O16" s="4"/>
      <c r="P16" s="4"/>
    </row>
    <row r="17" spans="2:9">
      <c r="C17" t="s">
        <v>262</v>
      </c>
      <c r="I17" s="26">
        <v>-55594</v>
      </c>
    </row>
    <row r="18" spans="2:9">
      <c r="C18" t="s">
        <v>263</v>
      </c>
      <c r="I18" s="26">
        <v>-106439</v>
      </c>
    </row>
    <row r="19" spans="2:9">
      <c r="B19" s="4" t="s">
        <v>249</v>
      </c>
      <c r="H19" s="52"/>
      <c r="I19" s="73">
        <f>SUM(I6:I18)</f>
        <v>477832</v>
      </c>
    </row>
    <row r="20" spans="2:9">
      <c r="C20" s="41"/>
    </row>
    <row r="21" spans="2:9">
      <c r="B21" s="4" t="s">
        <v>264</v>
      </c>
      <c r="C21" s="41"/>
    </row>
    <row r="22" spans="2:9">
      <c r="C22" t="s">
        <v>265</v>
      </c>
      <c r="I22" s="26">
        <v>-35472</v>
      </c>
    </row>
    <row r="23" spans="2:9" ht="30.5" customHeight="1">
      <c r="C23" s="72" t="s">
        <v>266</v>
      </c>
      <c r="I23" s="26">
        <v>0</v>
      </c>
    </row>
    <row r="24" spans="2:9" ht="31.75" customHeight="1">
      <c r="C24" s="72" t="s">
        <v>267</v>
      </c>
      <c r="I24" s="26">
        <v>0</v>
      </c>
    </row>
    <row r="25" spans="2:9">
      <c r="C25" t="s">
        <v>268</v>
      </c>
      <c r="I25" s="26">
        <v>35</v>
      </c>
    </row>
    <row r="26" spans="2:9">
      <c r="C26" t="s">
        <v>269</v>
      </c>
      <c r="I26" s="26">
        <v>-154720</v>
      </c>
    </row>
    <row r="27" spans="2:9">
      <c r="C27" t="s">
        <v>270</v>
      </c>
      <c r="I27" s="26">
        <v>21559</v>
      </c>
    </row>
    <row r="28" spans="2:9">
      <c r="C28" t="s">
        <v>271</v>
      </c>
      <c r="I28" s="26">
        <v>2706</v>
      </c>
    </row>
    <row r="29" spans="2:9">
      <c r="C29" t="s">
        <v>272</v>
      </c>
      <c r="I29" s="26">
        <v>-31983</v>
      </c>
    </row>
    <row r="30" spans="2:9">
      <c r="C30" t="s">
        <v>273</v>
      </c>
      <c r="I30" s="26">
        <v>27902</v>
      </c>
    </row>
    <row r="31" spans="2:9">
      <c r="B31" s="4" t="s">
        <v>264</v>
      </c>
      <c r="H31" s="52"/>
      <c r="I31" s="74">
        <f>SUM(I22:I30)</f>
        <v>-169973</v>
      </c>
    </row>
    <row r="33" spans="2:10">
      <c r="B33" s="4" t="s">
        <v>274</v>
      </c>
    </row>
    <row r="34" spans="2:10">
      <c r="C34" t="s">
        <v>275</v>
      </c>
      <c r="I34" s="26">
        <v>215000</v>
      </c>
    </row>
    <row r="35" spans="2:10">
      <c r="C35" t="s">
        <v>276</v>
      </c>
      <c r="I35" s="26">
        <v>-225000</v>
      </c>
    </row>
    <row r="36" spans="2:10">
      <c r="C36" t="s">
        <v>277</v>
      </c>
      <c r="I36" s="26">
        <v>-2868</v>
      </c>
    </row>
    <row r="37" spans="2:10">
      <c r="C37" t="s">
        <v>278</v>
      </c>
      <c r="I37" s="26">
        <v>-118703</v>
      </c>
    </row>
    <row r="38" spans="2:10">
      <c r="B38" s="4" t="s">
        <v>274</v>
      </c>
      <c r="H38" s="52"/>
      <c r="I38" s="74">
        <f>SUM(I34:I37)</f>
        <v>-131571</v>
      </c>
    </row>
    <row r="40" spans="2:10" ht="28.75" customHeight="1">
      <c r="C40" s="72" t="s">
        <v>279</v>
      </c>
      <c r="H40" s="52"/>
      <c r="I40" s="73">
        <f>I38+I31+I19</f>
        <v>176288</v>
      </c>
    </row>
    <row r="41" spans="2:10">
      <c r="C41" t="s">
        <v>280</v>
      </c>
      <c r="I41" s="26">
        <v>-1671</v>
      </c>
    </row>
    <row r="42" spans="2:10">
      <c r="B42" s="4" t="s">
        <v>280</v>
      </c>
      <c r="I42" s="73">
        <f>I40+I41</f>
        <v>174617</v>
      </c>
    </row>
    <row r="44" spans="2:10">
      <c r="C44" t="s">
        <v>281</v>
      </c>
      <c r="D44">
        <v>6</v>
      </c>
      <c r="I44" s="26">
        <v>64466</v>
      </c>
      <c r="J44" s="78">
        <f>I45</f>
        <v>239083</v>
      </c>
    </row>
    <row r="45" spans="2:10">
      <c r="B45" s="4" t="s">
        <v>282</v>
      </c>
      <c r="D45">
        <v>6</v>
      </c>
      <c r="H45" s="31"/>
      <c r="I45" s="73">
        <f>I42+I44</f>
        <v>239083</v>
      </c>
    </row>
    <row r="50" spans="3:3">
      <c r="C50" t="s">
        <v>288</v>
      </c>
    </row>
    <row r="57" spans="3:3">
      <c r="C57" t="s">
        <v>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Supuestos</vt:lpstr>
      <vt:lpstr>Ventas</vt:lpstr>
      <vt:lpstr>Costos</vt:lpstr>
      <vt:lpstr>Calculos</vt:lpstr>
      <vt:lpstr>Deuda y Patrimonio</vt:lpstr>
      <vt:lpstr>EERR</vt:lpstr>
      <vt:lpstr>Balance</vt:lpstr>
      <vt:lpstr>EFE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Guerrero Nuñez</cp:lastModifiedBy>
  <dcterms:created xsi:type="dcterms:W3CDTF">2020-03-25T13:21:47Z</dcterms:created>
  <dcterms:modified xsi:type="dcterms:W3CDTF">2020-03-31T01:13:22Z</dcterms:modified>
</cp:coreProperties>
</file>