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goharriz\Dropbox (Comision Nacional Energia)\energia_abierta\catalago_estadisticas\balances_energeticos\"/>
    </mc:Choice>
  </mc:AlternateContent>
  <bookViews>
    <workbookView xWindow="0" yWindow="90" windowWidth="15195" windowHeight="8700" activeTab="3"/>
  </bookViews>
  <sheets>
    <sheet name="TAPA" sheetId="32" r:id="rId1"/>
    <sheet name="INTRO" sheetId="35" r:id="rId2"/>
    <sheet name="INDICE" sheetId="36" r:id="rId3"/>
    <sheet name="CUADRO1" sheetId="1" r:id="rId4"/>
    <sheet name="CUADRO2" sheetId="2" r:id="rId5"/>
    <sheet name="CUADRO5" sheetId="6" r:id="rId6"/>
    <sheet name="CUADRO3" sheetId="3" r:id="rId7"/>
    <sheet name="CUADRO3B" sheetId="4" r:id="rId8"/>
    <sheet name="CUADRO4" sheetId="5" r:id="rId9"/>
    <sheet name="CUADRO6" sheetId="7" r:id="rId10"/>
    <sheet name="CUADRO7" sheetId="8" r:id="rId11"/>
    <sheet name="CUADRO8" sheetId="9" r:id="rId12"/>
    <sheet name="CUADRO9" sheetId="37" r:id="rId13"/>
    <sheet name="CUADRO10" sheetId="10" r:id="rId14"/>
    <sheet name="CUADRO11" sheetId="11" r:id="rId15"/>
    <sheet name="CUADRO12" sheetId="12" r:id="rId16"/>
    <sheet name="CUADRO13" sheetId="13" r:id="rId17"/>
    <sheet name="CUADRO14" sheetId="14" r:id="rId18"/>
    <sheet name="CUADRO15" sheetId="15" r:id="rId19"/>
    <sheet name="CUADRO16" sheetId="16" r:id="rId20"/>
    <sheet name="CUADRO17" sheetId="17" r:id="rId21"/>
    <sheet name="CUADRO18" sheetId="38" r:id="rId22"/>
    <sheet name="CUADRO19" sheetId="18" r:id="rId23"/>
    <sheet name="CUADRO20" sheetId="19" r:id="rId24"/>
    <sheet name="CUADRO21" sheetId="27" r:id="rId25"/>
    <sheet name="CUADRO22" sheetId="28" r:id="rId26"/>
    <sheet name="SECT_TERAC." sheetId="20" r:id="rId27"/>
    <sheet name="SECT_U.FIS." sheetId="21" r:id="rId28"/>
    <sheet name="BAL-OLADE" sheetId="23" state="hidden" r:id="rId29"/>
    <sheet name="BAL-APEC" sheetId="29" state="hidden" r:id="rId30"/>
    <sheet name="BAL-MERCOSUR" sheetId="31" state="hidden" r:id="rId31"/>
    <sheet name="BALANCE_ELECT" sheetId="24" r:id="rId32"/>
    <sheet name="CAPACIDADES" sheetId="25" r:id="rId33"/>
    <sheet name="GENERACION EE" sheetId="26" r:id="rId34"/>
    <sheet name="CUADROA2" sheetId="33" r:id="rId35"/>
    <sheet name="CUADROA3" sheetId="34" r:id="rId36"/>
  </sheets>
  <definedNames>
    <definedName name="_xlnm._FilterDatabase" localSheetId="5" hidden="1">CUADRO5!$B$30:$I$32</definedName>
    <definedName name="_xlnm.Print_Area" localSheetId="16">CUADRO13!$B$2:$I$58</definedName>
    <definedName name="_xlnm.Print_Area" localSheetId="24">CUADRO21!$B$1:$L$59</definedName>
    <definedName name="_xlnm.Print_Area" localSheetId="25">CUADRO22!$B$1:$Q$53</definedName>
    <definedName name="_xlnm.Print_Area" localSheetId="8">CUADRO4!$B$2:$I$33</definedName>
    <definedName name="_xlnm.Print_Area" localSheetId="1">INTRO!$A$1:$I$75</definedName>
  </definedNames>
  <calcPr calcId="162913"/>
</workbook>
</file>

<file path=xl/calcChain.xml><?xml version="1.0" encoding="utf-8"?>
<calcChain xmlns="http://schemas.openxmlformats.org/spreadsheetml/2006/main">
  <c r="W12" i="20" l="1"/>
  <c r="C46" i="6" s="1"/>
  <c r="W26" i="20"/>
  <c r="D46" i="6" s="1"/>
  <c r="W33" i="20"/>
  <c r="M24" i="29" s="1"/>
  <c r="W44" i="20"/>
  <c r="F46" i="6" s="1"/>
  <c r="T12" i="20"/>
  <c r="T26" i="20"/>
  <c r="D42" i="6" s="1"/>
  <c r="T33" i="20"/>
  <c r="E42" i="6" s="1"/>
  <c r="S12" i="20"/>
  <c r="C40" i="6" s="1"/>
  <c r="S26" i="20"/>
  <c r="S33" i="20"/>
  <c r="E40" i="6" s="1"/>
  <c r="R12" i="20"/>
  <c r="C38" i="6" s="1"/>
  <c r="R26" i="20"/>
  <c r="D38" i="6" s="1"/>
  <c r="R33" i="20"/>
  <c r="E38" i="6" s="1"/>
  <c r="D12" i="20"/>
  <c r="D26" i="20"/>
  <c r="D10" i="6" s="1"/>
  <c r="D33" i="20"/>
  <c r="E10" i="6" s="1"/>
  <c r="D44" i="20"/>
  <c r="F10" i="6" s="1"/>
  <c r="C12" i="20"/>
  <c r="C12" i="6" s="1"/>
  <c r="C26" i="20"/>
  <c r="D12" i="6"/>
  <c r="Q56" i="31" s="1"/>
  <c r="C33" i="20"/>
  <c r="C44" i="20"/>
  <c r="F12" i="6" s="1"/>
  <c r="E12" i="20"/>
  <c r="C14" i="6" s="1"/>
  <c r="O54" i="31" s="1"/>
  <c r="E26" i="20"/>
  <c r="D14" i="6" s="1"/>
  <c r="E33" i="20"/>
  <c r="E44" i="20"/>
  <c r="F14" i="6" s="1"/>
  <c r="G12" i="20"/>
  <c r="C18" i="6"/>
  <c r="G26" i="20"/>
  <c r="G26" i="21" s="1"/>
  <c r="D18" i="14" s="1"/>
  <c r="G33" i="20"/>
  <c r="E18" i="6" s="1"/>
  <c r="G44" i="20"/>
  <c r="F18" i="6" s="1"/>
  <c r="H12" i="20"/>
  <c r="C20" i="6"/>
  <c r="N54" i="31" s="1"/>
  <c r="H26" i="20"/>
  <c r="D20" i="6"/>
  <c r="H33" i="20"/>
  <c r="H33" i="21" s="1"/>
  <c r="E20" i="14" s="1"/>
  <c r="I12" i="20"/>
  <c r="C22" i="6" s="1"/>
  <c r="I26" i="20"/>
  <c r="D22" i="6" s="1"/>
  <c r="I33" i="20"/>
  <c r="E22" i="6" s="1"/>
  <c r="I44" i="20"/>
  <c r="I47" i="20" s="1"/>
  <c r="J12" i="20"/>
  <c r="C24" i="6"/>
  <c r="P54" i="31" s="1"/>
  <c r="J26" i="20"/>
  <c r="D24" i="6" s="1"/>
  <c r="J33" i="20"/>
  <c r="E24" i="6" s="1"/>
  <c r="J44" i="20"/>
  <c r="F24" i="6"/>
  <c r="K12" i="20"/>
  <c r="K26" i="20"/>
  <c r="D26" i="6" s="1"/>
  <c r="K33" i="20"/>
  <c r="E26" i="6" s="1"/>
  <c r="K44" i="20"/>
  <c r="F26" i="6" s="1"/>
  <c r="L12" i="20"/>
  <c r="L26" i="20"/>
  <c r="L26" i="21" s="1"/>
  <c r="D28" i="14" s="1"/>
  <c r="L33" i="20"/>
  <c r="E28" i="6"/>
  <c r="L44" i="20"/>
  <c r="F28" i="6"/>
  <c r="N12" i="20"/>
  <c r="C30" i="6" s="1"/>
  <c r="N26" i="20"/>
  <c r="M26" i="21" s="1"/>
  <c r="D30" i="14" s="1"/>
  <c r="N33" i="20"/>
  <c r="E30" i="6"/>
  <c r="N44" i="20"/>
  <c r="F30" i="6" s="1"/>
  <c r="O12" i="20"/>
  <c r="C32" i="6" s="1"/>
  <c r="O26" i="20"/>
  <c r="O33" i="20"/>
  <c r="E32" i="6" s="1"/>
  <c r="O44" i="20"/>
  <c r="F32" i="6"/>
  <c r="P12" i="20"/>
  <c r="C34" i="6" s="1"/>
  <c r="P26" i="20"/>
  <c r="O26" i="21" s="1"/>
  <c r="D34" i="14" s="1"/>
  <c r="D34" i="6"/>
  <c r="P33" i="20"/>
  <c r="E34" i="6" s="1"/>
  <c r="P44" i="20"/>
  <c r="F34" i="6"/>
  <c r="Q12" i="20"/>
  <c r="Q26" i="20"/>
  <c r="Q33" i="20"/>
  <c r="E36" i="6" s="1"/>
  <c r="Q44" i="20"/>
  <c r="F36" i="6" s="1"/>
  <c r="C31" i="2"/>
  <c r="V49" i="21"/>
  <c r="C26" i="18" s="1"/>
  <c r="V50" i="21"/>
  <c r="V51" i="21"/>
  <c r="V52" i="21"/>
  <c r="D26" i="18" s="1"/>
  <c r="V53" i="21"/>
  <c r="E26" i="18" s="1"/>
  <c r="V54" i="21"/>
  <c r="F26" i="18" s="1"/>
  <c r="V55" i="21"/>
  <c r="G26" i="18" s="1"/>
  <c r="S49" i="21"/>
  <c r="S50" i="21"/>
  <c r="S52" i="21"/>
  <c r="T51" i="20"/>
  <c r="S51" i="21" s="1"/>
  <c r="S55" i="21"/>
  <c r="G24" i="18"/>
  <c r="T53" i="20"/>
  <c r="S54" i="21"/>
  <c r="F24" i="18" s="1"/>
  <c r="O49" i="21"/>
  <c r="O50" i="21"/>
  <c r="C22" i="18" s="1"/>
  <c r="O51" i="21"/>
  <c r="O52" i="21"/>
  <c r="O53" i="21"/>
  <c r="E22" i="18"/>
  <c r="O54" i="21"/>
  <c r="F22" i="18" s="1"/>
  <c r="O55" i="21"/>
  <c r="G22" i="18" s="1"/>
  <c r="N49" i="21"/>
  <c r="C20" i="18" s="1"/>
  <c r="N50" i="21"/>
  <c r="N52" i="21"/>
  <c r="N51" i="21"/>
  <c r="D20" i="18" s="1"/>
  <c r="H20" i="18" s="1"/>
  <c r="N53" i="21"/>
  <c r="E20" i="18" s="1"/>
  <c r="N54" i="21"/>
  <c r="F20" i="18" s="1"/>
  <c r="N55" i="21"/>
  <c r="G20" i="18" s="1"/>
  <c r="L49" i="21"/>
  <c r="C18" i="18" s="1"/>
  <c r="L50" i="21"/>
  <c r="L51" i="21"/>
  <c r="D18" i="18" s="1"/>
  <c r="L52" i="21"/>
  <c r="L53" i="21"/>
  <c r="E18" i="18"/>
  <c r="L54" i="21"/>
  <c r="F18" i="18" s="1"/>
  <c r="L55" i="21"/>
  <c r="G18" i="18" s="1"/>
  <c r="H49" i="21"/>
  <c r="H50" i="21"/>
  <c r="C16" i="18"/>
  <c r="H51" i="21"/>
  <c r="H52" i="21"/>
  <c r="D16" i="18" s="1"/>
  <c r="H53" i="21"/>
  <c r="E16" i="18" s="1"/>
  <c r="H54" i="21"/>
  <c r="F16" i="18" s="1"/>
  <c r="H55" i="21"/>
  <c r="G16" i="18" s="1"/>
  <c r="C49" i="21"/>
  <c r="C50" i="21"/>
  <c r="C51" i="21"/>
  <c r="C52" i="21"/>
  <c r="D14" i="18"/>
  <c r="C53" i="21"/>
  <c r="E14" i="18"/>
  <c r="C54" i="21"/>
  <c r="F14" i="18" s="1"/>
  <c r="C55" i="21"/>
  <c r="G14" i="18"/>
  <c r="D49" i="21"/>
  <c r="D50" i="21"/>
  <c r="D51" i="21"/>
  <c r="D12" i="18" s="1"/>
  <c r="D52" i="21"/>
  <c r="D53" i="21"/>
  <c r="E12" i="18" s="1"/>
  <c r="D54" i="21"/>
  <c r="F12" i="18"/>
  <c r="D55" i="21"/>
  <c r="G12" i="18"/>
  <c r="P36" i="21"/>
  <c r="C28" i="38" s="1"/>
  <c r="P37" i="21"/>
  <c r="P38" i="21"/>
  <c r="P39" i="21"/>
  <c r="D28" i="38"/>
  <c r="P40" i="21"/>
  <c r="E28" i="38" s="1"/>
  <c r="P41" i="21"/>
  <c r="F28" i="38"/>
  <c r="P42" i="21"/>
  <c r="G28" i="38"/>
  <c r="T36" i="21"/>
  <c r="T37" i="21"/>
  <c r="T38" i="21"/>
  <c r="D36" i="38" s="1"/>
  <c r="T39" i="21"/>
  <c r="T40" i="21"/>
  <c r="E36" i="38" s="1"/>
  <c r="T41" i="21"/>
  <c r="F36" i="38" s="1"/>
  <c r="T42" i="21"/>
  <c r="G36" i="38" s="1"/>
  <c r="S36" i="21"/>
  <c r="S37" i="21"/>
  <c r="T38" i="20"/>
  <c r="T44" i="20" s="1"/>
  <c r="F42" i="6" s="1"/>
  <c r="S38" i="21"/>
  <c r="D34" i="38" s="1"/>
  <c r="S39" i="21"/>
  <c r="S40" i="21"/>
  <c r="E34" i="38" s="1"/>
  <c r="S41" i="21"/>
  <c r="F34" i="38"/>
  <c r="S42" i="21"/>
  <c r="G34" i="38"/>
  <c r="R36" i="21"/>
  <c r="C32" i="38" s="1"/>
  <c r="R37" i="21"/>
  <c r="R38" i="21"/>
  <c r="S39" i="20"/>
  <c r="S44" i="20" s="1"/>
  <c r="F40" i="6" s="1"/>
  <c r="R39" i="21"/>
  <c r="R40" i="21"/>
  <c r="E32" i="38" s="1"/>
  <c r="R41" i="21"/>
  <c r="F32" i="38" s="1"/>
  <c r="R42" i="21"/>
  <c r="G32" i="38" s="1"/>
  <c r="Q36" i="21"/>
  <c r="C30" i="38" s="1"/>
  <c r="Q37" i="21"/>
  <c r="Q38" i="21"/>
  <c r="D30" i="38" s="1"/>
  <c r="H30" i="38" s="1"/>
  <c r="R39" i="20"/>
  <c r="R44" i="20" s="1"/>
  <c r="Q39" i="21"/>
  <c r="Q40" i="21"/>
  <c r="E30" i="38" s="1"/>
  <c r="Q41" i="21"/>
  <c r="F30" i="38" s="1"/>
  <c r="Q42" i="21"/>
  <c r="G30" i="38" s="1"/>
  <c r="N36" i="21"/>
  <c r="N37" i="21"/>
  <c r="C26" i="38" s="1"/>
  <c r="N38" i="21"/>
  <c r="D26" i="38" s="1"/>
  <c r="N39" i="21"/>
  <c r="N40" i="21"/>
  <c r="E26" i="38"/>
  <c r="N41" i="21"/>
  <c r="F26" i="38" s="1"/>
  <c r="N42" i="21"/>
  <c r="G26" i="38" s="1"/>
  <c r="M36" i="21"/>
  <c r="C24" i="38" s="1"/>
  <c r="M37" i="21"/>
  <c r="M38" i="21"/>
  <c r="M39" i="21"/>
  <c r="M40" i="21"/>
  <c r="E24" i="38" s="1"/>
  <c r="M41" i="21"/>
  <c r="F24" i="38"/>
  <c r="M42" i="21"/>
  <c r="G24" i="38" s="1"/>
  <c r="L36" i="21"/>
  <c r="C22" i="38" s="1"/>
  <c r="L37" i="21"/>
  <c r="L38" i="21"/>
  <c r="D22" i="38" s="1"/>
  <c r="L39" i="21"/>
  <c r="L40" i="21"/>
  <c r="E22" i="38" s="1"/>
  <c r="L41" i="21"/>
  <c r="F22" i="38" s="1"/>
  <c r="L42" i="21"/>
  <c r="G22" i="38"/>
  <c r="K36" i="21"/>
  <c r="K37" i="21"/>
  <c r="C20" i="38"/>
  <c r="K38" i="21"/>
  <c r="D20" i="38" s="1"/>
  <c r="K39" i="21"/>
  <c r="K40" i="21"/>
  <c r="E20" i="38"/>
  <c r="K41" i="21"/>
  <c r="F20" i="38" s="1"/>
  <c r="K42" i="21"/>
  <c r="G20" i="38"/>
  <c r="H36" i="21"/>
  <c r="C18" i="38" s="1"/>
  <c r="H37" i="21"/>
  <c r="H39" i="21"/>
  <c r="H38" i="20"/>
  <c r="H44" i="20" s="1"/>
  <c r="F20" i="6" s="1"/>
  <c r="H40" i="21"/>
  <c r="E18" i="38" s="1"/>
  <c r="H41" i="21"/>
  <c r="F18" i="38" s="1"/>
  <c r="H42" i="21"/>
  <c r="G18" i="38" s="1"/>
  <c r="E36" i="21"/>
  <c r="E37" i="21"/>
  <c r="E38" i="21"/>
  <c r="E39" i="21"/>
  <c r="D16" i="38"/>
  <c r="E40" i="21"/>
  <c r="E16" i="38" s="1"/>
  <c r="E41" i="21"/>
  <c r="F16" i="38" s="1"/>
  <c r="E42" i="21"/>
  <c r="G16" i="38"/>
  <c r="C36" i="21"/>
  <c r="C14" i="38" s="1"/>
  <c r="C37" i="21"/>
  <c r="C38" i="21"/>
  <c r="C39" i="21"/>
  <c r="C40" i="21"/>
  <c r="E14" i="38" s="1"/>
  <c r="C41" i="21"/>
  <c r="F14" i="38" s="1"/>
  <c r="C42" i="21"/>
  <c r="G14" i="38" s="1"/>
  <c r="D36" i="21"/>
  <c r="C12" i="38" s="1"/>
  <c r="D37" i="21"/>
  <c r="D38" i="21"/>
  <c r="D12" i="38" s="1"/>
  <c r="D39" i="21"/>
  <c r="D40" i="21"/>
  <c r="E12" i="38" s="1"/>
  <c r="D41" i="21"/>
  <c r="F12" i="38"/>
  <c r="D42" i="21"/>
  <c r="G12" i="38" s="1"/>
  <c r="V29" i="21"/>
  <c r="C30" i="17"/>
  <c r="V30" i="21"/>
  <c r="D30" i="17" s="1"/>
  <c r="V31" i="21"/>
  <c r="E30" i="17" s="1"/>
  <c r="S29" i="21"/>
  <c r="C28" i="17"/>
  <c r="S30" i="21"/>
  <c r="D28" i="17" s="1"/>
  <c r="S31" i="21"/>
  <c r="E28" i="17"/>
  <c r="Q29" i="21"/>
  <c r="C26" i="17" s="1"/>
  <c r="Q30" i="21"/>
  <c r="D26" i="17" s="1"/>
  <c r="Q31" i="21"/>
  <c r="E26" i="17" s="1"/>
  <c r="N29" i="21"/>
  <c r="C24" i="17" s="1"/>
  <c r="N30" i="21"/>
  <c r="D24" i="17" s="1"/>
  <c r="N31" i="21"/>
  <c r="E24" i="17" s="1"/>
  <c r="M29" i="21"/>
  <c r="C22" i="17" s="1"/>
  <c r="M30" i="21"/>
  <c r="D22" i="17"/>
  <c r="M31" i="21"/>
  <c r="E22" i="17" s="1"/>
  <c r="H29" i="21"/>
  <c r="C20" i="17"/>
  <c r="H30" i="21"/>
  <c r="D20" i="17" s="1"/>
  <c r="H31" i="21"/>
  <c r="E20" i="17" s="1"/>
  <c r="K29" i="21"/>
  <c r="C18" i="17" s="1"/>
  <c r="K30" i="21"/>
  <c r="D18" i="17"/>
  <c r="F18" i="17" s="1"/>
  <c r="K31" i="21"/>
  <c r="E18" i="17" s="1"/>
  <c r="G29" i="21"/>
  <c r="C16" i="17" s="1"/>
  <c r="G30" i="21"/>
  <c r="D16" i="17" s="1"/>
  <c r="G31" i="21"/>
  <c r="E16" i="17"/>
  <c r="C29" i="21"/>
  <c r="C14" i="17" s="1"/>
  <c r="C30" i="21"/>
  <c r="D14" i="17" s="1"/>
  <c r="C31" i="21"/>
  <c r="E14" i="17"/>
  <c r="D29" i="21"/>
  <c r="C12" i="17" s="1"/>
  <c r="D30" i="21"/>
  <c r="D12" i="17" s="1"/>
  <c r="D31" i="21"/>
  <c r="E12" i="17" s="1"/>
  <c r="S21" i="21"/>
  <c r="J34" i="16"/>
  <c r="D24" i="21"/>
  <c r="M10" i="16"/>
  <c r="V24" i="21"/>
  <c r="M38" i="16" s="1"/>
  <c r="V23" i="21"/>
  <c r="L38" i="16"/>
  <c r="V22" i="21"/>
  <c r="K38" i="16" s="1"/>
  <c r="V21" i="21"/>
  <c r="J38" i="16" s="1"/>
  <c r="V20" i="21"/>
  <c r="I38" i="16" s="1"/>
  <c r="V19" i="21"/>
  <c r="H38" i="16"/>
  <c r="V18" i="21"/>
  <c r="G38" i="16" s="1"/>
  <c r="V17" i="21"/>
  <c r="F38" i="16" s="1"/>
  <c r="V16" i="21"/>
  <c r="E38" i="16" s="1"/>
  <c r="V15" i="21"/>
  <c r="D38" i="16"/>
  <c r="T24" i="21"/>
  <c r="M36" i="16" s="1"/>
  <c r="T23" i="21"/>
  <c r="L36" i="16" s="1"/>
  <c r="T22" i="21"/>
  <c r="K36" i="16" s="1"/>
  <c r="T21" i="21"/>
  <c r="J36" i="16"/>
  <c r="T20" i="21"/>
  <c r="I36" i="16" s="1"/>
  <c r="T19" i="21"/>
  <c r="H36" i="16" s="1"/>
  <c r="T18" i="21"/>
  <c r="G36" i="16" s="1"/>
  <c r="T17" i="21"/>
  <c r="F36" i="16" s="1"/>
  <c r="T16" i="21"/>
  <c r="E36" i="16" s="1"/>
  <c r="T15" i="21"/>
  <c r="D36" i="16" s="1"/>
  <c r="S24" i="21"/>
  <c r="M34" i="16" s="1"/>
  <c r="S23" i="21"/>
  <c r="L34" i="16"/>
  <c r="S22" i="21"/>
  <c r="K34" i="16" s="1"/>
  <c r="S20" i="21"/>
  <c r="I34" i="16" s="1"/>
  <c r="S19" i="21"/>
  <c r="H34" i="16" s="1"/>
  <c r="S18" i="21"/>
  <c r="G34" i="16" s="1"/>
  <c r="S17" i="21"/>
  <c r="F34" i="16" s="1"/>
  <c r="S16" i="21"/>
  <c r="E34" i="16" s="1"/>
  <c r="S15" i="21"/>
  <c r="D34" i="16" s="1"/>
  <c r="R24" i="21"/>
  <c r="M32" i="16" s="1"/>
  <c r="R23" i="21"/>
  <c r="L32" i="16"/>
  <c r="R22" i="21"/>
  <c r="K32" i="16"/>
  <c r="R21" i="21"/>
  <c r="J32" i="16" s="1"/>
  <c r="R20" i="21"/>
  <c r="I32" i="16"/>
  <c r="R19" i="21"/>
  <c r="H32" i="16" s="1"/>
  <c r="R18" i="21"/>
  <c r="G32" i="16" s="1"/>
  <c r="R17" i="21"/>
  <c r="F32" i="16" s="1"/>
  <c r="R16" i="21"/>
  <c r="E32" i="16"/>
  <c r="R15" i="21"/>
  <c r="D32" i="16" s="1"/>
  <c r="Q24" i="21"/>
  <c r="M30" i="16" s="1"/>
  <c r="Q23" i="21"/>
  <c r="L30" i="16" s="1"/>
  <c r="Q22" i="21"/>
  <c r="K30" i="16"/>
  <c r="Q21" i="21"/>
  <c r="J30" i="16"/>
  <c r="Q20" i="21"/>
  <c r="I30" i="16" s="1"/>
  <c r="Q19" i="21"/>
  <c r="H30" i="16" s="1"/>
  <c r="Q18" i="21"/>
  <c r="G30" i="16" s="1"/>
  <c r="Q17" i="21"/>
  <c r="F30" i="16"/>
  <c r="Q16" i="21"/>
  <c r="E30" i="16"/>
  <c r="Q15" i="21"/>
  <c r="D30" i="16" s="1"/>
  <c r="P24" i="21"/>
  <c r="M28" i="16"/>
  <c r="P23" i="21"/>
  <c r="L28" i="16" s="1"/>
  <c r="P22" i="21"/>
  <c r="K28" i="16"/>
  <c r="P21" i="21"/>
  <c r="J28" i="16" s="1"/>
  <c r="P20" i="21"/>
  <c r="I28" i="16" s="1"/>
  <c r="P19" i="21"/>
  <c r="H28" i="16"/>
  <c r="P18" i="21"/>
  <c r="G28" i="16" s="1"/>
  <c r="P17" i="21"/>
  <c r="F28" i="16" s="1"/>
  <c r="P16" i="21"/>
  <c r="E28" i="16"/>
  <c r="P15" i="21"/>
  <c r="D28" i="16" s="1"/>
  <c r="O24" i="21"/>
  <c r="M26" i="16" s="1"/>
  <c r="O23" i="21"/>
  <c r="L26" i="16" s="1"/>
  <c r="O22" i="21"/>
  <c r="K26" i="16" s="1"/>
  <c r="O21" i="21"/>
  <c r="J26" i="16" s="1"/>
  <c r="O20" i="21"/>
  <c r="I26" i="16" s="1"/>
  <c r="O19" i="21"/>
  <c r="H26" i="16" s="1"/>
  <c r="O18" i="21"/>
  <c r="G26" i="16" s="1"/>
  <c r="O17" i="21"/>
  <c r="F26" i="16" s="1"/>
  <c r="O16" i="21"/>
  <c r="E26" i="16" s="1"/>
  <c r="O15" i="21"/>
  <c r="D26" i="16" s="1"/>
  <c r="N24" i="21"/>
  <c r="M24" i="16" s="1"/>
  <c r="N23" i="21"/>
  <c r="L24" i="16" s="1"/>
  <c r="N22" i="21"/>
  <c r="K24" i="16"/>
  <c r="N21" i="21"/>
  <c r="J24" i="16" s="1"/>
  <c r="N20" i="21"/>
  <c r="I24" i="16" s="1"/>
  <c r="N19" i="21"/>
  <c r="H24" i="16" s="1"/>
  <c r="N18" i="21"/>
  <c r="G24" i="16" s="1"/>
  <c r="N17" i="21"/>
  <c r="F24" i="16" s="1"/>
  <c r="N16" i="21"/>
  <c r="E24" i="16" s="1"/>
  <c r="N15" i="21"/>
  <c r="D24" i="16" s="1"/>
  <c r="M24" i="21"/>
  <c r="M22" i="16" s="1"/>
  <c r="M23" i="21"/>
  <c r="L22" i="16" s="1"/>
  <c r="M22" i="21"/>
  <c r="K22" i="16" s="1"/>
  <c r="M20" i="21"/>
  <c r="I22" i="16" s="1"/>
  <c r="M21" i="21"/>
  <c r="J22" i="16"/>
  <c r="M19" i="21"/>
  <c r="H22" i="16" s="1"/>
  <c r="M18" i="21"/>
  <c r="G22" i="16" s="1"/>
  <c r="M17" i="21"/>
  <c r="F22" i="16" s="1"/>
  <c r="M16" i="21"/>
  <c r="E22" i="16"/>
  <c r="M15" i="21"/>
  <c r="D22" i="16" s="1"/>
  <c r="L24" i="21"/>
  <c r="M20" i="16" s="1"/>
  <c r="L23" i="21"/>
  <c r="L20" i="16" s="1"/>
  <c r="L22" i="21"/>
  <c r="K20" i="16" s="1"/>
  <c r="L21" i="21"/>
  <c r="J20" i="16" s="1"/>
  <c r="L20" i="21"/>
  <c r="I20" i="16" s="1"/>
  <c r="L19" i="21"/>
  <c r="H20" i="16" s="1"/>
  <c r="L18" i="21"/>
  <c r="G20" i="16" s="1"/>
  <c r="L17" i="21"/>
  <c r="F20" i="16" s="1"/>
  <c r="L16" i="21"/>
  <c r="E20" i="16" s="1"/>
  <c r="L15" i="21"/>
  <c r="D20" i="16" s="1"/>
  <c r="K24" i="21"/>
  <c r="M18" i="16" s="1"/>
  <c r="K23" i="21"/>
  <c r="L18" i="16" s="1"/>
  <c r="K22" i="21"/>
  <c r="K18" i="16" s="1"/>
  <c r="K21" i="21"/>
  <c r="J18" i="16" s="1"/>
  <c r="K20" i="21"/>
  <c r="I18" i="16" s="1"/>
  <c r="K19" i="21"/>
  <c r="H18" i="16" s="1"/>
  <c r="K18" i="21"/>
  <c r="G18" i="16" s="1"/>
  <c r="K17" i="21"/>
  <c r="F18" i="16" s="1"/>
  <c r="K16" i="21"/>
  <c r="E18" i="16" s="1"/>
  <c r="K15" i="21"/>
  <c r="D18" i="16" s="1"/>
  <c r="H24" i="21"/>
  <c r="M16" i="16" s="1"/>
  <c r="H23" i="21"/>
  <c r="L16" i="16"/>
  <c r="H22" i="21"/>
  <c r="K16" i="16" s="1"/>
  <c r="H21" i="21"/>
  <c r="J16" i="16" s="1"/>
  <c r="H20" i="21"/>
  <c r="I16" i="16" s="1"/>
  <c r="H19" i="21"/>
  <c r="H16" i="16" s="1"/>
  <c r="H18" i="21"/>
  <c r="G16" i="16" s="1"/>
  <c r="H17" i="21"/>
  <c r="F16" i="16" s="1"/>
  <c r="H16" i="21"/>
  <c r="E16" i="16" s="1"/>
  <c r="H15" i="21"/>
  <c r="D16" i="16" s="1"/>
  <c r="D23" i="21"/>
  <c r="L10" i="16" s="1"/>
  <c r="D22" i="21"/>
  <c r="K10" i="16" s="1"/>
  <c r="D21" i="21"/>
  <c r="J10" i="16" s="1"/>
  <c r="D20" i="21"/>
  <c r="I10" i="16" s="1"/>
  <c r="D19" i="21"/>
  <c r="H10" i="16"/>
  <c r="D18" i="21"/>
  <c r="G10" i="16" s="1"/>
  <c r="D17" i="21"/>
  <c r="F10" i="16"/>
  <c r="G24" i="21"/>
  <c r="M14" i="16" s="1"/>
  <c r="G23" i="21"/>
  <c r="L14" i="16" s="1"/>
  <c r="G22" i="21"/>
  <c r="K14" i="16" s="1"/>
  <c r="G21" i="21"/>
  <c r="J14" i="16" s="1"/>
  <c r="G20" i="21"/>
  <c r="I14" i="16" s="1"/>
  <c r="G19" i="21"/>
  <c r="H14" i="16" s="1"/>
  <c r="G18" i="21"/>
  <c r="G14" i="16" s="1"/>
  <c r="G17" i="21"/>
  <c r="F14" i="16" s="1"/>
  <c r="G16" i="21"/>
  <c r="E14" i="16" s="1"/>
  <c r="G15" i="21"/>
  <c r="D14" i="16"/>
  <c r="C24" i="21"/>
  <c r="M12" i="16" s="1"/>
  <c r="C23" i="21"/>
  <c r="L12" i="16" s="1"/>
  <c r="C22" i="21"/>
  <c r="K12" i="16" s="1"/>
  <c r="C21" i="21"/>
  <c r="J12" i="16" s="1"/>
  <c r="C20" i="21"/>
  <c r="I12" i="16" s="1"/>
  <c r="C19" i="21"/>
  <c r="H12" i="16"/>
  <c r="C18" i="21"/>
  <c r="G12" i="16" s="1"/>
  <c r="C17" i="21"/>
  <c r="F12" i="16"/>
  <c r="C16" i="21"/>
  <c r="E12" i="16" s="1"/>
  <c r="C15" i="21"/>
  <c r="D12" i="16"/>
  <c r="V14" i="21"/>
  <c r="C38" i="16" s="1"/>
  <c r="T14" i="21"/>
  <c r="C36" i="16" s="1"/>
  <c r="S14" i="21"/>
  <c r="C34" i="16" s="1"/>
  <c r="R14" i="21"/>
  <c r="C32" i="16" s="1"/>
  <c r="Q14" i="21"/>
  <c r="C30" i="16" s="1"/>
  <c r="P14" i="21"/>
  <c r="C28" i="16" s="1"/>
  <c r="O14" i="21"/>
  <c r="C26" i="16" s="1"/>
  <c r="N14" i="21"/>
  <c r="C24" i="16" s="1"/>
  <c r="M14" i="21"/>
  <c r="C22" i="16" s="1"/>
  <c r="N22" i="16" s="1"/>
  <c r="L14" i="21"/>
  <c r="C20" i="16" s="1"/>
  <c r="K14" i="21"/>
  <c r="C18" i="16" s="1"/>
  <c r="H14" i="21"/>
  <c r="C16" i="16"/>
  <c r="G14" i="21"/>
  <c r="C14" i="16" s="1"/>
  <c r="C14" i="21"/>
  <c r="C12" i="16" s="1"/>
  <c r="D16" i="21"/>
  <c r="E10" i="16" s="1"/>
  <c r="D15" i="21"/>
  <c r="D10" i="16" s="1"/>
  <c r="D14" i="21"/>
  <c r="C10" i="16" s="1"/>
  <c r="H10" i="21"/>
  <c r="F24" i="15" s="1"/>
  <c r="N7" i="21"/>
  <c r="C30" i="15"/>
  <c r="G30" i="15" s="1"/>
  <c r="N8" i="21"/>
  <c r="D30" i="15"/>
  <c r="N9" i="21"/>
  <c r="E30" i="15" s="1"/>
  <c r="N10" i="21"/>
  <c r="F30" i="15"/>
  <c r="S7" i="21"/>
  <c r="C28" i="15" s="1"/>
  <c r="S8" i="21"/>
  <c r="D28" i="15" s="1"/>
  <c r="S9" i="21"/>
  <c r="E28" i="15" s="1"/>
  <c r="S10" i="21"/>
  <c r="F28" i="15" s="1"/>
  <c r="M7" i="21"/>
  <c r="C26" i="15"/>
  <c r="M8" i="21"/>
  <c r="D26" i="15" s="1"/>
  <c r="M9" i="21"/>
  <c r="E26" i="15" s="1"/>
  <c r="M10" i="21"/>
  <c r="F26" i="15" s="1"/>
  <c r="H7" i="21"/>
  <c r="C24" i="15"/>
  <c r="H8" i="21"/>
  <c r="D24" i="15"/>
  <c r="H9" i="21"/>
  <c r="E24" i="15" s="1"/>
  <c r="G7" i="21"/>
  <c r="C22" i="15" s="1"/>
  <c r="G8" i="21"/>
  <c r="D22" i="15" s="1"/>
  <c r="G9" i="21"/>
  <c r="E22" i="15" s="1"/>
  <c r="G10" i="21"/>
  <c r="F22" i="15" s="1"/>
  <c r="J7" i="21"/>
  <c r="C20" i="15"/>
  <c r="J8" i="21"/>
  <c r="D20" i="15" s="1"/>
  <c r="J9" i="21"/>
  <c r="E20" i="15" s="1"/>
  <c r="J10" i="21"/>
  <c r="F20" i="15" s="1"/>
  <c r="I7" i="21"/>
  <c r="C18" i="15" s="1"/>
  <c r="I8" i="21"/>
  <c r="D18" i="15"/>
  <c r="I9" i="21"/>
  <c r="E18" i="15" s="1"/>
  <c r="I10" i="21"/>
  <c r="F18" i="15" s="1"/>
  <c r="G16" i="15"/>
  <c r="E7" i="21"/>
  <c r="C14" i="15" s="1"/>
  <c r="E8" i="21"/>
  <c r="D14" i="15" s="1"/>
  <c r="E9" i="21"/>
  <c r="E14" i="15"/>
  <c r="E10" i="21"/>
  <c r="F14" i="15" s="1"/>
  <c r="C7" i="21"/>
  <c r="C12" i="15" s="1"/>
  <c r="C8" i="21"/>
  <c r="D12" i="15" s="1"/>
  <c r="C9" i="21"/>
  <c r="E12" i="15" s="1"/>
  <c r="C10" i="21"/>
  <c r="F12" i="15" s="1"/>
  <c r="D7" i="21"/>
  <c r="C10" i="15" s="1"/>
  <c r="G10" i="15" s="1"/>
  <c r="D8" i="21"/>
  <c r="D10" i="15" s="1"/>
  <c r="D9" i="21"/>
  <c r="E10" i="15" s="1"/>
  <c r="D10" i="21"/>
  <c r="F10" i="15" s="1"/>
  <c r="W57" i="20"/>
  <c r="H49" i="5" s="1"/>
  <c r="V44" i="21"/>
  <c r="F46" i="14" s="1"/>
  <c r="V26" i="21"/>
  <c r="D46" i="14" s="1"/>
  <c r="V12" i="21"/>
  <c r="C46" i="14" s="1"/>
  <c r="U57" i="20"/>
  <c r="T57" i="21"/>
  <c r="H44" i="14" s="1"/>
  <c r="U44" i="20"/>
  <c r="T44" i="21" s="1"/>
  <c r="F44" i="14" s="1"/>
  <c r="U33" i="20"/>
  <c r="T33" i="21"/>
  <c r="E44" i="14" s="1"/>
  <c r="U26" i="20"/>
  <c r="T26" i="21" s="1"/>
  <c r="D44" i="14" s="1"/>
  <c r="U12" i="20"/>
  <c r="C44" i="6" s="1"/>
  <c r="S44" i="21"/>
  <c r="F42" i="14" s="1"/>
  <c r="S33" i="21"/>
  <c r="E42" i="14" s="1"/>
  <c r="S26" i="21"/>
  <c r="D42" i="14"/>
  <c r="S57" i="20"/>
  <c r="H43" i="5" s="1"/>
  <c r="R44" i="21"/>
  <c r="F40" i="14" s="1"/>
  <c r="R33" i="21"/>
  <c r="E40" i="14" s="1"/>
  <c r="R57" i="20"/>
  <c r="H38" i="6" s="1"/>
  <c r="Q57" i="21"/>
  <c r="Q33" i="21"/>
  <c r="E38" i="14"/>
  <c r="Q26" i="21"/>
  <c r="D38" i="14"/>
  <c r="Q57" i="20"/>
  <c r="P57" i="21"/>
  <c r="H36" i="14" s="1"/>
  <c r="P44" i="21"/>
  <c r="F36" i="14" s="1"/>
  <c r="P33" i="21"/>
  <c r="E36" i="14" s="1"/>
  <c r="P26" i="21"/>
  <c r="D36" i="14" s="1"/>
  <c r="P57" i="20"/>
  <c r="O57" i="21" s="1"/>
  <c r="O44" i="21"/>
  <c r="F34" i="14" s="1"/>
  <c r="O33" i="21"/>
  <c r="E34" i="14"/>
  <c r="O57" i="20"/>
  <c r="N57" i="21" s="1"/>
  <c r="N44" i="21"/>
  <c r="F32" i="14" s="1"/>
  <c r="N33" i="21"/>
  <c r="E32" i="14" s="1"/>
  <c r="N12" i="21"/>
  <c r="C32" i="14" s="1"/>
  <c r="N57" i="20"/>
  <c r="M57" i="21" s="1"/>
  <c r="M44" i="21"/>
  <c r="F30" i="14"/>
  <c r="M33" i="21"/>
  <c r="E30" i="14" s="1"/>
  <c r="M12" i="21"/>
  <c r="C30" i="14" s="1"/>
  <c r="L57" i="20"/>
  <c r="H28" i="6" s="1"/>
  <c r="L44" i="21"/>
  <c r="F28" i="14" s="1"/>
  <c r="L33" i="21"/>
  <c r="E28" i="14" s="1"/>
  <c r="K57" i="20"/>
  <c r="K44" i="21"/>
  <c r="F26" i="14"/>
  <c r="K26" i="21"/>
  <c r="D26" i="14" s="1"/>
  <c r="J57" i="20"/>
  <c r="J57" i="21" s="1"/>
  <c r="J44" i="21"/>
  <c r="F24" i="14" s="1"/>
  <c r="J33" i="21"/>
  <c r="E24" i="14" s="1"/>
  <c r="J26" i="21"/>
  <c r="D24" i="14" s="1"/>
  <c r="I57" i="20"/>
  <c r="H22" i="6" s="1"/>
  <c r="I44" i="21"/>
  <c r="F22" i="14" s="1"/>
  <c r="I33" i="21"/>
  <c r="E22" i="14"/>
  <c r="I26" i="21"/>
  <c r="D22" i="14"/>
  <c r="I12" i="21"/>
  <c r="C22" i="14" s="1"/>
  <c r="G22" i="14" s="1"/>
  <c r="H57" i="20"/>
  <c r="H22" i="5" s="1"/>
  <c r="H26" i="21"/>
  <c r="D20" i="14" s="1"/>
  <c r="H12" i="21"/>
  <c r="C20" i="14" s="1"/>
  <c r="G57" i="20"/>
  <c r="H20" i="5" s="1"/>
  <c r="G44" i="21"/>
  <c r="F18" i="14" s="1"/>
  <c r="G12" i="21"/>
  <c r="C18" i="14"/>
  <c r="E57" i="20"/>
  <c r="E57" i="21" s="1"/>
  <c r="H14" i="14" s="1"/>
  <c r="E26" i="21"/>
  <c r="D14" i="14" s="1"/>
  <c r="C57" i="20"/>
  <c r="C57" i="21" s="1"/>
  <c r="C44" i="21"/>
  <c r="F12" i="14" s="1"/>
  <c r="C33" i="21"/>
  <c r="E12" i="14" s="1"/>
  <c r="C26" i="21"/>
  <c r="D12" i="14"/>
  <c r="C12" i="21"/>
  <c r="C12" i="14"/>
  <c r="D57" i="20"/>
  <c r="D44" i="21"/>
  <c r="F10" i="14" s="1"/>
  <c r="D33" i="21"/>
  <c r="E10" i="14" s="1"/>
  <c r="D26" i="21"/>
  <c r="D10" i="14" s="1"/>
  <c r="G48" i="14"/>
  <c r="I48" i="14" s="1"/>
  <c r="G16" i="14"/>
  <c r="I16" i="14" s="1"/>
  <c r="I48" i="13"/>
  <c r="I16" i="13"/>
  <c r="E47" i="20"/>
  <c r="H14" i="13"/>
  <c r="C24" i="10"/>
  <c r="D24" i="10"/>
  <c r="E24" i="10"/>
  <c r="F24" i="10"/>
  <c r="G24" i="10"/>
  <c r="C22" i="10"/>
  <c r="D22" i="10"/>
  <c r="G22" i="10"/>
  <c r="F22" i="10"/>
  <c r="C20" i="10"/>
  <c r="H20" i="10" s="1"/>
  <c r="D20" i="10"/>
  <c r="E20" i="10"/>
  <c r="F20" i="10"/>
  <c r="G20" i="10"/>
  <c r="C18" i="10"/>
  <c r="D18" i="10"/>
  <c r="E18" i="10"/>
  <c r="F18" i="10"/>
  <c r="G18" i="10"/>
  <c r="C16" i="10"/>
  <c r="D16" i="10"/>
  <c r="E16" i="10"/>
  <c r="F16" i="10"/>
  <c r="G16" i="10"/>
  <c r="C14" i="10"/>
  <c r="D14" i="10"/>
  <c r="E14" i="10"/>
  <c r="F14" i="10"/>
  <c r="G14" i="10"/>
  <c r="C12" i="10"/>
  <c r="H12" i="10" s="1"/>
  <c r="D12" i="10"/>
  <c r="E12" i="10"/>
  <c r="F12" i="10"/>
  <c r="F9" i="10" s="1"/>
  <c r="F26" i="10" s="1"/>
  <c r="G12" i="10"/>
  <c r="C10" i="10"/>
  <c r="D10" i="10"/>
  <c r="E10" i="10"/>
  <c r="E9" i="10" s="1"/>
  <c r="F10" i="10"/>
  <c r="G10" i="10"/>
  <c r="C26" i="37"/>
  <c r="D26" i="37"/>
  <c r="E26" i="37"/>
  <c r="F26" i="37"/>
  <c r="G26" i="37"/>
  <c r="C34" i="37"/>
  <c r="H34" i="37" s="1"/>
  <c r="D34" i="37"/>
  <c r="E34" i="37"/>
  <c r="F34" i="37"/>
  <c r="G34" i="37"/>
  <c r="C32" i="37"/>
  <c r="D32" i="37"/>
  <c r="E32" i="37"/>
  <c r="F32" i="37"/>
  <c r="G32" i="37"/>
  <c r="C30" i="37"/>
  <c r="D30" i="37"/>
  <c r="E30" i="37"/>
  <c r="F30" i="37"/>
  <c r="G30" i="37"/>
  <c r="C28" i="37"/>
  <c r="D28" i="37"/>
  <c r="E28" i="37"/>
  <c r="F28" i="37"/>
  <c r="G28" i="37"/>
  <c r="C24" i="37"/>
  <c r="D24" i="37"/>
  <c r="E24" i="37"/>
  <c r="F24" i="37"/>
  <c r="H24" i="37" s="1"/>
  <c r="G24" i="37"/>
  <c r="C22" i="37"/>
  <c r="D22" i="37"/>
  <c r="H22" i="37" s="1"/>
  <c r="E22" i="37"/>
  <c r="F22" i="37"/>
  <c r="G22" i="37"/>
  <c r="C20" i="37"/>
  <c r="D20" i="37"/>
  <c r="E20" i="37"/>
  <c r="F20" i="37"/>
  <c r="G20" i="37"/>
  <c r="C18" i="37"/>
  <c r="D18" i="37"/>
  <c r="E18" i="37"/>
  <c r="F18" i="37"/>
  <c r="G18" i="37"/>
  <c r="C16" i="37"/>
  <c r="D16" i="37"/>
  <c r="E16" i="37"/>
  <c r="F16" i="37"/>
  <c r="G16" i="37"/>
  <c r="C14" i="37"/>
  <c r="H14" i="37" s="1"/>
  <c r="D14" i="37"/>
  <c r="E14" i="37"/>
  <c r="F14" i="37"/>
  <c r="G14" i="37"/>
  <c r="G9" i="37" s="1"/>
  <c r="G36" i="37" s="1"/>
  <c r="C12" i="37"/>
  <c r="D12" i="37"/>
  <c r="E12" i="37"/>
  <c r="F12" i="37"/>
  <c r="G12" i="37"/>
  <c r="C10" i="37"/>
  <c r="D10" i="37"/>
  <c r="E10" i="37"/>
  <c r="F10" i="37"/>
  <c r="G10" i="37"/>
  <c r="C29" i="9"/>
  <c r="D29" i="9"/>
  <c r="I60" i="31" s="1"/>
  <c r="E29" i="9"/>
  <c r="C27" i="9"/>
  <c r="D27" i="9"/>
  <c r="E27" i="9"/>
  <c r="C25" i="9"/>
  <c r="F25" i="9" s="1"/>
  <c r="D25" i="9"/>
  <c r="E25" i="9"/>
  <c r="U58" i="31" s="1"/>
  <c r="C23" i="9"/>
  <c r="D23" i="9"/>
  <c r="E48" i="23" s="1"/>
  <c r="E23" i="9"/>
  <c r="C21" i="9"/>
  <c r="D21" i="9"/>
  <c r="E21" i="9"/>
  <c r="F21" i="9"/>
  <c r="C19" i="9"/>
  <c r="D19" i="9"/>
  <c r="E19" i="9"/>
  <c r="E10" i="9" s="1"/>
  <c r="E31" i="9" s="1"/>
  <c r="C17" i="9"/>
  <c r="D17" i="9"/>
  <c r="F17" i="9" s="1"/>
  <c r="E17" i="9"/>
  <c r="C15" i="9"/>
  <c r="P60" i="31" s="1"/>
  <c r="D15" i="9"/>
  <c r="E15" i="9"/>
  <c r="C13" i="9"/>
  <c r="F13" i="9" s="1"/>
  <c r="D13" i="9"/>
  <c r="E13" i="9"/>
  <c r="C11" i="9"/>
  <c r="D11" i="9"/>
  <c r="D10" i="9" s="1"/>
  <c r="D31" i="9" s="1"/>
  <c r="E11" i="9"/>
  <c r="C43" i="8"/>
  <c r="D43" i="8"/>
  <c r="E43" i="8"/>
  <c r="F43" i="8"/>
  <c r="G43" i="8"/>
  <c r="H43" i="8"/>
  <c r="I43" i="8"/>
  <c r="J43" i="8"/>
  <c r="K43" i="8"/>
  <c r="L43" i="8"/>
  <c r="M43" i="8"/>
  <c r="C41" i="8"/>
  <c r="D41" i="8"/>
  <c r="E41" i="8"/>
  <c r="F41" i="8"/>
  <c r="G41" i="8"/>
  <c r="H41" i="8"/>
  <c r="I41" i="8"/>
  <c r="J41" i="8"/>
  <c r="K41" i="8"/>
  <c r="L41" i="8"/>
  <c r="M41" i="8"/>
  <c r="C39" i="8"/>
  <c r="D39" i="8"/>
  <c r="E39" i="8"/>
  <c r="F39" i="8"/>
  <c r="G39" i="8"/>
  <c r="H39" i="8"/>
  <c r="I39" i="8"/>
  <c r="J39" i="8"/>
  <c r="K39" i="8"/>
  <c r="L39" i="8"/>
  <c r="M39" i="8"/>
  <c r="N39" i="8"/>
  <c r="C37" i="8"/>
  <c r="D37" i="8"/>
  <c r="E37" i="8"/>
  <c r="F37" i="8"/>
  <c r="G37" i="8"/>
  <c r="H37" i="8"/>
  <c r="I37" i="8"/>
  <c r="J37" i="8"/>
  <c r="K37" i="8"/>
  <c r="L37" i="8"/>
  <c r="M37" i="8"/>
  <c r="C35" i="8"/>
  <c r="D35" i="8"/>
  <c r="E35" i="8"/>
  <c r="F35" i="8"/>
  <c r="G35" i="8"/>
  <c r="N35" i="8" s="1"/>
  <c r="H35" i="8"/>
  <c r="I35" i="8"/>
  <c r="J35" i="8"/>
  <c r="K35" i="8"/>
  <c r="L35" i="8"/>
  <c r="M35" i="8"/>
  <c r="C33" i="8"/>
  <c r="D33" i="8"/>
  <c r="E33" i="8"/>
  <c r="F33" i="8"/>
  <c r="H33" i="8"/>
  <c r="I33" i="8"/>
  <c r="J33" i="8"/>
  <c r="K33" i="8"/>
  <c r="L33" i="8"/>
  <c r="M33" i="8"/>
  <c r="G33" i="8"/>
  <c r="C31" i="8"/>
  <c r="D31" i="8"/>
  <c r="E31" i="8"/>
  <c r="F31" i="8"/>
  <c r="G31" i="8"/>
  <c r="H31" i="8"/>
  <c r="I31" i="8"/>
  <c r="J31" i="8"/>
  <c r="K31" i="8"/>
  <c r="L31" i="8"/>
  <c r="M31" i="8"/>
  <c r="C29" i="8"/>
  <c r="D29" i="8"/>
  <c r="E29" i="8"/>
  <c r="F29" i="8"/>
  <c r="G29" i="8"/>
  <c r="H29" i="8"/>
  <c r="I29" i="8"/>
  <c r="J29" i="8"/>
  <c r="K29" i="8"/>
  <c r="L29" i="8"/>
  <c r="M29" i="8"/>
  <c r="C27" i="8"/>
  <c r="D27" i="8"/>
  <c r="E27" i="8"/>
  <c r="F27" i="8"/>
  <c r="G27" i="8"/>
  <c r="H27" i="8"/>
  <c r="I27" i="8"/>
  <c r="J27" i="8"/>
  <c r="K27" i="8"/>
  <c r="L27" i="8"/>
  <c r="M27" i="8"/>
  <c r="C25" i="8"/>
  <c r="D25" i="8"/>
  <c r="E25" i="8"/>
  <c r="F25" i="8"/>
  <c r="G25" i="8"/>
  <c r="H25" i="8"/>
  <c r="I25" i="8"/>
  <c r="J25" i="8"/>
  <c r="K25" i="8"/>
  <c r="L25" i="8"/>
  <c r="M25" i="8"/>
  <c r="C23" i="8"/>
  <c r="D23" i="8"/>
  <c r="E23" i="8"/>
  <c r="F23" i="8"/>
  <c r="G23" i="8"/>
  <c r="H23" i="8"/>
  <c r="I23" i="8"/>
  <c r="J23" i="8"/>
  <c r="K23" i="8"/>
  <c r="L23" i="8"/>
  <c r="M23" i="8"/>
  <c r="C21" i="8"/>
  <c r="D21" i="8"/>
  <c r="E21" i="8"/>
  <c r="F21" i="8"/>
  <c r="G21" i="8"/>
  <c r="H21" i="8"/>
  <c r="I21" i="8"/>
  <c r="J21" i="8"/>
  <c r="K21" i="8"/>
  <c r="L21" i="8"/>
  <c r="M21" i="8"/>
  <c r="C19" i="8"/>
  <c r="D19" i="8"/>
  <c r="D9" i="8" s="1"/>
  <c r="D46" i="8" s="1"/>
  <c r="E19" i="8"/>
  <c r="F19" i="8"/>
  <c r="G19" i="8"/>
  <c r="H19" i="8"/>
  <c r="I19" i="8"/>
  <c r="J19" i="8"/>
  <c r="K19" i="8"/>
  <c r="L19" i="8"/>
  <c r="M19" i="8"/>
  <c r="C17" i="8"/>
  <c r="C9" i="8" s="1"/>
  <c r="C46" i="8" s="1"/>
  <c r="D17" i="8"/>
  <c r="E17" i="8"/>
  <c r="F17" i="8"/>
  <c r="G17" i="8"/>
  <c r="H17" i="8"/>
  <c r="I17" i="8"/>
  <c r="J17" i="8"/>
  <c r="K17" i="8"/>
  <c r="K9" i="8" s="1"/>
  <c r="K46" i="8" s="1"/>
  <c r="L17" i="8"/>
  <c r="M17" i="8"/>
  <c r="C15" i="8"/>
  <c r="D15" i="8"/>
  <c r="E15" i="8"/>
  <c r="F15" i="8"/>
  <c r="G15" i="8"/>
  <c r="H15" i="8"/>
  <c r="H9" i="8" s="1"/>
  <c r="H46" i="8" s="1"/>
  <c r="I15" i="8"/>
  <c r="J15" i="8"/>
  <c r="K15" i="8"/>
  <c r="L15" i="8"/>
  <c r="M15" i="8"/>
  <c r="C13" i="8"/>
  <c r="D13" i="8"/>
  <c r="E13" i="8"/>
  <c r="E9" i="8" s="1"/>
  <c r="E46" i="8" s="1"/>
  <c r="F13" i="8"/>
  <c r="G13" i="8"/>
  <c r="H13" i="8"/>
  <c r="I13" i="8"/>
  <c r="J13" i="8"/>
  <c r="K13" i="8"/>
  <c r="L13" i="8"/>
  <c r="M13" i="8"/>
  <c r="M9" i="8" s="1"/>
  <c r="M46" i="8" s="1"/>
  <c r="C11" i="8"/>
  <c r="D11" i="8"/>
  <c r="E11" i="8"/>
  <c r="F11" i="8"/>
  <c r="G11" i="8"/>
  <c r="G9" i="8" s="1"/>
  <c r="G46" i="8" s="1"/>
  <c r="H11" i="8"/>
  <c r="I11" i="8"/>
  <c r="J11" i="8"/>
  <c r="K11" i="8"/>
  <c r="L11" i="8"/>
  <c r="M11" i="8"/>
  <c r="F30" i="7"/>
  <c r="E30" i="7"/>
  <c r="D30" i="7"/>
  <c r="C30" i="7"/>
  <c r="F28" i="7"/>
  <c r="G28" i="7" s="1"/>
  <c r="E28" i="7"/>
  <c r="D28" i="7"/>
  <c r="C28" i="7"/>
  <c r="F26" i="7"/>
  <c r="E26" i="7"/>
  <c r="G26" i="7" s="1"/>
  <c r="D26" i="7"/>
  <c r="C26" i="7"/>
  <c r="F24" i="7"/>
  <c r="G24" i="7" s="1"/>
  <c r="E24" i="7"/>
  <c r="D24" i="7"/>
  <c r="C24" i="7"/>
  <c r="E20" i="7"/>
  <c r="D20" i="7"/>
  <c r="F20" i="7"/>
  <c r="F22" i="7"/>
  <c r="E22" i="7"/>
  <c r="G22" i="7" s="1"/>
  <c r="D22" i="7"/>
  <c r="C22" i="7"/>
  <c r="C20" i="7"/>
  <c r="G18" i="7"/>
  <c r="C16" i="7"/>
  <c r="D16" i="7"/>
  <c r="E16" i="7"/>
  <c r="F16" i="7"/>
  <c r="C14" i="7"/>
  <c r="D14" i="7"/>
  <c r="E14" i="7"/>
  <c r="E10" i="7" s="1"/>
  <c r="E32" i="7" s="1"/>
  <c r="F14" i="7"/>
  <c r="C12" i="7"/>
  <c r="G12" i="7" s="1"/>
  <c r="D12" i="7"/>
  <c r="E12" i="7"/>
  <c r="F12" i="7"/>
  <c r="H44" i="6"/>
  <c r="F44" i="6"/>
  <c r="E44" i="6"/>
  <c r="H40" i="6"/>
  <c r="H36" i="6"/>
  <c r="H34" i="6"/>
  <c r="H32" i="6"/>
  <c r="H24" i="6"/>
  <c r="H14" i="6"/>
  <c r="H12" i="6"/>
  <c r="G48" i="6"/>
  <c r="I48" i="6" s="1"/>
  <c r="G16" i="6"/>
  <c r="I16" i="6" s="1"/>
  <c r="D31" i="2"/>
  <c r="V33" i="20"/>
  <c r="V26" i="20"/>
  <c r="V12" i="20"/>
  <c r="U12" i="21" s="1"/>
  <c r="V44" i="20"/>
  <c r="U44" i="21" s="1"/>
  <c r="V57" i="20"/>
  <c r="U57" i="21"/>
  <c r="U55" i="21"/>
  <c r="T55" i="21"/>
  <c r="R55" i="21"/>
  <c r="Q55" i="21"/>
  <c r="P55" i="21"/>
  <c r="U54" i="21"/>
  <c r="T54" i="21"/>
  <c r="R54" i="21"/>
  <c r="Q54" i="21"/>
  <c r="P54" i="21"/>
  <c r="U53" i="21"/>
  <c r="T53" i="21"/>
  <c r="R53" i="21"/>
  <c r="Q53" i="21"/>
  <c r="P53" i="21"/>
  <c r="U52" i="21"/>
  <c r="T52" i="21"/>
  <c r="R52" i="21"/>
  <c r="Q52" i="21"/>
  <c r="P52" i="21"/>
  <c r="U51" i="21"/>
  <c r="T51" i="21"/>
  <c r="R51" i="21"/>
  <c r="Q51" i="21"/>
  <c r="P51" i="21"/>
  <c r="U50" i="21"/>
  <c r="T50" i="21"/>
  <c r="R50" i="21"/>
  <c r="Q50" i="21"/>
  <c r="P50" i="21"/>
  <c r="U49" i="21"/>
  <c r="T49" i="21"/>
  <c r="R49" i="21"/>
  <c r="Q49" i="21"/>
  <c r="P49" i="21"/>
  <c r="V42" i="21"/>
  <c r="U42" i="21"/>
  <c r="O42" i="21"/>
  <c r="V41" i="21"/>
  <c r="U41" i="21"/>
  <c r="O41" i="21"/>
  <c r="V40" i="21"/>
  <c r="U40" i="21"/>
  <c r="O40" i="21"/>
  <c r="V39" i="21"/>
  <c r="U39" i="21"/>
  <c r="O39" i="21"/>
  <c r="V38" i="21"/>
  <c r="U38" i="21"/>
  <c r="O38" i="21"/>
  <c r="V37" i="21"/>
  <c r="U37" i="21"/>
  <c r="O37" i="21"/>
  <c r="V36" i="21"/>
  <c r="U36" i="21"/>
  <c r="O36" i="21"/>
  <c r="U31" i="21"/>
  <c r="T31" i="21"/>
  <c r="R31" i="21"/>
  <c r="P31" i="21"/>
  <c r="O31" i="21"/>
  <c r="U30" i="21"/>
  <c r="T30" i="21"/>
  <c r="R30" i="21"/>
  <c r="P30" i="21"/>
  <c r="O30" i="21"/>
  <c r="U29" i="21"/>
  <c r="T29" i="21"/>
  <c r="R29" i="21"/>
  <c r="P29" i="21"/>
  <c r="O29" i="21"/>
  <c r="V28" i="21"/>
  <c r="U28" i="21"/>
  <c r="T28" i="21"/>
  <c r="S28" i="21"/>
  <c r="R28" i="21"/>
  <c r="Q28" i="21"/>
  <c r="P28" i="21"/>
  <c r="O28" i="21"/>
  <c r="N28" i="21"/>
  <c r="U26" i="21"/>
  <c r="U24" i="21"/>
  <c r="U23" i="21"/>
  <c r="U22" i="21"/>
  <c r="U21" i="21"/>
  <c r="U20" i="21"/>
  <c r="U19" i="21"/>
  <c r="U18" i="21"/>
  <c r="U17" i="21"/>
  <c r="U16" i="21"/>
  <c r="U15" i="21"/>
  <c r="U14" i="21"/>
  <c r="V10" i="21"/>
  <c r="U10" i="21"/>
  <c r="T10" i="21"/>
  <c r="R10" i="21"/>
  <c r="Q10" i="21"/>
  <c r="P10" i="21"/>
  <c r="O10" i="21"/>
  <c r="V9" i="21"/>
  <c r="U9" i="21"/>
  <c r="T9" i="21"/>
  <c r="R9" i="21"/>
  <c r="Q9" i="21"/>
  <c r="P9" i="21"/>
  <c r="O9" i="21"/>
  <c r="V8" i="21"/>
  <c r="U8" i="21"/>
  <c r="T8" i="21"/>
  <c r="R8" i="21"/>
  <c r="Q8" i="21"/>
  <c r="P8" i="21"/>
  <c r="O8" i="21"/>
  <c r="V7" i="21"/>
  <c r="U7" i="21"/>
  <c r="T7" i="21"/>
  <c r="R7" i="21"/>
  <c r="Q7" i="21"/>
  <c r="P7" i="21"/>
  <c r="O7" i="21"/>
  <c r="M55" i="21"/>
  <c r="M54" i="21"/>
  <c r="M53" i="21"/>
  <c r="M52" i="21"/>
  <c r="M51" i="21"/>
  <c r="M50" i="21"/>
  <c r="M49" i="21"/>
  <c r="M28" i="21"/>
  <c r="F33" i="20"/>
  <c r="F33" i="21" s="1"/>
  <c r="F26" i="20"/>
  <c r="F12" i="20"/>
  <c r="F44" i="20"/>
  <c r="F44" i="21" s="1"/>
  <c r="F57" i="20"/>
  <c r="F57" i="21" s="1"/>
  <c r="K55" i="21"/>
  <c r="J55" i="21"/>
  <c r="I55" i="21"/>
  <c r="G55" i="21"/>
  <c r="F55" i="21"/>
  <c r="E55" i="21"/>
  <c r="K54" i="21"/>
  <c r="J54" i="21"/>
  <c r="I54" i="21"/>
  <c r="G54" i="21"/>
  <c r="F54" i="21"/>
  <c r="E54" i="21"/>
  <c r="K53" i="21"/>
  <c r="J53" i="21"/>
  <c r="I53" i="21"/>
  <c r="G53" i="21"/>
  <c r="F53" i="21"/>
  <c r="E53" i="21"/>
  <c r="K52" i="21"/>
  <c r="J52" i="21"/>
  <c r="I52" i="21"/>
  <c r="G52" i="21"/>
  <c r="F52" i="21"/>
  <c r="E52" i="21"/>
  <c r="K51" i="21"/>
  <c r="J51" i="21"/>
  <c r="I51" i="21"/>
  <c r="G51" i="21"/>
  <c r="F51" i="21"/>
  <c r="E51" i="21"/>
  <c r="K50" i="21"/>
  <c r="J50" i="21"/>
  <c r="I50" i="21"/>
  <c r="G50" i="21"/>
  <c r="F50" i="21"/>
  <c r="E50" i="21"/>
  <c r="K49" i="21"/>
  <c r="J49" i="21"/>
  <c r="I49" i="21"/>
  <c r="G49" i="21"/>
  <c r="F49" i="21"/>
  <c r="E49" i="21"/>
  <c r="J42" i="21"/>
  <c r="I42" i="21"/>
  <c r="G42" i="21"/>
  <c r="F42" i="21"/>
  <c r="J41" i="21"/>
  <c r="I41" i="21"/>
  <c r="G41" i="21"/>
  <c r="F41" i="21"/>
  <c r="J40" i="21"/>
  <c r="I40" i="21"/>
  <c r="G40" i="21"/>
  <c r="F40" i="21"/>
  <c r="J39" i="21"/>
  <c r="I39" i="21"/>
  <c r="G39" i="21"/>
  <c r="F39" i="21"/>
  <c r="J38" i="21"/>
  <c r="I38" i="21"/>
  <c r="G38" i="21"/>
  <c r="F38" i="21"/>
  <c r="J37" i="21"/>
  <c r="I37" i="21"/>
  <c r="G37" i="21"/>
  <c r="F37" i="21"/>
  <c r="J36" i="21"/>
  <c r="I36" i="21"/>
  <c r="G36" i="21"/>
  <c r="F36" i="21"/>
  <c r="L31" i="21"/>
  <c r="J31" i="21"/>
  <c r="I31" i="21"/>
  <c r="F31" i="21"/>
  <c r="E31" i="21"/>
  <c r="L30" i="21"/>
  <c r="J30" i="21"/>
  <c r="I30" i="21"/>
  <c r="F30" i="21"/>
  <c r="E30" i="21"/>
  <c r="L29" i="21"/>
  <c r="J29" i="21"/>
  <c r="I29" i="21"/>
  <c r="F29" i="21"/>
  <c r="E29" i="21"/>
  <c r="L28" i="21"/>
  <c r="K28" i="21"/>
  <c r="J28" i="21"/>
  <c r="I28" i="21"/>
  <c r="H28" i="21"/>
  <c r="G28" i="21"/>
  <c r="F28" i="21"/>
  <c r="E28" i="21"/>
  <c r="D28" i="21"/>
  <c r="F26" i="21"/>
  <c r="J24" i="21"/>
  <c r="I24" i="21"/>
  <c r="F24" i="21"/>
  <c r="E24" i="21"/>
  <c r="J23" i="21"/>
  <c r="I23" i="21"/>
  <c r="F23" i="21"/>
  <c r="E23" i="21"/>
  <c r="J22" i="21"/>
  <c r="I22" i="21"/>
  <c r="F22" i="21"/>
  <c r="E22" i="21"/>
  <c r="J21" i="21"/>
  <c r="I21" i="21"/>
  <c r="F21" i="21"/>
  <c r="E21" i="21"/>
  <c r="J20" i="21"/>
  <c r="I20" i="21"/>
  <c r="F20" i="21"/>
  <c r="E20" i="21"/>
  <c r="J19" i="21"/>
  <c r="I19" i="21"/>
  <c r="F19" i="21"/>
  <c r="E19" i="21"/>
  <c r="J18" i="21"/>
  <c r="I18" i="21"/>
  <c r="F18" i="21"/>
  <c r="E18" i="21"/>
  <c r="J17" i="21"/>
  <c r="I17" i="21"/>
  <c r="F17" i="21"/>
  <c r="E17" i="21"/>
  <c r="J16" i="21"/>
  <c r="I16" i="21"/>
  <c r="F16" i="21"/>
  <c r="E16" i="21"/>
  <c r="J15" i="21"/>
  <c r="I15" i="21"/>
  <c r="F15" i="21"/>
  <c r="E15" i="21"/>
  <c r="J14" i="21"/>
  <c r="I14" i="21"/>
  <c r="F14" i="21"/>
  <c r="E14" i="21"/>
  <c r="F12" i="21"/>
  <c r="L10" i="21"/>
  <c r="K10" i="21"/>
  <c r="F10" i="21"/>
  <c r="L9" i="21"/>
  <c r="K9" i="21"/>
  <c r="F9" i="21"/>
  <c r="L8" i="21"/>
  <c r="K8" i="21"/>
  <c r="F8" i="21"/>
  <c r="L7" i="21"/>
  <c r="K7" i="21"/>
  <c r="F7" i="21"/>
  <c r="C28" i="21"/>
  <c r="M28" i="20"/>
  <c r="X28" i="20" s="1"/>
  <c r="M29" i="20"/>
  <c r="X29" i="20" s="1"/>
  <c r="M30" i="20"/>
  <c r="X30" i="20" s="1"/>
  <c r="M31" i="20"/>
  <c r="X31" i="20" s="1"/>
  <c r="M14" i="20"/>
  <c r="X14" i="20" s="1"/>
  <c r="M15" i="20"/>
  <c r="X15" i="20" s="1"/>
  <c r="M16" i="20"/>
  <c r="X16" i="20" s="1"/>
  <c r="M17" i="20"/>
  <c r="X17" i="20" s="1"/>
  <c r="M18" i="20"/>
  <c r="M19" i="20"/>
  <c r="X19" i="20" s="1"/>
  <c r="M20" i="20"/>
  <c r="X20" i="20" s="1"/>
  <c r="M21" i="20"/>
  <c r="X21" i="20"/>
  <c r="M22" i="20"/>
  <c r="X22" i="20" s="1"/>
  <c r="M23" i="20"/>
  <c r="X23" i="20"/>
  <c r="M24" i="20"/>
  <c r="X24" i="20" s="1"/>
  <c r="M7" i="20"/>
  <c r="X7" i="20" s="1"/>
  <c r="M8" i="20"/>
  <c r="X8" i="20" s="1"/>
  <c r="M9" i="20"/>
  <c r="M10" i="20"/>
  <c r="X10" i="20" s="1"/>
  <c r="M36" i="20"/>
  <c r="X36" i="20" s="1"/>
  <c r="M37" i="20"/>
  <c r="X37" i="20" s="1"/>
  <c r="M39" i="20"/>
  <c r="X39" i="20" s="1"/>
  <c r="M40" i="20"/>
  <c r="M41" i="20"/>
  <c r="X41" i="20" s="1"/>
  <c r="M42" i="20"/>
  <c r="X42" i="20" s="1"/>
  <c r="M49" i="20"/>
  <c r="M50" i="20"/>
  <c r="X50" i="20" s="1"/>
  <c r="M51" i="20"/>
  <c r="X51" i="20" s="1"/>
  <c r="M52" i="20"/>
  <c r="X52" i="20" s="1"/>
  <c r="M53" i="20"/>
  <c r="E15" i="29" s="1"/>
  <c r="M54" i="20"/>
  <c r="X54" i="20"/>
  <c r="M55" i="20"/>
  <c r="X55" i="20" s="1"/>
  <c r="D23" i="1"/>
  <c r="I65" i="25"/>
  <c r="C10" i="24"/>
  <c r="E13" i="24" s="1"/>
  <c r="C15" i="24"/>
  <c r="E16" i="24" s="1"/>
  <c r="D52" i="4"/>
  <c r="G52" i="4" s="1"/>
  <c r="E52" i="4"/>
  <c r="F52" i="4"/>
  <c r="G10" i="4"/>
  <c r="D49" i="4" s="1"/>
  <c r="D10" i="5"/>
  <c r="D53" i="5" s="1"/>
  <c r="E10" i="5"/>
  <c r="F49" i="4" s="1"/>
  <c r="G12" i="4"/>
  <c r="D50" i="4" s="1"/>
  <c r="E50" i="4"/>
  <c r="F50" i="4"/>
  <c r="G14" i="4"/>
  <c r="D51" i="4" s="1"/>
  <c r="E51" i="4"/>
  <c r="F51" i="4"/>
  <c r="G18" i="3"/>
  <c r="G18" i="4"/>
  <c r="D53" i="4" s="1"/>
  <c r="G53" i="4" s="1"/>
  <c r="E53" i="4"/>
  <c r="F53" i="4"/>
  <c r="G54" i="4"/>
  <c r="C10" i="5"/>
  <c r="C53" i="5" s="1"/>
  <c r="F10" i="5"/>
  <c r="F53" i="5" s="1"/>
  <c r="V50" i="31"/>
  <c r="V60" i="31"/>
  <c r="M48" i="31"/>
  <c r="M51" i="31"/>
  <c r="M58" i="31"/>
  <c r="M60" i="31"/>
  <c r="M50" i="31"/>
  <c r="M22" i="31"/>
  <c r="N30" i="31"/>
  <c r="N34" i="31"/>
  <c r="N36" i="31"/>
  <c r="N28" i="31"/>
  <c r="N42" i="31"/>
  <c r="X42" i="31" s="1"/>
  <c r="Y42" i="31" s="1"/>
  <c r="N56" i="31"/>
  <c r="N58" i="31"/>
  <c r="N60" i="31"/>
  <c r="O58" i="31"/>
  <c r="P58" i="31"/>
  <c r="P50" i="31"/>
  <c r="Q30" i="31"/>
  <c r="Q34" i="31" s="1"/>
  <c r="Q36" i="31"/>
  <c r="Q48" i="31"/>
  <c r="Q54" i="31"/>
  <c r="Q58" i="31"/>
  <c r="Q50" i="31"/>
  <c r="R30" i="31"/>
  <c r="R34" i="31" s="1"/>
  <c r="R36" i="31"/>
  <c r="R28" i="31"/>
  <c r="R58" i="31"/>
  <c r="R50" i="31"/>
  <c r="S30" i="31"/>
  <c r="S34" i="31" s="1"/>
  <c r="S48" i="31" s="1"/>
  <c r="S36" i="31"/>
  <c r="S42" i="31"/>
  <c r="U30" i="31"/>
  <c r="U34" i="31" s="1"/>
  <c r="U36" i="31"/>
  <c r="U60" i="31"/>
  <c r="C26" i="11"/>
  <c r="T26" i="31"/>
  <c r="C26" i="31"/>
  <c r="E26" i="31"/>
  <c r="E30" i="31"/>
  <c r="E34" i="31" s="1"/>
  <c r="E48" i="31" s="1"/>
  <c r="E36" i="31"/>
  <c r="E40" i="31"/>
  <c r="E42" i="31"/>
  <c r="E58" i="31"/>
  <c r="E50" i="31"/>
  <c r="F26" i="31"/>
  <c r="I8" i="31"/>
  <c r="I26" i="31" s="1"/>
  <c r="I30" i="31"/>
  <c r="I34" i="31" s="1"/>
  <c r="I48" i="31" s="1"/>
  <c r="I36" i="31"/>
  <c r="I58" i="31"/>
  <c r="D26" i="31"/>
  <c r="D30" i="31"/>
  <c r="D36" i="31"/>
  <c r="D46" i="31"/>
  <c r="D51" i="31"/>
  <c r="D56" i="31"/>
  <c r="D58" i="31"/>
  <c r="D50" i="31"/>
  <c r="L51" i="31"/>
  <c r="W66" i="31"/>
  <c r="T66" i="31"/>
  <c r="T70" i="31" s="1"/>
  <c r="K66" i="31"/>
  <c r="J66" i="31"/>
  <c r="H66" i="31"/>
  <c r="G66" i="31"/>
  <c r="G70" i="31" s="1"/>
  <c r="G71" i="31" s="1"/>
  <c r="F66" i="31"/>
  <c r="V38" i="23"/>
  <c r="V48" i="23"/>
  <c r="M14" i="23"/>
  <c r="M46" i="23"/>
  <c r="M48" i="23"/>
  <c r="M38" i="23"/>
  <c r="N22" i="23"/>
  <c r="N36" i="23" s="1"/>
  <c r="N24" i="23"/>
  <c r="N20" i="23"/>
  <c r="N30" i="23"/>
  <c r="N42" i="23"/>
  <c r="N44" i="23"/>
  <c r="N46" i="23"/>
  <c r="N48" i="23"/>
  <c r="O46" i="23"/>
  <c r="P46" i="23"/>
  <c r="P38" i="23"/>
  <c r="Q22" i="23"/>
  <c r="Q36" i="23" s="1"/>
  <c r="Q24" i="23"/>
  <c r="Q42" i="23"/>
  <c r="Q46" i="23"/>
  <c r="Q38" i="23"/>
  <c r="R22" i="23"/>
  <c r="R24" i="23"/>
  <c r="R20" i="23"/>
  <c r="R46" i="23"/>
  <c r="R48" i="23"/>
  <c r="R38" i="23"/>
  <c r="S22" i="23"/>
  <c r="S24" i="23"/>
  <c r="S30" i="23"/>
  <c r="U22" i="23"/>
  <c r="U24" i="23"/>
  <c r="U48" i="23"/>
  <c r="T18" i="23"/>
  <c r="C18" i="23"/>
  <c r="E18" i="23"/>
  <c r="E22" i="23"/>
  <c r="E36" i="23" s="1"/>
  <c r="E24" i="23"/>
  <c r="E28" i="23"/>
  <c r="E30" i="23"/>
  <c r="L30" i="23" s="1"/>
  <c r="E46" i="23"/>
  <c r="E38" i="23"/>
  <c r="F18" i="23"/>
  <c r="I8" i="23"/>
  <c r="I18" i="23" s="1"/>
  <c r="I22" i="23"/>
  <c r="I24" i="23"/>
  <c r="I46" i="23"/>
  <c r="I48" i="23"/>
  <c r="D18" i="23"/>
  <c r="D22" i="23"/>
  <c r="D24" i="23"/>
  <c r="L24" i="23" s="1"/>
  <c r="D34" i="23"/>
  <c r="D39" i="23"/>
  <c r="L39" i="23" s="1"/>
  <c r="D44" i="23"/>
  <c r="D46" i="23"/>
  <c r="D38" i="23"/>
  <c r="X39" i="23"/>
  <c r="Y39" i="23"/>
  <c r="F70" i="31"/>
  <c r="H70" i="31"/>
  <c r="H71" i="31" s="1"/>
  <c r="J70" i="31"/>
  <c r="K70" i="31"/>
  <c r="X46" i="31"/>
  <c r="X32" i="31"/>
  <c r="X51" i="31"/>
  <c r="Y51" i="31" s="1"/>
  <c r="L46" i="31"/>
  <c r="Y46" i="31"/>
  <c r="L42" i="31"/>
  <c r="L40" i="31"/>
  <c r="J58" i="23"/>
  <c r="H58" i="23"/>
  <c r="H40" i="23" s="1"/>
  <c r="G58" i="23"/>
  <c r="G40" i="23" s="1"/>
  <c r="F58" i="23"/>
  <c r="C23" i="3"/>
  <c r="D23" i="3"/>
  <c r="E23" i="3"/>
  <c r="F23" i="3"/>
  <c r="F16" i="23"/>
  <c r="L16" i="23"/>
  <c r="Y16" i="23" s="1"/>
  <c r="C14" i="23"/>
  <c r="E14" i="23"/>
  <c r="D14" i="23"/>
  <c r="C12" i="23"/>
  <c r="E12" i="23"/>
  <c r="D12" i="23"/>
  <c r="F12" i="23"/>
  <c r="L12" i="23" s="1"/>
  <c r="C10" i="23"/>
  <c r="E10" i="23"/>
  <c r="D10" i="23"/>
  <c r="F10" i="23"/>
  <c r="C8" i="23"/>
  <c r="E8" i="23"/>
  <c r="F8" i="23"/>
  <c r="D8" i="23"/>
  <c r="L8" i="23"/>
  <c r="L25" i="29"/>
  <c r="K25" i="29"/>
  <c r="G25" i="29"/>
  <c r="F25" i="29"/>
  <c r="B25" i="29"/>
  <c r="E9" i="37"/>
  <c r="F9" i="37"/>
  <c r="F36" i="37" s="1"/>
  <c r="G9" i="10"/>
  <c r="G26" i="10" s="1"/>
  <c r="H47" i="5"/>
  <c r="H41" i="5"/>
  <c r="H39" i="5"/>
  <c r="H37" i="5"/>
  <c r="H35" i="5"/>
  <c r="H28" i="5"/>
  <c r="H26" i="5"/>
  <c r="H24" i="5"/>
  <c r="H16" i="5"/>
  <c r="H14" i="5"/>
  <c r="C21" i="24"/>
  <c r="C20" i="24" s="1"/>
  <c r="H65" i="26" s="1"/>
  <c r="C26" i="24"/>
  <c r="E27" i="24" s="1"/>
  <c r="E28" i="24"/>
  <c r="C41" i="24"/>
  <c r="D43" i="24" s="1"/>
  <c r="M7" i="29"/>
  <c r="M8" i="29"/>
  <c r="M10" i="29"/>
  <c r="N23" i="29"/>
  <c r="O23" i="29" s="1"/>
  <c r="N18" i="29"/>
  <c r="O18" i="29" s="1"/>
  <c r="N17" i="29"/>
  <c r="O17" i="29" s="1"/>
  <c r="M9" i="29"/>
  <c r="N9" i="29" s="1"/>
  <c r="O9" i="29" s="1"/>
  <c r="D27" i="29"/>
  <c r="E7" i="29"/>
  <c r="E10" i="29"/>
  <c r="D6" i="29"/>
  <c r="D11" i="29" s="1"/>
  <c r="D15" i="29" s="1"/>
  <c r="D19" i="29" s="1"/>
  <c r="D28" i="29" s="1"/>
  <c r="D7" i="29"/>
  <c r="D8" i="29"/>
  <c r="D10" i="29"/>
  <c r="B6" i="29"/>
  <c r="C6" i="29"/>
  <c r="F6" i="29"/>
  <c r="G6" i="29"/>
  <c r="K6" i="29"/>
  <c r="L6" i="29"/>
  <c r="M6" i="29"/>
  <c r="B7" i="29"/>
  <c r="C7" i="29"/>
  <c r="F7" i="29"/>
  <c r="F11" i="29" s="1"/>
  <c r="G7" i="29"/>
  <c r="K7" i="29"/>
  <c r="L7" i="29"/>
  <c r="L11" i="29" s="1"/>
  <c r="B8" i="29"/>
  <c r="C8" i="29"/>
  <c r="F8" i="29"/>
  <c r="G8" i="29"/>
  <c r="K8" i="29"/>
  <c r="L8" i="29"/>
  <c r="B10" i="29"/>
  <c r="C10" i="29"/>
  <c r="F10" i="29"/>
  <c r="G10" i="29"/>
  <c r="K10" i="29"/>
  <c r="L10" i="29"/>
  <c r="B11" i="29"/>
  <c r="E13" i="29"/>
  <c r="N13" i="29" s="1"/>
  <c r="O13" i="29" s="1"/>
  <c r="E16" i="29"/>
  <c r="E12" i="29"/>
  <c r="C13" i="29"/>
  <c r="F13" i="29"/>
  <c r="G13" i="29"/>
  <c r="K13" i="29"/>
  <c r="M13" i="29"/>
  <c r="B13" i="29"/>
  <c r="C14" i="29"/>
  <c r="G14" i="29"/>
  <c r="M14" i="29"/>
  <c r="B14" i="29"/>
  <c r="B19" i="29" s="1"/>
  <c r="C15" i="29"/>
  <c r="G15" i="29"/>
  <c r="M15" i="29"/>
  <c r="B15" i="29"/>
  <c r="C16" i="29"/>
  <c r="N16" i="29" s="1"/>
  <c r="O16" i="29" s="1"/>
  <c r="F16" i="29"/>
  <c r="M16" i="29"/>
  <c r="C22" i="29"/>
  <c r="C20" i="29" s="1"/>
  <c r="F22" i="29"/>
  <c r="G22" i="29"/>
  <c r="G20" i="29" s="1"/>
  <c r="K22" i="29"/>
  <c r="L22" i="29"/>
  <c r="M22" i="29"/>
  <c r="M20" i="29" s="1"/>
  <c r="K21" i="29"/>
  <c r="L21" i="29"/>
  <c r="M21" i="29"/>
  <c r="B21" i="29"/>
  <c r="B22" i="29"/>
  <c r="C24" i="29"/>
  <c r="F24" i="29"/>
  <c r="G24" i="29"/>
  <c r="K24" i="29"/>
  <c r="L24" i="29"/>
  <c r="F20" i="29"/>
  <c r="B12" i="29"/>
  <c r="C12" i="29"/>
  <c r="F12" i="29"/>
  <c r="G12" i="29"/>
  <c r="K12" i="29"/>
  <c r="K19" i="29" s="1"/>
  <c r="M12" i="29"/>
  <c r="M19" i="29" s="1"/>
  <c r="L19" i="29"/>
  <c r="G19" i="29"/>
  <c r="N3" i="31"/>
  <c r="S20" i="31"/>
  <c r="L20" i="31"/>
  <c r="L18" i="31"/>
  <c r="P12" i="31"/>
  <c r="W34" i="31"/>
  <c r="W48" i="31" s="1"/>
  <c r="T34" i="31"/>
  <c r="T48" i="31"/>
  <c r="O34" i="31"/>
  <c r="O48" i="31" s="1"/>
  <c r="K34" i="31"/>
  <c r="K48" i="31" s="1"/>
  <c r="J34" i="31"/>
  <c r="J48" i="31"/>
  <c r="J52" i="31" s="1"/>
  <c r="H34" i="31"/>
  <c r="H48" i="31" s="1"/>
  <c r="H52" i="31" s="1"/>
  <c r="G34" i="31"/>
  <c r="G48" i="31" s="1"/>
  <c r="F32" i="31"/>
  <c r="F48" i="31" s="1"/>
  <c r="F71" i="31" s="1"/>
  <c r="V34" i="31"/>
  <c r="V48" i="31" s="1"/>
  <c r="P34" i="31"/>
  <c r="C34" i="31"/>
  <c r="X62" i="31"/>
  <c r="Y62" i="31" s="1"/>
  <c r="X64" i="31"/>
  <c r="L62" i="31"/>
  <c r="L64" i="31"/>
  <c r="Y64" i="31" s="1"/>
  <c r="X38" i="31"/>
  <c r="Y38" i="31" s="1"/>
  <c r="L38" i="31"/>
  <c r="X44" i="31"/>
  <c r="L44" i="31"/>
  <c r="C48" i="31"/>
  <c r="C71" i="31" s="1"/>
  <c r="X24" i="31"/>
  <c r="F10" i="31"/>
  <c r="F16" i="31"/>
  <c r="K26" i="31"/>
  <c r="K52" i="31" s="1"/>
  <c r="O16" i="31"/>
  <c r="O18" i="31"/>
  <c r="O10" i="31"/>
  <c r="O12" i="31" s="1"/>
  <c r="O8" i="31"/>
  <c r="O22" i="31"/>
  <c r="P8" i="31"/>
  <c r="P16" i="31"/>
  <c r="P22" i="31"/>
  <c r="P10" i="31"/>
  <c r="P14" i="31"/>
  <c r="R10" i="31"/>
  <c r="R14" i="31" s="1"/>
  <c r="R16" i="31"/>
  <c r="R18" i="31"/>
  <c r="R8" i="31"/>
  <c r="R22" i="31"/>
  <c r="Q10" i="31"/>
  <c r="Q12" i="31" s="1"/>
  <c r="Q16" i="31"/>
  <c r="Q20" i="31" s="1"/>
  <c r="Q18" i="31" s="1"/>
  <c r="Q8" i="31"/>
  <c r="Q22" i="31"/>
  <c r="V16" i="31"/>
  <c r="V20" i="31" s="1"/>
  <c r="V8" i="31"/>
  <c r="V10" i="31"/>
  <c r="V22" i="31"/>
  <c r="F8" i="31"/>
  <c r="F24" i="31"/>
  <c r="E8" i="31"/>
  <c r="E16" i="31"/>
  <c r="E22" i="31"/>
  <c r="C22" i="31"/>
  <c r="E10" i="31"/>
  <c r="X40" i="31"/>
  <c r="C10" i="31"/>
  <c r="C12" i="31"/>
  <c r="U8" i="31"/>
  <c r="U10" i="31"/>
  <c r="U16" i="31"/>
  <c r="U22" i="31"/>
  <c r="S8" i="31"/>
  <c r="S10" i="31"/>
  <c r="S14" i="31" s="1"/>
  <c r="S16" i="31"/>
  <c r="S18" i="31"/>
  <c r="S22" i="31"/>
  <c r="D8" i="31"/>
  <c r="L8" i="31" s="1"/>
  <c r="D10" i="31"/>
  <c r="D16" i="31"/>
  <c r="C16" i="31"/>
  <c r="L16" i="31" s="1"/>
  <c r="L58" i="31"/>
  <c r="C8" i="31"/>
  <c r="D24" i="31"/>
  <c r="L24" i="31" s="1"/>
  <c r="Y24" i="31" s="1"/>
  <c r="N8" i="31"/>
  <c r="N22" i="31"/>
  <c r="M8" i="31"/>
  <c r="M10" i="31"/>
  <c r="M12" i="31" s="1"/>
  <c r="N10" i="31"/>
  <c r="N16" i="31"/>
  <c r="N18" i="31"/>
  <c r="X32" i="23"/>
  <c r="Y32" i="23" s="1"/>
  <c r="X26" i="23"/>
  <c r="Y26" i="23" s="1"/>
  <c r="X16" i="23"/>
  <c r="L26" i="23"/>
  <c r="L32" i="23"/>
  <c r="T54" i="23"/>
  <c r="T58" i="23" s="1"/>
  <c r="T59" i="23" s="1"/>
  <c r="T36" i="23"/>
  <c r="J36" i="23"/>
  <c r="J40" i="23" s="1"/>
  <c r="K36" i="23"/>
  <c r="K54" i="23"/>
  <c r="K58" i="23" s="1"/>
  <c r="K59" i="23" s="1"/>
  <c r="G59" i="23"/>
  <c r="H59" i="23"/>
  <c r="C36" i="23"/>
  <c r="C59" i="23"/>
  <c r="W36" i="23"/>
  <c r="O36" i="23"/>
  <c r="K18" i="23"/>
  <c r="K40" i="23" s="1"/>
  <c r="X50" i="23"/>
  <c r="X52" i="23"/>
  <c r="L50" i="23"/>
  <c r="L52" i="23"/>
  <c r="F36" i="23"/>
  <c r="M8" i="23"/>
  <c r="N8" i="23"/>
  <c r="O8" i="23"/>
  <c r="P8" i="23"/>
  <c r="Q8" i="23"/>
  <c r="R8" i="23"/>
  <c r="S8" i="23"/>
  <c r="U8" i="23"/>
  <c r="V8" i="23"/>
  <c r="M10" i="23"/>
  <c r="N10" i="23"/>
  <c r="O10" i="23"/>
  <c r="P10" i="23"/>
  <c r="Q10" i="23"/>
  <c r="R10" i="23"/>
  <c r="S10" i="23"/>
  <c r="U10" i="23"/>
  <c r="V10" i="23"/>
  <c r="N12" i="23"/>
  <c r="O12" i="23"/>
  <c r="P12" i="23"/>
  <c r="Q12" i="23"/>
  <c r="R12" i="23"/>
  <c r="S12" i="23"/>
  <c r="U12" i="23"/>
  <c r="V12" i="23"/>
  <c r="N14" i="23"/>
  <c r="O14" i="23"/>
  <c r="P14" i="23"/>
  <c r="Q14" i="23"/>
  <c r="R14" i="23"/>
  <c r="S14" i="23"/>
  <c r="U14" i="23"/>
  <c r="V14" i="23"/>
  <c r="X20" i="23"/>
  <c r="X28" i="23"/>
  <c r="X34" i="23"/>
  <c r="Y34" i="23" s="1"/>
  <c r="L28" i="23"/>
  <c r="L34" i="23"/>
  <c r="V36" i="23"/>
  <c r="P36" i="23"/>
  <c r="L22" i="23"/>
  <c r="M36" i="23"/>
  <c r="E10" i="1"/>
  <c r="E18" i="1"/>
  <c r="E16" i="1"/>
  <c r="E14" i="1"/>
  <c r="E23" i="1"/>
  <c r="E12" i="1"/>
  <c r="D25" i="19"/>
  <c r="G59" i="27"/>
  <c r="D10" i="4"/>
  <c r="D65" i="4" s="1"/>
  <c r="F10" i="4"/>
  <c r="E66" i="4"/>
  <c r="C10" i="4"/>
  <c r="C65" i="4" s="1"/>
  <c r="D12" i="4"/>
  <c r="D67" i="4"/>
  <c r="F12" i="4"/>
  <c r="E68" i="4" s="1"/>
  <c r="C12" i="4"/>
  <c r="C67" i="4" s="1"/>
  <c r="D14" i="4"/>
  <c r="D69" i="4" s="1"/>
  <c r="F14" i="4"/>
  <c r="E70" i="4" s="1"/>
  <c r="C14" i="4"/>
  <c r="C69" i="4" s="1"/>
  <c r="D76" i="4"/>
  <c r="C71" i="4"/>
  <c r="E71" i="4"/>
  <c r="C18" i="4"/>
  <c r="C74" i="4" s="1"/>
  <c r="E74" i="4" s="1"/>
  <c r="C72" i="4"/>
  <c r="E10" i="2"/>
  <c r="E31" i="2"/>
  <c r="E14" i="2"/>
  <c r="E12" i="2"/>
  <c r="E26" i="2"/>
  <c r="E20" i="2"/>
  <c r="E18" i="2"/>
  <c r="E16" i="2"/>
  <c r="E22" i="2"/>
  <c r="E20" i="28"/>
  <c r="F19" i="28" s="1"/>
  <c r="M33" i="28"/>
  <c r="N29" i="28" s="1"/>
  <c r="N31" i="28"/>
  <c r="M47" i="28"/>
  <c r="N43" i="28"/>
  <c r="K45" i="28"/>
  <c r="I45" i="28"/>
  <c r="G45" i="28"/>
  <c r="E45" i="28"/>
  <c r="C45" i="28"/>
  <c r="E8" i="28"/>
  <c r="F6" i="28" s="1"/>
  <c r="F7" i="28"/>
  <c r="C20" i="28"/>
  <c r="D16" i="28" s="1"/>
  <c r="D18" i="28"/>
  <c r="D15" i="28"/>
  <c r="C8" i="28"/>
  <c r="G23" i="3"/>
  <c r="E10" i="4"/>
  <c r="F18" i="4"/>
  <c r="E18" i="4"/>
  <c r="D18" i="4"/>
  <c r="E14" i="4"/>
  <c r="E23" i="4" s="1"/>
  <c r="C23" i="4"/>
  <c r="E12" i="4"/>
  <c r="E32" i="4"/>
  <c r="F9" i="8"/>
  <c r="I9" i="8"/>
  <c r="L9" i="8"/>
  <c r="L46" i="8" s="1"/>
  <c r="C10" i="9"/>
  <c r="C21" i="26"/>
  <c r="O56" i="31" l="1"/>
  <c r="O44" i="23"/>
  <c r="F20" i="17"/>
  <c r="R56" i="31"/>
  <c r="R44" i="23"/>
  <c r="E69" i="4"/>
  <c r="C70" i="4" s="1"/>
  <c r="D70" i="4" s="1"/>
  <c r="I66" i="31"/>
  <c r="I70" i="31" s="1"/>
  <c r="I52" i="31" s="1"/>
  <c r="F38" i="6"/>
  <c r="Q44" i="21"/>
  <c r="F38" i="14" s="1"/>
  <c r="U50" i="31"/>
  <c r="U38" i="23"/>
  <c r="H32" i="14"/>
  <c r="H32" i="13"/>
  <c r="H24" i="14"/>
  <c r="H24" i="13"/>
  <c r="H34" i="13"/>
  <c r="H34" i="14"/>
  <c r="G18" i="15"/>
  <c r="I56" i="31"/>
  <c r="I44" i="23"/>
  <c r="I54" i="23" s="1"/>
  <c r="I58" i="23" s="1"/>
  <c r="O66" i="31"/>
  <c r="O70" i="31" s="1"/>
  <c r="O71" i="31" s="1"/>
  <c r="G12" i="15"/>
  <c r="N14" i="16"/>
  <c r="M42" i="23"/>
  <c r="M54" i="31"/>
  <c r="H12" i="38"/>
  <c r="F10" i="7"/>
  <c r="F32" i="7" s="1"/>
  <c r="D17" i="28"/>
  <c r="Y52" i="23"/>
  <c r="G21" i="29"/>
  <c r="G11" i="29"/>
  <c r="D50" i="24"/>
  <c r="E11" i="24"/>
  <c r="M33" i="20"/>
  <c r="H30" i="5"/>
  <c r="L46" i="23"/>
  <c r="E49" i="4"/>
  <c r="E55" i="4" s="1"/>
  <c r="H18" i="6"/>
  <c r="D44" i="6"/>
  <c r="G44" i="6" s="1"/>
  <c r="I44" i="6" s="1"/>
  <c r="G14" i="7"/>
  <c r="G16" i="7"/>
  <c r="N15" i="8"/>
  <c r="N19" i="8"/>
  <c r="F29" i="9"/>
  <c r="H44" i="13"/>
  <c r="H44" i="21"/>
  <c r="F20" i="14" s="1"/>
  <c r="T12" i="21"/>
  <c r="C44" i="14" s="1"/>
  <c r="G44" i="14" s="1"/>
  <c r="I44" i="14" s="1"/>
  <c r="D14" i="38"/>
  <c r="D24" i="38"/>
  <c r="H24" i="38" s="1"/>
  <c r="H16" i="18"/>
  <c r="C24" i="18"/>
  <c r="F30" i="17"/>
  <c r="G38" i="6"/>
  <c r="I38" i="6" s="1"/>
  <c r="Y28" i="23"/>
  <c r="Y50" i="23"/>
  <c r="X10" i="31"/>
  <c r="C21" i="29"/>
  <c r="C27" i="29" s="1"/>
  <c r="D49" i="24"/>
  <c r="H33" i="5"/>
  <c r="Q48" i="23"/>
  <c r="P48" i="23"/>
  <c r="X48" i="23" s="1"/>
  <c r="E60" i="31"/>
  <c r="E53" i="5"/>
  <c r="C76" i="4" s="1"/>
  <c r="F47" i="20"/>
  <c r="H20" i="6"/>
  <c r="G30" i="7"/>
  <c r="H28" i="37"/>
  <c r="N47" i="20"/>
  <c r="U47" i="20"/>
  <c r="E12" i="21"/>
  <c r="C14" i="14" s="1"/>
  <c r="G57" i="21"/>
  <c r="H57" i="21"/>
  <c r="G34" i="14"/>
  <c r="I34" i="14" s="1"/>
  <c r="R57" i="21"/>
  <c r="G20" i="15"/>
  <c r="F12" i="17"/>
  <c r="H38" i="21"/>
  <c r="D18" i="38" s="1"/>
  <c r="C34" i="38"/>
  <c r="C12" i="18"/>
  <c r="H12" i="18" s="1"/>
  <c r="D30" i="6"/>
  <c r="D28" i="6"/>
  <c r="F22" i="6"/>
  <c r="F9" i="6" s="1"/>
  <c r="F50" i="6" s="1"/>
  <c r="D21" i="24"/>
  <c r="D26" i="24" s="1"/>
  <c r="H67" i="26" s="1"/>
  <c r="D10" i="7"/>
  <c r="D32" i="7" s="1"/>
  <c r="J9" i="8"/>
  <c r="Y44" i="31"/>
  <c r="L20" i="29"/>
  <c r="L27" i="29" s="1"/>
  <c r="L28" i="29" s="1"/>
  <c r="E22" i="29"/>
  <c r="N22" i="29" s="1"/>
  <c r="O22" i="29" s="1"/>
  <c r="D47" i="24"/>
  <c r="E36" i="37"/>
  <c r="U46" i="23"/>
  <c r="X46" i="23" s="1"/>
  <c r="Q44" i="23"/>
  <c r="Q60" i="31"/>
  <c r="X60" i="31" s="1"/>
  <c r="H30" i="6"/>
  <c r="F11" i="9"/>
  <c r="H14" i="10"/>
  <c r="H16" i="10"/>
  <c r="E44" i="21"/>
  <c r="F14" i="14" s="1"/>
  <c r="G20" i="14"/>
  <c r="N10" i="16"/>
  <c r="N30" i="16"/>
  <c r="F16" i="17"/>
  <c r="C16" i="38"/>
  <c r="H16" i="38" s="1"/>
  <c r="H26" i="38"/>
  <c r="C14" i="18"/>
  <c r="H14" i="18" s="1"/>
  <c r="B20" i="29"/>
  <c r="E76" i="4"/>
  <c r="D52" i="24"/>
  <c r="C11" i="29"/>
  <c r="D48" i="24"/>
  <c r="H20" i="37"/>
  <c r="H26" i="18"/>
  <c r="I46" i="8"/>
  <c r="N32" i="28"/>
  <c r="D23" i="4"/>
  <c r="J59" i="23"/>
  <c r="B24" i="29"/>
  <c r="K20" i="29"/>
  <c r="K27" i="29" s="1"/>
  <c r="K28" i="29" s="1"/>
  <c r="E6" i="29"/>
  <c r="N6" i="29" s="1"/>
  <c r="D46" i="24"/>
  <c r="X30" i="23"/>
  <c r="Y30" i="23" s="1"/>
  <c r="L36" i="31"/>
  <c r="R60" i="31"/>
  <c r="N23" i="8"/>
  <c r="H32" i="37"/>
  <c r="P47" i="20"/>
  <c r="I57" i="21"/>
  <c r="G30" i="14"/>
  <c r="I30" i="14" s="1"/>
  <c r="Q12" i="21"/>
  <c r="C38" i="14" s="1"/>
  <c r="N34" i="16"/>
  <c r="D32" i="38"/>
  <c r="H32" i="38" s="1"/>
  <c r="H18" i="18"/>
  <c r="N28" i="16"/>
  <c r="H28" i="38"/>
  <c r="G23" i="4"/>
  <c r="L22" i="31"/>
  <c r="V18" i="31"/>
  <c r="D45" i="24"/>
  <c r="E22" i="24"/>
  <c r="K71" i="31"/>
  <c r="L38" i="23"/>
  <c r="X58" i="31"/>
  <c r="Y58" i="31" s="1"/>
  <c r="H16" i="37"/>
  <c r="H36" i="13"/>
  <c r="D24" i="18"/>
  <c r="K11" i="29"/>
  <c r="E8" i="29"/>
  <c r="F46" i="8"/>
  <c r="C10" i="7"/>
  <c r="C32" i="7" s="1"/>
  <c r="C40" i="23"/>
  <c r="E14" i="29"/>
  <c r="N14" i="29" s="1"/>
  <c r="O14" i="29" s="1"/>
  <c r="D42" i="24"/>
  <c r="D44" i="24"/>
  <c r="E23" i="24"/>
  <c r="C9" i="37"/>
  <c r="C36" i="37" s="1"/>
  <c r="N38" i="23"/>
  <c r="N54" i="23" s="1"/>
  <c r="N58" i="23" s="1"/>
  <c r="T71" i="31"/>
  <c r="N50" i="31"/>
  <c r="N66" i="31" s="1"/>
  <c r="N70" i="31" s="1"/>
  <c r="N71" i="31" s="1"/>
  <c r="M38" i="20"/>
  <c r="X38" i="20" s="1"/>
  <c r="X44" i="20" s="1"/>
  <c r="R47" i="20"/>
  <c r="K33" i="21"/>
  <c r="E26" i="14" s="1"/>
  <c r="L57" i="21"/>
  <c r="H28" i="13" s="1"/>
  <c r="O12" i="21"/>
  <c r="C34" i="14" s="1"/>
  <c r="G14" i="15"/>
  <c r="D18" i="6"/>
  <c r="X8" i="31"/>
  <c r="Y10" i="31"/>
  <c r="C19" i="29"/>
  <c r="F27" i="29"/>
  <c r="H20" i="38"/>
  <c r="C42" i="6"/>
  <c r="S12" i="21"/>
  <c r="C42" i="14" s="1"/>
  <c r="G42" i="14" s="1"/>
  <c r="T47" i="20"/>
  <c r="F21" i="29"/>
  <c r="N44" i="28"/>
  <c r="N45" i="28"/>
  <c r="N46" i="28"/>
  <c r="N42" i="28"/>
  <c r="S36" i="23"/>
  <c r="X22" i="23"/>
  <c r="Y22" i="23" s="1"/>
  <c r="H10" i="6"/>
  <c r="D57" i="21"/>
  <c r="H12" i="5"/>
  <c r="X10" i="23"/>
  <c r="X18" i="31"/>
  <c r="Y18" i="31" s="1"/>
  <c r="C14" i="31"/>
  <c r="O20" i="31"/>
  <c r="N21" i="29"/>
  <c r="O21" i="29" s="1"/>
  <c r="E24" i="29"/>
  <c r="X18" i="20"/>
  <c r="M26" i="20"/>
  <c r="S53" i="21"/>
  <c r="E24" i="18" s="1"/>
  <c r="T57" i="20"/>
  <c r="E22" i="10"/>
  <c r="F15" i="29"/>
  <c r="N15" i="29" s="1"/>
  <c r="O15" i="29" s="1"/>
  <c r="C10" i="6"/>
  <c r="D47" i="20"/>
  <c r="D12" i="21"/>
  <c r="C10" i="14" s="1"/>
  <c r="G10" i="14" s="1"/>
  <c r="P48" i="31"/>
  <c r="X34" i="31"/>
  <c r="N7" i="29"/>
  <c r="O7" i="29" s="1"/>
  <c r="X50" i="31"/>
  <c r="F27" i="9"/>
  <c r="D60" i="31"/>
  <c r="L60" i="31" s="1"/>
  <c r="D48" i="23"/>
  <c r="L48" i="23" s="1"/>
  <c r="Y48" i="23" s="1"/>
  <c r="H66" i="26"/>
  <c r="F16" i="28"/>
  <c r="F18" i="28"/>
  <c r="F17" i="28"/>
  <c r="F15" i="28"/>
  <c r="F23" i="4"/>
  <c r="E12" i="31"/>
  <c r="R20" i="31"/>
  <c r="F59" i="23"/>
  <c r="X28" i="31"/>
  <c r="N48" i="31"/>
  <c r="X40" i="20"/>
  <c r="M44" i="20"/>
  <c r="E25" i="29" s="1"/>
  <c r="N25" i="29" s="1"/>
  <c r="O25" i="29" s="1"/>
  <c r="X9" i="20"/>
  <c r="X12" i="20" s="1"/>
  <c r="M12" i="20"/>
  <c r="E21" i="29" s="1"/>
  <c r="X33" i="20"/>
  <c r="N33" i="8"/>
  <c r="D7" i="28"/>
  <c r="D6" i="28"/>
  <c r="E65" i="4"/>
  <c r="C66" i="4" s="1"/>
  <c r="D66" i="4" s="1"/>
  <c r="Y40" i="31"/>
  <c r="G50" i="4"/>
  <c r="D55" i="4"/>
  <c r="E67" i="4"/>
  <c r="C68" i="4" s="1"/>
  <c r="D68" i="4" s="1"/>
  <c r="X22" i="31"/>
  <c r="M11" i="29"/>
  <c r="W8" i="31"/>
  <c r="W26" i="31" s="1"/>
  <c r="W8" i="23"/>
  <c r="W18" i="23" s="1"/>
  <c r="E26" i="29"/>
  <c r="N26" i="29" s="1"/>
  <c r="N13" i="8"/>
  <c r="N12" i="16"/>
  <c r="F19" i="29"/>
  <c r="F28" i="29" s="1"/>
  <c r="J71" i="31"/>
  <c r="E46" i="6"/>
  <c r="G46" i="6" s="1"/>
  <c r="W47" i="20"/>
  <c r="V33" i="21"/>
  <c r="E46" i="14" s="1"/>
  <c r="X12" i="23"/>
  <c r="Y12" i="23" s="1"/>
  <c r="H10" i="37"/>
  <c r="D9" i="37"/>
  <c r="D36" i="37" s="1"/>
  <c r="C31" i="9"/>
  <c r="N14" i="31"/>
  <c r="N12" i="31" s="1"/>
  <c r="X12" i="31" s="1"/>
  <c r="N12" i="29"/>
  <c r="X38" i="23"/>
  <c r="N59" i="23"/>
  <c r="X24" i="23"/>
  <c r="Y24" i="23" s="1"/>
  <c r="G51" i="4"/>
  <c r="F55" i="4"/>
  <c r="J46" i="8"/>
  <c r="N10" i="29"/>
  <c r="O10" i="29" s="1"/>
  <c r="R48" i="31"/>
  <c r="N11" i="8"/>
  <c r="N31" i="8"/>
  <c r="I60" i="20"/>
  <c r="G24" i="5"/>
  <c r="I47" i="21"/>
  <c r="G22" i="13" s="1"/>
  <c r="N18" i="16"/>
  <c r="F22" i="17"/>
  <c r="F28" i="17"/>
  <c r="D19" i="28"/>
  <c r="N28" i="28"/>
  <c r="G27" i="29"/>
  <c r="G28" i="29" s="1"/>
  <c r="N8" i="29"/>
  <c r="O8" i="29" s="1"/>
  <c r="L18" i="23"/>
  <c r="I36" i="23"/>
  <c r="T40" i="23"/>
  <c r="U48" i="31"/>
  <c r="N20" i="16"/>
  <c r="K12" i="21"/>
  <c r="C26" i="14" s="1"/>
  <c r="G26" i="14" s="1"/>
  <c r="K47" i="20"/>
  <c r="C26" i="6"/>
  <c r="G26" i="6" s="1"/>
  <c r="E12" i="6"/>
  <c r="G12" i="6" s="1"/>
  <c r="I12" i="6" s="1"/>
  <c r="C47" i="20"/>
  <c r="N30" i="28"/>
  <c r="X36" i="23"/>
  <c r="L10" i="31"/>
  <c r="D12" i="31"/>
  <c r="O14" i="31"/>
  <c r="G52" i="31"/>
  <c r="T52" i="31"/>
  <c r="E24" i="24"/>
  <c r="X30" i="31"/>
  <c r="Y30" i="31" s="1"/>
  <c r="L50" i="31"/>
  <c r="C7" i="24"/>
  <c r="D10" i="24" s="1"/>
  <c r="E12" i="24"/>
  <c r="H10" i="10"/>
  <c r="C9" i="10"/>
  <c r="C26" i="10" s="1"/>
  <c r="G16" i="5"/>
  <c r="E60" i="20"/>
  <c r="E47" i="21"/>
  <c r="G14" i="13" s="1"/>
  <c r="I14" i="13" s="1"/>
  <c r="Q47" i="21"/>
  <c r="G38" i="13" s="1"/>
  <c r="I38" i="13" s="1"/>
  <c r="G41" i="5"/>
  <c r="R60" i="20"/>
  <c r="H38" i="14"/>
  <c r="H38" i="13"/>
  <c r="L14" i="23"/>
  <c r="Y32" i="31"/>
  <c r="U36" i="23"/>
  <c r="X36" i="31"/>
  <c r="Y36" i="31" s="1"/>
  <c r="D32" i="6"/>
  <c r="O47" i="20"/>
  <c r="N26" i="21"/>
  <c r="D32" i="14" s="1"/>
  <c r="G32" i="14" s="1"/>
  <c r="I32" i="14" s="1"/>
  <c r="C28" i="6"/>
  <c r="L12" i="21"/>
  <c r="C28" i="14" s="1"/>
  <c r="G28" i="14" s="1"/>
  <c r="L47" i="20"/>
  <c r="N41" i="8"/>
  <c r="H28" i="14"/>
  <c r="S44" i="23"/>
  <c r="S54" i="23" s="1"/>
  <c r="S58" i="23" s="1"/>
  <c r="S56" i="31"/>
  <c r="S66" i="31" s="1"/>
  <c r="S70" i="31" s="1"/>
  <c r="S71" i="31" s="1"/>
  <c r="X14" i="23"/>
  <c r="Q14" i="31"/>
  <c r="L10" i="23"/>
  <c r="D34" i="31"/>
  <c r="L30" i="31"/>
  <c r="L34" i="31" s="1"/>
  <c r="G46" i="14"/>
  <c r="X16" i="31"/>
  <c r="Y16" i="31" s="1"/>
  <c r="N20" i="31"/>
  <c r="X20" i="31" s="1"/>
  <c r="Y20" i="31" s="1"/>
  <c r="N24" i="29"/>
  <c r="O24" i="29" s="1"/>
  <c r="M27" i="29"/>
  <c r="M28" i="29" s="1"/>
  <c r="D9" i="10"/>
  <c r="D26" i="10" s="1"/>
  <c r="R36" i="23"/>
  <c r="C52" i="31"/>
  <c r="X49" i="20"/>
  <c r="M57" i="20"/>
  <c r="H12" i="14"/>
  <c r="H12" i="13"/>
  <c r="O42" i="23"/>
  <c r="O54" i="23" s="1"/>
  <c r="O58" i="23" s="1"/>
  <c r="O59" i="23" s="1"/>
  <c r="D51" i="24"/>
  <c r="F40" i="23"/>
  <c r="N29" i="8"/>
  <c r="T47" i="21"/>
  <c r="G44" i="13" s="1"/>
  <c r="I44" i="13" s="1"/>
  <c r="G38" i="14"/>
  <c r="Q66" i="31"/>
  <c r="Q70" i="31" s="1"/>
  <c r="Q71" i="31" s="1"/>
  <c r="G49" i="4"/>
  <c r="X53" i="20"/>
  <c r="N27" i="8"/>
  <c r="K57" i="21"/>
  <c r="H26" i="6"/>
  <c r="G34" i="6"/>
  <c r="I34" i="6" s="1"/>
  <c r="R12" i="21"/>
  <c r="C40" i="14" s="1"/>
  <c r="S47" i="20"/>
  <c r="Q54" i="23"/>
  <c r="Q58" i="23" s="1"/>
  <c r="Q59" i="23" s="1"/>
  <c r="F52" i="31"/>
  <c r="X26" i="20"/>
  <c r="N38" i="16"/>
  <c r="P42" i="23"/>
  <c r="G24" i="6"/>
  <c r="I24" i="6" s="1"/>
  <c r="G33" i="21"/>
  <c r="E18" i="14" s="1"/>
  <c r="G18" i="14" s="1"/>
  <c r="G47" i="20"/>
  <c r="V47" i="20"/>
  <c r="U33" i="21"/>
  <c r="N43" i="8"/>
  <c r="N36" i="16"/>
  <c r="P12" i="21"/>
  <c r="C36" i="14" s="1"/>
  <c r="G36" i="14" s="1"/>
  <c r="I36" i="14" s="1"/>
  <c r="C36" i="6"/>
  <c r="J12" i="21"/>
  <c r="C24" i="14" s="1"/>
  <c r="G24" i="14" s="1"/>
  <c r="J47" i="20"/>
  <c r="N37" i="8"/>
  <c r="H12" i="37"/>
  <c r="H18" i="37"/>
  <c r="H18" i="10"/>
  <c r="H24" i="10"/>
  <c r="V57" i="21"/>
  <c r="H46" i="6"/>
  <c r="F24" i="17"/>
  <c r="H34" i="38"/>
  <c r="D22" i="18"/>
  <c r="H22" i="18" s="1"/>
  <c r="E14" i="6"/>
  <c r="G14" i="6" s="1"/>
  <c r="I14" i="6" s="1"/>
  <c r="E33" i="21"/>
  <c r="E14" i="14" s="1"/>
  <c r="G14" i="14" s="1"/>
  <c r="I14" i="14" s="1"/>
  <c r="D40" i="6"/>
  <c r="R26" i="21"/>
  <c r="D40" i="14" s="1"/>
  <c r="N25" i="8"/>
  <c r="F23" i="9"/>
  <c r="G26" i="15"/>
  <c r="G28" i="15"/>
  <c r="H18" i="38"/>
  <c r="C36" i="38"/>
  <c r="H36" i="38" s="1"/>
  <c r="E20" i="6"/>
  <c r="G20" i="6" s="1"/>
  <c r="H47" i="20"/>
  <c r="G20" i="7"/>
  <c r="N21" i="8"/>
  <c r="F19" i="9"/>
  <c r="H30" i="37"/>
  <c r="H26" i="37"/>
  <c r="G12" i="14"/>
  <c r="H30" i="14"/>
  <c r="H30" i="13"/>
  <c r="N24" i="16"/>
  <c r="N26" i="16"/>
  <c r="F14" i="17"/>
  <c r="H24" i="18"/>
  <c r="D36" i="6"/>
  <c r="Q47" i="20"/>
  <c r="N17" i="8"/>
  <c r="F15" i="9"/>
  <c r="G24" i="15"/>
  <c r="H14" i="38"/>
  <c r="G22" i="15"/>
  <c r="N32" i="16"/>
  <c r="H22" i="38"/>
  <c r="N16" i="16"/>
  <c r="F26" i="17"/>
  <c r="P56" i="31" l="1"/>
  <c r="P66" i="31" s="1"/>
  <c r="P70" i="31" s="1"/>
  <c r="P44" i="23"/>
  <c r="O47" i="21"/>
  <c r="G34" i="13" s="1"/>
  <c r="I34" i="13" s="1"/>
  <c r="G37" i="5"/>
  <c r="P60" i="20"/>
  <c r="M44" i="23"/>
  <c r="M54" i="23" s="1"/>
  <c r="M58" i="23" s="1"/>
  <c r="M59" i="23" s="1"/>
  <c r="M56" i="31"/>
  <c r="M66" i="31" s="1"/>
  <c r="M70" i="31" s="1"/>
  <c r="M71" i="31" s="1"/>
  <c r="F60" i="20"/>
  <c r="F60" i="21" s="1"/>
  <c r="F47" i="21"/>
  <c r="D9" i="6"/>
  <c r="G30" i="6"/>
  <c r="I30" i="6" s="1"/>
  <c r="G10" i="7"/>
  <c r="G32" i="7" s="1"/>
  <c r="E11" i="29"/>
  <c r="P71" i="31"/>
  <c r="H18" i="13"/>
  <c r="H18" i="14"/>
  <c r="E19" i="29"/>
  <c r="H22" i="13"/>
  <c r="H22" i="14"/>
  <c r="I22" i="14" s="1"/>
  <c r="G28" i="6"/>
  <c r="I28" i="6" s="1"/>
  <c r="X48" i="31"/>
  <c r="I22" i="13"/>
  <c r="E20" i="29"/>
  <c r="N20" i="29" s="1"/>
  <c r="N27" i="29" s="1"/>
  <c r="I20" i="6"/>
  <c r="I18" i="14"/>
  <c r="I71" i="31"/>
  <c r="H9" i="10"/>
  <c r="I46" i="6"/>
  <c r="C28" i="29"/>
  <c r="G47" i="5"/>
  <c r="U60" i="20"/>
  <c r="Y22" i="31"/>
  <c r="I24" i="14"/>
  <c r="G22" i="6"/>
  <c r="I22" i="6" s="1"/>
  <c r="L12" i="31"/>
  <c r="Y12" i="31" s="1"/>
  <c r="Y60" i="31"/>
  <c r="H10" i="5"/>
  <c r="B27" i="29"/>
  <c r="B28" i="29" s="1"/>
  <c r="G33" i="5"/>
  <c r="M47" i="21"/>
  <c r="G30" i="13" s="1"/>
  <c r="I30" i="13" s="1"/>
  <c r="N60" i="20"/>
  <c r="H40" i="13"/>
  <c r="H40" i="14"/>
  <c r="H20" i="14"/>
  <c r="I20" i="14" s="1"/>
  <c r="H20" i="13"/>
  <c r="G18" i="6"/>
  <c r="I18" i="6" s="1"/>
  <c r="P54" i="23"/>
  <c r="P58" i="23" s="1"/>
  <c r="P59" i="23" s="1"/>
  <c r="L26" i="31"/>
  <c r="Y46" i="23"/>
  <c r="D75" i="4"/>
  <c r="D77" i="4" s="1"/>
  <c r="V56" i="31"/>
  <c r="V66" i="31" s="1"/>
  <c r="V70" i="31" s="1"/>
  <c r="V71" i="31" s="1"/>
  <c r="V44" i="23"/>
  <c r="V54" i="23" s="1"/>
  <c r="V58" i="23" s="1"/>
  <c r="V59" i="23" s="1"/>
  <c r="H46" i="13"/>
  <c r="H46" i="14"/>
  <c r="I46" i="14" s="1"/>
  <c r="U56" i="31"/>
  <c r="U44" i="23"/>
  <c r="U54" i="23" s="1"/>
  <c r="U58" i="23" s="1"/>
  <c r="U59" i="23" s="1"/>
  <c r="H26" i="14"/>
  <c r="I26" i="14" s="1"/>
  <c r="H26" i="13"/>
  <c r="G40" i="6"/>
  <c r="I40" i="6" s="1"/>
  <c r="G30" i="5"/>
  <c r="L47" i="21"/>
  <c r="G28" i="13" s="1"/>
  <c r="I28" i="13" s="1"/>
  <c r="L60" i="20"/>
  <c r="H26" i="10"/>
  <c r="N9" i="8"/>
  <c r="N46" i="8" s="1"/>
  <c r="W56" i="23"/>
  <c r="Y50" i="31"/>
  <c r="Y10" i="23"/>
  <c r="G42" i="6"/>
  <c r="D54" i="31"/>
  <c r="D42" i="23"/>
  <c r="R47" i="21"/>
  <c r="G40" i="13" s="1"/>
  <c r="I40" i="13" s="1"/>
  <c r="S60" i="20"/>
  <c r="G43" i="5"/>
  <c r="X42" i="23"/>
  <c r="D48" i="31"/>
  <c r="I28" i="14"/>
  <c r="Q60" i="21"/>
  <c r="I41" i="5"/>
  <c r="C47" i="21"/>
  <c r="G12" i="13" s="1"/>
  <c r="I12" i="13" s="1"/>
  <c r="C60" i="20"/>
  <c r="G14" i="5"/>
  <c r="I59" i="23"/>
  <c r="I40" i="23"/>
  <c r="W68" i="31"/>
  <c r="H22" i="10"/>
  <c r="D20" i="23"/>
  <c r="E26" i="10"/>
  <c r="D28" i="31"/>
  <c r="L28" i="31" s="1"/>
  <c r="Y28" i="31" s="1"/>
  <c r="X8" i="23"/>
  <c r="G36" i="6"/>
  <c r="I36" i="6" s="1"/>
  <c r="D15" i="24"/>
  <c r="I67" i="25" s="1"/>
  <c r="I66" i="25"/>
  <c r="H10" i="13"/>
  <c r="H10" i="14"/>
  <c r="I10" i="14" s="1"/>
  <c r="H9" i="37"/>
  <c r="H36" i="37" s="1"/>
  <c r="H9" i="6"/>
  <c r="F10" i="9"/>
  <c r="F31" i="9" s="1"/>
  <c r="G55" i="4"/>
  <c r="X57" i="20"/>
  <c r="Y14" i="23"/>
  <c r="O60" i="20"/>
  <c r="G35" i="5"/>
  <c r="N47" i="21"/>
  <c r="G32" i="13" s="1"/>
  <c r="I32" i="13" s="1"/>
  <c r="C32" i="13" s="1"/>
  <c r="K47" i="21"/>
  <c r="G26" i="13" s="1"/>
  <c r="G28" i="5"/>
  <c r="K60" i="20"/>
  <c r="O20" i="29"/>
  <c r="O27" i="29" s="1"/>
  <c r="E75" i="4"/>
  <c r="E77" i="4" s="1"/>
  <c r="M59" i="27" s="1"/>
  <c r="X47" i="20"/>
  <c r="V47" i="21"/>
  <c r="G46" i="13" s="1"/>
  <c r="I46" i="13" s="1"/>
  <c r="G49" i="5"/>
  <c r="W60" i="20"/>
  <c r="G40" i="14"/>
  <c r="I40" i="14" s="1"/>
  <c r="H50" i="4"/>
  <c r="K7" i="27" s="1"/>
  <c r="M47" i="20"/>
  <c r="M60" i="20" s="1"/>
  <c r="I26" i="6"/>
  <c r="Y38" i="23"/>
  <c r="Y34" i="31"/>
  <c r="H47" i="21"/>
  <c r="G20" i="13" s="1"/>
  <c r="H60" i="20"/>
  <c r="G22" i="5"/>
  <c r="J47" i="21"/>
  <c r="G24" i="13" s="1"/>
  <c r="I24" i="13" s="1"/>
  <c r="J60" i="20"/>
  <c r="G26" i="5"/>
  <c r="V60" i="20"/>
  <c r="U60" i="21" s="1"/>
  <c r="U47" i="21"/>
  <c r="E56" i="31"/>
  <c r="E44" i="23"/>
  <c r="D50" i="6"/>
  <c r="M45" i="27" s="1"/>
  <c r="G32" i="6"/>
  <c r="I32" i="6" s="1"/>
  <c r="I16" i="5"/>
  <c r="E60" i="21"/>
  <c r="N19" i="29"/>
  <c r="O12" i="29"/>
  <c r="O19" i="29" s="1"/>
  <c r="C75" i="4"/>
  <c r="C77" i="4" s="1"/>
  <c r="E14" i="31"/>
  <c r="L14" i="31" s="1"/>
  <c r="E27" i="29"/>
  <c r="E28" i="29" s="1"/>
  <c r="G10" i="6"/>
  <c r="R54" i="31"/>
  <c r="R42" i="23"/>
  <c r="R54" i="23" s="1"/>
  <c r="R58" i="23" s="1"/>
  <c r="R59" i="23" s="1"/>
  <c r="C9" i="6"/>
  <c r="C50" i="6" s="1"/>
  <c r="I38" i="14"/>
  <c r="E9" i="6"/>
  <c r="E50" i="6" s="1"/>
  <c r="M46" i="27" s="1"/>
  <c r="S57" i="21"/>
  <c r="H42" i="6"/>
  <c r="H45" i="5"/>
  <c r="P47" i="21"/>
  <c r="G36" i="13" s="1"/>
  <c r="I36" i="13" s="1"/>
  <c r="Q60" i="20"/>
  <c r="G39" i="5"/>
  <c r="I12" i="14"/>
  <c r="G20" i="5"/>
  <c r="G47" i="21"/>
  <c r="G18" i="13" s="1"/>
  <c r="G60" i="20"/>
  <c r="S59" i="23"/>
  <c r="N11" i="29"/>
  <c r="O6" i="29"/>
  <c r="O11" i="29" s="1"/>
  <c r="I60" i="21"/>
  <c r="I24" i="5"/>
  <c r="X14" i="31"/>
  <c r="G12" i="5"/>
  <c r="D60" i="20"/>
  <c r="D47" i="21"/>
  <c r="G10" i="13" s="1"/>
  <c r="I10" i="13" s="1"/>
  <c r="S47" i="21"/>
  <c r="G42" i="13" s="1"/>
  <c r="T60" i="20"/>
  <c r="G45" i="5"/>
  <c r="Y8" i="31"/>
  <c r="X26" i="31"/>
  <c r="Y26" i="31" s="1"/>
  <c r="O28" i="29" l="1"/>
  <c r="N28" i="29"/>
  <c r="I26" i="13"/>
  <c r="Y48" i="31"/>
  <c r="M60" i="21"/>
  <c r="I33" i="5"/>
  <c r="I18" i="13"/>
  <c r="I20" i="13"/>
  <c r="I37" i="5"/>
  <c r="O60" i="21"/>
  <c r="H53" i="5"/>
  <c r="X44" i="23"/>
  <c r="I47" i="5"/>
  <c r="T60" i="21"/>
  <c r="M47" i="27"/>
  <c r="M44" i="27"/>
  <c r="E54" i="23"/>
  <c r="E58" i="23" s="1"/>
  <c r="L44" i="23"/>
  <c r="I22" i="5"/>
  <c r="H60" i="21"/>
  <c r="C60" i="21"/>
  <c r="I14" i="5"/>
  <c r="W58" i="23"/>
  <c r="X56" i="23"/>
  <c r="Y56" i="23" s="1"/>
  <c r="L48" i="31"/>
  <c r="G9" i="6"/>
  <c r="G50" i="6" s="1"/>
  <c r="I10" i="6"/>
  <c r="I9" i="6" s="1"/>
  <c r="I49" i="5"/>
  <c r="C37" i="24" s="1"/>
  <c r="V60" i="21"/>
  <c r="I28" i="5"/>
  <c r="K60" i="21"/>
  <c r="K11" i="27"/>
  <c r="H53" i="4"/>
  <c r="K10" i="27" s="1"/>
  <c r="H52" i="4"/>
  <c r="K9" i="27" s="1"/>
  <c r="H54" i="4"/>
  <c r="L20" i="23"/>
  <c r="D36" i="23"/>
  <c r="L60" i="21"/>
  <c r="I30" i="5"/>
  <c r="C79" i="4"/>
  <c r="M57" i="27"/>
  <c r="N57" i="27" s="1"/>
  <c r="N60" i="21"/>
  <c r="I35" i="5"/>
  <c r="G10" i="5"/>
  <c r="G53" i="5" s="1"/>
  <c r="I20" i="5"/>
  <c r="G60" i="21"/>
  <c r="L56" i="31"/>
  <c r="E66" i="31"/>
  <c r="E70" i="31" s="1"/>
  <c r="Y14" i="31"/>
  <c r="H42" i="14"/>
  <c r="I42" i="14" s="1"/>
  <c r="H42" i="13"/>
  <c r="I42" i="13" s="1"/>
  <c r="R66" i="31"/>
  <c r="R70" i="31" s="1"/>
  <c r="R71" i="31" s="1"/>
  <c r="X54" i="31"/>
  <c r="R60" i="21"/>
  <c r="I43" i="5"/>
  <c r="H49" i="4"/>
  <c r="K6" i="27" s="1"/>
  <c r="L42" i="23"/>
  <c r="L54" i="23" s="1"/>
  <c r="L58" i="23" s="1"/>
  <c r="D54" i="23"/>
  <c r="D58" i="23" s="1"/>
  <c r="D59" i="23" s="1"/>
  <c r="H51" i="4"/>
  <c r="K8" i="27" s="1"/>
  <c r="Y8" i="23"/>
  <c r="X18" i="23"/>
  <c r="Y18" i="23" s="1"/>
  <c r="Y44" i="23"/>
  <c r="O18" i="23"/>
  <c r="O40" i="23" s="1"/>
  <c r="O26" i="31"/>
  <c r="O52" i="31" s="1"/>
  <c r="X54" i="23"/>
  <c r="X68" i="31"/>
  <c r="Y68" i="31" s="1"/>
  <c r="W70" i="31"/>
  <c r="D66" i="31"/>
  <c r="L54" i="31"/>
  <c r="M58" i="27"/>
  <c r="N58" i="27" s="1"/>
  <c r="D79" i="4"/>
  <c r="U66" i="31"/>
  <c r="U70" i="31" s="1"/>
  <c r="U71" i="31" s="1"/>
  <c r="X56" i="31"/>
  <c r="I12" i="5"/>
  <c r="D60" i="21"/>
  <c r="I45" i="5"/>
  <c r="S60" i="21"/>
  <c r="P60" i="21"/>
  <c r="I39" i="5"/>
  <c r="J60" i="21"/>
  <c r="I26" i="5"/>
  <c r="X60" i="20"/>
  <c r="H50" i="6"/>
  <c r="I42" i="6"/>
  <c r="M18" i="23" l="1"/>
  <c r="M40" i="23" s="1"/>
  <c r="M26" i="31"/>
  <c r="M52" i="31" s="1"/>
  <c r="C33" i="24"/>
  <c r="C56" i="24" s="1"/>
  <c r="C36" i="24"/>
  <c r="Y42" i="23"/>
  <c r="Y56" i="31"/>
  <c r="S26" i="31"/>
  <c r="S52" i="31" s="1"/>
  <c r="S18" i="23"/>
  <c r="S40" i="23" s="1"/>
  <c r="I50" i="6"/>
  <c r="K26" i="27" s="1"/>
  <c r="K25" i="27"/>
  <c r="E71" i="31"/>
  <c r="E52" i="31"/>
  <c r="D70" i="31"/>
  <c r="L66" i="31"/>
  <c r="E59" i="23"/>
  <c r="E40" i="23"/>
  <c r="Y54" i="31"/>
  <c r="X66" i="31"/>
  <c r="D40" i="23"/>
  <c r="C34" i="24"/>
  <c r="L36" i="23"/>
  <c r="L59" i="23" s="1"/>
  <c r="Y20" i="23"/>
  <c r="Y36" i="23" s="1"/>
  <c r="N26" i="31"/>
  <c r="N52" i="31" s="1"/>
  <c r="N18" i="23"/>
  <c r="N40" i="23" s="1"/>
  <c r="W71" i="31"/>
  <c r="W52" i="31"/>
  <c r="U18" i="23"/>
  <c r="U40" i="23" s="1"/>
  <c r="U26" i="31"/>
  <c r="U52" i="31" s="1"/>
  <c r="K13" i="27"/>
  <c r="K12" i="27"/>
  <c r="M48" i="27"/>
  <c r="N44" i="27"/>
  <c r="I10" i="5"/>
  <c r="R26" i="31"/>
  <c r="R52" i="31" s="1"/>
  <c r="R18" i="23"/>
  <c r="R40" i="23" s="1"/>
  <c r="W59" i="23"/>
  <c r="W40" i="23"/>
  <c r="P26" i="31"/>
  <c r="P52" i="31" s="1"/>
  <c r="P18" i="23"/>
  <c r="P40" i="23" s="1"/>
  <c r="N47" i="27"/>
  <c r="X58" i="23"/>
  <c r="Y54" i="23"/>
  <c r="V18" i="23"/>
  <c r="V40" i="23" s="1"/>
  <c r="V26" i="31"/>
  <c r="V52" i="31" s="1"/>
  <c r="Q18" i="23"/>
  <c r="Q40" i="23" s="1"/>
  <c r="Q26" i="31"/>
  <c r="Q52" i="31" s="1"/>
  <c r="I53" i="5" l="1"/>
  <c r="C35" i="24"/>
  <c r="C32" i="24" s="1"/>
  <c r="L40" i="23"/>
  <c r="X70" i="31"/>
  <c r="Y66" i="31"/>
  <c r="D71" i="31"/>
  <c r="L71" i="31" s="1"/>
  <c r="L70" i="31"/>
  <c r="D52" i="31"/>
  <c r="L52" i="31" s="1"/>
  <c r="Y58" i="23"/>
  <c r="Y59" i="23" s="1"/>
  <c r="X59" i="23"/>
  <c r="N46" i="27"/>
  <c r="N45" i="27"/>
  <c r="X40" i="23"/>
  <c r="Y40" i="23" s="1"/>
  <c r="K30" i="27"/>
  <c r="K29" i="27"/>
  <c r="K28" i="27"/>
  <c r="K27" i="27"/>
  <c r="X52" i="31"/>
  <c r="D33" i="24" l="1"/>
  <c r="D37" i="24"/>
  <c r="D36" i="24"/>
  <c r="K32" i="27"/>
  <c r="K31" i="27"/>
  <c r="Y52" i="31"/>
  <c r="D35" i="24"/>
  <c r="Y70" i="31"/>
  <c r="Y71" i="31" s="1"/>
  <c r="X71" i="31"/>
  <c r="D34" i="24"/>
</calcChain>
</file>

<file path=xl/sharedStrings.xml><?xml version="1.0" encoding="utf-8"?>
<sst xmlns="http://schemas.openxmlformats.org/spreadsheetml/2006/main" count="1870" uniqueCount="831">
  <si>
    <t xml:space="preserve">         (TERACALORIAS)</t>
  </si>
  <si>
    <t>AÑOS</t>
  </si>
  <si>
    <t>VARIACION</t>
  </si>
  <si>
    <t>ENERGETICO</t>
  </si>
  <si>
    <t>%</t>
  </si>
  <si>
    <t>PETROLEO CRUDO</t>
  </si>
  <si>
    <t>GAS NATURAL</t>
  </si>
  <si>
    <t>CARBON</t>
  </si>
  <si>
    <t>HIDROELECTRICIDAD</t>
  </si>
  <si>
    <t>LEÑA</t>
  </si>
  <si>
    <t>BIOGAS</t>
  </si>
  <si>
    <t>TOTAL</t>
  </si>
  <si>
    <t xml:space="preserve">Nota: El factor de conversión utilizado para la hidroelectricidad corresponde al utilizado en </t>
  </si>
  <si>
    <t xml:space="preserve">        metodología internacional de generación de balances equivalente a 860 Kcal/Kwh</t>
  </si>
  <si>
    <t>Fuente: Encuestas CNE a empresas del sector energía e industrias intensivas en consumo energético</t>
  </si>
  <si>
    <t xml:space="preserve">    (TERACALORIAS)</t>
  </si>
  <si>
    <t>TOTAL DER. PETROLEO</t>
  </si>
  <si>
    <t>Y GAS NATURAL</t>
  </si>
  <si>
    <t>ELECTRICIDAD</t>
  </si>
  <si>
    <t>COKE Y ALQUITRAN</t>
  </si>
  <si>
    <t>GAS CORRIENTE</t>
  </si>
  <si>
    <t>GAS ALTOS HORNOS</t>
  </si>
  <si>
    <t>METANOL</t>
  </si>
  <si>
    <t>LEÑA Y OTROS</t>
  </si>
  <si>
    <t xml:space="preserve"> BALANCE ENERGIA PRIMARIA</t>
  </si>
  <si>
    <t>PRODUCCION</t>
  </si>
  <si>
    <t>IMPORTACION</t>
  </si>
  <si>
    <t>EXPORTACION</t>
  </si>
  <si>
    <t>VAR. STOCK +</t>
  </si>
  <si>
    <t>CONSUMO</t>
  </si>
  <si>
    <t>BRUTA</t>
  </si>
  <si>
    <t xml:space="preserve">PERD+CIERRE </t>
  </si>
  <si>
    <t>BRUTO</t>
  </si>
  <si>
    <t>PETROLEO CRUDO (a)</t>
  </si>
  <si>
    <t>GAS NATURAL (b,c,d,e)</t>
  </si>
  <si>
    <t>a) Producción Bruta Petroleo Crudo:               Producción Isla +     Producción Continente +     Producción Costa afuera</t>
  </si>
  <si>
    <t xml:space="preserve">b) Producción Bruta Gas Natural:                </t>
  </si>
  <si>
    <t xml:space="preserve"> Produccion total     - Reinyecciones </t>
  </si>
  <si>
    <t xml:space="preserve">c) Cierre Gas Natural : </t>
  </si>
  <si>
    <t xml:space="preserve">Gas lift  + </t>
  </si>
  <si>
    <t xml:space="preserve">Gas quemado </t>
  </si>
  <si>
    <t>e) : Gas Absorbido (Diferencia Gas Primario y Secundario ) =</t>
  </si>
  <si>
    <t>Nota 1: El factor de conversión utilizado para la hidroelectricidad corresponde al utilizado en metodología internacional de</t>
  </si>
  <si>
    <t xml:space="preserve">          generación de balances equivalente a 860 Kcal/Kwh</t>
  </si>
  <si>
    <t xml:space="preserve">Nota 2: El Consumo Bruto equivale a la suma de Producción Bruta e Importaciones menos las Exportacione y Variación de Stocks </t>
  </si>
  <si>
    <t xml:space="preserve">          Perdidas y Cierres para cada energético</t>
  </si>
  <si>
    <t xml:space="preserve"> MATRIZ ENERGIA PRIMARIA (*)</t>
  </si>
  <si>
    <t>V. STOCK +</t>
  </si>
  <si>
    <t>Las siguientes cantidades están expresadas en Teracalorías</t>
  </si>
  <si>
    <t xml:space="preserve">                        BALANCE      ENERGIA      SECUNDARIA</t>
  </si>
  <si>
    <t xml:space="preserve">                    (TERACALORIAS)</t>
  </si>
  <si>
    <t>PERD Y CIERRE</t>
  </si>
  <si>
    <t xml:space="preserve"> FINAL</t>
  </si>
  <si>
    <t>CENT. DE TRANSF.</t>
  </si>
  <si>
    <t xml:space="preserve"> TOTAL</t>
  </si>
  <si>
    <t>PETROLEO COMBUSTIBLE</t>
  </si>
  <si>
    <t>DIESEL</t>
  </si>
  <si>
    <t>GAS 93 S/P (*)</t>
  </si>
  <si>
    <t>GAS 93 C/P (**)</t>
  </si>
  <si>
    <t>KEROSENE</t>
  </si>
  <si>
    <t>GAS LICUADO</t>
  </si>
  <si>
    <t>GASOLINA AVIACION</t>
  </si>
  <si>
    <t>KEROSENE AVIACION</t>
  </si>
  <si>
    <t>NAFTA</t>
  </si>
  <si>
    <t>GAS REFINERIA</t>
  </si>
  <si>
    <t>CARBON (**)</t>
  </si>
  <si>
    <t xml:space="preserve">COKE </t>
  </si>
  <si>
    <t>ALQUITRAN (***)</t>
  </si>
  <si>
    <t>GAS CORRIENTE.</t>
  </si>
  <si>
    <t>GAS ALTO HORNO</t>
  </si>
  <si>
    <t>GAS NATURAL (**)</t>
  </si>
  <si>
    <t>(**) Las Importaciones-Exportaciones se consideran en etapa de energético primario</t>
  </si>
  <si>
    <t>(*** ) Alquitrán de uso energético  (poducido en siderurgia)</t>
  </si>
  <si>
    <t xml:space="preserve">Nota 2: El Consumo Final equivale a la suma de Producción Bruta e Importaciones menos las Exportacione y Variación de Stocks </t>
  </si>
  <si>
    <t>Nota 3: El Consumo Total equivale a la suma del Consumo Final y Consumo en Centros de Transformación</t>
  </si>
  <si>
    <t>DERIVADOS PETRÓLEO</t>
  </si>
  <si>
    <t>(*) Se incluye la Gasolinas 88, 95 y 97</t>
  </si>
  <si>
    <t xml:space="preserve">  CONSUMO SECTORIAL</t>
  </si>
  <si>
    <t>(TERACALORIAS)</t>
  </si>
  <si>
    <t>Sector</t>
  </si>
  <si>
    <t>Consumo</t>
  </si>
  <si>
    <t xml:space="preserve">Consumo </t>
  </si>
  <si>
    <t>Transporte</t>
  </si>
  <si>
    <t>Ind. y Min.</t>
  </si>
  <si>
    <t>Com.Púb.Res.</t>
  </si>
  <si>
    <t>Final</t>
  </si>
  <si>
    <t>Cent.deTransf.</t>
  </si>
  <si>
    <t>Total</t>
  </si>
  <si>
    <t>TOTAL DERIVADOS</t>
  </si>
  <si>
    <t>GAS 93 S/P  (*)</t>
  </si>
  <si>
    <t>GAS 93 C/P</t>
  </si>
  <si>
    <t xml:space="preserve">(*) Se incluye la Gasolinas 88, 95 y 97 </t>
  </si>
  <si>
    <t xml:space="preserve">     (TERACALORIAS)</t>
  </si>
  <si>
    <t xml:space="preserve">   SECTOR TRANSPORTE</t>
  </si>
  <si>
    <t>TERRESTRE</t>
  </si>
  <si>
    <t>FERROVIARIO</t>
  </si>
  <si>
    <t>MARITIMO</t>
  </si>
  <si>
    <t>AEREO</t>
  </si>
  <si>
    <t xml:space="preserve">             SECTOR INDUSTRIAL Y MINERO</t>
  </si>
  <si>
    <t>COBRE</t>
  </si>
  <si>
    <t>SALITRE</t>
  </si>
  <si>
    <t>HIERRO</t>
  </si>
  <si>
    <t xml:space="preserve">PAPEL Y </t>
  </si>
  <si>
    <t>SIDE_</t>
  </si>
  <si>
    <t>PETRO_</t>
  </si>
  <si>
    <t>CEMENTO</t>
  </si>
  <si>
    <t>AZUCAR</t>
  </si>
  <si>
    <t>PESCA</t>
  </si>
  <si>
    <t>INDUSTRIAS</t>
  </si>
  <si>
    <t>MINAS</t>
  </si>
  <si>
    <t>CELULOSA</t>
  </si>
  <si>
    <t>RURGIA</t>
  </si>
  <si>
    <t>QUIMICA</t>
  </si>
  <si>
    <t>VARIAS</t>
  </si>
  <si>
    <t>CARBON (*)</t>
  </si>
  <si>
    <t>COKE</t>
  </si>
  <si>
    <t>ALQUITRAN   (**)</t>
  </si>
  <si>
    <t>GAS NATURAL (*)</t>
  </si>
  <si>
    <t>(*) Las Importaciones-Exportaciones se consideran en etapa de energético primario</t>
  </si>
  <si>
    <t>(**) Alquitrán de uso energético  (poducido en siderurgia)</t>
  </si>
  <si>
    <t xml:space="preserve">                                                         SECTOR COMERCIAL </t>
  </si>
  <si>
    <t>COMERCIAL</t>
  </si>
  <si>
    <t>PUBLICO</t>
  </si>
  <si>
    <t>RESIDENCIAL</t>
  </si>
  <si>
    <t>PETROLEO  COMBUSTIBLE</t>
  </si>
  <si>
    <t xml:space="preserve"> DIESEL</t>
  </si>
  <si>
    <t>CARBON   (*)</t>
  </si>
  <si>
    <t>PETROLEO Y</t>
  </si>
  <si>
    <t xml:space="preserve">CARBON </t>
  </si>
  <si>
    <t xml:space="preserve">      PRODUCCION BRUTA DERIVADOS</t>
  </si>
  <si>
    <t xml:space="preserve">     INDUSTRIALES DEL PETROLEO</t>
  </si>
  <si>
    <t xml:space="preserve">                   (TERACALORIAS)</t>
  </si>
  <si>
    <t>NO ENERGETICOS</t>
  </si>
  <si>
    <t>PROD.BRUTA</t>
  </si>
  <si>
    <t>Gasolina Blanca</t>
  </si>
  <si>
    <t>Aguarrás</t>
  </si>
  <si>
    <t>Solventes</t>
  </si>
  <si>
    <t>Fuel Fondo Vacío</t>
  </si>
  <si>
    <t>Asfalto</t>
  </si>
  <si>
    <t>Etileno</t>
  </si>
  <si>
    <t>Gas Oil</t>
  </si>
  <si>
    <t xml:space="preserve">                                             BALANCE DE ENERGIA PRIMARIA</t>
  </si>
  <si>
    <t xml:space="preserve">                                                       (Unidades Físicas)</t>
  </si>
  <si>
    <t xml:space="preserve">V. STOCK + </t>
  </si>
  <si>
    <t>PERD.Y CIERRE</t>
  </si>
  <si>
    <t>PETROLEO  CRUDO (a)</t>
  </si>
  <si>
    <t xml:space="preserve"> (Miles m3)</t>
  </si>
  <si>
    <t>GAS NATURAL (b,c y d)</t>
  </si>
  <si>
    <t xml:space="preserve"> (Mill. m3)</t>
  </si>
  <si>
    <t xml:space="preserve"> (Miles ton.)</t>
  </si>
  <si>
    <t xml:space="preserve"> (Gwh)</t>
  </si>
  <si>
    <t xml:space="preserve"> (Mill.m3)</t>
  </si>
  <si>
    <t>a) Producción Bruta : Isla+ Continente + Costa afuera</t>
  </si>
  <si>
    <t>Isla                =</t>
  </si>
  <si>
    <t>Continente      =</t>
  </si>
  <si>
    <t>Costa Afuera =</t>
  </si>
  <si>
    <t>b) Producción Bruta : (Prod. Total - Reinyecciones)</t>
  </si>
  <si>
    <t>Prod. Total     =</t>
  </si>
  <si>
    <t>Reinyecciones =</t>
  </si>
  <si>
    <t>Gas lift           =</t>
  </si>
  <si>
    <t>Gas Quemado  =</t>
  </si>
  <si>
    <t>d) Ventas Tot. y Consumos Propios Enap</t>
  </si>
  <si>
    <t>Ventas           =</t>
  </si>
  <si>
    <t>Cons. Propios  =</t>
  </si>
  <si>
    <t>e) : (Diferencia Gas Primario y Secundario )              =</t>
  </si>
  <si>
    <t>Gas Absorvido =</t>
  </si>
  <si>
    <t>Metalúrgico    =</t>
  </si>
  <si>
    <t xml:space="preserve">Térmico = </t>
  </si>
  <si>
    <t xml:space="preserve">         DERIVADOS DEL GAS NATURAL</t>
  </si>
  <si>
    <t xml:space="preserve">                                  (Miles m3)</t>
  </si>
  <si>
    <t xml:space="preserve">PRODUCCION GASOLINA NATURAL </t>
  </si>
  <si>
    <t>c) Var. Stock = Gas Lift + Gas Quemado</t>
  </si>
  <si>
    <t>f) Carbón Importado (Mton 6.500 Kcal/Kg)</t>
  </si>
  <si>
    <t>BALANCE      ENERGIA      SECUNDARIA</t>
  </si>
  <si>
    <t xml:space="preserve">             (UNIDADES FISICAS)</t>
  </si>
  <si>
    <t>V. STOCK</t>
  </si>
  <si>
    <t>PERD.CIERRE</t>
  </si>
  <si>
    <t>FINAL</t>
  </si>
  <si>
    <t>(Miles Ton) (iv)</t>
  </si>
  <si>
    <t>(Miles m3)</t>
  </si>
  <si>
    <t>(Miles Ton)</t>
  </si>
  <si>
    <t>(Millones m3)</t>
  </si>
  <si>
    <t>ELECTRICIDAD (VI)</t>
  </si>
  <si>
    <t>(GWh)</t>
  </si>
  <si>
    <t>CARBON (***)</t>
  </si>
  <si>
    <t>ALQUITRAN</t>
  </si>
  <si>
    <t>GAS CORRIENTE (v)</t>
  </si>
  <si>
    <t>GAS NATURAL (***)</t>
  </si>
  <si>
    <t>(***) Las Importaciones-Exportaciones y Var. Stock, Perdidas se consideran en etapa de energético primario</t>
  </si>
  <si>
    <t>(iv)  Prod. IFO 180</t>
  </si>
  <si>
    <t>Mil Ton.</t>
  </si>
  <si>
    <t xml:space="preserve">                  Fuel 5</t>
  </si>
  <si>
    <t xml:space="preserve">                  Fuel 6</t>
  </si>
  <si>
    <t>(v) Gas Prod. En Siderurgia</t>
  </si>
  <si>
    <t>Millón m3</t>
  </si>
  <si>
    <t>(MTons)</t>
  </si>
  <si>
    <t>GWh</t>
  </si>
  <si>
    <t xml:space="preserve">(vi) Perdidas Autoproductores </t>
  </si>
  <si>
    <t>(UNIDADES FISICAS)</t>
  </si>
  <si>
    <t>GAS 93 S/P</t>
  </si>
  <si>
    <t>GAS 93 C/P (*)</t>
  </si>
  <si>
    <t xml:space="preserve">GAS NATURAL </t>
  </si>
  <si>
    <t xml:space="preserve">  </t>
  </si>
  <si>
    <t xml:space="preserve"> (Unidades Físicas)</t>
  </si>
  <si>
    <t>PETROLEOS  COMBUSTIBLE</t>
  </si>
  <si>
    <t>GASOLINA  AVIACION</t>
  </si>
  <si>
    <t xml:space="preserve">                            (UNIDADES FISICAS)</t>
  </si>
  <si>
    <t xml:space="preserve">                       SECTOR INDUSTRIAL Y MINERO</t>
  </si>
  <si>
    <t>DURGIA</t>
  </si>
  <si>
    <t xml:space="preserve"> SECTOR CENTROS DE TRANSFORMACION</t>
  </si>
  <si>
    <t>PETROLEO</t>
  </si>
  <si>
    <t>(Miles ton.)</t>
  </si>
  <si>
    <t>GAS REFINERÍA</t>
  </si>
  <si>
    <t>(Mill. m3)</t>
  </si>
  <si>
    <t xml:space="preserve">  PRODUCCION BRUTA DERIVADOS</t>
  </si>
  <si>
    <t xml:space="preserve">   INDUSTRIALES DEL PETROLEO</t>
  </si>
  <si>
    <t xml:space="preserve">                       (Miles m3)</t>
  </si>
  <si>
    <t>Consumo Sectorial de Productos Secundarios</t>
  </si>
  <si>
    <t>Petróleo</t>
  </si>
  <si>
    <t>Petróleos</t>
  </si>
  <si>
    <t>Gasolina</t>
  </si>
  <si>
    <t>Kerosene</t>
  </si>
  <si>
    <t>Gas</t>
  </si>
  <si>
    <t>Nafta</t>
  </si>
  <si>
    <t>Gas de</t>
  </si>
  <si>
    <t>Total Derivados</t>
  </si>
  <si>
    <t>Electrici_</t>
  </si>
  <si>
    <t>Carbón</t>
  </si>
  <si>
    <t>Meta_</t>
  </si>
  <si>
    <t>Biogás</t>
  </si>
  <si>
    <t>Leña y</t>
  </si>
  <si>
    <t>SECTOR</t>
  </si>
  <si>
    <t>Diesel</t>
  </si>
  <si>
    <t>Combustibles</t>
  </si>
  <si>
    <t>93 S/P</t>
  </si>
  <si>
    <t>93 C/P</t>
  </si>
  <si>
    <t>Licuado</t>
  </si>
  <si>
    <t>Aviación</t>
  </si>
  <si>
    <t>Refinería</t>
  </si>
  <si>
    <t>Petróleo,Gas</t>
  </si>
  <si>
    <t>dad</t>
  </si>
  <si>
    <t>Alquitrán</t>
  </si>
  <si>
    <t>Corriente</t>
  </si>
  <si>
    <t>Altos Hornos</t>
  </si>
  <si>
    <t>Natural</t>
  </si>
  <si>
    <t>nol</t>
  </si>
  <si>
    <t>Otros</t>
  </si>
  <si>
    <t>Energéticos</t>
  </si>
  <si>
    <t>Transporte             :</t>
  </si>
  <si>
    <t>Caminero</t>
  </si>
  <si>
    <t>-</t>
  </si>
  <si>
    <t>Ferroviario</t>
  </si>
  <si>
    <t>Marítimo</t>
  </si>
  <si>
    <t>Aéreo</t>
  </si>
  <si>
    <t>Total en Transporte</t>
  </si>
  <si>
    <t>Industrial               :</t>
  </si>
  <si>
    <t>Cobre</t>
  </si>
  <si>
    <t>y Minero</t>
  </si>
  <si>
    <t>Salitre</t>
  </si>
  <si>
    <t>Hierro</t>
  </si>
  <si>
    <t>Papel y Celulosa</t>
  </si>
  <si>
    <t>Siderurgia</t>
  </si>
  <si>
    <t>Petroquímica</t>
  </si>
  <si>
    <t>Cemento</t>
  </si>
  <si>
    <t>Azúcar</t>
  </si>
  <si>
    <t>Pesca</t>
  </si>
  <si>
    <t>Industrias Varias</t>
  </si>
  <si>
    <t>Minas Varias</t>
  </si>
  <si>
    <t>Total Industrial y Minero</t>
  </si>
  <si>
    <t>Comercial, Público :</t>
  </si>
  <si>
    <t>Zona Carbonífera</t>
  </si>
  <si>
    <t>y Residencial</t>
  </si>
  <si>
    <t>Comercial</t>
  </si>
  <si>
    <t>Público</t>
  </si>
  <si>
    <t>Residencial</t>
  </si>
  <si>
    <t>Total Comercial Público, Residencial</t>
  </si>
  <si>
    <t>Consumo Final</t>
  </si>
  <si>
    <t>Centros  de               :</t>
  </si>
  <si>
    <t>Electricidad: Autoproductores</t>
  </si>
  <si>
    <t>Gas,Coke: GasCorriente</t>
  </si>
  <si>
    <t>Petróleo, Gas Natural</t>
  </si>
  <si>
    <t>Carbón y Leña</t>
  </si>
  <si>
    <t>Gas Natural-Metanol</t>
  </si>
  <si>
    <t>Total en Centros de Transformación</t>
  </si>
  <si>
    <t>Consumo Total</t>
  </si>
  <si>
    <t>Coke</t>
  </si>
  <si>
    <t>Metanol</t>
  </si>
  <si>
    <t>Miles</t>
  </si>
  <si>
    <t>Alto Horno</t>
  </si>
  <si>
    <t xml:space="preserve">Mill. </t>
  </si>
  <si>
    <t>Miles m3</t>
  </si>
  <si>
    <t>Miles Ton.</t>
  </si>
  <si>
    <t xml:space="preserve"> m3</t>
  </si>
  <si>
    <t>Mill. m3</t>
  </si>
  <si>
    <t>Ton.</t>
  </si>
  <si>
    <t xml:space="preserve"> Ton.</t>
  </si>
  <si>
    <t xml:space="preserve">               : Siderurgia</t>
  </si>
  <si>
    <t xml:space="preserve">                 : Servicio Público</t>
  </si>
  <si>
    <t xml:space="preserve"> </t>
  </si>
  <si>
    <t xml:space="preserve">       </t>
  </si>
  <si>
    <t>O L A D E</t>
  </si>
  <si>
    <t xml:space="preserve">     Unidad de medida :</t>
  </si>
  <si>
    <t>Tcal</t>
  </si>
  <si>
    <t>Energia Primaria</t>
  </si>
  <si>
    <t xml:space="preserve">   Energia Secundaria</t>
  </si>
  <si>
    <t>A Ñ O :</t>
  </si>
  <si>
    <t xml:space="preserve">   GAS</t>
  </si>
  <si>
    <t xml:space="preserve"> HIDRO</t>
  </si>
  <si>
    <t>GEO</t>
  </si>
  <si>
    <t xml:space="preserve">  LEÑA</t>
  </si>
  <si>
    <t>PROD</t>
  </si>
  <si>
    <t xml:space="preserve"> OTRAS</t>
  </si>
  <si>
    <t xml:space="preserve">  TOTAL</t>
  </si>
  <si>
    <t xml:space="preserve">  ELEC</t>
  </si>
  <si>
    <t>GASOLI</t>
  </si>
  <si>
    <t xml:space="preserve">  KERO</t>
  </si>
  <si>
    <t xml:space="preserve">  FUEL</t>
  </si>
  <si>
    <t>COQUE</t>
  </si>
  <si>
    <t xml:space="preserve"> GASES</t>
  </si>
  <si>
    <t xml:space="preserve">    NO </t>
  </si>
  <si>
    <t xml:space="preserve">   LEO</t>
  </si>
  <si>
    <t xml:space="preserve">    DE</t>
  </si>
  <si>
    <t xml:space="preserve"> NA/AL</t>
  </si>
  <si>
    <t xml:space="preserve">  SENE</t>
  </si>
  <si>
    <t xml:space="preserve">   OIL</t>
  </si>
  <si>
    <t>VEGETAL</t>
  </si>
  <si>
    <t>ENERGE</t>
  </si>
  <si>
    <t xml:space="preserve">  SECUN</t>
  </si>
  <si>
    <t xml:space="preserve"> CAÑA</t>
  </si>
  <si>
    <t xml:space="preserve"> COHOL</t>
  </si>
  <si>
    <t xml:space="preserve"> TURBO</t>
  </si>
  <si>
    <t xml:space="preserve"> TICOS</t>
  </si>
  <si>
    <t>T</t>
  </si>
  <si>
    <t>VARIACION INVENTARIO</t>
  </si>
  <si>
    <t>NO APROVECHADO</t>
  </si>
  <si>
    <t>OFERTA TOTAL</t>
  </si>
  <si>
    <t>REFINERIA</t>
  </si>
  <si>
    <t>CENTRALES ELECTRICAS</t>
  </si>
  <si>
    <t>AUTOPRODUCTORES</t>
  </si>
  <si>
    <t>CENTRO DE GAS</t>
  </si>
  <si>
    <t>CARBONERA</t>
  </si>
  <si>
    <t>COQUERIA/ALTO HORNO</t>
  </si>
  <si>
    <t>M</t>
  </si>
  <si>
    <t>DESTILERIA</t>
  </si>
  <si>
    <t>OTROS CENTROS</t>
  </si>
  <si>
    <t>TOTAL TRANSFORMACION</t>
  </si>
  <si>
    <t>CONSUMO PROPIO</t>
  </si>
  <si>
    <t>PERDIDAS(TR,AL,DI)</t>
  </si>
  <si>
    <t>AJUSTE</t>
  </si>
  <si>
    <t>TRANSPORTE</t>
  </si>
  <si>
    <t>INDUSTRIAL</t>
  </si>
  <si>
    <t>COMERCIAL,PUB,SERV.</t>
  </si>
  <si>
    <t>AGRO,PESCA,MINERIA</t>
  </si>
  <si>
    <t>CONSTRUCCION Y OTROS</t>
  </si>
  <si>
    <t>CONSUMO ENERGETICO</t>
  </si>
  <si>
    <t>CONS NO ENERGETICO</t>
  </si>
  <si>
    <t xml:space="preserve">CONSUMO FINAL </t>
  </si>
  <si>
    <t xml:space="preserve">  BALANCE DE ENERGIA ELECTRICA</t>
  </si>
  <si>
    <t>Porcentajes</t>
  </si>
  <si>
    <t>cr/Total</t>
  </si>
  <si>
    <t>cr/SubTotal</t>
  </si>
  <si>
    <t>POTENCIA ELECTRICA INSTALADA(***)</t>
  </si>
  <si>
    <t>(Miles de KW)</t>
  </si>
  <si>
    <t>Termoeléctrica</t>
  </si>
  <si>
    <t>Autoproductores</t>
  </si>
  <si>
    <t>Cogeneración</t>
  </si>
  <si>
    <t>Servicios Públicos</t>
  </si>
  <si>
    <t>Hidroeléctrica</t>
  </si>
  <si>
    <t>GENERACION DE ENERGIA (**)</t>
  </si>
  <si>
    <t>(Millones de KWh)</t>
  </si>
  <si>
    <t xml:space="preserve">SEGUN FUENTES </t>
  </si>
  <si>
    <t>(Teracalorías)</t>
  </si>
  <si>
    <t>Electricidad (*)</t>
  </si>
  <si>
    <t>Carbón, Coke y Alquitrán</t>
  </si>
  <si>
    <t>Derivados de Petróleo y de Gas Natural</t>
  </si>
  <si>
    <t>Gas(Natural,Corriente,Alto Horno,Metanol)</t>
  </si>
  <si>
    <t>Leña y otros</t>
  </si>
  <si>
    <t>CONSUMO ELECTRICO INDUSTRIAL</t>
  </si>
  <si>
    <t>Y MINERO SEGUN ACTIVIDAD</t>
  </si>
  <si>
    <t>Azucar</t>
  </si>
  <si>
    <t>CONSUMO BRUTO DE ENERGIA</t>
  </si>
  <si>
    <t>(KWh/Año)</t>
  </si>
  <si>
    <t>(*) Equivalente calórico de la electricidad : 860 Kcal/KWh</t>
  </si>
  <si>
    <t>(***) Incluye Capacidad Instalada de Gener en Salta (642.8 MW)</t>
  </si>
  <si>
    <t>Fuente</t>
  </si>
  <si>
    <t xml:space="preserve">(3) Información proporcionada a la CNE por empresas generadoras </t>
  </si>
  <si>
    <t>ELECTRICA POR HABITANTE  (*****)</t>
  </si>
  <si>
    <t>C2</t>
  </si>
  <si>
    <t>CAPACIDAD NACIONAL INSTALADA POR SISTEMA</t>
  </si>
  <si>
    <t>INTERCONECTADO EN MW.</t>
  </si>
  <si>
    <t>SING</t>
  </si>
  <si>
    <t>SIC</t>
  </si>
  <si>
    <t>SISTEMA</t>
  </si>
  <si>
    <t>TOTAL PAIS</t>
  </si>
  <si>
    <t>AYSEN (****)</t>
  </si>
  <si>
    <t>MAGALLANES</t>
  </si>
  <si>
    <t>SISTEMAS</t>
  </si>
  <si>
    <t>1990(*)</t>
  </si>
  <si>
    <t>N/D</t>
  </si>
  <si>
    <t>%TÉRMICA</t>
  </si>
  <si>
    <t>%HIDRO</t>
  </si>
  <si>
    <t>0.0%</t>
  </si>
  <si>
    <t>1991(*)</t>
  </si>
  <si>
    <t>%térmica</t>
  </si>
  <si>
    <t>%hidro</t>
  </si>
  <si>
    <t>1992 (*)</t>
  </si>
  <si>
    <t>%térmico</t>
  </si>
  <si>
    <t>2000 (**)</t>
  </si>
  <si>
    <t>2001 (**)</t>
  </si>
  <si>
    <t>2002 (**)</t>
  </si>
  <si>
    <t>%hidro (***)</t>
  </si>
  <si>
    <t>2003 (**)</t>
  </si>
  <si>
    <t>(*) Valores SING estimados</t>
  </si>
  <si>
    <t>(**) SING Incluye. Capacidad Instalada de Gener en Salta (642.8 MW año 2000 - 2003)</t>
  </si>
  <si>
    <t>2004 (**)</t>
  </si>
  <si>
    <t>(***) Incluye central eólica de 2 MW en Aysén. Entró en operación el 2001</t>
  </si>
  <si>
    <t>C3</t>
  </si>
  <si>
    <t xml:space="preserve">GENERACION BRUTA NACIONAL POR SISTEMA </t>
  </si>
  <si>
    <t>INTERCONECTADO EN GWh</t>
  </si>
  <si>
    <t>AÑO</t>
  </si>
  <si>
    <t xml:space="preserve">SISTEMA </t>
  </si>
  <si>
    <t>TIPO</t>
  </si>
  <si>
    <t>AYSEN</t>
  </si>
  <si>
    <t>Fuente:</t>
  </si>
  <si>
    <t>(3) Información proporcionada a la CNE por empresas generadoras</t>
  </si>
  <si>
    <t>Consumo Neto de Energía Primaria</t>
  </si>
  <si>
    <t>Teracalorías (% por energético)</t>
  </si>
  <si>
    <t>Petróleo Crudo</t>
  </si>
  <si>
    <t>Gas Natural + Otros Gases</t>
  </si>
  <si>
    <t>Hidroelectricidad</t>
  </si>
  <si>
    <t>Leña y Otros</t>
  </si>
  <si>
    <t>Consumo Neto</t>
  </si>
  <si>
    <t>Indice</t>
  </si>
  <si>
    <t>Tasa Crecimiento Promedio Decenio ó Anual(*)</t>
  </si>
  <si>
    <t>Considera la Hidroelectricidad con equivalente calórico de 2.750 KCal/KWh desde 1978 hasta 1996.(Matriz Energética Primaria Cuadro 3B )</t>
  </si>
  <si>
    <t>Desde 1997 se considera un equivalente de 2.504 KCal/KWh</t>
  </si>
  <si>
    <t>Los datos son Netos y corresponden al Consumo Bruto primario más las Importaciones menos las Exportaciones de energía secundaria</t>
  </si>
  <si>
    <t xml:space="preserve">(*) De 1999 a 2003 Tasa de Crecimiento Promedio Anual c/r a 1998 ; </t>
  </si>
  <si>
    <t>.- Fuente Libro Balance 1979 - 1998, Balances Preliminares 1999 - 2003</t>
  </si>
  <si>
    <t>Consumo Energía Secundaria</t>
  </si>
  <si>
    <t xml:space="preserve"> Teracalorías (% por energético)</t>
  </si>
  <si>
    <t>Derivados de Petróleo y Gas Natural</t>
  </si>
  <si>
    <t>Carbón y Coke</t>
  </si>
  <si>
    <t>Electricidad</t>
  </si>
  <si>
    <t>Tasa Crecimiento Promedio Anual (Decenio)(*)</t>
  </si>
  <si>
    <t xml:space="preserve">Considera la Hidroelectricidad con equivalente calórico de 860 KCal/KWh </t>
  </si>
  <si>
    <t>(*) De 1999 a 2003 Tasa de Crecimiento Promedio Anual c/r a 1998 ;</t>
  </si>
  <si>
    <t>Consumo Sectorial</t>
  </si>
  <si>
    <t xml:space="preserve"> Teracalorías </t>
  </si>
  <si>
    <t>Sectores</t>
  </si>
  <si>
    <t>Industrial y Minero</t>
  </si>
  <si>
    <t>Comercial Público Residencial</t>
  </si>
  <si>
    <t>Centros de Transformación(*)</t>
  </si>
  <si>
    <t>Considera electricidad con equivalente calórico de 860 Kcal/KWh.</t>
  </si>
  <si>
    <t>Dependencia Energética</t>
  </si>
  <si>
    <t xml:space="preserve"> Teracalorías</t>
  </si>
  <si>
    <t>Origen</t>
  </si>
  <si>
    <t>Nacional</t>
  </si>
  <si>
    <t>Importado</t>
  </si>
  <si>
    <t>Total Consumo Neto</t>
  </si>
  <si>
    <t>(*):La hidroelectricidad se consideró con un equivalente calórico de 2.504 Kcal/KWh</t>
  </si>
  <si>
    <t>Los valores han sido calculados a partir de la Energía Primaria más las Importaciones y menos las Exportaciones de Energía Secundaria</t>
  </si>
  <si>
    <t>sin export.sec</t>
  </si>
  <si>
    <t>Gas Natural</t>
  </si>
  <si>
    <t>Leña</t>
  </si>
  <si>
    <t>Total Primario</t>
  </si>
  <si>
    <t>Exp. Secund.e Imp.</t>
  </si>
  <si>
    <t>Total Final</t>
  </si>
  <si>
    <t>% del Total</t>
  </si>
  <si>
    <t>Var. Stock</t>
  </si>
  <si>
    <t>Consumo Bruto</t>
  </si>
  <si>
    <t>Importaciones</t>
  </si>
  <si>
    <t>Exportaciones</t>
  </si>
  <si>
    <t>Primario</t>
  </si>
  <si>
    <t>Secundarias</t>
  </si>
  <si>
    <t>(Teracal)</t>
  </si>
  <si>
    <t>(1)</t>
  </si>
  <si>
    <t>(2)</t>
  </si>
  <si>
    <t>(3)</t>
  </si>
  <si>
    <t>(1) Imp.,  Exp. de los derivados</t>
  </si>
  <si>
    <t>(2) Imp.,  Exp. de Metanol, Gas Corriente, Gas Natural, Gas Alto Horno</t>
  </si>
  <si>
    <t>(3) Imp., Exp. de coke y alquitran</t>
  </si>
  <si>
    <t>Consumo Bruto Primario + importaciones secundarias - exp secundarias</t>
  </si>
  <si>
    <t xml:space="preserve">Capacidad </t>
  </si>
  <si>
    <t>[MW]</t>
  </si>
  <si>
    <t>Generación</t>
  </si>
  <si>
    <t>[GWh]</t>
  </si>
  <si>
    <t>Servicio Público</t>
  </si>
  <si>
    <t>Sistema</t>
  </si>
  <si>
    <t>Potencia Bruta</t>
  </si>
  <si>
    <t>Interconectado</t>
  </si>
  <si>
    <t>Instalada [MW]</t>
  </si>
  <si>
    <t>Instalada [%]</t>
  </si>
  <si>
    <t>Bruta        [GWh]</t>
  </si>
  <si>
    <t>Bruta         [%]</t>
  </si>
  <si>
    <t>Generación Eléctrica Nacional Por Tipo de Planta</t>
  </si>
  <si>
    <t>Planta</t>
  </si>
  <si>
    <t>Hidraulica</t>
  </si>
  <si>
    <t>Gas Natural (*)</t>
  </si>
  <si>
    <t>Diesel Fuel Oil</t>
  </si>
  <si>
    <t>(*) Incluye Importaciónes de AES Gener desde Salta, Argentina</t>
  </si>
  <si>
    <t>Capacidad Instalada Nacional Por Tipo de Planta</t>
  </si>
  <si>
    <t>MW</t>
  </si>
  <si>
    <t>La fuente de información sobre Capacidades Instaladas y Generación son los CDEC y empresas generadoras</t>
  </si>
  <si>
    <t>Coal</t>
  </si>
  <si>
    <t>Crude</t>
  </si>
  <si>
    <t>Petrole.</t>
  </si>
  <si>
    <t xml:space="preserve">Town </t>
  </si>
  <si>
    <t>Hydro</t>
  </si>
  <si>
    <t>Nuclear</t>
  </si>
  <si>
    <t>Geother</t>
  </si>
  <si>
    <t>Electricity</t>
  </si>
  <si>
    <t>Heat</t>
  </si>
  <si>
    <t>Product</t>
  </si>
  <si>
    <t>Oil</t>
  </si>
  <si>
    <t>Products</t>
  </si>
  <si>
    <t>Nat.</t>
  </si>
  <si>
    <t>Solar, etc</t>
  </si>
  <si>
    <t>1.- Indigenous Production</t>
  </si>
  <si>
    <t>2.- Import</t>
  </si>
  <si>
    <t>3.- Export</t>
  </si>
  <si>
    <t>4.- International Marine Bunkers</t>
  </si>
  <si>
    <t>5.- Stock Changes</t>
  </si>
  <si>
    <t>6.- Total Primary Energy Supply</t>
  </si>
  <si>
    <t>7.- Public Electricity</t>
  </si>
  <si>
    <t>8.- Autoprod. of Electricity</t>
  </si>
  <si>
    <t>9.- Gas Procesing</t>
  </si>
  <si>
    <t>10.- Petroleum Refineries</t>
  </si>
  <si>
    <t>11.- Coal Transformation</t>
  </si>
  <si>
    <t>12.- Loss &amp; Own Use</t>
  </si>
  <si>
    <t>15.- Industry Sector</t>
  </si>
  <si>
    <t>16.- Transport Sector</t>
  </si>
  <si>
    <t>17.- Other Sector (Mining)</t>
  </si>
  <si>
    <t>18.- Agriculture</t>
  </si>
  <si>
    <t>19.- Residential &amp; Commercial</t>
  </si>
  <si>
    <t>21.- Non-Energy</t>
  </si>
  <si>
    <t>Others</t>
  </si>
  <si>
    <t>14.- Total Transformation Energy</t>
  </si>
  <si>
    <t>22.- Total Final Energy</t>
  </si>
  <si>
    <t>23.- Total Energy</t>
  </si>
  <si>
    <t>Total Secundary Energy</t>
  </si>
  <si>
    <t>Notes:</t>
  </si>
  <si>
    <t>Others:  High Furnance gas (gas de altos hornos)+ methanol (metanol)</t>
  </si>
  <si>
    <t xml:space="preserve">13.- Discrepancy </t>
  </si>
  <si>
    <t>The Gap in Natural Gas is the absorved gas</t>
  </si>
  <si>
    <t>The Gap in Petrole Productos is the non energy products</t>
  </si>
  <si>
    <t>Coal Products: coke + alquitran</t>
  </si>
  <si>
    <t>(*) This result does not consider Crude oil neither non - energy</t>
  </si>
  <si>
    <t>(*)</t>
  </si>
  <si>
    <t>APEC  BALANCE</t>
  </si>
  <si>
    <t>TCAL</t>
  </si>
  <si>
    <t>TERMIA</t>
  </si>
  <si>
    <t>NUCLEAR</t>
  </si>
  <si>
    <t xml:space="preserve">             OFERTA</t>
  </si>
  <si>
    <t xml:space="preserve">                   TRANSFORMACIÓN</t>
  </si>
  <si>
    <t xml:space="preserve">                     CONSUMO   FINAL</t>
  </si>
  <si>
    <t xml:space="preserve"> PETRO</t>
  </si>
  <si>
    <t xml:space="preserve">  NATUTAL</t>
  </si>
  <si>
    <t xml:space="preserve">  MINERAL</t>
  </si>
  <si>
    <t xml:space="preserve">  ENERGIA</t>
  </si>
  <si>
    <t xml:space="preserve">  PRIMARIA</t>
  </si>
  <si>
    <t xml:space="preserve"> TRICIDAD</t>
  </si>
  <si>
    <t xml:space="preserve"> LICUADO</t>
  </si>
  <si>
    <t>CONSUMO TOTAL</t>
  </si>
  <si>
    <t>Notas:</t>
  </si>
  <si>
    <t>(1) Gasolina/Alcohol = gas93SP + gas93CP + gasolina aviación</t>
  </si>
  <si>
    <t>(2) Kerosene Turbo = Kerosene + Kerosene aviación</t>
  </si>
  <si>
    <t>(3) Gases = Gas de refinería + Gas corriente + Gas Alto Horno</t>
  </si>
  <si>
    <t>(4) Otros = Nafta + Metanol + Alquitran</t>
  </si>
  <si>
    <t>(5) El consumo total de energía primaria de cuadro 3, equivale a la oferta total del Total Primario de este cuadro.</t>
  </si>
  <si>
    <t>M E R C O S U R</t>
  </si>
  <si>
    <t xml:space="preserve">         INTRA MERCOSUR</t>
  </si>
  <si>
    <t xml:space="preserve">         EXTRA MERCOSUR</t>
  </si>
  <si>
    <t xml:space="preserve">         Hidroeléctrica</t>
  </si>
  <si>
    <t xml:space="preserve">         Térmica</t>
  </si>
  <si>
    <t xml:space="preserve">                                 OFERTA</t>
  </si>
  <si>
    <t xml:space="preserve">                               TRANSFORMACIÓN</t>
  </si>
  <si>
    <t>descontando los no energéticos</t>
  </si>
  <si>
    <t xml:space="preserve">(6) El consumo de energia Total total secundaria de cuadro 4, equivale al consumo total de este cuadro </t>
  </si>
  <si>
    <t>BALANCE NACIONAL</t>
  </si>
  <si>
    <t>DE ENERGÍA</t>
  </si>
  <si>
    <t>Santiago - Chile</t>
  </si>
  <si>
    <t xml:space="preserve">                  CONSUMO SECTORIAL</t>
  </si>
  <si>
    <t xml:space="preserve">               (TERACALORIAS)</t>
  </si>
  <si>
    <t xml:space="preserve">                 SECTOR CENTROS DE TRANSFORMACION</t>
  </si>
  <si>
    <t xml:space="preserve">                                            VARIACION CONSUMO BRUTO ENERGIA PRIMARIA</t>
  </si>
  <si>
    <t xml:space="preserve">                                         (TERACALORIAS)</t>
  </si>
  <si>
    <t xml:space="preserve">             PUBLICO RESIDENCIAL (CPR)</t>
  </si>
  <si>
    <t xml:space="preserve"> CONSUMO SECTORIAL</t>
  </si>
  <si>
    <t xml:space="preserve">                         (TERACALORIAS)</t>
  </si>
  <si>
    <t>SECTOR TRANSPORTE</t>
  </si>
  <si>
    <t xml:space="preserve">                                                           (UNIDADES FISICAS)</t>
  </si>
  <si>
    <t xml:space="preserve">          (Unidades Físicas)</t>
  </si>
  <si>
    <t xml:space="preserve">DENSIDADES Y PODERES CALORIFICOS </t>
  </si>
  <si>
    <t>UTILIZADOS EN EL BALANCE</t>
  </si>
  <si>
    <t>PRODUCTO</t>
  </si>
  <si>
    <t>DENSIDAD</t>
  </si>
  <si>
    <t>PODER CALORIF.</t>
  </si>
  <si>
    <t>Ton/m3</t>
  </si>
  <si>
    <t>KCal/Kg</t>
  </si>
  <si>
    <t>PETR. CRUDO NACIONAL</t>
  </si>
  <si>
    <t>PETR. CRUDO  IMPORTADO</t>
  </si>
  <si>
    <t>PETR. COMBUSTIBLE 5</t>
  </si>
  <si>
    <t>PETR. COMBUSTIBLE IFO 180</t>
  </si>
  <si>
    <t>PETR. COMBUSTIBLE  6</t>
  </si>
  <si>
    <t>GASOLINA  AUTOMOVILES</t>
  </si>
  <si>
    <t>GAS NATURAL PROCESADO</t>
  </si>
  <si>
    <t xml:space="preserve">  (**)</t>
  </si>
  <si>
    <t>GAS DE REFINERIA</t>
  </si>
  <si>
    <t xml:space="preserve"> (***)</t>
  </si>
  <si>
    <t>(****)(1)</t>
  </si>
  <si>
    <t>(*)     Promedio Isla, Continente y Costa Afuera</t>
  </si>
  <si>
    <t>(**)    KCal/m3</t>
  </si>
  <si>
    <t>(***)   KCal/m3</t>
  </si>
  <si>
    <t>(****)  KCal/KWh (Equivelente Calórico Teórico Internacional)</t>
  </si>
  <si>
    <t>(1) Equivalente Calórico práctico para Chile 2.750 KCal/KWh hasta 1997</t>
  </si>
  <si>
    <t>(1) Equivalente Calórico práctico para Chile 2.504 KCal/KWh desde 1998</t>
  </si>
  <si>
    <t>TABLA DE CONVERSION UNIDADES ENERGETICAS</t>
  </si>
  <si>
    <t xml:space="preserve">     INTERNACIONALES   (OLADE)</t>
  </si>
  <si>
    <t xml:space="preserve"> (*)</t>
  </si>
  <si>
    <t>BEEP</t>
  </si>
  <si>
    <t>TEP</t>
  </si>
  <si>
    <t>TJOULE</t>
  </si>
  <si>
    <t>10E+3BTU</t>
  </si>
  <si>
    <t>MWH</t>
  </si>
  <si>
    <t>KGGLP</t>
  </si>
  <si>
    <t xml:space="preserve">   M3 GAS NAT.</t>
  </si>
  <si>
    <t>PIE3 GAS NAT.</t>
  </si>
  <si>
    <t>M3 GAS NAT.</t>
  </si>
  <si>
    <t>(Nota: E + x = 10 elevado a x )</t>
  </si>
  <si>
    <t xml:space="preserve">                          ABREVIATURAS</t>
  </si>
  <si>
    <t>EQUIVAL.  OLADE</t>
  </si>
  <si>
    <t>EQUIVAL. BALANCE NACIONAL</t>
  </si>
  <si>
    <t>EQUIVALENCIA</t>
  </si>
  <si>
    <t>SIMBOLO</t>
  </si>
  <si>
    <t>1BBL GLP</t>
  </si>
  <si>
    <t>0,670BEP</t>
  </si>
  <si>
    <t>1Bpe</t>
  </si>
  <si>
    <t xml:space="preserve">         1,05 BEEP</t>
  </si>
  <si>
    <t>BARRIL EQUIVAL.  PETROLEO</t>
  </si>
  <si>
    <t>1BBL</t>
  </si>
  <si>
    <t>0,15893M3</t>
  </si>
  <si>
    <t>1 m3 gas nat.          1,13 M3 GAS NAT</t>
  </si>
  <si>
    <t>TON. EQUIV. PETROLEO</t>
  </si>
  <si>
    <t>1M3 GLP</t>
  </si>
  <si>
    <t>552,4 KG</t>
  </si>
  <si>
    <t>(Bpe = Barril de Petroleo Equivalente, Balance)</t>
  </si>
  <si>
    <t>BARRILES</t>
  </si>
  <si>
    <t>BBL</t>
  </si>
  <si>
    <t>1PIE3</t>
  </si>
  <si>
    <t>0,028317 M3</t>
  </si>
  <si>
    <t>METROS CUBICOS</t>
  </si>
  <si>
    <t>M3</t>
  </si>
  <si>
    <t>TERACALORIAS</t>
  </si>
  <si>
    <t>MULTIPLOS</t>
  </si>
  <si>
    <t>TONELADAS METRICAS</t>
  </si>
  <si>
    <t>TON</t>
  </si>
  <si>
    <t>PREFIJO</t>
  </si>
  <si>
    <t>FACTOR</t>
  </si>
  <si>
    <t>GIGAWATTS</t>
  </si>
  <si>
    <t>GW</t>
  </si>
  <si>
    <t>K</t>
  </si>
  <si>
    <t>KILO</t>
  </si>
  <si>
    <t>TERAWATTS-HORA</t>
  </si>
  <si>
    <t>TWH</t>
  </si>
  <si>
    <t>MEGA</t>
  </si>
  <si>
    <t>GIGAWATTS-HORA</t>
  </si>
  <si>
    <t>GWH</t>
  </si>
  <si>
    <t>G</t>
  </si>
  <si>
    <t>GIGA</t>
  </si>
  <si>
    <t>KILOWATTS-HORA</t>
  </si>
  <si>
    <t>KWH</t>
  </si>
  <si>
    <t>TERA</t>
  </si>
  <si>
    <t>MEGAWATTS-HORA</t>
  </si>
  <si>
    <t>P</t>
  </si>
  <si>
    <t>PETA</t>
  </si>
  <si>
    <t xml:space="preserve">(*) PARA OBTENER EQUIVALENCIAS INTERNACIONALES, SE DEBEN TENER EN CUENTA LAS EQUIVALENCIAS DEL BALANCE NACIONAL DE ENERGIA , PRINCIPALMENTE </t>
  </si>
  <si>
    <t xml:space="preserve"> RESPECTO A PODERES CALORIFICOS Y DENSIDADES</t>
  </si>
  <si>
    <t>fuente de la Cámara de Comercio de Santiago.</t>
  </si>
  <si>
    <t xml:space="preserve">(7) Porcentajes de exportaciones/importaciones dentro o fuera del Mercosur, se obtuvieron con </t>
  </si>
  <si>
    <t>CUADRO1</t>
  </si>
  <si>
    <t>CUADRO2</t>
  </si>
  <si>
    <t>INDICE</t>
  </si>
  <si>
    <t>VOLVER A INDICE</t>
  </si>
  <si>
    <t>CUADRO3</t>
  </si>
  <si>
    <t>A. Balance Calórico (Teracalorías)</t>
  </si>
  <si>
    <t>CUADRO3B</t>
  </si>
  <si>
    <t>CUADRO4</t>
  </si>
  <si>
    <t>CUADRO5</t>
  </si>
  <si>
    <t>CUADRO6</t>
  </si>
  <si>
    <t>CUADRO7</t>
  </si>
  <si>
    <t>CUADRO8</t>
  </si>
  <si>
    <t>CUADRO9</t>
  </si>
  <si>
    <t>CUADRO10</t>
  </si>
  <si>
    <t>B. Balance Físico (Unidades Físicas)</t>
  </si>
  <si>
    <t>CUADRO11</t>
  </si>
  <si>
    <t>CUADRO12</t>
  </si>
  <si>
    <t>CUADRO13</t>
  </si>
  <si>
    <t>CUADRO14</t>
  </si>
  <si>
    <t>CUADRO15</t>
  </si>
  <si>
    <t>CUADRO16</t>
  </si>
  <si>
    <t>CUADRO17</t>
  </si>
  <si>
    <t>CUADRO18</t>
  </si>
  <si>
    <t>C. Evolución Energía</t>
  </si>
  <si>
    <t>1. Evolución Energía Primaria, Secundaria y  Consumo Sectorial.</t>
  </si>
  <si>
    <t>CUADRO19</t>
  </si>
  <si>
    <t>CUADRO20</t>
  </si>
  <si>
    <t xml:space="preserve">    de planta.</t>
  </si>
  <si>
    <t xml:space="preserve">   Evolución Generación y Capacidades Eléctricas, por tipo</t>
  </si>
  <si>
    <t>D. Consumo Sectorial Energia Secundaria</t>
  </si>
  <si>
    <t>SECT_TERAC.</t>
  </si>
  <si>
    <t>SECT_U.FIS.</t>
  </si>
  <si>
    <t>1. Balance Eléctrico</t>
  </si>
  <si>
    <t>BALANCE_ELECT</t>
  </si>
  <si>
    <t>2. Evolución Capacidades Eléctricas.</t>
  </si>
  <si>
    <t>CAPACIDADES</t>
  </si>
  <si>
    <t>3. Evolución Generaciones Eléctricas.</t>
  </si>
  <si>
    <t>GENERACION EE</t>
  </si>
  <si>
    <t>4. Cuadro Densidades y Poderes Caloríficos usados.</t>
  </si>
  <si>
    <t>CUADROA2</t>
  </si>
  <si>
    <t>5. Cuadro Factores Internacionales de Conversión</t>
  </si>
  <si>
    <t>CUADROA3</t>
  </si>
  <si>
    <t>1. Variación Consumo Bruto Energía Primaria.</t>
  </si>
  <si>
    <t>2. Variación Consumo Total de Energía Secundaria.</t>
  </si>
  <si>
    <t>3. Balance Energía Primaria (P.Cal. Agua = 860 Kcal/KWh).</t>
  </si>
  <si>
    <t>4. Balance Energía Primara (P.Cal. Agua = 2504 Kcal/KWh).</t>
  </si>
  <si>
    <t>5. Balance Energía Secundaria.</t>
  </si>
  <si>
    <t>6. Distribución Consumo Total.</t>
  </si>
  <si>
    <t>7. Distribución Consumo sector Transporte.</t>
  </si>
  <si>
    <t>8. Distribución Consumo sector Industrial y Minero.</t>
  </si>
  <si>
    <t>9. Distribución Consumo sector Residencial.</t>
  </si>
  <si>
    <t>1. Balance de Energía Primaria.</t>
  </si>
  <si>
    <t>2. Balance Energía Secundaria.</t>
  </si>
  <si>
    <t>3. Distribución Consumo Total.</t>
  </si>
  <si>
    <t>4. Distribución Consumo Sector Transporte.</t>
  </si>
  <si>
    <t>5. Distribución Consumo Sector Industrial y Minero.</t>
  </si>
  <si>
    <t>6.  Distribución Consumo sector Residencial.</t>
  </si>
  <si>
    <t>1. Balance Calórico (Teracalorías).</t>
  </si>
  <si>
    <t>2. Balance Físico (Unidades Físicas).</t>
  </si>
  <si>
    <t>AÑO 2005</t>
  </si>
  <si>
    <t xml:space="preserve">PRODUCCION GAS LICUADO                </t>
  </si>
  <si>
    <t>(****) Subsistema Aysen, no incluye centrales aisladas de menos de 1,5 MW (4MW el 2003)</t>
  </si>
  <si>
    <t xml:space="preserve">(6) El consumo de energia  total secundaria de cuadro 4, equivale al consumo total de este cuadro </t>
  </si>
  <si>
    <t>Transformación</t>
  </si>
  <si>
    <t xml:space="preserve"> Sector Energético</t>
  </si>
  <si>
    <t>Total Consumo propio sector Energético</t>
  </si>
  <si>
    <t xml:space="preserve">Sector </t>
  </si>
  <si>
    <t>Energético</t>
  </si>
  <si>
    <t xml:space="preserve">                 SECTOR ENERGÉTICO</t>
  </si>
  <si>
    <t>GAS DE ALTOS HORNOS</t>
  </si>
  <si>
    <t xml:space="preserve"> SECTOR ENERGÉTICO</t>
  </si>
  <si>
    <t>(*) Consumo Efectivo = Cons. Bruto Energía Pimaria + Importaciones - Exportaciones Secundarias - Cons. Transporte - Cons. Industrial y minero - Cons. Comercial, Público y Residencial</t>
  </si>
  <si>
    <t>10. Distribución Consumo del Sector Energético</t>
  </si>
  <si>
    <t>11. Distribución Consumo sector Centros de Transformación.</t>
  </si>
  <si>
    <t>12. Producción Bruta derivados Industriales del Petróleo.</t>
  </si>
  <si>
    <t>7. Distribución Consumo del Sector Energético</t>
  </si>
  <si>
    <t>8. Distribución en Centros de Transformación.</t>
  </si>
  <si>
    <t>9. Producción bruta derivados del petróleo.</t>
  </si>
  <si>
    <t>CUADRO21</t>
  </si>
  <si>
    <t>CUADRO22</t>
  </si>
  <si>
    <t>Nota 4: El Consumo Total equivale a la suma del Consumo Final y Consumo en Centros de Transformación</t>
  </si>
  <si>
    <t>Nota 2: Com.Pub.Res. corresponde al sector Comercial, Público y Residencial.</t>
  </si>
  <si>
    <t xml:space="preserve">Nota 3: El Consumo Final equivale a la suma de los sectores: Transporte, Industrial y Minero, Com.Pub.Res. y Energético </t>
  </si>
  <si>
    <t>CONSUMO TOTAL DE ENERGIA</t>
  </si>
  <si>
    <t>2. Generación y Capacidad Elétrica 2005, por sistema.</t>
  </si>
  <si>
    <t xml:space="preserve">Nota 1:  El Consumo Bruto de este cuadro, es mayor que el Consumo Bruto del resto de los cuadros, debido a que se utilizó un poder calorífico para la hidroelectricidad </t>
  </si>
  <si>
    <t xml:space="preserve">           igual  2.504 Kcal/Kwh (equivalencia térmica para el parque generador nacional, que difiere de los 860 kcal/kwh adoptados internacionalmente)</t>
  </si>
  <si>
    <t xml:space="preserve">El consumo Total incluye el Consumo Final y el Consumo de de los Centros de Transformación.  La energía generada a partir de los energéticos consumidos en los Centros de </t>
  </si>
  <si>
    <t>Tranformación, está contabilizada en el Consumo Final. Es por esto que el Consumo Total incluye una doble contabilización, como ya se explicó en la Introducción de este documento.</t>
  </si>
  <si>
    <t xml:space="preserve">                                                                  SECTOR COMERCIAL,</t>
  </si>
  <si>
    <t xml:space="preserve"> PUBLICO Y RESIDENCIAL (CPR)</t>
  </si>
  <si>
    <t xml:space="preserve">      VARIACION CONSUMO FINAL ENERGIA SECUNDARIA</t>
  </si>
  <si>
    <t>20.- Other: Energy sector</t>
  </si>
  <si>
    <t>Heat is  wood and wood waste</t>
  </si>
  <si>
    <t>Hydro is included in Electricity</t>
  </si>
  <si>
    <t xml:space="preserve">  DARIA '</t>
  </si>
  <si>
    <t xml:space="preserve">  DARIA'</t>
  </si>
  <si>
    <t>Elaboración: Comisión Nacional de Energía, Enero 2006</t>
  </si>
  <si>
    <t>Elaboración: Comisión Nacional de Energía, Enero  2006</t>
  </si>
  <si>
    <t xml:space="preserve">         AÑO 2004</t>
  </si>
  <si>
    <t xml:space="preserve">                     AÑO 2004</t>
  </si>
  <si>
    <t>AÑO 2004</t>
  </si>
  <si>
    <t xml:space="preserve">   AÑO 2004</t>
  </si>
  <si>
    <t xml:space="preserve">        AÑO 2004</t>
  </si>
  <si>
    <t xml:space="preserve">                                                                    AÑO 2004</t>
  </si>
  <si>
    <t xml:space="preserve">     AÑO 2004</t>
  </si>
  <si>
    <t>Capacidad  y Generación por Tipo de Servicio 2004</t>
  </si>
  <si>
    <t>Capacidad  y Generación por Sistema 2004</t>
  </si>
  <si>
    <t>(*) Incluye capacidad instalada de AES Gener en Salta Argentina (642,8 MW año 2000 - 2004)</t>
  </si>
  <si>
    <t>Año 2004  (Teracalorías)</t>
  </si>
  <si>
    <t>Año 2004 (Unidades Físicas)</t>
  </si>
  <si>
    <t>Energy Balance Table of Chile 2004</t>
  </si>
  <si>
    <t>(**) Incluye Importaciones desde Argentina de 1.903 GWh</t>
  </si>
  <si>
    <t>(1) Estadística de Operación CDEC-SIC 1990 - 2004</t>
  </si>
  <si>
    <t>(2) Estadístca de Operación CDEC-SING 1993 - 2004</t>
  </si>
  <si>
    <t>(*****) Población estimada 2004, es de  16.093.378 personas. Fuente INE.</t>
  </si>
  <si>
    <t>(****) Hidroelectricidad considera Capacidad Eólica de 2 MW y generación de 5,2 GWh</t>
  </si>
  <si>
    <t>(1) Estadísticas de Operación CDEC-SIC 1990-2004</t>
  </si>
  <si>
    <t>(2) Estadísticas de Operación CDEC-SING 1993-2004</t>
  </si>
  <si>
    <t>(***) Sistema Aysen en hidro considera la producción Eólica de 5,2 GWh el 2004</t>
  </si>
  <si>
    <t>(**) SING Consideran Importaciones de Gener (1.903 GWh año 2004)</t>
  </si>
  <si>
    <t>(1) Incluye a Generadoras de Servicio Público y Auto Generadoras</t>
  </si>
  <si>
    <t>(2) Incluye a la Siderurgia y a Plantas de Gas Corriente</t>
  </si>
  <si>
    <t>(3) Incluye el consumo de carboneras.</t>
  </si>
  <si>
    <t>(4) Planta  elaboradora de Metanol</t>
  </si>
  <si>
    <t>ELECTRICIDAD (1)</t>
  </si>
  <si>
    <t>GAS Y COKE (2)</t>
  </si>
  <si>
    <t>Y LEÑA (3)</t>
  </si>
  <si>
    <t>METANOL (4)</t>
  </si>
  <si>
    <t>trafo refineria</t>
  </si>
  <si>
    <t>trafo pgas</t>
  </si>
  <si>
    <t>energ-pgas</t>
  </si>
  <si>
    <t>trafo planta gas</t>
  </si>
  <si>
    <t>energia planta gas</t>
  </si>
  <si>
    <t>Ahornos +</t>
  </si>
  <si>
    <t>HCOQUE</t>
  </si>
  <si>
    <t>cons energ</t>
  </si>
  <si>
    <t>E. Anexos</t>
  </si>
  <si>
    <t>Cuadro 21 - A</t>
  </si>
  <si>
    <t>Cuadro 21 - B</t>
  </si>
  <si>
    <t>Cuadro 21 - C</t>
  </si>
  <si>
    <t>Cuadro 21 - D</t>
  </si>
  <si>
    <t>Cuadro 22- A</t>
  </si>
  <si>
    <t>Cuadro 22 - B</t>
  </si>
  <si>
    <t>Cuadro 22 - C</t>
  </si>
  <si>
    <t>Cuadro 22 - D</t>
  </si>
  <si>
    <t xml:space="preserve">Nota 2: El factor de conversión utilizado para la hidroelectricidad corresponde al utilizado en </t>
  </si>
  <si>
    <t>Nota 1: El Consumo Final del año 2004 de este cuadro, está en el mismo formato que el del año 2003, y por esto es distinto al Consumo Final mostrado en este Balance de Energía. El Consumo Final 2004 agrega ahora al Sector Energético, es por esto que descontando al Consumo Final de este Balance de Energía, el consumo del Sector Energético, se obtiene un valor practicamente equivalente al mostrado en este cuadro.</t>
  </si>
  <si>
    <t>19657 =</t>
  </si>
  <si>
    <t>2297 =</t>
  </si>
  <si>
    <t>1873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</si>
</sst>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numFmt numFmtId="165" formatCode="0.0"/>
    <numFmt numFmtId="166" formatCode="0.0%"/>
    <numFmt numFmtId="167" formatCode="mm/dd/yy"/>
    <numFmt numFmtId="168" formatCode="###0"/>
    <numFmt numFmtId="169" formatCode="#,##0.00000"/>
    <numFmt numFmtId="170" formatCode="#,##0.00_ _P_t_s_);[Red]\(#,##0.00_ _P_t_s\)"/>
    <numFmt numFmtId="171" formatCode="0.000"/>
    <numFmt numFmtId="172" formatCode="0.00000"/>
  </numFmts>
  <fonts count="99">
    <font>
      <sz val="10"/>
      <name val="Arial"/>
    </font>
    <font>
      <sz val="10"/>
      <name val="Arial"/>
      <family val="2"/>
    </font>
    <font>
      <b/>
      <sz val="12"/>
      <color indexed="9"/>
      <name val="MS Sans Serif"/>
      <family val="2"/>
    </font>
    <font>
      <sz val="10"/>
      <name val="MS Sans Serif"/>
    </font>
    <font>
      <sz val="8.5"/>
      <color indexed="9"/>
      <name val="MS Sans Serif"/>
      <family val="2"/>
    </font>
    <font>
      <b/>
      <sz val="8.5"/>
      <color indexed="9"/>
      <name val="MS Sans Serif"/>
      <family val="2"/>
    </font>
    <font>
      <b/>
      <sz val="10"/>
      <color indexed="18"/>
      <name val="MS Sans Serif"/>
    </font>
    <font>
      <b/>
      <sz val="10"/>
      <color indexed="8"/>
      <name val="MS Sans Serif"/>
    </font>
    <font>
      <b/>
      <sz val="10"/>
      <name val="MS Sans Serif"/>
      <family val="2"/>
    </font>
    <font>
      <b/>
      <sz val="8"/>
      <color indexed="8"/>
      <name val="MS Sans Serif"/>
      <family val="2"/>
    </font>
    <font>
      <b/>
      <sz val="8"/>
      <name val="MS Sans Serif"/>
      <family val="2"/>
    </font>
    <font>
      <sz val="10"/>
      <color indexed="9"/>
      <name val="Arial"/>
      <family val="2"/>
    </font>
    <font>
      <sz val="10"/>
      <name val="Arial"/>
      <family val="2"/>
    </font>
    <font>
      <b/>
      <sz val="10"/>
      <name val="Arial"/>
      <family val="2"/>
    </font>
    <font>
      <sz val="8.5"/>
      <color indexed="9"/>
      <name val="MS Sans Serif"/>
    </font>
    <font>
      <b/>
      <sz val="8.5"/>
      <color indexed="9"/>
      <name val="MS Sans Serif"/>
    </font>
    <font>
      <sz val="12"/>
      <color indexed="9"/>
      <name val="MS Sans Serif"/>
      <family val="2"/>
    </font>
    <font>
      <b/>
      <sz val="12"/>
      <color indexed="9"/>
      <name val="MS Sans Serif"/>
    </font>
    <font>
      <b/>
      <sz val="10"/>
      <name val="MS Sans Serif"/>
    </font>
    <font>
      <sz val="8"/>
      <name val="MS Sans Serif"/>
      <family val="2"/>
    </font>
    <font>
      <sz val="8"/>
      <name val="MS Sans Serif"/>
    </font>
    <font>
      <sz val="10"/>
      <name val="MS Sans Serif"/>
      <family val="2"/>
    </font>
    <font>
      <b/>
      <i/>
      <sz val="10"/>
      <color indexed="8"/>
      <name val="MS Sans Serif"/>
    </font>
    <font>
      <i/>
      <sz val="10"/>
      <color indexed="8"/>
      <name val="MS Sans Serif"/>
      <family val="2"/>
    </font>
    <font>
      <i/>
      <sz val="10"/>
      <name val="MS Sans Serif"/>
      <family val="2"/>
    </font>
    <font>
      <b/>
      <sz val="10"/>
      <name val="Geneva"/>
    </font>
    <font>
      <b/>
      <sz val="11"/>
      <color indexed="9"/>
      <name val="Arial"/>
      <family val="2"/>
    </font>
    <font>
      <sz val="10"/>
      <color indexed="9"/>
      <name val="MS Sans Serif"/>
      <family val="2"/>
    </font>
    <font>
      <sz val="9"/>
      <color indexed="9"/>
      <name val="Arial"/>
      <family val="2"/>
    </font>
    <font>
      <b/>
      <sz val="9"/>
      <color indexed="9"/>
      <name val="Arial"/>
      <family val="2"/>
    </font>
    <font>
      <b/>
      <sz val="10"/>
      <color indexed="18"/>
      <name val="Arial"/>
      <family val="2"/>
    </font>
    <font>
      <b/>
      <sz val="10"/>
      <color indexed="8"/>
      <name val="Arial"/>
      <family val="2"/>
    </font>
    <font>
      <sz val="10"/>
      <color indexed="8"/>
      <name val="MS Sans Serif"/>
    </font>
    <font>
      <b/>
      <sz val="10"/>
      <color indexed="8"/>
      <name val="Geneva"/>
    </font>
    <font>
      <sz val="8"/>
      <color indexed="21"/>
      <name val="MS Sans Serif"/>
    </font>
    <font>
      <sz val="12"/>
      <name val="MS Sans Serif"/>
      <family val="2"/>
    </font>
    <font>
      <b/>
      <sz val="12"/>
      <color indexed="8"/>
      <name val="MS Sans Serif"/>
      <family val="2"/>
    </font>
    <font>
      <b/>
      <sz val="11"/>
      <color indexed="8"/>
      <name val="MS Sans Serif"/>
      <family val="2"/>
    </font>
    <font>
      <b/>
      <sz val="12"/>
      <color indexed="18"/>
      <name val="MS Sans Serif"/>
      <family val="2"/>
    </font>
    <font>
      <b/>
      <sz val="11"/>
      <color indexed="18"/>
      <name val="MS Sans Serif"/>
      <family val="2"/>
    </font>
    <font>
      <b/>
      <sz val="11"/>
      <name val="MS Sans Serif"/>
      <family val="2"/>
    </font>
    <font>
      <sz val="11"/>
      <name val="MS Sans Serif"/>
      <family val="2"/>
    </font>
    <font>
      <b/>
      <sz val="10"/>
      <color indexed="62"/>
      <name val="MS Sans Serif"/>
      <family val="2"/>
    </font>
    <font>
      <b/>
      <sz val="12"/>
      <color indexed="12"/>
      <name val="Geneva"/>
    </font>
    <font>
      <sz val="10"/>
      <name val="Geneva"/>
    </font>
    <font>
      <sz val="10"/>
      <color indexed="12"/>
      <name val="Geneva"/>
    </font>
    <font>
      <b/>
      <u/>
      <sz val="12"/>
      <color indexed="12"/>
      <name val="Geneva"/>
    </font>
    <font>
      <b/>
      <sz val="10"/>
      <color indexed="12"/>
      <name val="Geneva"/>
    </font>
    <font>
      <b/>
      <sz val="8"/>
      <color indexed="8"/>
      <name val="Arial"/>
      <family val="2"/>
    </font>
    <font>
      <b/>
      <sz val="10"/>
      <color indexed="9"/>
      <name val="MS Sans Serif"/>
      <family val="2"/>
    </font>
    <font>
      <b/>
      <u/>
      <sz val="8"/>
      <name val="Arial"/>
      <family val="2"/>
    </font>
    <font>
      <sz val="8"/>
      <name val="Arial"/>
      <family val="2"/>
    </font>
    <font>
      <b/>
      <sz val="12"/>
      <color indexed="48"/>
      <name val="Arial"/>
      <family val="2"/>
    </font>
    <font>
      <b/>
      <sz val="10"/>
      <color indexed="48"/>
      <name val="Arial"/>
      <family val="2"/>
    </font>
    <font>
      <sz val="10"/>
      <color indexed="48"/>
      <name val="Arial"/>
      <family val="2"/>
    </font>
    <font>
      <b/>
      <sz val="8"/>
      <color indexed="9"/>
      <name val="Arial"/>
      <family val="2"/>
    </font>
    <font>
      <b/>
      <sz val="10"/>
      <color indexed="8"/>
      <name val="Arial"/>
      <family val="2"/>
    </font>
    <font>
      <sz val="9"/>
      <name val="Arial"/>
      <family val="2"/>
    </font>
    <font>
      <sz val="10"/>
      <name val="Arial"/>
      <family val="2"/>
    </font>
    <font>
      <b/>
      <sz val="14"/>
      <color indexed="18"/>
      <name val="Arial"/>
      <family val="2"/>
    </font>
    <font>
      <b/>
      <sz val="12"/>
      <color indexed="18"/>
      <name val="Arial"/>
      <family val="2"/>
    </font>
    <font>
      <b/>
      <i/>
      <sz val="10"/>
      <color indexed="41"/>
      <name val="Arial"/>
      <family val="2"/>
    </font>
    <font>
      <b/>
      <sz val="10"/>
      <color indexed="62"/>
      <name val="Arial"/>
      <family val="2"/>
    </font>
    <font>
      <b/>
      <i/>
      <sz val="10"/>
      <color indexed="63"/>
      <name val="Arial"/>
      <family val="2"/>
    </font>
    <font>
      <b/>
      <i/>
      <sz val="10"/>
      <color indexed="30"/>
      <name val="Arial"/>
      <family val="2"/>
    </font>
    <font>
      <sz val="10"/>
      <color indexed="18"/>
      <name val="Arial"/>
      <family val="2"/>
    </font>
    <font>
      <b/>
      <i/>
      <sz val="10"/>
      <color indexed="15"/>
      <name val="Arial"/>
      <family val="2"/>
    </font>
    <font>
      <sz val="10"/>
      <color indexed="62"/>
      <name val="Arial"/>
      <family val="2"/>
    </font>
    <font>
      <i/>
      <sz val="10"/>
      <color indexed="63"/>
      <name val="Arial"/>
      <family val="2"/>
    </font>
    <font>
      <b/>
      <sz val="12"/>
      <color indexed="53"/>
      <name val="Arial"/>
      <family val="2"/>
    </font>
    <font>
      <sz val="10"/>
      <color indexed="53"/>
      <name val="Arial"/>
      <family val="2"/>
    </font>
    <font>
      <b/>
      <sz val="11"/>
      <color indexed="54"/>
      <name val="Arial"/>
      <family val="2"/>
    </font>
    <font>
      <b/>
      <sz val="14"/>
      <color indexed="54"/>
      <name val="Arial"/>
      <family val="2"/>
    </font>
    <font>
      <b/>
      <sz val="8"/>
      <name val="Arial"/>
      <family val="2"/>
    </font>
    <font>
      <b/>
      <sz val="14"/>
      <name val="Arial"/>
      <family val="2"/>
    </font>
    <font>
      <b/>
      <sz val="12"/>
      <name val="Arial"/>
      <family val="2"/>
    </font>
    <font>
      <sz val="11"/>
      <name val="Arial"/>
      <family val="2"/>
    </font>
    <font>
      <b/>
      <sz val="26"/>
      <name val="Arial"/>
      <family val="2"/>
    </font>
    <font>
      <b/>
      <sz val="24"/>
      <name val="Arial"/>
      <family val="2"/>
    </font>
    <font>
      <b/>
      <sz val="20"/>
      <name val="Arial"/>
      <family val="2"/>
    </font>
    <font>
      <sz val="10"/>
      <color indexed="9"/>
      <name val="Geneva"/>
    </font>
    <font>
      <b/>
      <sz val="10"/>
      <color indexed="9"/>
      <name val="Geneva"/>
    </font>
    <font>
      <sz val="8"/>
      <color indexed="12"/>
      <name val="Geneva"/>
    </font>
    <font>
      <b/>
      <sz val="8"/>
      <color indexed="9"/>
      <name val="MS Sans Serif"/>
      <family val="2"/>
    </font>
    <font>
      <b/>
      <sz val="8"/>
      <color indexed="21"/>
      <name val="MS Sans Serif"/>
    </font>
    <font>
      <sz val="8"/>
      <color indexed="8"/>
      <name val="MS Sans Serif"/>
    </font>
    <font>
      <b/>
      <sz val="8"/>
      <color indexed="8"/>
      <name val="MS Sans Serif"/>
    </font>
    <font>
      <u/>
      <sz val="10"/>
      <color indexed="12"/>
      <name val="Arial"/>
      <family val="2"/>
    </font>
    <font>
      <sz val="20"/>
      <name val="Arial"/>
      <family val="2"/>
    </font>
    <font>
      <b/>
      <u/>
      <sz val="12"/>
      <color indexed="12"/>
      <name val="Arial"/>
      <family val="2"/>
    </font>
    <font>
      <sz val="10"/>
      <color indexed="10"/>
      <name val="Arial"/>
      <family val="2"/>
    </font>
    <font>
      <sz val="8"/>
      <name val="Arial"/>
      <family val="2"/>
    </font>
    <font>
      <sz val="10"/>
      <color indexed="12"/>
      <name val="Arial"/>
      <family val="2"/>
    </font>
    <font>
      <b/>
      <sz val="8.5"/>
      <name val="MS Sans Serif"/>
      <family val="2"/>
    </font>
    <font>
      <b/>
      <sz val="8.5"/>
      <name val="Arial"/>
      <family val="2"/>
    </font>
    <font>
      <sz val="10"/>
      <color indexed="8"/>
      <name val="Arial"/>
      <family val="2"/>
    </font>
    <font>
      <sz val="10"/>
      <color indexed="8"/>
      <name val="MS Sans Serif"/>
      <family val="2"/>
    </font>
    <font>
      <b/>
      <sz val="10"/>
      <color indexed="8"/>
      <name val="MS Sans Serif"/>
      <family val="2"/>
    </font>
    <font>
      <b/>
      <sz val="8"/>
      <name val="MS Sans Serif"/>
    </font>
  </fonts>
  <fills count="18">
    <fill>
      <patternFill patternType="none"/>
    </fill>
    <fill>
      <patternFill patternType="gray125"/>
    </fill>
    <fill>
      <patternFill patternType="solid">
        <fgColor indexed="62"/>
        <bgColor indexed="24"/>
      </patternFill>
    </fill>
    <fill>
      <patternFill patternType="solid">
        <fgColor indexed="9"/>
        <bgColor indexed="64"/>
      </patternFill>
    </fill>
    <fill>
      <patternFill patternType="solid">
        <fgColor indexed="62"/>
        <bgColor indexed="64"/>
      </patternFill>
    </fill>
    <fill>
      <patternFill patternType="solid">
        <fgColor indexed="22"/>
        <bgColor indexed="24"/>
      </patternFill>
    </fill>
    <fill>
      <patternFill patternType="solid">
        <fgColor indexed="10"/>
        <bgColor indexed="64"/>
      </patternFill>
    </fill>
    <fill>
      <patternFill patternType="solid">
        <fgColor indexed="22"/>
        <bgColor indexed="22"/>
      </patternFill>
    </fill>
    <fill>
      <patternFill patternType="solid">
        <fgColor indexed="9"/>
        <bgColor indexed="22"/>
      </patternFill>
    </fill>
    <fill>
      <patternFill patternType="solid">
        <fgColor indexed="22"/>
        <bgColor indexed="64"/>
      </patternFill>
    </fill>
    <fill>
      <patternFill patternType="solid">
        <fgColor indexed="31"/>
        <bgColor indexed="64"/>
      </patternFill>
    </fill>
    <fill>
      <patternFill patternType="solid">
        <fgColor indexed="9"/>
        <bgColor indexed="24"/>
      </patternFill>
    </fill>
    <fill>
      <patternFill patternType="solid">
        <fgColor indexed="65"/>
        <bgColor indexed="64"/>
      </patternFill>
    </fill>
    <fill>
      <patternFill patternType="solid">
        <fgColor indexed="20"/>
        <bgColor indexed="24"/>
      </patternFill>
    </fill>
    <fill>
      <patternFill patternType="solid">
        <fgColor indexed="53"/>
        <bgColor indexed="64"/>
      </patternFill>
    </fill>
    <fill>
      <patternFill patternType="mediumGray">
        <fgColor indexed="22"/>
        <bgColor indexed="22"/>
      </patternFill>
    </fill>
    <fill>
      <patternFill patternType="solid">
        <fgColor indexed="57"/>
        <bgColor indexed="64"/>
      </patternFill>
    </fill>
    <fill>
      <patternFill patternType="solid">
        <fgColor indexed="9"/>
        <bgColor indexed="9"/>
      </patternFill>
    </fill>
  </fills>
  <borders count="1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right/>
      <top style="thin">
        <color indexed="10"/>
      </top>
      <bottom/>
      <diagonal/>
    </border>
    <border>
      <left/>
      <right/>
      <top/>
      <bottom style="thin">
        <color indexed="1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medium">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medium">
        <color indexed="64"/>
      </top>
      <bottom/>
      <diagonal/>
    </border>
    <border>
      <left style="thick">
        <color indexed="64"/>
      </left>
      <right/>
      <top style="thin">
        <color indexed="64"/>
      </top>
      <bottom/>
      <diagonal/>
    </border>
    <border>
      <left style="thin">
        <color indexed="64"/>
      </left>
      <right style="medium">
        <color indexed="64"/>
      </right>
      <top style="thin">
        <color indexed="64"/>
      </top>
      <bottom/>
      <diagonal/>
    </border>
    <border>
      <left style="thick">
        <color indexed="64"/>
      </left>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ck">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12"/>
      </left>
      <right/>
      <top style="double">
        <color indexed="12"/>
      </top>
      <bottom/>
      <diagonal/>
    </border>
    <border>
      <left/>
      <right style="double">
        <color indexed="12"/>
      </right>
      <top style="double">
        <color indexed="12"/>
      </top>
      <bottom/>
      <diagonal/>
    </border>
    <border>
      <left style="double">
        <color indexed="12"/>
      </left>
      <right/>
      <top/>
      <bottom/>
      <diagonal/>
    </border>
    <border>
      <left/>
      <right style="double">
        <color indexed="12"/>
      </right>
      <top/>
      <bottom/>
      <diagonal/>
    </border>
    <border>
      <left style="double">
        <color indexed="12"/>
      </left>
      <right/>
      <top/>
      <bottom style="double">
        <color indexed="12"/>
      </bottom>
      <diagonal/>
    </border>
    <border>
      <left/>
      <right style="double">
        <color indexed="12"/>
      </right>
      <top/>
      <bottom style="double">
        <color indexed="12"/>
      </bottom>
      <diagonal/>
    </border>
    <border>
      <left/>
      <right style="thin">
        <color indexed="10"/>
      </right>
      <top/>
      <bottom/>
      <diagonal/>
    </border>
    <border>
      <left/>
      <right/>
      <top/>
      <bottom style="thin">
        <color indexed="9"/>
      </bottom>
      <diagonal/>
    </border>
    <border>
      <left/>
      <right/>
      <top style="thin">
        <color indexed="23"/>
      </top>
      <bottom style="thin">
        <color indexed="9"/>
      </bottom>
      <diagonal/>
    </border>
    <border>
      <left/>
      <right style="thin">
        <color indexed="10"/>
      </right>
      <top style="thin">
        <color indexed="23"/>
      </top>
      <bottom style="thin">
        <color indexed="9"/>
      </bottom>
      <diagonal/>
    </border>
    <border>
      <left/>
      <right style="thin">
        <color indexed="10"/>
      </right>
      <top style="thin">
        <color indexed="23"/>
      </top>
      <bottom style="thin">
        <color indexed="10"/>
      </bottom>
      <diagonal/>
    </border>
    <border>
      <left style="thin">
        <color indexed="10"/>
      </left>
      <right/>
      <top style="thin">
        <color indexed="10"/>
      </top>
      <bottom/>
      <diagonal/>
    </border>
    <border>
      <left/>
      <right style="thin">
        <color indexed="10"/>
      </right>
      <top style="thin">
        <color indexed="10"/>
      </top>
      <bottom/>
      <diagonal/>
    </border>
    <border>
      <left style="thin">
        <color indexed="10"/>
      </left>
      <right style="thin">
        <color indexed="9"/>
      </right>
      <top style="thin">
        <color indexed="23"/>
      </top>
      <bottom style="thin">
        <color indexed="9"/>
      </bottom>
      <diagonal/>
    </border>
    <border>
      <left style="thin">
        <color indexed="10"/>
      </left>
      <right/>
      <top style="thin">
        <color indexed="23"/>
      </top>
      <bottom style="thin">
        <color indexed="9"/>
      </bottom>
      <diagonal/>
    </border>
    <border>
      <left style="thin">
        <color indexed="10"/>
      </left>
      <right/>
      <top style="thin">
        <color indexed="23"/>
      </top>
      <bottom/>
      <diagonal/>
    </border>
    <border>
      <left/>
      <right/>
      <top style="thin">
        <color indexed="23"/>
      </top>
      <bottom/>
      <diagonal/>
    </border>
    <border>
      <left/>
      <right style="thin">
        <color indexed="10"/>
      </right>
      <top style="thin">
        <color indexed="23"/>
      </top>
      <bottom/>
      <diagonal/>
    </border>
    <border>
      <left style="thin">
        <color indexed="10"/>
      </left>
      <right/>
      <top/>
      <bottom/>
      <diagonal/>
    </border>
    <border>
      <left style="thin">
        <color indexed="10"/>
      </left>
      <right/>
      <top/>
      <bottom style="thin">
        <color indexed="10"/>
      </bottom>
      <diagonal/>
    </border>
    <border>
      <left/>
      <right style="thin">
        <color indexed="10"/>
      </right>
      <top/>
      <bottom style="thin">
        <color indexed="10"/>
      </bottom>
      <diagonal/>
    </border>
    <border>
      <left style="thin">
        <color indexed="23"/>
      </left>
      <right/>
      <top style="thin">
        <color indexed="23"/>
      </top>
      <bottom style="thin">
        <color indexed="9"/>
      </bottom>
      <diagonal/>
    </border>
    <border>
      <left style="thin">
        <color indexed="10"/>
      </left>
      <right/>
      <top style="thin">
        <color indexed="23"/>
      </top>
      <bottom style="thin">
        <color indexed="10"/>
      </bottom>
      <diagonal/>
    </border>
    <border>
      <left/>
      <right/>
      <top style="thin">
        <color indexed="23"/>
      </top>
      <bottom style="thin">
        <color indexed="10"/>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9"/>
      </bottom>
      <diagonal/>
    </border>
    <border>
      <left/>
      <right style="medium">
        <color indexed="64"/>
      </right>
      <top/>
      <bottom style="thin">
        <color indexed="9"/>
      </bottom>
      <diagonal/>
    </border>
    <border>
      <left style="medium">
        <color indexed="64"/>
      </left>
      <right/>
      <top style="thin">
        <color indexed="23"/>
      </top>
      <bottom style="thin">
        <color indexed="9"/>
      </bottom>
      <diagonal/>
    </border>
    <border>
      <left/>
      <right style="medium">
        <color indexed="64"/>
      </right>
      <top style="thin">
        <color indexed="23"/>
      </top>
      <bottom style="thin">
        <color indexed="9"/>
      </bottom>
      <diagonal/>
    </border>
    <border>
      <left style="medium">
        <color indexed="64"/>
      </left>
      <right/>
      <top style="thin">
        <color indexed="23"/>
      </top>
      <bottom style="medium">
        <color indexed="64"/>
      </bottom>
      <diagonal/>
    </border>
    <border>
      <left/>
      <right/>
      <top style="thin">
        <color indexed="23"/>
      </top>
      <bottom style="medium">
        <color indexed="64"/>
      </bottom>
      <diagonal/>
    </border>
    <border>
      <left/>
      <right style="medium">
        <color indexed="64"/>
      </right>
      <top style="thin">
        <color indexed="23"/>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s>
  <cellStyleXfs count="27">
    <xf numFmtId="0" fontId="0" fillId="0" borderId="0"/>
    <xf numFmtId="0" fontId="87" fillId="0" borderId="0" applyNumberFormat="0" applyFill="0" applyBorder="0" applyAlignment="0" applyProtection="0">
      <alignment vertical="top"/>
      <protection locked="0"/>
    </xf>
    <xf numFmtId="38" fontId="3"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0" fontId="44" fillId="0" borderId="0"/>
    <xf numFmtId="0" fontId="4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9" fontId="1" fillId="0" borderId="0" applyFont="0" applyFill="0" applyBorder="0" applyAlignment="0" applyProtection="0"/>
  </cellStyleXfs>
  <cellXfs count="1336">
    <xf numFmtId="0" fontId="0" fillId="0" borderId="0" xfId="0"/>
    <xf numFmtId="0" fontId="2" fillId="2" borderId="1" xfId="8" applyFont="1" applyFill="1" applyBorder="1" applyAlignment="1">
      <alignment horizontal="left"/>
    </xf>
    <xf numFmtId="0" fontId="4" fillId="2" borderId="2" xfId="8" applyFont="1" applyFill="1" applyBorder="1" applyAlignment="1">
      <alignment horizontal="center"/>
    </xf>
    <xf numFmtId="0" fontId="4" fillId="2" borderId="2" xfId="8" applyFont="1" applyFill="1" applyBorder="1" applyAlignment="1">
      <alignment horizontal="right"/>
    </xf>
    <xf numFmtId="0" fontId="5" fillId="2" borderId="3" xfId="8" applyFont="1" applyFill="1" applyBorder="1" applyAlignment="1">
      <alignment horizontal="right"/>
    </xf>
    <xf numFmtId="0" fontId="2" fillId="2" borderId="4" xfId="8" applyFont="1" applyFill="1" applyBorder="1" applyAlignment="1">
      <alignment horizontal="left"/>
    </xf>
    <xf numFmtId="0" fontId="4" fillId="2" borderId="0" xfId="8" applyFont="1" applyFill="1" applyBorder="1" applyAlignment="1">
      <alignment horizontal="right"/>
    </xf>
    <xf numFmtId="0" fontId="5" fillId="2" borderId="5" xfId="8" applyFont="1" applyFill="1" applyBorder="1" applyAlignment="1">
      <alignment horizontal="right"/>
    </xf>
    <xf numFmtId="0" fontId="4" fillId="2" borderId="0" xfId="8" applyFont="1" applyFill="1" applyBorder="1" applyAlignment="1">
      <alignment horizontal="left"/>
    </xf>
    <xf numFmtId="0" fontId="2" fillId="2" borderId="6" xfId="8" applyFont="1" applyFill="1" applyBorder="1" applyAlignment="1">
      <alignment horizontal="left"/>
    </xf>
    <xf numFmtId="0" fontId="5" fillId="2" borderId="7" xfId="8" applyFont="1" applyFill="1" applyBorder="1" applyAlignment="1">
      <alignment horizontal="right"/>
    </xf>
    <xf numFmtId="0" fontId="9" fillId="3" borderId="0" xfId="10" applyFont="1" applyFill="1"/>
    <xf numFmtId="0" fontId="11" fillId="4" borderId="8" xfId="0" applyFont="1" applyFill="1" applyBorder="1" applyAlignment="1">
      <alignment horizontal="center"/>
    </xf>
    <xf numFmtId="3" fontId="8" fillId="3" borderId="0" xfId="2" applyNumberFormat="1" applyFont="1" applyFill="1" applyBorder="1" applyAlignment="1"/>
    <xf numFmtId="164" fontId="8" fillId="3" borderId="5" xfId="2" applyNumberFormat="1" applyFont="1" applyFill="1" applyBorder="1" applyAlignment="1"/>
    <xf numFmtId="3" fontId="8" fillId="3" borderId="5" xfId="2" applyNumberFormat="1" applyFont="1" applyFill="1" applyBorder="1" applyAlignment="1"/>
    <xf numFmtId="3" fontId="8" fillId="3" borderId="9" xfId="2" applyNumberFormat="1" applyFont="1" applyFill="1" applyBorder="1" applyAlignment="1"/>
    <xf numFmtId="164" fontId="8" fillId="3" borderId="10" xfId="2" applyNumberFormat="1" applyFont="1" applyFill="1" applyBorder="1" applyAlignment="1"/>
    <xf numFmtId="0" fontId="3" fillId="3" borderId="11" xfId="8" applyFont="1" applyFill="1" applyBorder="1" applyAlignment="1"/>
    <xf numFmtId="3" fontId="3" fillId="3" borderId="11" xfId="8" applyNumberFormat="1" applyFont="1" applyFill="1" applyBorder="1" applyAlignment="1"/>
    <xf numFmtId="0" fontId="3" fillId="3" borderId="12" xfId="8" applyFont="1" applyFill="1" applyBorder="1" applyAlignment="1"/>
    <xf numFmtId="1" fontId="10" fillId="3" borderId="0" xfId="4" applyNumberFormat="1" applyFont="1" applyFill="1"/>
    <xf numFmtId="0" fontId="0" fillId="3" borderId="0" xfId="0" applyFill="1"/>
    <xf numFmtId="0" fontId="3" fillId="2" borderId="1" xfId="18" applyFill="1" applyBorder="1" applyAlignment="1"/>
    <xf numFmtId="0" fontId="14" fillId="2" borderId="2" xfId="18" applyFont="1" applyFill="1" applyBorder="1" applyAlignment="1">
      <alignment horizontal="center"/>
    </xf>
    <xf numFmtId="0" fontId="14" fillId="2" borderId="2" xfId="18" applyFont="1" applyFill="1" applyBorder="1" applyAlignment="1">
      <alignment horizontal="right"/>
    </xf>
    <xf numFmtId="0" fontId="15" fillId="2" borderId="3" xfId="18" applyFont="1" applyFill="1" applyBorder="1" applyAlignment="1">
      <alignment horizontal="right"/>
    </xf>
    <xf numFmtId="0" fontId="3" fillId="2" borderId="4" xfId="18" applyFill="1" applyBorder="1" applyAlignment="1"/>
    <xf numFmtId="0" fontId="14" fillId="2" borderId="0" xfId="18" applyFont="1" applyFill="1" applyBorder="1" applyAlignment="1">
      <alignment horizontal="center"/>
    </xf>
    <xf numFmtId="0" fontId="14" fillId="2" borderId="0" xfId="18" applyFont="1" applyFill="1" applyBorder="1" applyAlignment="1">
      <alignment horizontal="right"/>
    </xf>
    <xf numFmtId="0" fontId="15" fillId="2" borderId="5" xfId="18" applyFont="1" applyFill="1" applyBorder="1" applyAlignment="1">
      <alignment horizontal="right"/>
    </xf>
    <xf numFmtId="0" fontId="14" fillId="2" borderId="0" xfId="18" applyFont="1" applyFill="1" applyBorder="1" applyAlignment="1">
      <alignment horizontal="centerContinuous"/>
    </xf>
    <xf numFmtId="0" fontId="15" fillId="2" borderId="5" xfId="18" applyFont="1" applyFill="1" applyBorder="1" applyAlignment="1">
      <alignment horizontal="center"/>
    </xf>
    <xf numFmtId="0" fontId="8" fillId="3" borderId="0" xfId="18" applyFont="1" applyFill="1" applyBorder="1" applyAlignment="1">
      <alignment horizontal="center"/>
    </xf>
    <xf numFmtId="0" fontId="8" fillId="3" borderId="5" xfId="18" applyFont="1" applyFill="1" applyBorder="1" applyAlignment="1">
      <alignment horizontal="center"/>
    </xf>
    <xf numFmtId="0" fontId="3" fillId="3" borderId="0" xfId="18" applyFill="1"/>
    <xf numFmtId="165" fontId="3" fillId="3" borderId="0" xfId="18" applyNumberFormat="1" applyFill="1"/>
    <xf numFmtId="3" fontId="8" fillId="3" borderId="0" xfId="18" applyNumberFormat="1" applyFont="1" applyFill="1" applyBorder="1" applyAlignment="1">
      <alignment horizontal="center"/>
    </xf>
    <xf numFmtId="10" fontId="3" fillId="3" borderId="0" xfId="18" applyNumberFormat="1" applyFill="1"/>
    <xf numFmtId="3" fontId="3" fillId="3" borderId="11" xfId="18" applyNumberFormat="1" applyFill="1" applyBorder="1" applyAlignment="1"/>
    <xf numFmtId="0" fontId="3" fillId="3" borderId="12" xfId="18" applyFill="1" applyBorder="1" applyAlignment="1"/>
    <xf numFmtId="3" fontId="3" fillId="3" borderId="0" xfId="18" applyNumberFormat="1" applyFill="1"/>
    <xf numFmtId="1" fontId="17" fillId="2" borderId="1" xfId="4" applyNumberFormat="1" applyFont="1" applyFill="1" applyBorder="1" applyAlignment="1">
      <alignment horizontal="left"/>
    </xf>
    <xf numFmtId="1" fontId="14" fillId="2" borderId="2" xfId="4" applyNumberFormat="1" applyFont="1" applyFill="1" applyBorder="1" applyAlignment="1">
      <alignment horizontal="right"/>
    </xf>
    <xf numFmtId="1" fontId="14" fillId="2" borderId="2" xfId="4" applyNumberFormat="1" applyFont="1" applyFill="1" applyBorder="1" applyAlignment="1">
      <alignment horizontal="center"/>
    </xf>
    <xf numFmtId="1" fontId="15" fillId="2" borderId="3" xfId="4" applyNumberFormat="1" applyFont="1" applyFill="1" applyBorder="1" applyAlignment="1">
      <alignment horizontal="right"/>
    </xf>
    <xf numFmtId="1" fontId="17" fillId="2" borderId="4" xfId="4" applyNumberFormat="1" applyFont="1" applyFill="1" applyBorder="1" applyAlignment="1">
      <alignment horizontal="left"/>
    </xf>
    <xf numFmtId="1" fontId="14" fillId="2" borderId="0" xfId="4" applyNumberFormat="1" applyFont="1" applyFill="1" applyBorder="1" applyAlignment="1">
      <alignment horizontal="right"/>
    </xf>
    <xf numFmtId="1" fontId="14" fillId="2" borderId="0" xfId="4" applyNumberFormat="1" applyFont="1" applyFill="1" applyBorder="1" applyAlignment="1">
      <alignment horizontal="center"/>
    </xf>
    <xf numFmtId="1" fontId="15" fillId="2" borderId="5" xfId="4" applyNumberFormat="1" applyFont="1" applyFill="1" applyBorder="1" applyAlignment="1">
      <alignment horizontal="right"/>
    </xf>
    <xf numFmtId="3" fontId="9" fillId="3" borderId="0" xfId="10" applyNumberFormat="1" applyFont="1" applyFill="1" applyAlignment="1">
      <alignment horizontal="center"/>
    </xf>
    <xf numFmtId="1" fontId="10" fillId="3" borderId="0" xfId="4" applyNumberFormat="1" applyFont="1" applyFill="1" applyAlignment="1">
      <alignment horizontal="center"/>
    </xf>
    <xf numFmtId="3" fontId="10" fillId="3" borderId="0" xfId="0" applyNumberFormat="1" applyFont="1" applyFill="1"/>
    <xf numFmtId="3" fontId="19" fillId="3" borderId="0" xfId="0" applyNumberFormat="1" applyFont="1" applyFill="1"/>
    <xf numFmtId="3" fontId="10" fillId="3" borderId="0" xfId="4" applyNumberFormat="1" applyFont="1" applyFill="1" applyAlignment="1">
      <alignment horizontal="center"/>
    </xf>
    <xf numFmtId="9" fontId="10" fillId="3" borderId="0" xfId="26" applyFont="1" applyFill="1"/>
    <xf numFmtId="4" fontId="9" fillId="3" borderId="0" xfId="10" applyNumberFormat="1" applyFont="1" applyFill="1" applyAlignment="1">
      <alignment horizontal="left"/>
    </xf>
    <xf numFmtId="3" fontId="9" fillId="3" borderId="0" xfId="10" applyNumberFormat="1" applyFont="1" applyFill="1" applyAlignment="1">
      <alignment horizontal="left"/>
    </xf>
    <xf numFmtId="165" fontId="19" fillId="3" borderId="0" xfId="4" applyNumberFormat="1" applyFont="1" applyFill="1" applyBorder="1" applyAlignment="1">
      <alignment horizontal="center"/>
    </xf>
    <xf numFmtId="166" fontId="19" fillId="3" borderId="0" xfId="4" applyNumberFormat="1" applyFont="1" applyFill="1" applyBorder="1" applyAlignment="1">
      <alignment horizontal="center"/>
    </xf>
    <xf numFmtId="3" fontId="19" fillId="3" borderId="0" xfId="4" applyNumberFormat="1" applyFont="1" applyFill="1" applyBorder="1" applyAlignment="1">
      <alignment horizontal="center"/>
    </xf>
    <xf numFmtId="1" fontId="3" fillId="3" borderId="0" xfId="4" applyNumberFormat="1" applyFont="1" applyFill="1" applyBorder="1" applyAlignment="1"/>
    <xf numFmtId="1" fontId="3" fillId="3" borderId="5" xfId="4" applyNumberFormat="1" applyFont="1" applyFill="1" applyBorder="1" applyAlignment="1"/>
    <xf numFmtId="3" fontId="8" fillId="3" borderId="0" xfId="4" applyNumberFormat="1" applyFont="1" applyFill="1" applyBorder="1" applyAlignment="1">
      <alignment horizontal="center"/>
    </xf>
    <xf numFmtId="3" fontId="8" fillId="3" borderId="5" xfId="4" applyNumberFormat="1" applyFont="1" applyFill="1" applyBorder="1" applyAlignment="1">
      <alignment horizontal="center"/>
    </xf>
    <xf numFmtId="3" fontId="8" fillId="3" borderId="9" xfId="4" applyNumberFormat="1" applyFont="1" applyFill="1" applyBorder="1" applyAlignment="1">
      <alignment horizontal="center"/>
    </xf>
    <xf numFmtId="3" fontId="8" fillId="3" borderId="10" xfId="4" applyNumberFormat="1" applyFont="1" applyFill="1" applyBorder="1" applyAlignment="1">
      <alignment horizontal="center"/>
    </xf>
    <xf numFmtId="165" fontId="3" fillId="3" borderId="13" xfId="4" applyNumberFormat="1" applyFont="1" applyFill="1" applyBorder="1" applyAlignment="1">
      <alignment horizontal="center"/>
    </xf>
    <xf numFmtId="166" fontId="3" fillId="3" borderId="13" xfId="4" applyNumberFormat="1" applyFont="1" applyFill="1" applyBorder="1" applyAlignment="1">
      <alignment horizontal="center"/>
    </xf>
    <xf numFmtId="3" fontId="3" fillId="3" borderId="14" xfId="4" applyNumberFormat="1" applyFont="1" applyFill="1" applyBorder="1" applyAlignment="1">
      <alignment horizontal="center"/>
    </xf>
    <xf numFmtId="3" fontId="0" fillId="3" borderId="0" xfId="0" applyNumberFormat="1" applyFill="1"/>
    <xf numFmtId="3" fontId="8" fillId="3" borderId="8" xfId="4" applyNumberFormat="1" applyFont="1" applyFill="1" applyBorder="1" applyAlignment="1">
      <alignment horizontal="center"/>
    </xf>
    <xf numFmtId="3" fontId="8" fillId="3" borderId="7" xfId="4" applyNumberFormat="1" applyFont="1" applyFill="1" applyBorder="1" applyAlignment="1">
      <alignment horizontal="center"/>
    </xf>
    <xf numFmtId="1" fontId="18" fillId="3" borderId="0" xfId="4" applyNumberFormat="1" applyFont="1" applyFill="1"/>
    <xf numFmtId="3" fontId="8" fillId="3" borderId="0" xfId="19" applyNumberFormat="1" applyFont="1" applyFill="1" applyBorder="1" applyAlignment="1"/>
    <xf numFmtId="3" fontId="3" fillId="3" borderId="0" xfId="19" applyNumberFormat="1" applyFill="1"/>
    <xf numFmtId="3" fontId="8" fillId="3" borderId="5" xfId="19" applyNumberFormat="1" applyFont="1" applyFill="1" applyBorder="1" applyAlignment="1"/>
    <xf numFmtId="0" fontId="3" fillId="3" borderId="0" xfId="19" applyFill="1"/>
    <xf numFmtId="3" fontId="8" fillId="3" borderId="8" xfId="19" applyNumberFormat="1" applyFont="1" applyFill="1" applyBorder="1" applyAlignment="1"/>
    <xf numFmtId="3" fontId="8" fillId="3" borderId="7" xfId="19" applyNumberFormat="1" applyFont="1" applyFill="1" applyBorder="1" applyAlignment="1"/>
    <xf numFmtId="0" fontId="10" fillId="3" borderId="0" xfId="19" applyFont="1" applyFill="1"/>
    <xf numFmtId="0" fontId="3" fillId="3" borderId="0" xfId="19" applyFill="1" applyBorder="1" applyAlignment="1"/>
    <xf numFmtId="9" fontId="3" fillId="3" borderId="0" xfId="19" applyNumberFormat="1" applyFill="1" applyBorder="1" applyAlignment="1"/>
    <xf numFmtId="3" fontId="3" fillId="3" borderId="0" xfId="19" applyNumberFormat="1" applyFill="1" applyBorder="1" applyAlignment="1"/>
    <xf numFmtId="3" fontId="3" fillId="3" borderId="0" xfId="19" applyNumberFormat="1" applyFill="1" applyBorder="1"/>
    <xf numFmtId="3" fontId="8" fillId="3" borderId="13" xfId="19" applyNumberFormat="1" applyFont="1" applyFill="1" applyBorder="1" applyAlignment="1"/>
    <xf numFmtId="3" fontId="8" fillId="3" borderId="14" xfId="19" applyNumberFormat="1" applyFont="1" applyFill="1" applyBorder="1" applyAlignment="1"/>
    <xf numFmtId="0" fontId="17" fillId="2" borderId="1" xfId="20" applyFont="1" applyFill="1" applyBorder="1" applyAlignment="1">
      <alignment horizontal="left"/>
    </xf>
    <xf numFmtId="0" fontId="14" fillId="2" borderId="2" xfId="20" applyFont="1" applyFill="1" applyBorder="1" applyAlignment="1">
      <alignment horizontal="right"/>
    </xf>
    <xf numFmtId="0" fontId="14" fillId="2" borderId="2" xfId="20" applyFont="1" applyFill="1" applyBorder="1" applyAlignment="1">
      <alignment horizontal="center"/>
    </xf>
    <xf numFmtId="0" fontId="14" fillId="2" borderId="3" xfId="20" applyFont="1" applyFill="1" applyBorder="1" applyAlignment="1">
      <alignment horizontal="right"/>
    </xf>
    <xf numFmtId="0" fontId="17" fillId="2" borderId="4" xfId="20" applyFont="1" applyFill="1" applyBorder="1" applyAlignment="1">
      <alignment horizontal="left"/>
    </xf>
    <xf numFmtId="0" fontId="14" fillId="2" borderId="0" xfId="20" applyFont="1" applyFill="1" applyBorder="1" applyAlignment="1">
      <alignment horizontal="right"/>
    </xf>
    <xf numFmtId="0" fontId="14" fillId="2" borderId="0" xfId="20" applyFont="1" applyFill="1" applyBorder="1" applyAlignment="1">
      <alignment horizontal="center"/>
    </xf>
    <xf numFmtId="0" fontId="14" fillId="2" borderId="5" xfId="20" applyFont="1" applyFill="1" applyBorder="1" applyAlignment="1">
      <alignment horizontal="right"/>
    </xf>
    <xf numFmtId="0" fontId="14" fillId="2" borderId="5" xfId="20" applyFont="1" applyFill="1" applyBorder="1" applyAlignment="1">
      <alignment horizontal="center"/>
    </xf>
    <xf numFmtId="0" fontId="17" fillId="2" borderId="1" xfId="21" applyFont="1" applyFill="1" applyBorder="1" applyAlignment="1">
      <alignment horizontal="left"/>
    </xf>
    <xf numFmtId="0" fontId="14" fillId="2" borderId="2" xfId="21" applyFont="1" applyFill="1" applyBorder="1" applyAlignment="1">
      <alignment horizontal="right"/>
    </xf>
    <xf numFmtId="0" fontId="14" fillId="2" borderId="3" xfId="21" applyFont="1" applyFill="1" applyBorder="1" applyAlignment="1">
      <alignment horizontal="right"/>
    </xf>
    <xf numFmtId="0" fontId="17" fillId="2" borderId="4" xfId="21" applyFont="1" applyFill="1" applyBorder="1" applyAlignment="1">
      <alignment horizontal="left"/>
    </xf>
    <xf numFmtId="0" fontId="14" fillId="2" borderId="0" xfId="21" applyFont="1" applyFill="1" applyBorder="1" applyAlignment="1">
      <alignment horizontal="right"/>
    </xf>
    <xf numFmtId="0" fontId="14" fillId="2" borderId="0" xfId="21" applyFont="1" applyFill="1" applyBorder="1" applyAlignment="1">
      <alignment horizontal="center"/>
    </xf>
    <xf numFmtId="0" fontId="14" fillId="2" borderId="5" xfId="21" applyFont="1" applyFill="1" applyBorder="1" applyAlignment="1">
      <alignment horizontal="right"/>
    </xf>
    <xf numFmtId="0" fontId="14" fillId="2" borderId="0" xfId="21" quotePrefix="1" applyFont="1" applyFill="1" applyBorder="1" applyAlignment="1">
      <alignment horizontal="center"/>
    </xf>
    <xf numFmtId="3" fontId="8" fillId="3" borderId="0" xfId="21" applyNumberFormat="1" applyFont="1" applyFill="1" applyBorder="1" applyAlignment="1"/>
    <xf numFmtId="0" fontId="3" fillId="3" borderId="0" xfId="21" applyFill="1"/>
    <xf numFmtId="0" fontId="3" fillId="3" borderId="0" xfId="21" applyFill="1" applyBorder="1" applyAlignment="1"/>
    <xf numFmtId="0" fontId="3" fillId="3" borderId="5" xfId="21" applyFill="1" applyBorder="1" applyAlignment="1"/>
    <xf numFmtId="3" fontId="3" fillId="3" borderId="0" xfId="21" applyNumberFormat="1" applyFill="1"/>
    <xf numFmtId="3" fontId="3" fillId="3" borderId="0" xfId="21" applyNumberFormat="1" applyFont="1" applyFill="1"/>
    <xf numFmtId="3" fontId="8" fillId="3" borderId="5" xfId="21" applyNumberFormat="1" applyFont="1" applyFill="1" applyBorder="1" applyAlignment="1"/>
    <xf numFmtId="3" fontId="8" fillId="3" borderId="7" xfId="21" applyNumberFormat="1" applyFont="1" applyFill="1" applyBorder="1" applyAlignment="1"/>
    <xf numFmtId="3" fontId="8" fillId="3" borderId="13" xfId="21" applyNumberFormat="1" applyFont="1" applyFill="1" applyBorder="1" applyAlignment="1"/>
    <xf numFmtId="3" fontId="3" fillId="3" borderId="13" xfId="21" applyNumberFormat="1" applyFill="1" applyBorder="1" applyAlignment="1"/>
    <xf numFmtId="3" fontId="3" fillId="3" borderId="14" xfId="21" applyNumberFormat="1" applyFill="1" applyBorder="1" applyAlignment="1"/>
    <xf numFmtId="0" fontId="3" fillId="3" borderId="15" xfId="19" applyFill="1" applyBorder="1" applyAlignment="1"/>
    <xf numFmtId="0" fontId="3" fillId="3" borderId="0" xfId="21" applyFont="1" applyFill="1"/>
    <xf numFmtId="3" fontId="8" fillId="3" borderId="2" xfId="21" applyNumberFormat="1" applyFont="1" applyFill="1" applyBorder="1" applyAlignment="1"/>
    <xf numFmtId="3" fontId="8" fillId="3" borderId="3" xfId="21" applyNumberFormat="1" applyFont="1" applyFill="1" applyBorder="1" applyAlignment="1"/>
    <xf numFmtId="3" fontId="8" fillId="3" borderId="14" xfId="21" applyNumberFormat="1" applyFont="1" applyFill="1" applyBorder="1" applyAlignment="1"/>
    <xf numFmtId="0" fontId="17" fillId="2" borderId="1" xfId="22" applyFont="1" applyFill="1" applyBorder="1" applyAlignment="1">
      <alignment horizontal="left"/>
    </xf>
    <xf numFmtId="0" fontId="14" fillId="2" borderId="2" xfId="22" applyFont="1" applyFill="1" applyBorder="1" applyAlignment="1">
      <alignment horizontal="right"/>
    </xf>
    <xf numFmtId="0" fontId="14" fillId="2" borderId="2" xfId="22" applyFont="1" applyFill="1" applyBorder="1" applyAlignment="1">
      <alignment horizontal="center"/>
    </xf>
    <xf numFmtId="0" fontId="15" fillId="2" borderId="3" xfId="22" applyFont="1" applyFill="1" applyBorder="1" applyAlignment="1">
      <alignment horizontal="right"/>
    </xf>
    <xf numFmtId="0" fontId="17" fillId="2" borderId="4" xfId="22" applyFont="1" applyFill="1" applyBorder="1" applyAlignment="1">
      <alignment horizontal="left"/>
    </xf>
    <xf numFmtId="0" fontId="14" fillId="2" borderId="0" xfId="22" applyFont="1" applyFill="1" applyBorder="1" applyAlignment="1">
      <alignment horizontal="right"/>
    </xf>
    <xf numFmtId="0" fontId="14" fillId="2" borderId="0" xfId="22" applyFont="1" applyFill="1" applyBorder="1" applyAlignment="1">
      <alignment horizontal="center"/>
    </xf>
    <xf numFmtId="0" fontId="15" fillId="2" borderId="5" xfId="22" applyFont="1" applyFill="1" applyBorder="1" applyAlignment="1">
      <alignment horizontal="right"/>
    </xf>
    <xf numFmtId="0" fontId="14" fillId="2" borderId="0" xfId="22" applyFont="1" applyFill="1" applyBorder="1" applyAlignment="1">
      <alignment horizontal="left"/>
    </xf>
    <xf numFmtId="0" fontId="15" fillId="2" borderId="5" xfId="22" applyFont="1" applyFill="1" applyBorder="1" applyAlignment="1">
      <alignment horizontal="center"/>
    </xf>
    <xf numFmtId="0" fontId="17" fillId="2" borderId="1" xfId="23" applyFont="1" applyFill="1" applyBorder="1" applyAlignment="1">
      <alignment horizontal="left"/>
    </xf>
    <xf numFmtId="0" fontId="14" fillId="2" borderId="2" xfId="23" applyFont="1" applyFill="1" applyBorder="1" applyAlignment="1">
      <alignment horizontal="left"/>
    </xf>
    <xf numFmtId="0" fontId="14" fillId="2" borderId="2" xfId="23" applyFont="1" applyFill="1" applyBorder="1" applyAlignment="1">
      <alignment horizontal="right"/>
    </xf>
    <xf numFmtId="0" fontId="15" fillId="2" borderId="2" xfId="23" applyFont="1" applyFill="1" applyBorder="1" applyAlignment="1">
      <alignment horizontal="right"/>
    </xf>
    <xf numFmtId="0" fontId="15" fillId="2" borderId="3" xfId="23" applyFont="1" applyFill="1" applyBorder="1" applyAlignment="1">
      <alignment horizontal="right"/>
    </xf>
    <xf numFmtId="0" fontId="17" fillId="2" borderId="4" xfId="23" applyFont="1" applyFill="1" applyBorder="1" applyAlignment="1">
      <alignment horizontal="left"/>
    </xf>
    <xf numFmtId="0" fontId="14" fillId="2" borderId="0" xfId="23" applyFont="1" applyFill="1" applyBorder="1" applyAlignment="1">
      <alignment horizontal="right"/>
    </xf>
    <xf numFmtId="0" fontId="14" fillId="2" borderId="0" xfId="23" applyFont="1" applyFill="1" applyBorder="1" applyAlignment="1">
      <alignment horizontal="center"/>
    </xf>
    <xf numFmtId="0" fontId="15" fillId="2" borderId="0" xfId="23" applyFont="1" applyFill="1" applyBorder="1" applyAlignment="1">
      <alignment horizontal="right"/>
    </xf>
    <xf numFmtId="0" fontId="15" fillId="2" borderId="5" xfId="23" applyFont="1" applyFill="1" applyBorder="1" applyAlignment="1">
      <alignment horizontal="right"/>
    </xf>
    <xf numFmtId="0" fontId="14" fillId="2" borderId="0" xfId="23" applyFont="1" applyFill="1" applyBorder="1" applyAlignment="1">
      <alignment horizontal="left"/>
    </xf>
    <xf numFmtId="3" fontId="8" fillId="3" borderId="0" xfId="22" applyNumberFormat="1" applyFont="1" applyFill="1" applyBorder="1" applyAlignment="1"/>
    <xf numFmtId="0" fontId="21" fillId="3" borderId="0" xfId="22" applyFont="1" applyFill="1"/>
    <xf numFmtId="3" fontId="20" fillId="3" borderId="0" xfId="22" applyNumberFormat="1" applyFont="1" applyFill="1"/>
    <xf numFmtId="0" fontId="20" fillId="3" borderId="0" xfId="22" applyFont="1" applyFill="1"/>
    <xf numFmtId="3" fontId="8" fillId="3" borderId="5" xfId="22" applyNumberFormat="1" applyFont="1" applyFill="1" applyBorder="1" applyAlignment="1"/>
    <xf numFmtId="3" fontId="24" fillId="3" borderId="0" xfId="22" applyNumberFormat="1" applyFont="1" applyFill="1" applyBorder="1" applyAlignment="1"/>
    <xf numFmtId="3" fontId="24" fillId="3" borderId="5" xfId="22" applyNumberFormat="1" applyFont="1" applyFill="1" applyBorder="1" applyAlignment="1"/>
    <xf numFmtId="3" fontId="21" fillId="3" borderId="0" xfId="22" applyNumberFormat="1" applyFont="1" applyFill="1"/>
    <xf numFmtId="3" fontId="8" fillId="3" borderId="9" xfId="22" applyNumberFormat="1" applyFont="1" applyFill="1" applyBorder="1" applyAlignment="1"/>
    <xf numFmtId="3" fontId="3" fillId="3" borderId="13" xfId="22" applyNumberFormat="1" applyFill="1" applyBorder="1" applyAlignment="1"/>
    <xf numFmtId="3" fontId="3" fillId="3" borderId="14" xfId="22" applyNumberFormat="1" applyFill="1" applyBorder="1" applyAlignment="1"/>
    <xf numFmtId="3" fontId="8" fillId="3" borderId="0" xfId="23" applyNumberFormat="1" applyFont="1" applyFill="1" applyBorder="1" applyAlignment="1"/>
    <xf numFmtId="0" fontId="3" fillId="3" borderId="5" xfId="23" applyFill="1" applyBorder="1" applyAlignment="1"/>
    <xf numFmtId="0" fontId="3" fillId="3" borderId="0" xfId="23" applyFill="1"/>
    <xf numFmtId="166" fontId="3" fillId="3" borderId="5" xfId="26" applyNumberFormat="1" applyFont="1" applyFill="1" applyBorder="1" applyAlignment="1"/>
    <xf numFmtId="3" fontId="3" fillId="3" borderId="0" xfId="23" applyNumberFormat="1" applyFill="1"/>
    <xf numFmtId="3" fontId="3" fillId="3" borderId="0" xfId="23" applyNumberFormat="1" applyFill="1" applyAlignment="1">
      <alignment horizontal="center"/>
    </xf>
    <xf numFmtId="0" fontId="8" fillId="3" borderId="0" xfId="23" applyFont="1" applyFill="1" applyBorder="1" applyAlignment="1"/>
    <xf numFmtId="3" fontId="8" fillId="3" borderId="9" xfId="26" applyNumberFormat="1" applyFont="1" applyFill="1" applyBorder="1"/>
    <xf numFmtId="3" fontId="3" fillId="3" borderId="10" xfId="26" applyNumberFormat="1" applyFont="1" applyFill="1" applyBorder="1"/>
    <xf numFmtId="3" fontId="3" fillId="3" borderId="13" xfId="26" applyNumberFormat="1" applyFont="1" applyFill="1" applyBorder="1" applyAlignment="1"/>
    <xf numFmtId="0" fontId="3" fillId="3" borderId="14" xfId="23" applyFill="1" applyBorder="1" applyAlignment="1"/>
    <xf numFmtId="0" fontId="25" fillId="3" borderId="0" xfId="23" applyFont="1" applyFill="1"/>
    <xf numFmtId="0" fontId="25" fillId="3" borderId="0" xfId="23" applyFont="1" applyFill="1" applyAlignment="1">
      <alignment horizontal="left"/>
    </xf>
    <xf numFmtId="0" fontId="3" fillId="3" borderId="0" xfId="23" applyFill="1" applyAlignment="1">
      <alignment horizontal="center"/>
    </xf>
    <xf numFmtId="0" fontId="26" fillId="2" borderId="1" xfId="0" applyFont="1" applyFill="1" applyBorder="1" applyAlignment="1">
      <alignment horizontal="left"/>
    </xf>
    <xf numFmtId="0" fontId="11" fillId="2" borderId="2" xfId="0" applyFont="1" applyFill="1" applyBorder="1" applyAlignment="1">
      <alignment horizontal="left"/>
    </xf>
    <xf numFmtId="0" fontId="27" fillId="2" borderId="2" xfId="20" applyFont="1" applyFill="1" applyBorder="1" applyAlignment="1">
      <alignment horizontal="center"/>
    </xf>
    <xf numFmtId="0" fontId="11" fillId="2" borderId="2" xfId="0" applyFont="1" applyFill="1" applyBorder="1" applyAlignment="1">
      <alignment horizontal="right"/>
    </xf>
    <xf numFmtId="0" fontId="28" fillId="2" borderId="2" xfId="0" applyFont="1" applyFill="1" applyBorder="1" applyAlignment="1">
      <alignment horizontal="right"/>
    </xf>
    <xf numFmtId="0" fontId="29" fillId="2" borderId="3" xfId="0" applyFont="1" applyFill="1" applyBorder="1" applyAlignment="1">
      <alignment horizontal="right"/>
    </xf>
    <xf numFmtId="0" fontId="26" fillId="2" borderId="4" xfId="0" applyFont="1" applyFill="1" applyBorder="1" applyAlignment="1">
      <alignment horizontal="left"/>
    </xf>
    <xf numFmtId="0" fontId="11" fillId="2" borderId="0" xfId="0" applyFont="1" applyFill="1" applyBorder="1" applyAlignment="1">
      <alignment horizontal="right"/>
    </xf>
    <xf numFmtId="0" fontId="11" fillId="2" borderId="0" xfId="0" applyFont="1" applyFill="1" applyBorder="1" applyAlignment="1">
      <alignment horizontal="center"/>
    </xf>
    <xf numFmtId="0" fontId="28" fillId="2" borderId="0" xfId="0" applyFont="1" applyFill="1" applyBorder="1" applyAlignment="1">
      <alignment horizontal="right"/>
    </xf>
    <xf numFmtId="0" fontId="29" fillId="2" borderId="5" xfId="0" applyFont="1" applyFill="1" applyBorder="1" applyAlignment="1">
      <alignment horizontal="right"/>
    </xf>
    <xf numFmtId="0" fontId="11" fillId="2" borderId="0" xfId="0" applyFont="1" applyFill="1" applyBorder="1" applyAlignment="1">
      <alignment horizontal="left"/>
    </xf>
    <xf numFmtId="0" fontId="28" fillId="2" borderId="0" xfId="0" applyFont="1" applyFill="1" applyBorder="1" applyAlignment="1">
      <alignment horizontal="center"/>
    </xf>
    <xf numFmtId="0" fontId="29" fillId="2" borderId="5" xfId="0" applyFont="1" applyFill="1" applyBorder="1" applyAlignment="1">
      <alignment horizontal="center"/>
    </xf>
    <xf numFmtId="3" fontId="13" fillId="3" borderId="0" xfId="0" applyNumberFormat="1" applyFont="1" applyFill="1" applyBorder="1" applyAlignment="1"/>
    <xf numFmtId="3" fontId="13" fillId="3" borderId="5" xfId="0" applyNumberFormat="1" applyFont="1" applyFill="1" applyBorder="1" applyAlignment="1"/>
    <xf numFmtId="3" fontId="13" fillId="3" borderId="7" xfId="0" applyNumberFormat="1" applyFont="1" applyFill="1" applyBorder="1" applyAlignment="1"/>
    <xf numFmtId="3" fontId="13" fillId="3" borderId="9" xfId="0" applyNumberFormat="1" applyFont="1" applyFill="1" applyBorder="1" applyAlignment="1"/>
    <xf numFmtId="3" fontId="13" fillId="3" borderId="10" xfId="0" applyNumberFormat="1" applyFont="1" applyFill="1" applyBorder="1" applyAlignment="1"/>
    <xf numFmtId="3" fontId="13" fillId="3" borderId="2" xfId="0" applyNumberFormat="1" applyFont="1" applyFill="1" applyBorder="1" applyAlignment="1"/>
    <xf numFmtId="3" fontId="13" fillId="3" borderId="3" xfId="0" applyNumberFormat="1" applyFont="1" applyFill="1" applyBorder="1" applyAlignment="1"/>
    <xf numFmtId="3" fontId="0" fillId="3" borderId="11" xfId="0" applyNumberFormat="1" applyFill="1" applyBorder="1" applyAlignment="1"/>
    <xf numFmtId="3" fontId="0" fillId="3" borderId="12" xfId="0" applyNumberFormat="1" applyFill="1" applyBorder="1" applyAlignment="1"/>
    <xf numFmtId="0" fontId="17" fillId="2" borderId="1" xfId="9" applyFont="1" applyFill="1" applyBorder="1" applyAlignment="1">
      <alignment horizontal="center"/>
    </xf>
    <xf numFmtId="0" fontId="14" fillId="2" borderId="3" xfId="9" applyFont="1" applyFill="1" applyBorder="1" applyAlignment="1">
      <alignment horizontal="right"/>
    </xf>
    <xf numFmtId="0" fontId="17" fillId="2" borderId="4" xfId="9" applyFont="1" applyFill="1" applyBorder="1" applyAlignment="1">
      <alignment horizontal="center"/>
    </xf>
    <xf numFmtId="0" fontId="14" fillId="2" borderId="5" xfId="9" applyFont="1" applyFill="1" applyBorder="1" applyAlignment="1">
      <alignment horizontal="right"/>
    </xf>
    <xf numFmtId="0" fontId="17" fillId="2" borderId="4" xfId="9" applyFont="1" applyFill="1" applyBorder="1" applyAlignment="1">
      <alignment horizontal="centerContinuous"/>
    </xf>
    <xf numFmtId="0" fontId="14" fillId="2" borderId="5" xfId="9" applyFont="1" applyFill="1" applyBorder="1" applyAlignment="1">
      <alignment horizontal="centerContinuous"/>
    </xf>
    <xf numFmtId="0" fontId="17" fillId="2" borderId="4" xfId="9" applyFont="1" applyFill="1" applyBorder="1" applyAlignment="1">
      <alignment horizontal="left"/>
    </xf>
    <xf numFmtId="0" fontId="3" fillId="3" borderId="5" xfId="9" applyFill="1" applyBorder="1" applyAlignment="1"/>
    <xf numFmtId="0" fontId="3" fillId="3" borderId="0" xfId="9" applyFill="1"/>
    <xf numFmtId="0" fontId="8" fillId="3" borderId="5" xfId="9" applyFont="1" applyFill="1" applyBorder="1" applyAlignment="1"/>
    <xf numFmtId="164" fontId="8" fillId="3" borderId="5" xfId="9" applyNumberFormat="1" applyFont="1" applyFill="1" applyBorder="1" applyAlignment="1"/>
    <xf numFmtId="164" fontId="8" fillId="3" borderId="10" xfId="9" applyNumberFormat="1" applyFont="1" applyFill="1" applyBorder="1" applyAlignment="1"/>
    <xf numFmtId="164" fontId="8" fillId="3" borderId="12" xfId="9" applyNumberFormat="1" applyFont="1" applyFill="1" applyBorder="1" applyAlignment="1"/>
    <xf numFmtId="0" fontId="17" fillId="2" borderId="1" xfId="10" applyFont="1" applyFill="1" applyBorder="1" applyAlignment="1">
      <alignment horizontal="left"/>
    </xf>
    <xf numFmtId="0" fontId="17" fillId="2" borderId="2" xfId="10" applyFont="1" applyFill="1" applyBorder="1" applyAlignment="1"/>
    <xf numFmtId="0" fontId="14" fillId="2" borderId="2" xfId="10" applyFont="1" applyFill="1" applyBorder="1" applyAlignment="1">
      <alignment horizontal="right"/>
    </xf>
    <xf numFmtId="0" fontId="15" fillId="2" borderId="3" xfId="10" applyFont="1" applyFill="1" applyBorder="1" applyAlignment="1">
      <alignment horizontal="right"/>
    </xf>
    <xf numFmtId="0" fontId="17" fillId="2" borderId="4" xfId="10" applyFont="1" applyFill="1" applyBorder="1" applyAlignment="1">
      <alignment horizontal="left"/>
    </xf>
    <xf numFmtId="0" fontId="17" fillId="2" borderId="0" xfId="10" applyFont="1" applyFill="1" applyBorder="1" applyAlignment="1">
      <alignment horizontal="left"/>
    </xf>
    <xf numFmtId="0" fontId="14" fillId="2" borderId="0" xfId="10" applyFont="1" applyFill="1" applyBorder="1" applyAlignment="1">
      <alignment horizontal="right"/>
    </xf>
    <xf numFmtId="0" fontId="15" fillId="2" borderId="5" xfId="10" applyFont="1" applyFill="1" applyBorder="1" applyAlignment="1">
      <alignment horizontal="right"/>
    </xf>
    <xf numFmtId="0" fontId="6" fillId="5" borderId="4" xfId="10" applyFont="1" applyFill="1" applyBorder="1" applyAlignment="1">
      <alignment horizontal="left"/>
    </xf>
    <xf numFmtId="0" fontId="6" fillId="5" borderId="16" xfId="10" applyFont="1" applyFill="1" applyBorder="1" applyAlignment="1">
      <alignment horizontal="left"/>
    </xf>
    <xf numFmtId="0" fontId="8" fillId="3" borderId="2" xfId="10" applyFont="1" applyFill="1" applyBorder="1" applyAlignment="1"/>
    <xf numFmtId="0" fontId="8" fillId="3" borderId="3" xfId="10" applyFont="1" applyFill="1" applyBorder="1" applyAlignment="1"/>
    <xf numFmtId="0" fontId="3" fillId="3" borderId="0" xfId="10" applyFill="1"/>
    <xf numFmtId="0" fontId="8" fillId="3" borderId="0" xfId="10" applyFont="1" applyFill="1" applyBorder="1" applyAlignment="1"/>
    <xf numFmtId="0" fontId="8" fillId="3" borderId="5" xfId="10" applyFont="1" applyFill="1" applyBorder="1" applyAlignment="1"/>
    <xf numFmtId="0" fontId="21" fillId="3" borderId="0" xfId="10" applyFont="1" applyFill="1"/>
    <xf numFmtId="3" fontId="13" fillId="3" borderId="0" xfId="0" applyNumberFormat="1" applyFont="1" applyFill="1" applyBorder="1"/>
    <xf numFmtId="3" fontId="13" fillId="3" borderId="5" xfId="0" applyNumberFormat="1" applyFont="1" applyFill="1" applyBorder="1"/>
    <xf numFmtId="1" fontId="21" fillId="3" borderId="0" xfId="3" applyNumberFormat="1" applyFont="1" applyFill="1"/>
    <xf numFmtId="3" fontId="3" fillId="3" borderId="0" xfId="10" applyNumberFormat="1" applyFill="1"/>
    <xf numFmtId="3" fontId="8" fillId="3" borderId="0" xfId="3" applyNumberFormat="1" applyFont="1" applyFill="1" applyBorder="1" applyAlignment="1"/>
    <xf numFmtId="3" fontId="8" fillId="3" borderId="5" xfId="3" applyNumberFormat="1" applyFont="1" applyFill="1" applyBorder="1" applyAlignment="1"/>
    <xf numFmtId="3" fontId="8" fillId="3" borderId="0" xfId="10" applyNumberFormat="1" applyFont="1" applyFill="1" applyBorder="1" applyAlignment="1"/>
    <xf numFmtId="3" fontId="8" fillId="3" borderId="5" xfId="10" applyNumberFormat="1" applyFont="1" applyFill="1" applyBorder="1" applyAlignment="1"/>
    <xf numFmtId="3" fontId="8" fillId="3" borderId="5" xfId="3" applyNumberFormat="1" applyFont="1" applyFill="1" applyBorder="1" applyAlignment="1">
      <alignment horizontal="right"/>
    </xf>
    <xf numFmtId="0" fontId="3" fillId="3" borderId="11" xfId="10" applyFill="1" applyBorder="1" applyAlignment="1"/>
    <xf numFmtId="0" fontId="3" fillId="3" borderId="12" xfId="10" applyFill="1" applyBorder="1" applyAlignment="1"/>
    <xf numFmtId="0" fontId="9" fillId="3" borderId="0" xfId="10" applyFont="1" applyFill="1" applyAlignment="1">
      <alignment horizontal="left"/>
    </xf>
    <xf numFmtId="0" fontId="32" fillId="3" borderId="0" xfId="10" applyFont="1" applyFill="1"/>
    <xf numFmtId="0" fontId="33" fillId="3" borderId="0" xfId="10" applyFont="1" applyFill="1"/>
    <xf numFmtId="164" fontId="9" fillId="3" borderId="0" xfId="10" applyNumberFormat="1" applyFont="1" applyFill="1" applyAlignment="1">
      <alignment horizontal="left"/>
    </xf>
    <xf numFmtId="1" fontId="9" fillId="3" borderId="0" xfId="4" applyNumberFormat="1" applyFont="1" applyFill="1"/>
    <xf numFmtId="0" fontId="3" fillId="3" borderId="5" xfId="10" applyFill="1" applyBorder="1" applyAlignment="1"/>
    <xf numFmtId="0" fontId="34" fillId="3" borderId="0" xfId="10" applyFont="1" applyFill="1"/>
    <xf numFmtId="4" fontId="8" fillId="3" borderId="0" xfId="10" applyNumberFormat="1" applyFont="1" applyFill="1" applyBorder="1" applyAlignment="1"/>
    <xf numFmtId="0" fontId="2" fillId="2" borderId="1" xfId="11" applyFont="1" applyFill="1" applyBorder="1" applyAlignment="1">
      <alignment horizontal="left"/>
    </xf>
    <xf numFmtId="0" fontId="2" fillId="2" borderId="2" xfId="11" applyFont="1" applyFill="1" applyBorder="1" applyAlignment="1">
      <alignment horizontal="left"/>
    </xf>
    <xf numFmtId="0" fontId="16" fillId="2" borderId="2" xfId="11" applyFont="1" applyFill="1" applyBorder="1" applyAlignment="1">
      <alignment horizontal="right"/>
    </xf>
    <xf numFmtId="0" fontId="2" fillId="2" borderId="3" xfId="11" applyFont="1" applyFill="1" applyBorder="1" applyAlignment="1">
      <alignment horizontal="right"/>
    </xf>
    <xf numFmtId="0" fontId="2" fillId="2" borderId="4" xfId="11" applyFont="1" applyFill="1" applyBorder="1" applyAlignment="1">
      <alignment horizontal="left"/>
    </xf>
    <xf numFmtId="0" fontId="2" fillId="2" borderId="0" xfId="11" applyFont="1" applyFill="1" applyBorder="1" applyAlignment="1">
      <alignment horizontal="left"/>
    </xf>
    <xf numFmtId="0" fontId="2" fillId="2" borderId="0" xfId="11" applyFont="1" applyFill="1" applyBorder="1" applyAlignment="1"/>
    <xf numFmtId="0" fontId="16" fillId="2" borderId="0" xfId="11" applyFont="1" applyFill="1" applyBorder="1" applyAlignment="1">
      <alignment horizontal="right"/>
    </xf>
    <xf numFmtId="0" fontId="2" fillId="2" borderId="5" xfId="11" applyFont="1" applyFill="1" applyBorder="1" applyAlignment="1">
      <alignment horizontal="right"/>
    </xf>
    <xf numFmtId="0" fontId="2" fillId="2" borderId="0" xfId="11" applyFont="1" applyFill="1" applyBorder="1" applyAlignment="1">
      <alignment horizontal="center"/>
    </xf>
    <xf numFmtId="0" fontId="2" fillId="2" borderId="5" xfId="11" applyFont="1" applyFill="1" applyBorder="1" applyAlignment="1">
      <alignment horizontal="center"/>
    </xf>
    <xf numFmtId="0" fontId="14" fillId="2" borderId="1" xfId="12" applyFont="1" applyFill="1" applyBorder="1" applyAlignment="1">
      <alignment horizontal="right"/>
    </xf>
    <xf numFmtId="0" fontId="14" fillId="2" borderId="2" xfId="12" applyFont="1" applyFill="1" applyBorder="1" applyAlignment="1">
      <alignment horizontal="right"/>
    </xf>
    <xf numFmtId="3" fontId="14" fillId="2" borderId="3" xfId="12" applyNumberFormat="1" applyFont="1" applyFill="1" applyBorder="1" applyAlignment="1">
      <alignment horizontal="right"/>
    </xf>
    <xf numFmtId="0" fontId="14" fillId="2" borderId="4" xfId="12" applyFont="1" applyFill="1" applyBorder="1" applyAlignment="1">
      <alignment horizontal="right"/>
    </xf>
    <xf numFmtId="0" fontId="14" fillId="2" borderId="0" xfId="12" applyFont="1" applyFill="1" applyBorder="1" applyAlignment="1">
      <alignment horizontal="right"/>
    </xf>
    <xf numFmtId="0" fontId="14" fillId="2" borderId="0" xfId="12" applyFont="1" applyFill="1" applyBorder="1" applyAlignment="1">
      <alignment horizontal="center"/>
    </xf>
    <xf numFmtId="3" fontId="14" fillId="2" borderId="5" xfId="12" applyNumberFormat="1" applyFont="1" applyFill="1" applyBorder="1" applyAlignment="1">
      <alignment horizontal="right"/>
    </xf>
    <xf numFmtId="0" fontId="14" fillId="2" borderId="4" xfId="12" applyFont="1" applyFill="1" applyBorder="1" applyAlignment="1">
      <alignment horizontal="left"/>
    </xf>
    <xf numFmtId="3" fontId="14" fillId="2" borderId="5" xfId="12" applyNumberFormat="1" applyFont="1" applyFill="1" applyBorder="1" applyAlignment="1">
      <alignment horizontal="center"/>
    </xf>
    <xf numFmtId="0" fontId="37" fillId="3" borderId="0" xfId="11" applyFont="1" applyFill="1" applyBorder="1" applyAlignment="1">
      <alignment horizontal="center"/>
    </xf>
    <xf numFmtId="0" fontId="37" fillId="3" borderId="5" xfId="11" applyFont="1" applyFill="1" applyBorder="1" applyAlignment="1">
      <alignment horizontal="center"/>
    </xf>
    <xf numFmtId="0" fontId="3" fillId="3" borderId="0" xfId="11" applyFill="1"/>
    <xf numFmtId="3" fontId="37" fillId="3" borderId="0" xfId="11" applyNumberFormat="1" applyFont="1" applyFill="1" applyBorder="1" applyAlignment="1">
      <alignment horizontal="center"/>
    </xf>
    <xf numFmtId="3" fontId="37" fillId="3" borderId="5" xfId="11" applyNumberFormat="1" applyFont="1" applyFill="1" applyBorder="1" applyAlignment="1">
      <alignment horizontal="center"/>
    </xf>
    <xf numFmtId="3" fontId="3" fillId="3" borderId="0" xfId="11" applyNumberFormat="1" applyFill="1"/>
    <xf numFmtId="3" fontId="39" fillId="3" borderId="0" xfId="11" applyNumberFormat="1" applyFont="1" applyFill="1" applyBorder="1" applyAlignment="1">
      <alignment horizontal="center"/>
    </xf>
    <xf numFmtId="3" fontId="39" fillId="3" borderId="5" xfId="11" applyNumberFormat="1" applyFont="1" applyFill="1" applyBorder="1" applyAlignment="1">
      <alignment horizontal="center"/>
    </xf>
    <xf numFmtId="166" fontId="39" fillId="3" borderId="11" xfId="11" applyNumberFormat="1" applyFont="1" applyFill="1" applyBorder="1" applyAlignment="1">
      <alignment horizontal="center"/>
    </xf>
    <xf numFmtId="166" fontId="39" fillId="3" borderId="12" xfId="11" applyNumberFormat="1" applyFont="1" applyFill="1" applyBorder="1" applyAlignment="1">
      <alignment horizontal="center"/>
    </xf>
    <xf numFmtId="0" fontId="8" fillId="3" borderId="0" xfId="11" applyFont="1" applyFill="1"/>
    <xf numFmtId="9" fontId="3" fillId="3" borderId="0" xfId="11" applyNumberFormat="1" applyFill="1"/>
    <xf numFmtId="4" fontId="8" fillId="3" borderId="0" xfId="11" applyNumberFormat="1" applyFont="1" applyFill="1"/>
    <xf numFmtId="165" fontId="8" fillId="3" borderId="0" xfId="11" applyNumberFormat="1" applyFont="1" applyFill="1"/>
    <xf numFmtId="0" fontId="35" fillId="3" borderId="0" xfId="11" applyFont="1" applyFill="1" applyBorder="1"/>
    <xf numFmtId="0" fontId="35" fillId="3" borderId="0" xfId="11" applyFont="1" applyFill="1"/>
    <xf numFmtId="0" fontId="40" fillId="3" borderId="0" xfId="11" applyFont="1" applyFill="1"/>
    <xf numFmtId="1" fontId="8" fillId="3" borderId="0" xfId="4" applyNumberFormat="1" applyFont="1" applyFill="1"/>
    <xf numFmtId="0" fontId="41" fillId="3" borderId="0" xfId="11" applyFont="1" applyFill="1"/>
    <xf numFmtId="0" fontId="17" fillId="2" borderId="1" xfId="13" applyFont="1" applyFill="1" applyBorder="1" applyAlignment="1">
      <alignment horizontal="left"/>
    </xf>
    <xf numFmtId="0" fontId="14" fillId="2" borderId="2" xfId="13" applyFont="1" applyFill="1" applyBorder="1" applyAlignment="1">
      <alignment horizontal="right"/>
    </xf>
    <xf numFmtId="0" fontId="15" fillId="2" borderId="3" xfId="13" applyFont="1" applyFill="1" applyBorder="1" applyAlignment="1">
      <alignment horizontal="right"/>
    </xf>
    <xf numFmtId="0" fontId="17" fillId="2" borderId="4" xfId="13" applyFont="1" applyFill="1" applyBorder="1" applyAlignment="1">
      <alignment horizontal="left"/>
    </xf>
    <xf numFmtId="0" fontId="14" fillId="2" borderId="0" xfId="13" applyFont="1" applyFill="1" applyBorder="1" applyAlignment="1">
      <alignment horizontal="right"/>
    </xf>
    <xf numFmtId="0" fontId="14" fillId="2" borderId="0" xfId="13" applyFont="1" applyFill="1" applyBorder="1" applyAlignment="1">
      <alignment horizontal="center"/>
    </xf>
    <xf numFmtId="0" fontId="15" fillId="2" borderId="5" xfId="13" applyFont="1" applyFill="1" applyBorder="1" applyAlignment="1">
      <alignment horizontal="right"/>
    </xf>
    <xf numFmtId="0" fontId="8" fillId="3" borderId="0" xfId="13" applyFont="1" applyFill="1" applyBorder="1" applyAlignment="1"/>
    <xf numFmtId="0" fontId="8" fillId="3" borderId="5" xfId="13" applyFont="1" applyFill="1" applyBorder="1" applyAlignment="1"/>
    <xf numFmtId="0" fontId="3" fillId="3" borderId="0" xfId="13" applyFill="1"/>
    <xf numFmtId="3" fontId="8" fillId="3" borderId="0" xfId="13" applyNumberFormat="1" applyFont="1" applyFill="1" applyBorder="1" applyAlignment="1"/>
    <xf numFmtId="3" fontId="8" fillId="3" borderId="5" xfId="13" applyNumberFormat="1" applyFont="1" applyFill="1" applyBorder="1" applyAlignment="1"/>
    <xf numFmtId="3" fontId="3" fillId="3" borderId="0" xfId="13" applyNumberFormat="1" applyFill="1"/>
    <xf numFmtId="0" fontId="3" fillId="3" borderId="0" xfId="13" applyFill="1" applyAlignment="1">
      <alignment horizontal="center"/>
    </xf>
    <xf numFmtId="3" fontId="3" fillId="3" borderId="11" xfId="13" applyNumberFormat="1" applyFill="1" applyBorder="1" applyAlignment="1"/>
    <xf numFmtId="3" fontId="3" fillId="3" borderId="12" xfId="13" applyNumberFormat="1" applyFill="1" applyBorder="1" applyAlignment="1"/>
    <xf numFmtId="0" fontId="17" fillId="2" borderId="1" xfId="14" applyFont="1" applyFill="1" applyBorder="1" applyAlignment="1">
      <alignment horizontal="left"/>
    </xf>
    <xf numFmtId="0" fontId="14" fillId="2" borderId="2" xfId="14" applyFont="1" applyFill="1" applyBorder="1" applyAlignment="1">
      <alignment horizontal="right"/>
    </xf>
    <xf numFmtId="0" fontId="14" fillId="2" borderId="2" xfId="14" applyFont="1" applyFill="1" applyBorder="1" applyAlignment="1">
      <alignment horizontal="left"/>
    </xf>
    <xf numFmtId="0" fontId="15" fillId="2" borderId="3" xfId="14" applyFont="1" applyFill="1" applyBorder="1" applyAlignment="1">
      <alignment horizontal="right"/>
    </xf>
    <xf numFmtId="0" fontId="17" fillId="2" borderId="4" xfId="14" applyFont="1" applyFill="1" applyBorder="1" applyAlignment="1">
      <alignment horizontal="left"/>
    </xf>
    <xf numFmtId="0" fontId="14" fillId="2" borderId="0" xfId="14" applyFont="1" applyFill="1" applyBorder="1" applyAlignment="1">
      <alignment horizontal="right"/>
    </xf>
    <xf numFmtId="0" fontId="14" fillId="2" borderId="0" xfId="14" applyFont="1" applyFill="1" applyBorder="1" applyAlignment="1">
      <alignment horizontal="left"/>
    </xf>
    <xf numFmtId="0" fontId="15" fillId="2" borderId="5" xfId="14" applyFont="1" applyFill="1" applyBorder="1" applyAlignment="1">
      <alignment horizontal="right"/>
    </xf>
    <xf numFmtId="0" fontId="14" fillId="2" borderId="0" xfId="14" applyFont="1" applyFill="1" applyBorder="1" applyAlignment="1">
      <alignment horizontal="center"/>
    </xf>
    <xf numFmtId="0" fontId="15" fillId="2" borderId="5" xfId="14" applyFont="1" applyFill="1" applyBorder="1" applyAlignment="1">
      <alignment horizontal="center"/>
    </xf>
    <xf numFmtId="3" fontId="8" fillId="3" borderId="0" xfId="14" applyNumberFormat="1" applyFont="1" applyFill="1" applyBorder="1" applyAlignment="1"/>
    <xf numFmtId="3" fontId="8" fillId="3" borderId="5" xfId="14" applyNumberFormat="1" applyFont="1" applyFill="1" applyBorder="1" applyAlignment="1"/>
    <xf numFmtId="0" fontId="3" fillId="3" borderId="0" xfId="14" applyFill="1"/>
    <xf numFmtId="0" fontId="20" fillId="3" borderId="0" xfId="14" applyFont="1" applyFill="1"/>
    <xf numFmtId="3" fontId="8" fillId="3" borderId="2" xfId="14" applyNumberFormat="1" applyFont="1" applyFill="1" applyBorder="1" applyAlignment="1"/>
    <xf numFmtId="3" fontId="8" fillId="3" borderId="3" xfId="14" applyNumberFormat="1" applyFont="1" applyFill="1" applyBorder="1" applyAlignment="1"/>
    <xf numFmtId="0" fontId="0" fillId="3" borderId="0" xfId="0" applyFill="1" applyBorder="1"/>
    <xf numFmtId="0" fontId="0" fillId="3" borderId="5" xfId="0" applyFill="1" applyBorder="1"/>
    <xf numFmtId="3" fontId="8" fillId="3" borderId="11" xfId="14" applyNumberFormat="1" applyFont="1" applyFill="1" applyBorder="1" applyAlignment="1"/>
    <xf numFmtId="3" fontId="8" fillId="3" borderId="12" xfId="14" applyNumberFormat="1" applyFont="1" applyFill="1" applyBorder="1" applyAlignment="1"/>
    <xf numFmtId="0" fontId="17" fillId="2" borderId="1" xfId="15" applyFont="1" applyFill="1" applyBorder="1" applyAlignment="1">
      <alignment horizontal="left"/>
    </xf>
    <xf numFmtId="0" fontId="14" fillId="2" borderId="2" xfId="15" applyFont="1" applyFill="1" applyBorder="1" applyAlignment="1">
      <alignment horizontal="right"/>
    </xf>
    <xf numFmtId="0" fontId="15" fillId="2" borderId="3" xfId="15" applyFont="1" applyFill="1" applyBorder="1" applyAlignment="1">
      <alignment horizontal="right"/>
    </xf>
    <xf numFmtId="0" fontId="17" fillId="2" borderId="4" xfId="15" applyFont="1" applyFill="1" applyBorder="1" applyAlignment="1">
      <alignment horizontal="left"/>
    </xf>
    <xf numFmtId="0" fontId="14" fillId="2" borderId="0" xfId="15" applyFont="1" applyFill="1" applyBorder="1" applyAlignment="1">
      <alignment horizontal="center"/>
    </xf>
    <xf numFmtId="0" fontId="14" fillId="2" borderId="0" xfId="15" applyFont="1" applyFill="1" applyBorder="1" applyAlignment="1">
      <alignment horizontal="left"/>
    </xf>
    <xf numFmtId="0" fontId="14" fillId="2" borderId="0" xfId="15" applyFont="1" applyFill="1" applyBorder="1" applyAlignment="1">
      <alignment horizontal="right"/>
    </xf>
    <xf numFmtId="0" fontId="15" fillId="2" borderId="5" xfId="15" applyFont="1" applyFill="1" applyBorder="1" applyAlignment="1">
      <alignment horizontal="right"/>
    </xf>
    <xf numFmtId="0" fontId="17" fillId="2" borderId="6" xfId="15" applyFont="1" applyFill="1" applyBorder="1" applyAlignment="1">
      <alignment horizontal="left"/>
    </xf>
    <xf numFmtId="0" fontId="14" fillId="2" borderId="8" xfId="15" applyFont="1" applyFill="1" applyBorder="1" applyAlignment="1">
      <alignment horizontal="right"/>
    </xf>
    <xf numFmtId="0" fontId="15" fillId="2" borderId="7" xfId="15" applyFont="1" applyFill="1" applyBorder="1" applyAlignment="1">
      <alignment horizontal="right"/>
    </xf>
    <xf numFmtId="0" fontId="8" fillId="3" borderId="0" xfId="15" applyFont="1" applyFill="1" applyBorder="1" applyAlignment="1"/>
    <xf numFmtId="0" fontId="8" fillId="3" borderId="5" xfId="15" applyFont="1" applyFill="1" applyBorder="1" applyAlignment="1"/>
    <xf numFmtId="0" fontId="3" fillId="3" borderId="0" xfId="15" applyFill="1"/>
    <xf numFmtId="3" fontId="8" fillId="3" borderId="0" xfId="15" applyNumberFormat="1" applyFont="1" applyFill="1" applyBorder="1" applyAlignment="1"/>
    <xf numFmtId="3" fontId="8" fillId="3" borderId="5" xfId="15" applyNumberFormat="1" applyFont="1" applyFill="1" applyBorder="1" applyAlignment="1"/>
    <xf numFmtId="3" fontId="3" fillId="3" borderId="0" xfId="15" applyNumberFormat="1" applyFill="1"/>
    <xf numFmtId="3" fontId="8" fillId="3" borderId="11" xfId="15" applyNumberFormat="1" applyFont="1" applyFill="1" applyBorder="1" applyAlignment="1"/>
    <xf numFmtId="3" fontId="8" fillId="3" borderId="12" xfId="15" applyNumberFormat="1" applyFont="1" applyFill="1" applyBorder="1" applyAlignment="1"/>
    <xf numFmtId="0" fontId="3" fillId="3" borderId="0" xfId="16" applyFill="1"/>
    <xf numFmtId="0" fontId="17" fillId="2" borderId="1" xfId="16" applyFont="1" applyFill="1" applyBorder="1" applyAlignment="1">
      <alignment horizontal="left"/>
    </xf>
    <xf numFmtId="0" fontId="14" fillId="2" borderId="2" xfId="16" applyFont="1" applyFill="1" applyBorder="1" applyAlignment="1">
      <alignment horizontal="right"/>
    </xf>
    <xf numFmtId="0" fontId="15" fillId="2" borderId="3" xfId="16" applyFont="1" applyFill="1" applyBorder="1" applyAlignment="1">
      <alignment horizontal="right"/>
    </xf>
    <xf numFmtId="0" fontId="20" fillId="3" borderId="0" xfId="16" applyFont="1" applyFill="1"/>
    <xf numFmtId="0" fontId="17" fillId="2" borderId="4" xfId="16" applyFont="1" applyFill="1" applyBorder="1" applyAlignment="1">
      <alignment horizontal="left"/>
    </xf>
    <xf numFmtId="0" fontId="14" fillId="2" borderId="0" xfId="16" applyFont="1" applyFill="1" applyBorder="1" applyAlignment="1">
      <alignment horizontal="right"/>
    </xf>
    <xf numFmtId="0" fontId="14" fillId="2" borderId="0" xfId="16" applyFont="1" applyFill="1" applyBorder="1" applyAlignment="1">
      <alignment horizontal="left"/>
    </xf>
    <xf numFmtId="0" fontId="15" fillId="2" borderId="5" xfId="16" applyFont="1" applyFill="1" applyBorder="1" applyAlignment="1">
      <alignment horizontal="right"/>
    </xf>
    <xf numFmtId="0" fontId="14" fillId="2" borderId="0" xfId="16" applyFont="1" applyFill="1" applyBorder="1" applyAlignment="1">
      <alignment horizontal="center"/>
    </xf>
    <xf numFmtId="0" fontId="15" fillId="2" borderId="5" xfId="16" applyFont="1" applyFill="1" applyBorder="1" applyAlignment="1">
      <alignment horizontal="center"/>
    </xf>
    <xf numFmtId="3" fontId="3" fillId="3" borderId="2" xfId="16" applyNumberFormat="1" applyFill="1" applyBorder="1" applyAlignment="1"/>
    <xf numFmtId="0" fontId="3" fillId="3" borderId="2" xfId="16" applyFill="1" applyBorder="1" applyAlignment="1"/>
    <xf numFmtId="3" fontId="3" fillId="3" borderId="3" xfId="16" applyNumberFormat="1" applyFill="1" applyBorder="1" applyAlignment="1"/>
    <xf numFmtId="3" fontId="3" fillId="3" borderId="0" xfId="16" applyNumberFormat="1" applyFill="1"/>
    <xf numFmtId="3" fontId="42" fillId="3" borderId="11" xfId="16" applyNumberFormat="1" applyFont="1" applyFill="1" applyBorder="1" applyAlignment="1"/>
    <xf numFmtId="3" fontId="42" fillId="3" borderId="12" xfId="16" applyNumberFormat="1" applyFont="1" applyFill="1" applyBorder="1" applyAlignment="1"/>
    <xf numFmtId="0" fontId="3" fillId="3" borderId="0" xfId="17" applyFill="1"/>
    <xf numFmtId="0" fontId="17" fillId="2" borderId="1" xfId="17" applyFont="1" applyFill="1" applyBorder="1" applyAlignment="1">
      <alignment horizontal="left"/>
    </xf>
    <xf numFmtId="0" fontId="17" fillId="2" borderId="2" xfId="17" applyFont="1" applyFill="1" applyBorder="1" applyAlignment="1">
      <alignment horizontal="left"/>
    </xf>
    <xf numFmtId="0" fontId="14" fillId="2" borderId="3" xfId="17" applyFont="1" applyFill="1" applyBorder="1" applyAlignment="1">
      <alignment horizontal="right"/>
    </xf>
    <xf numFmtId="0" fontId="17" fillId="2" borderId="4" xfId="17" applyFont="1" applyFill="1" applyBorder="1" applyAlignment="1">
      <alignment horizontal="left"/>
    </xf>
    <xf numFmtId="0" fontId="17" fillId="2" borderId="0" xfId="17" applyFont="1" applyFill="1" applyBorder="1" applyAlignment="1">
      <alignment horizontal="left"/>
    </xf>
    <xf numFmtId="0" fontId="14" fillId="2" borderId="5" xfId="17" applyFont="1" applyFill="1" applyBorder="1" applyAlignment="1">
      <alignment horizontal="right"/>
    </xf>
    <xf numFmtId="0" fontId="17" fillId="2" borderId="4" xfId="17" applyFont="1" applyFill="1" applyBorder="1" applyAlignment="1">
      <alignment horizontal="right"/>
    </xf>
    <xf numFmtId="0" fontId="14" fillId="2" borderId="5" xfId="17" applyFont="1" applyFill="1" applyBorder="1" applyAlignment="1">
      <alignment horizontal="center"/>
    </xf>
    <xf numFmtId="0" fontId="3" fillId="3" borderId="5" xfId="17" applyFill="1" applyBorder="1" applyAlignment="1"/>
    <xf numFmtId="0" fontId="7" fillId="5" borderId="4" xfId="17" applyFont="1" applyFill="1" applyBorder="1" applyAlignment="1">
      <alignment horizontal="left"/>
    </xf>
    <xf numFmtId="165" fontId="8" fillId="3" borderId="5" xfId="17" applyNumberFormat="1" applyFont="1" applyFill="1" applyBorder="1" applyAlignment="1"/>
    <xf numFmtId="3" fontId="7" fillId="5" borderId="4" xfId="17" applyNumberFormat="1" applyFont="1" applyFill="1" applyBorder="1" applyAlignment="1">
      <alignment horizontal="left"/>
    </xf>
    <xf numFmtId="0" fontId="8" fillId="3" borderId="5" xfId="17" applyFont="1" applyFill="1" applyBorder="1" applyAlignment="1"/>
    <xf numFmtId="3" fontId="6" fillId="5" borderId="17" xfId="17" applyNumberFormat="1" applyFont="1" applyFill="1" applyBorder="1" applyAlignment="1">
      <alignment horizontal="left"/>
    </xf>
    <xf numFmtId="165" fontId="8" fillId="3" borderId="10" xfId="17" applyNumberFormat="1" applyFont="1" applyFill="1" applyBorder="1" applyAlignment="1"/>
    <xf numFmtId="3" fontId="6" fillId="5" borderId="16" xfId="17" applyNumberFormat="1" applyFont="1" applyFill="1" applyBorder="1" applyAlignment="1">
      <alignment horizontal="left"/>
    </xf>
    <xf numFmtId="0" fontId="8" fillId="3" borderId="12" xfId="17" applyFont="1" applyFill="1" applyBorder="1" applyAlignment="1"/>
    <xf numFmtId="0" fontId="3" fillId="3" borderId="0" xfId="17" applyFill="1" applyBorder="1"/>
    <xf numFmtId="0" fontId="43" fillId="0" borderId="0" xfId="5" applyFont="1"/>
    <xf numFmtId="0" fontId="45" fillId="0" borderId="0" xfId="5" applyFont="1" applyAlignment="1">
      <alignment horizontal="center"/>
    </xf>
    <xf numFmtId="3" fontId="45" fillId="0" borderId="0" xfId="5" applyNumberFormat="1" applyFont="1" applyAlignment="1">
      <alignment horizontal="center"/>
    </xf>
    <xf numFmtId="3" fontId="45" fillId="0" borderId="8" xfId="5" applyNumberFormat="1" applyFont="1" applyBorder="1" applyAlignment="1">
      <alignment horizontal="center"/>
    </xf>
    <xf numFmtId="3" fontId="46" fillId="0" borderId="8" xfId="5" applyNumberFormat="1" applyFont="1" applyBorder="1" applyAlignment="1">
      <alignment horizontal="center"/>
    </xf>
    <xf numFmtId="0" fontId="45" fillId="0" borderId="18" xfId="5" applyFont="1" applyBorder="1" applyAlignment="1">
      <alignment horizontal="center"/>
    </xf>
    <xf numFmtId="3" fontId="45" fillId="0" borderId="18" xfId="5" applyNumberFormat="1" applyFont="1" applyBorder="1" applyAlignment="1">
      <alignment horizontal="left"/>
    </xf>
    <xf numFmtId="3" fontId="45" fillId="0" borderId="18" xfId="5" applyNumberFormat="1" applyFont="1" applyBorder="1" applyAlignment="1">
      <alignment horizontal="center"/>
    </xf>
    <xf numFmtId="0" fontId="45" fillId="0" borderId="0" xfId="5" applyFont="1" applyBorder="1" applyAlignment="1">
      <alignment horizontal="center"/>
    </xf>
    <xf numFmtId="3" fontId="45" fillId="0" borderId="0" xfId="5" applyNumberFormat="1" applyFont="1" applyBorder="1" applyAlignment="1">
      <alignment horizontal="center"/>
    </xf>
    <xf numFmtId="3" fontId="45" fillId="0" borderId="0" xfId="5" applyNumberFormat="1" applyFont="1" applyBorder="1" applyAlignment="1">
      <alignment horizontal="left"/>
    </xf>
    <xf numFmtId="0" fontId="45" fillId="0" borderId="19" xfId="5" applyFont="1" applyBorder="1" applyAlignment="1">
      <alignment horizontal="center"/>
    </xf>
    <xf numFmtId="3" fontId="45" fillId="0" borderId="19" xfId="5" applyNumberFormat="1" applyFont="1" applyBorder="1" applyAlignment="1">
      <alignment horizontal="center"/>
    </xf>
    <xf numFmtId="0" fontId="45" fillId="0" borderId="0" xfId="5" applyFont="1"/>
    <xf numFmtId="3" fontId="45" fillId="0" borderId="0" xfId="5" applyNumberFormat="1" applyFont="1" applyFill="1" applyAlignment="1">
      <alignment horizontal="center"/>
    </xf>
    <xf numFmtId="0" fontId="47" fillId="0" borderId="0" xfId="5" applyFont="1"/>
    <xf numFmtId="0" fontId="43" fillId="0" borderId="0" xfId="6" applyFont="1"/>
    <xf numFmtId="0" fontId="45" fillId="0" borderId="0" xfId="6" applyFont="1" applyAlignment="1">
      <alignment horizontal="center"/>
    </xf>
    <xf numFmtId="3" fontId="45" fillId="0" borderId="0" xfId="6" applyNumberFormat="1" applyFont="1" applyAlignment="1">
      <alignment horizontal="center"/>
    </xf>
    <xf numFmtId="3" fontId="45" fillId="0" borderId="8" xfId="6" applyNumberFormat="1" applyFont="1" applyBorder="1" applyAlignment="1">
      <alignment horizontal="center"/>
    </xf>
    <xf numFmtId="3" fontId="46" fillId="0" borderId="8" xfId="6" applyNumberFormat="1" applyFont="1" applyBorder="1" applyAlignment="1">
      <alignment horizontal="center"/>
    </xf>
    <xf numFmtId="0" fontId="44" fillId="0" borderId="0" xfId="6"/>
    <xf numFmtId="0" fontId="45" fillId="0" borderId="18" xfId="6" applyFont="1" applyBorder="1" applyAlignment="1">
      <alignment horizontal="center"/>
    </xf>
    <xf numFmtId="3" fontId="45" fillId="0" borderId="18" xfId="6" applyNumberFormat="1" applyFont="1" applyBorder="1" applyAlignment="1">
      <alignment horizontal="center"/>
    </xf>
    <xf numFmtId="0" fontId="47" fillId="0" borderId="0" xfId="6" applyFont="1" applyBorder="1" applyAlignment="1">
      <alignment horizontal="center"/>
    </xf>
    <xf numFmtId="0" fontId="45" fillId="0" borderId="0" xfId="6" applyFont="1" applyBorder="1" applyAlignment="1">
      <alignment horizontal="center"/>
    </xf>
    <xf numFmtId="3" fontId="45" fillId="0" borderId="0" xfId="6" applyNumberFormat="1" applyFont="1" applyBorder="1" applyAlignment="1">
      <alignment horizontal="center"/>
    </xf>
    <xf numFmtId="3" fontId="45" fillId="0" borderId="0" xfId="6" applyNumberFormat="1" applyFont="1" applyBorder="1" applyAlignment="1">
      <alignment horizontal="left"/>
    </xf>
    <xf numFmtId="0" fontId="45" fillId="0" borderId="19" xfId="6" applyFont="1" applyBorder="1" applyAlignment="1">
      <alignment horizontal="center"/>
    </xf>
    <xf numFmtId="3" fontId="45" fillId="0" borderId="19" xfId="6" applyNumberFormat="1" applyFont="1" applyBorder="1" applyAlignment="1">
      <alignment horizontal="center"/>
    </xf>
    <xf numFmtId="0" fontId="45" fillId="0" borderId="0" xfId="6" applyFont="1"/>
    <xf numFmtId="3" fontId="44" fillId="0" borderId="0" xfId="6" applyNumberFormat="1" applyAlignment="1">
      <alignment horizontal="center"/>
    </xf>
    <xf numFmtId="3" fontId="44" fillId="0" borderId="0" xfId="6" applyNumberFormat="1" applyFont="1" applyAlignment="1">
      <alignment horizontal="center"/>
    </xf>
    <xf numFmtId="0" fontId="44" fillId="0" borderId="0" xfId="6" applyBorder="1"/>
    <xf numFmtId="3" fontId="44" fillId="0" borderId="0" xfId="6" applyNumberFormat="1" applyBorder="1" applyAlignment="1">
      <alignment horizontal="center"/>
    </xf>
    <xf numFmtId="3" fontId="0" fillId="0" borderId="0" xfId="0" applyNumberFormat="1"/>
    <xf numFmtId="1" fontId="49" fillId="2" borderId="4" xfId="7" applyNumberFormat="1" applyFont="1" applyFill="1" applyBorder="1" applyAlignment="1"/>
    <xf numFmtId="0" fontId="3" fillId="3" borderId="0" xfId="7" applyFill="1"/>
    <xf numFmtId="0" fontId="3" fillId="3" borderId="0" xfId="7" applyFont="1" applyFill="1"/>
    <xf numFmtId="3" fontId="3" fillId="3" borderId="0" xfId="7" applyNumberFormat="1" applyFill="1"/>
    <xf numFmtId="166" fontId="3" fillId="3" borderId="0" xfId="7" applyNumberFormat="1" applyFill="1"/>
    <xf numFmtId="0" fontId="50" fillId="3" borderId="0" xfId="0" applyFont="1" applyFill="1"/>
    <xf numFmtId="0" fontId="51" fillId="3" borderId="0" xfId="0" applyFont="1" applyFill="1"/>
    <xf numFmtId="0" fontId="54" fillId="6" borderId="0" xfId="0" applyFont="1" applyFill="1"/>
    <xf numFmtId="0" fontId="11" fillId="4" borderId="1" xfId="0" applyFont="1" applyFill="1" applyBorder="1"/>
    <xf numFmtId="0" fontId="55" fillId="4" borderId="20" xfId="0" applyFont="1" applyFill="1" applyBorder="1" applyAlignment="1">
      <alignment horizontal="center"/>
    </xf>
    <xf numFmtId="0" fontId="55" fillId="4" borderId="2" xfId="0" applyFont="1" applyFill="1" applyBorder="1" applyAlignment="1">
      <alignment horizontal="center"/>
    </xf>
    <xf numFmtId="0" fontId="55" fillId="4" borderId="3" xfId="0" applyFont="1" applyFill="1" applyBorder="1" applyAlignment="1">
      <alignment horizontal="center"/>
    </xf>
    <xf numFmtId="0" fontId="11" fillId="4" borderId="16" xfId="0" applyFont="1" applyFill="1" applyBorder="1"/>
    <xf numFmtId="0" fontId="55" fillId="4" borderId="21" xfId="0" applyFont="1" applyFill="1" applyBorder="1" applyAlignment="1">
      <alignment horizontal="center"/>
    </xf>
    <xf numFmtId="0" fontId="11" fillId="4" borderId="12" xfId="0" applyFont="1" applyFill="1" applyBorder="1"/>
    <xf numFmtId="0" fontId="48" fillId="7" borderId="22" xfId="0" applyFont="1" applyFill="1" applyBorder="1"/>
    <xf numFmtId="0" fontId="48" fillId="7" borderId="22" xfId="0" applyFont="1" applyFill="1" applyBorder="1" applyAlignment="1">
      <alignment horizontal="center"/>
    </xf>
    <xf numFmtId="0" fontId="48" fillId="8" borderId="0" xfId="0" applyFont="1" applyFill="1" applyBorder="1" applyAlignment="1">
      <alignment horizontal="left"/>
    </xf>
    <xf numFmtId="166" fontId="48" fillId="8" borderId="0" xfId="0" applyNumberFormat="1" applyFont="1" applyFill="1" applyBorder="1" applyAlignment="1">
      <alignment horizontal="right"/>
    </xf>
    <xf numFmtId="0" fontId="11" fillId="4" borderId="4" xfId="0" applyFont="1" applyFill="1" applyBorder="1"/>
    <xf numFmtId="0" fontId="48" fillId="7" borderId="0" xfId="0" applyFont="1" applyFill="1" applyBorder="1" applyAlignment="1">
      <alignment horizontal="center"/>
    </xf>
    <xf numFmtId="0" fontId="55" fillId="4" borderId="1" xfId="0" applyFont="1" applyFill="1" applyBorder="1" applyAlignment="1">
      <alignment horizontal="center"/>
    </xf>
    <xf numFmtId="0" fontId="55" fillId="4" borderId="4" xfId="0" applyFont="1" applyFill="1" applyBorder="1" applyAlignment="1">
      <alignment horizontal="center"/>
    </xf>
    <xf numFmtId="0" fontId="55" fillId="4" borderId="12" xfId="0" applyFont="1" applyFill="1" applyBorder="1" applyAlignment="1">
      <alignment horizontal="center"/>
    </xf>
    <xf numFmtId="0" fontId="54" fillId="6" borderId="0" xfId="0" applyFont="1" applyFill="1" applyAlignment="1">
      <alignment horizontal="center"/>
    </xf>
    <xf numFmtId="0" fontId="11" fillId="4" borderId="22" xfId="0" applyFont="1" applyFill="1" applyBorder="1" applyAlignment="1">
      <alignment horizontal="center"/>
    </xf>
    <xf numFmtId="164" fontId="48" fillId="7" borderId="20" xfId="0" applyNumberFormat="1" applyFont="1" applyFill="1" applyBorder="1" applyAlignment="1">
      <alignment horizontal="center"/>
    </xf>
    <xf numFmtId="166" fontId="48" fillId="7" borderId="22" xfId="0" applyNumberFormat="1" applyFont="1" applyFill="1" applyBorder="1" applyAlignment="1">
      <alignment horizontal="center"/>
    </xf>
    <xf numFmtId="164" fontId="48" fillId="7" borderId="22" xfId="0" applyNumberFormat="1" applyFont="1" applyFill="1" applyBorder="1" applyAlignment="1">
      <alignment horizontal="center"/>
    </xf>
    <xf numFmtId="166" fontId="48" fillId="7" borderId="21" xfId="0" applyNumberFormat="1" applyFont="1" applyFill="1" applyBorder="1" applyAlignment="1">
      <alignment horizontal="center"/>
    </xf>
    <xf numFmtId="166" fontId="48" fillId="8" borderId="0" xfId="0" applyNumberFormat="1" applyFont="1" applyFill="1" applyBorder="1" applyAlignment="1">
      <alignment horizontal="center"/>
    </xf>
    <xf numFmtId="0" fontId="52" fillId="3" borderId="0" xfId="0" applyFont="1" applyFill="1"/>
    <xf numFmtId="0" fontId="0" fillId="3" borderId="0" xfId="0" applyFill="1" applyAlignment="1">
      <alignment horizontal="center"/>
    </xf>
    <xf numFmtId="0" fontId="53" fillId="3" borderId="0" xfId="0" applyFont="1" applyFill="1"/>
    <xf numFmtId="0" fontId="54" fillId="3" borderId="0" xfId="0" applyFont="1" applyFill="1"/>
    <xf numFmtId="0" fontId="54" fillId="3" borderId="0" xfId="0" applyFont="1" applyFill="1" applyAlignment="1">
      <alignment horizontal="center"/>
    </xf>
    <xf numFmtId="0" fontId="51" fillId="3" borderId="0" xfId="0" applyFont="1" applyFill="1" applyAlignment="1">
      <alignment horizontal="center"/>
    </xf>
    <xf numFmtId="0" fontId="11" fillId="4" borderId="21" xfId="0" applyFont="1" applyFill="1" applyBorder="1" applyAlignment="1">
      <alignment horizontal="center"/>
    </xf>
    <xf numFmtId="0" fontId="11" fillId="4" borderId="11" xfId="0" applyFont="1" applyFill="1" applyBorder="1" applyAlignment="1">
      <alignment horizontal="center"/>
    </xf>
    <xf numFmtId="0" fontId="55" fillId="4" borderId="11" xfId="0" applyFont="1" applyFill="1" applyBorder="1"/>
    <xf numFmtId="0" fontId="56" fillId="7" borderId="4" xfId="0" applyFont="1" applyFill="1" applyBorder="1" applyAlignment="1">
      <alignment horizontal="left"/>
    </xf>
    <xf numFmtId="164" fontId="56" fillId="7" borderId="22" xfId="0" applyNumberFormat="1" applyFont="1" applyFill="1" applyBorder="1" applyAlignment="1">
      <alignment horizontal="center"/>
    </xf>
    <xf numFmtId="164" fontId="56" fillId="7" borderId="0" xfId="0" applyNumberFormat="1" applyFont="1" applyFill="1" applyBorder="1" applyAlignment="1">
      <alignment horizontal="center"/>
    </xf>
    <xf numFmtId="3" fontId="56" fillId="7" borderId="5" xfId="0" applyNumberFormat="1" applyFont="1" applyFill="1" applyBorder="1" applyAlignment="1">
      <alignment horizontal="center"/>
    </xf>
    <xf numFmtId="166" fontId="56" fillId="7" borderId="22" xfId="0" applyNumberFormat="1" applyFont="1" applyFill="1" applyBorder="1" applyAlignment="1">
      <alignment horizontal="center"/>
    </xf>
    <xf numFmtId="166" fontId="56" fillId="7" borderId="0" xfId="0" applyNumberFormat="1" applyFont="1" applyFill="1" applyBorder="1" applyAlignment="1">
      <alignment horizontal="center"/>
    </xf>
    <xf numFmtId="166" fontId="56" fillId="7" borderId="5" xfId="0" applyNumberFormat="1" applyFont="1" applyFill="1" applyBorder="1" applyAlignment="1">
      <alignment horizontal="center"/>
    </xf>
    <xf numFmtId="0" fontId="56" fillId="7" borderId="6" xfId="0" applyFont="1" applyFill="1" applyBorder="1" applyAlignment="1">
      <alignment horizontal="left"/>
    </xf>
    <xf numFmtId="0" fontId="56" fillId="7" borderId="23" xfId="0" applyFont="1" applyFill="1" applyBorder="1" applyAlignment="1">
      <alignment horizontal="center"/>
    </xf>
    <xf numFmtId="0" fontId="56" fillId="7" borderId="8" xfId="0" applyFont="1" applyFill="1" applyBorder="1" applyAlignment="1">
      <alignment horizontal="center"/>
    </xf>
    <xf numFmtId="0" fontId="56" fillId="7" borderId="7" xfId="0" applyFont="1" applyFill="1" applyBorder="1" applyAlignment="1">
      <alignment horizontal="center"/>
    </xf>
    <xf numFmtId="0" fontId="56" fillId="7" borderId="24" xfId="0" applyFont="1" applyFill="1" applyBorder="1" applyAlignment="1">
      <alignment horizontal="left"/>
    </xf>
    <xf numFmtId="164" fontId="56" fillId="7" borderId="25" xfId="0" applyNumberFormat="1" applyFont="1" applyFill="1" applyBorder="1" applyAlignment="1">
      <alignment horizontal="center"/>
    </xf>
    <xf numFmtId="164" fontId="56" fillId="7" borderId="15" xfId="0" applyNumberFormat="1" applyFont="1" applyFill="1" applyBorder="1" applyAlignment="1">
      <alignment horizontal="center"/>
    </xf>
    <xf numFmtId="3" fontId="56" fillId="7" borderId="26" xfId="0" applyNumberFormat="1" applyFont="1" applyFill="1" applyBorder="1" applyAlignment="1">
      <alignment horizontal="center"/>
    </xf>
    <xf numFmtId="166" fontId="56" fillId="7" borderId="23" xfId="0" applyNumberFormat="1" applyFont="1" applyFill="1" applyBorder="1" applyAlignment="1">
      <alignment horizontal="center"/>
    </xf>
    <xf numFmtId="166" fontId="56" fillId="7" borderId="8" xfId="0" applyNumberFormat="1" applyFont="1" applyFill="1" applyBorder="1" applyAlignment="1">
      <alignment horizontal="center"/>
    </xf>
    <xf numFmtId="166" fontId="56" fillId="7" borderId="7" xfId="0" applyNumberFormat="1" applyFont="1" applyFill="1" applyBorder="1" applyAlignment="1">
      <alignment horizontal="center"/>
    </xf>
    <xf numFmtId="0" fontId="56" fillId="7" borderId="16" xfId="0" applyFont="1" applyFill="1" applyBorder="1" applyAlignment="1">
      <alignment horizontal="left"/>
    </xf>
    <xf numFmtId="166" fontId="56" fillId="7" borderId="21" xfId="0" applyNumberFormat="1" applyFont="1" applyFill="1" applyBorder="1" applyAlignment="1">
      <alignment horizontal="center"/>
    </xf>
    <xf numFmtId="166" fontId="56" fillId="7" borderId="11" xfId="0" applyNumberFormat="1" applyFont="1" applyFill="1" applyBorder="1" applyAlignment="1">
      <alignment horizontal="center"/>
    </xf>
    <xf numFmtId="166" fontId="56" fillId="7" borderId="12" xfId="0" applyNumberFormat="1" applyFont="1" applyFill="1" applyBorder="1" applyAlignment="1">
      <alignment horizontal="center"/>
    </xf>
    <xf numFmtId="0" fontId="56" fillId="7" borderId="25" xfId="0" applyFont="1" applyFill="1" applyBorder="1" applyAlignment="1">
      <alignment horizontal="center"/>
    </xf>
    <xf numFmtId="0" fontId="56" fillId="7" borderId="15" xfId="0" applyFont="1" applyFill="1" applyBorder="1" applyAlignment="1">
      <alignment horizontal="center"/>
    </xf>
    <xf numFmtId="0" fontId="56" fillId="7" borderId="26" xfId="0" applyFont="1" applyFill="1" applyBorder="1" applyAlignment="1">
      <alignment horizontal="center"/>
    </xf>
    <xf numFmtId="0" fontId="56" fillId="8" borderId="0" xfId="0" applyFont="1" applyFill="1" applyBorder="1" applyAlignment="1">
      <alignment horizontal="left"/>
    </xf>
    <xf numFmtId="166" fontId="56" fillId="8" borderId="0" xfId="0" applyNumberFormat="1" applyFont="1" applyFill="1" applyBorder="1" applyAlignment="1">
      <alignment horizontal="center"/>
    </xf>
    <xf numFmtId="164" fontId="0" fillId="3" borderId="0" xfId="0" applyNumberFormat="1" applyFill="1"/>
    <xf numFmtId="0" fontId="57" fillId="3" borderId="0" xfId="0" applyFont="1" applyFill="1"/>
    <xf numFmtId="0" fontId="58" fillId="3" borderId="0" xfId="0" applyFont="1" applyFill="1"/>
    <xf numFmtId="0" fontId="56" fillId="7" borderId="20" xfId="0" applyFont="1" applyFill="1" applyBorder="1" applyAlignment="1">
      <alignment horizontal="left"/>
    </xf>
    <xf numFmtId="0" fontId="56" fillId="7" borderId="22" xfId="0" applyFont="1" applyFill="1" applyBorder="1" applyAlignment="1">
      <alignment horizontal="left"/>
    </xf>
    <xf numFmtId="0" fontId="56" fillId="7" borderId="21" xfId="0" applyFont="1" applyFill="1" applyBorder="1" applyAlignment="1">
      <alignment horizontal="left"/>
    </xf>
    <xf numFmtId="166" fontId="56" fillId="7" borderId="20" xfId="0" applyNumberFormat="1" applyFont="1" applyFill="1" applyBorder="1" applyAlignment="1">
      <alignment horizontal="center"/>
    </xf>
    <xf numFmtId="3" fontId="56" fillId="7" borderId="22" xfId="0" applyNumberFormat="1" applyFont="1" applyFill="1" applyBorder="1" applyAlignment="1">
      <alignment horizontal="center"/>
    </xf>
    <xf numFmtId="166" fontId="56" fillId="7" borderId="2" xfId="0" applyNumberFormat="1" applyFont="1" applyFill="1" applyBorder="1" applyAlignment="1">
      <alignment horizontal="center"/>
    </xf>
    <xf numFmtId="0" fontId="61" fillId="4" borderId="27" xfId="0" applyFont="1" applyFill="1" applyBorder="1" applyAlignment="1">
      <alignment horizontal="right"/>
    </xf>
    <xf numFmtId="0" fontId="61" fillId="4" borderId="28" xfId="0" applyFont="1" applyFill="1" applyBorder="1" applyAlignment="1">
      <alignment horizontal="right"/>
    </xf>
    <xf numFmtId="0" fontId="61" fillId="4" borderId="3" xfId="0" applyFont="1" applyFill="1" applyBorder="1" applyAlignment="1">
      <alignment horizontal="right"/>
    </xf>
    <xf numFmtId="9" fontId="62" fillId="9" borderId="29" xfId="26" applyFont="1" applyFill="1" applyBorder="1" applyAlignment="1">
      <alignment horizontal="right"/>
    </xf>
    <xf numFmtId="9" fontId="62" fillId="9" borderId="15" xfId="26" applyFont="1" applyFill="1" applyBorder="1" applyAlignment="1">
      <alignment horizontal="right"/>
    </xf>
    <xf numFmtId="9" fontId="63" fillId="10" borderId="30" xfId="26" applyNumberFormat="1" applyFont="1" applyFill="1" applyBorder="1" applyAlignment="1">
      <alignment horizontal="right"/>
    </xf>
    <xf numFmtId="9" fontId="63" fillId="10" borderId="31" xfId="26" applyFont="1" applyFill="1" applyBorder="1" applyAlignment="1">
      <alignment horizontal="right"/>
    </xf>
    <xf numFmtId="9" fontId="63" fillId="10" borderId="26" xfId="26" applyFont="1" applyFill="1" applyBorder="1" applyAlignment="1">
      <alignment horizontal="right"/>
    </xf>
    <xf numFmtId="9" fontId="62" fillId="9" borderId="32" xfId="26" applyFont="1" applyFill="1" applyBorder="1" applyAlignment="1">
      <alignment horizontal="right"/>
    </xf>
    <xf numFmtId="9" fontId="62" fillId="9" borderId="0" xfId="26" applyFont="1" applyFill="1" applyBorder="1" applyAlignment="1">
      <alignment horizontal="right"/>
    </xf>
    <xf numFmtId="9" fontId="63" fillId="10" borderId="33" xfId="26" applyNumberFormat="1" applyFont="1" applyFill="1" applyBorder="1" applyAlignment="1">
      <alignment horizontal="right"/>
    </xf>
    <xf numFmtId="9" fontId="63" fillId="10" borderId="34" xfId="26" applyFont="1" applyFill="1" applyBorder="1" applyAlignment="1">
      <alignment horizontal="right"/>
    </xf>
    <xf numFmtId="9" fontId="63" fillId="10" borderId="5" xfId="26" applyFont="1" applyFill="1" applyBorder="1" applyAlignment="1">
      <alignment horizontal="right"/>
    </xf>
    <xf numFmtId="9" fontId="62" fillId="9" borderId="35" xfId="26" applyFont="1" applyFill="1" applyBorder="1" applyAlignment="1">
      <alignment horizontal="right"/>
    </xf>
    <xf numFmtId="9" fontId="62" fillId="9" borderId="8" xfId="26" applyFont="1" applyFill="1" applyBorder="1" applyAlignment="1">
      <alignment horizontal="right"/>
    </xf>
    <xf numFmtId="9" fontId="63" fillId="10" borderId="36" xfId="26" applyNumberFormat="1" applyFont="1" applyFill="1" applyBorder="1" applyAlignment="1">
      <alignment horizontal="right"/>
    </xf>
    <xf numFmtId="9" fontId="63" fillId="10" borderId="37" xfId="26" applyFont="1" applyFill="1" applyBorder="1" applyAlignment="1">
      <alignment horizontal="right"/>
    </xf>
    <xf numFmtId="9" fontId="63" fillId="10" borderId="7" xfId="26" applyFont="1" applyFill="1" applyBorder="1" applyAlignment="1">
      <alignment horizontal="right"/>
    </xf>
    <xf numFmtId="3" fontId="11" fillId="4" borderId="35" xfId="0" applyNumberFormat="1" applyFont="1" applyFill="1" applyBorder="1" applyAlignment="1">
      <alignment horizontal="right"/>
    </xf>
    <xf numFmtId="3" fontId="11" fillId="4" borderId="8" xfId="0" applyNumberFormat="1" applyFont="1" applyFill="1" applyBorder="1" applyAlignment="1">
      <alignment horizontal="right"/>
    </xf>
    <xf numFmtId="3" fontId="64" fillId="10" borderId="27" xfId="0" applyNumberFormat="1" applyFont="1" applyFill="1" applyBorder="1" applyAlignment="1">
      <alignment horizontal="right"/>
    </xf>
    <xf numFmtId="3" fontId="64" fillId="10" borderId="28" xfId="0" applyNumberFormat="1" applyFont="1" applyFill="1" applyBorder="1" applyAlignment="1">
      <alignment horizontal="right"/>
    </xf>
    <xf numFmtId="3" fontId="64" fillId="10" borderId="3" xfId="0" applyNumberFormat="1" applyFont="1" applyFill="1" applyBorder="1" applyAlignment="1">
      <alignment horizontal="right"/>
    </xf>
    <xf numFmtId="4" fontId="65" fillId="9" borderId="38" xfId="0" applyNumberFormat="1" applyFont="1" applyFill="1" applyBorder="1" applyAlignment="1">
      <alignment horizontal="right"/>
    </xf>
    <xf numFmtId="4" fontId="65" fillId="9" borderId="9" xfId="0" applyNumberFormat="1" applyFont="1" applyFill="1" applyBorder="1" applyAlignment="1">
      <alignment horizontal="right"/>
    </xf>
    <xf numFmtId="4" fontId="63" fillId="10" borderId="39" xfId="0" applyNumberFormat="1" applyFont="1" applyFill="1" applyBorder="1" applyAlignment="1">
      <alignment horizontal="right"/>
    </xf>
    <xf numFmtId="4" fontId="63" fillId="10" borderId="40" xfId="0" applyNumberFormat="1" applyFont="1" applyFill="1" applyBorder="1" applyAlignment="1">
      <alignment horizontal="right"/>
    </xf>
    <xf numFmtId="4" fontId="63" fillId="10" borderId="10" xfId="0" applyNumberFormat="1" applyFont="1" applyFill="1" applyBorder="1" applyAlignment="1">
      <alignment horizontal="right"/>
    </xf>
    <xf numFmtId="166" fontId="62" fillId="9" borderId="29" xfId="26" applyNumberFormat="1" applyFont="1" applyFill="1" applyBorder="1" applyAlignment="1">
      <alignment horizontal="right"/>
    </xf>
    <xf numFmtId="166" fontId="62" fillId="9" borderId="15" xfId="26" applyNumberFormat="1" applyFont="1" applyFill="1" applyBorder="1" applyAlignment="1">
      <alignment horizontal="right"/>
    </xf>
    <xf numFmtId="166" fontId="63" fillId="10" borderId="30" xfId="26" applyNumberFormat="1" applyFont="1" applyFill="1" applyBorder="1" applyAlignment="1">
      <alignment horizontal="right"/>
    </xf>
    <xf numFmtId="166" fontId="63" fillId="10" borderId="31" xfId="26" applyNumberFormat="1" applyFont="1" applyFill="1" applyBorder="1" applyAlignment="1">
      <alignment horizontal="right"/>
    </xf>
    <xf numFmtId="166" fontId="63" fillId="10" borderId="26" xfId="26" applyNumberFormat="1" applyFont="1" applyFill="1" applyBorder="1" applyAlignment="1">
      <alignment horizontal="right"/>
    </xf>
    <xf numFmtId="166" fontId="62" fillId="9" borderId="32" xfId="26" applyNumberFormat="1" applyFont="1" applyFill="1" applyBorder="1" applyAlignment="1">
      <alignment horizontal="right"/>
    </xf>
    <xf numFmtId="166" fontId="62" fillId="9" borderId="0" xfId="26" applyNumberFormat="1" applyFont="1" applyFill="1" applyBorder="1" applyAlignment="1">
      <alignment horizontal="right"/>
    </xf>
    <xf numFmtId="166" fontId="63" fillId="10" borderId="33" xfId="26" applyNumberFormat="1" applyFont="1" applyFill="1" applyBorder="1" applyAlignment="1">
      <alignment horizontal="right"/>
    </xf>
    <xf numFmtId="166" fontId="63" fillId="10" borderId="34" xfId="26" applyNumberFormat="1" applyFont="1" applyFill="1" applyBorder="1" applyAlignment="1">
      <alignment horizontal="right"/>
    </xf>
    <xf numFmtId="166" fontId="63" fillId="10" borderId="5" xfId="26" applyNumberFormat="1" applyFont="1" applyFill="1" applyBorder="1" applyAlignment="1">
      <alignment horizontal="right"/>
    </xf>
    <xf numFmtId="166" fontId="62" fillId="9" borderId="35" xfId="26" applyNumberFormat="1" applyFont="1" applyFill="1" applyBorder="1" applyAlignment="1">
      <alignment horizontal="right"/>
    </xf>
    <xf numFmtId="166" fontId="62" fillId="9" borderId="8" xfId="26" applyNumberFormat="1" applyFont="1" applyFill="1" applyBorder="1" applyAlignment="1">
      <alignment horizontal="right"/>
    </xf>
    <xf numFmtId="166" fontId="63" fillId="10" borderId="36" xfId="26" applyNumberFormat="1" applyFont="1" applyFill="1" applyBorder="1" applyAlignment="1">
      <alignment horizontal="right"/>
    </xf>
    <xf numFmtId="166" fontId="63" fillId="10" borderId="37" xfId="26" applyNumberFormat="1" applyFont="1" applyFill="1" applyBorder="1" applyAlignment="1">
      <alignment horizontal="right"/>
    </xf>
    <xf numFmtId="166" fontId="63" fillId="10" borderId="7" xfId="26" applyNumberFormat="1" applyFont="1" applyFill="1" applyBorder="1" applyAlignment="1">
      <alignment horizontal="right"/>
    </xf>
    <xf numFmtId="3" fontId="11" fillId="4" borderId="38" xfId="0" applyNumberFormat="1" applyFont="1" applyFill="1" applyBorder="1" applyAlignment="1">
      <alignment horizontal="right"/>
    </xf>
    <xf numFmtId="3" fontId="11" fillId="4" borderId="9" xfId="0" applyNumberFormat="1" applyFont="1" applyFill="1" applyBorder="1" applyAlignment="1">
      <alignment horizontal="right"/>
    </xf>
    <xf numFmtId="4" fontId="67" fillId="9" borderId="38" xfId="0" applyNumberFormat="1" applyFont="1" applyFill="1" applyBorder="1" applyAlignment="1">
      <alignment horizontal="right"/>
    </xf>
    <xf numFmtId="4" fontId="67" fillId="9" borderId="9" xfId="0" applyNumberFormat="1" applyFont="1" applyFill="1" applyBorder="1" applyAlignment="1">
      <alignment horizontal="right"/>
    </xf>
    <xf numFmtId="4" fontId="68" fillId="10" borderId="39" xfId="0" applyNumberFormat="1" applyFont="1" applyFill="1" applyBorder="1" applyAlignment="1">
      <alignment horizontal="right"/>
    </xf>
    <xf numFmtId="4" fontId="68" fillId="10" borderId="41" xfId="0" applyNumberFormat="1" applyFont="1" applyFill="1" applyBorder="1" applyAlignment="1">
      <alignment horizontal="right"/>
    </xf>
    <xf numFmtId="4" fontId="68" fillId="10" borderId="14" xfId="0" applyNumberFormat="1" applyFont="1" applyFill="1" applyBorder="1" applyAlignment="1">
      <alignment horizontal="right"/>
    </xf>
    <xf numFmtId="3" fontId="62" fillId="9" borderId="31" xfId="26" applyNumberFormat="1" applyFont="1" applyFill="1" applyBorder="1" applyAlignment="1">
      <alignment horizontal="right"/>
    </xf>
    <xf numFmtId="166" fontId="62" fillId="9" borderId="31" xfId="26" applyNumberFormat="1" applyFont="1" applyFill="1" applyBorder="1" applyAlignment="1">
      <alignment horizontal="right"/>
    </xf>
    <xf numFmtId="166" fontId="0" fillId="3" borderId="0" xfId="0" applyNumberFormat="1" applyFill="1"/>
    <xf numFmtId="3" fontId="62" fillId="9" borderId="29" xfId="0" applyNumberFormat="1" applyFont="1" applyFill="1" applyBorder="1" applyAlignment="1">
      <alignment horizontal="right"/>
    </xf>
    <xf numFmtId="9" fontId="62" fillId="9" borderId="42" xfId="26" applyFont="1" applyFill="1" applyBorder="1"/>
    <xf numFmtId="3" fontId="62" fillId="9" borderId="32" xfId="0" applyNumberFormat="1" applyFont="1" applyFill="1" applyBorder="1" applyAlignment="1">
      <alignment horizontal="right"/>
    </xf>
    <xf numFmtId="9" fontId="62" fillId="9" borderId="43" xfId="26" applyFont="1" applyFill="1" applyBorder="1"/>
    <xf numFmtId="0" fontId="11" fillId="4" borderId="44" xfId="0" applyFont="1" applyFill="1" applyBorder="1"/>
    <xf numFmtId="0" fontId="11" fillId="4" borderId="45" xfId="0" applyFont="1" applyFill="1" applyBorder="1" applyAlignment="1">
      <alignment horizontal="right"/>
    </xf>
    <xf numFmtId="0" fontId="11" fillId="4" borderId="2" xfId="0" applyFont="1" applyFill="1" applyBorder="1" applyAlignment="1">
      <alignment horizontal="right"/>
    </xf>
    <xf numFmtId="0" fontId="13" fillId="9" borderId="24" xfId="0" applyFont="1" applyFill="1" applyBorder="1"/>
    <xf numFmtId="0" fontId="13" fillId="9" borderId="4" xfId="0" applyFont="1" applyFill="1" applyBorder="1"/>
    <xf numFmtId="0" fontId="11" fillId="4" borderId="17" xfId="0" applyFont="1" applyFill="1" applyBorder="1"/>
    <xf numFmtId="0" fontId="0" fillId="9" borderId="17" xfId="0" applyFill="1" applyBorder="1"/>
    <xf numFmtId="0" fontId="11" fillId="4" borderId="46" xfId="0" applyFont="1" applyFill="1" applyBorder="1"/>
    <xf numFmtId="0" fontId="11" fillId="4" borderId="47" xfId="0" applyFont="1" applyFill="1" applyBorder="1" applyAlignment="1">
      <alignment horizontal="right"/>
    </xf>
    <xf numFmtId="166" fontId="11" fillId="4" borderId="13" xfId="0" applyNumberFormat="1" applyFont="1" applyFill="1" applyBorder="1" applyAlignment="1">
      <alignment horizontal="right"/>
    </xf>
    <xf numFmtId="166" fontId="64" fillId="10" borderId="48" xfId="0" applyNumberFormat="1" applyFont="1" applyFill="1" applyBorder="1" applyAlignment="1">
      <alignment horizontal="right"/>
    </xf>
    <xf numFmtId="166" fontId="64" fillId="10" borderId="49" xfId="0" applyNumberFormat="1" applyFont="1" applyFill="1" applyBorder="1" applyAlignment="1">
      <alignment horizontal="right"/>
    </xf>
    <xf numFmtId="166" fontId="64" fillId="10" borderId="50" xfId="0" applyNumberFormat="1" applyFont="1" applyFill="1" applyBorder="1" applyAlignment="1">
      <alignment horizontal="right"/>
    </xf>
    <xf numFmtId="164" fontId="0" fillId="3" borderId="1" xfId="0" applyNumberFormat="1" applyFill="1" applyBorder="1"/>
    <xf numFmtId="164" fontId="0" fillId="3" borderId="2" xfId="0" applyNumberFormat="1" applyFill="1" applyBorder="1"/>
    <xf numFmtId="164" fontId="0" fillId="3" borderId="3" xfId="0" applyNumberFormat="1" applyFill="1" applyBorder="1"/>
    <xf numFmtId="164" fontId="0" fillId="3" borderId="16" xfId="0" applyNumberFormat="1" applyFill="1" applyBorder="1"/>
    <xf numFmtId="164" fontId="0" fillId="3" borderId="11" xfId="0" applyNumberFormat="1" applyFill="1" applyBorder="1"/>
    <xf numFmtId="164" fontId="0" fillId="3" borderId="12" xfId="0" applyNumberFormat="1" applyFill="1" applyBorder="1"/>
    <xf numFmtId="164" fontId="8" fillId="3" borderId="12" xfId="4" applyNumberFormat="1" applyFont="1" applyFill="1" applyBorder="1" applyAlignment="1">
      <alignment horizontal="center"/>
    </xf>
    <xf numFmtId="164" fontId="0" fillId="3" borderId="4" xfId="0" applyNumberFormat="1" applyFill="1" applyBorder="1"/>
    <xf numFmtId="164" fontId="0" fillId="3" borderId="0" xfId="0" applyNumberFormat="1" applyFill="1" applyBorder="1"/>
    <xf numFmtId="164" fontId="0" fillId="3" borderId="5" xfId="0" applyNumberFormat="1" applyFill="1" applyBorder="1"/>
    <xf numFmtId="3" fontId="0" fillId="8" borderId="0" xfId="0" applyNumberFormat="1" applyFill="1"/>
    <xf numFmtId="0" fontId="0" fillId="3" borderId="29" xfId="0" applyFill="1" applyBorder="1"/>
    <xf numFmtId="0" fontId="0" fillId="3" borderId="15" xfId="0" applyFill="1" applyBorder="1"/>
    <xf numFmtId="3" fontId="0" fillId="3" borderId="42" xfId="0" applyNumberFormat="1" applyFill="1" applyBorder="1" applyAlignment="1">
      <alignment horizontal="center"/>
    </xf>
    <xf numFmtId="0" fontId="0" fillId="3" borderId="15" xfId="0" applyFill="1" applyBorder="1" applyAlignment="1">
      <alignment horizontal="center"/>
    </xf>
    <xf numFmtId="0" fontId="0" fillId="3" borderId="42" xfId="0" applyFill="1" applyBorder="1" applyAlignment="1">
      <alignment horizontal="center"/>
    </xf>
    <xf numFmtId="3" fontId="0" fillId="3" borderId="15" xfId="0" applyNumberFormat="1" applyFill="1" applyBorder="1" applyAlignment="1">
      <alignment horizontal="center"/>
    </xf>
    <xf numFmtId="9" fontId="0" fillId="3" borderId="42" xfId="0" applyNumberFormat="1" applyFill="1" applyBorder="1" applyAlignment="1">
      <alignment horizontal="center"/>
    </xf>
    <xf numFmtId="3" fontId="0" fillId="3" borderId="31" xfId="0" applyNumberFormat="1" applyFill="1" applyBorder="1" applyAlignment="1">
      <alignment horizontal="center"/>
    </xf>
    <xf numFmtId="0" fontId="0" fillId="3" borderId="32" xfId="0" applyFill="1" applyBorder="1" applyAlignment="1">
      <alignment horizontal="left"/>
    </xf>
    <xf numFmtId="0" fontId="0" fillId="3" borderId="0" xfId="0" applyFill="1" applyBorder="1" applyAlignment="1">
      <alignment horizontal="left"/>
    </xf>
    <xf numFmtId="3" fontId="0" fillId="3" borderId="43" xfId="0" applyNumberFormat="1" applyFill="1" applyBorder="1" applyAlignment="1">
      <alignment horizontal="center"/>
    </xf>
    <xf numFmtId="0" fontId="0" fillId="3" borderId="0" xfId="0" applyFill="1" applyBorder="1" applyAlignment="1">
      <alignment horizontal="center"/>
    </xf>
    <xf numFmtId="0" fontId="0" fillId="3" borderId="43" xfId="0" applyFill="1" applyBorder="1" applyAlignment="1">
      <alignment horizontal="center"/>
    </xf>
    <xf numFmtId="3" fontId="0" fillId="3" borderId="0" xfId="0" applyNumberFormat="1" applyFill="1" applyBorder="1" applyAlignment="1">
      <alignment horizontal="center"/>
    </xf>
    <xf numFmtId="9" fontId="0" fillId="3" borderId="43" xfId="0" applyNumberFormat="1" applyFill="1" applyBorder="1" applyAlignment="1">
      <alignment horizontal="center"/>
    </xf>
    <xf numFmtId="3" fontId="0" fillId="3" borderId="34" xfId="0" applyNumberFormat="1" applyFill="1" applyBorder="1" applyAlignment="1">
      <alignment horizontal="center"/>
    </xf>
    <xf numFmtId="0" fontId="0" fillId="3" borderId="35" xfId="0" applyFill="1" applyBorder="1"/>
    <xf numFmtId="0" fontId="0" fillId="3" borderId="8" xfId="0" applyFill="1" applyBorder="1"/>
    <xf numFmtId="3" fontId="0" fillId="3" borderId="51" xfId="0" applyNumberFormat="1" applyFill="1" applyBorder="1" applyAlignment="1">
      <alignment horizontal="center"/>
    </xf>
    <xf numFmtId="0" fontId="0" fillId="3" borderId="8" xfId="0" applyFill="1" applyBorder="1" applyAlignment="1">
      <alignment horizontal="center"/>
    </xf>
    <xf numFmtId="0" fontId="0" fillId="3" borderId="51" xfId="0" applyFill="1" applyBorder="1" applyAlignment="1">
      <alignment horizontal="center"/>
    </xf>
    <xf numFmtId="3" fontId="0" fillId="3" borderId="8" xfId="0" applyNumberFormat="1" applyFill="1" applyBorder="1" applyAlignment="1">
      <alignment horizontal="center"/>
    </xf>
    <xf numFmtId="9" fontId="0" fillId="3" borderId="51" xfId="0" applyNumberFormat="1" applyFill="1" applyBorder="1" applyAlignment="1">
      <alignment horizontal="center"/>
    </xf>
    <xf numFmtId="3" fontId="0" fillId="3" borderId="37" xfId="0" applyNumberFormat="1" applyFill="1" applyBorder="1" applyAlignment="1">
      <alignment horizontal="center"/>
    </xf>
    <xf numFmtId="0" fontId="0" fillId="3" borderId="32" xfId="0" applyFill="1" applyBorder="1"/>
    <xf numFmtId="0" fontId="0" fillId="3" borderId="0" xfId="0" quotePrefix="1" applyFill="1" applyBorder="1"/>
    <xf numFmtId="166" fontId="0" fillId="3" borderId="43" xfId="0" applyNumberFormat="1" applyFill="1" applyBorder="1" applyAlignment="1">
      <alignment horizontal="center"/>
    </xf>
    <xf numFmtId="0" fontId="0" fillId="3" borderId="38" xfId="0" applyFill="1" applyBorder="1"/>
    <xf numFmtId="0" fontId="0" fillId="3" borderId="9" xfId="0" applyFill="1" applyBorder="1"/>
    <xf numFmtId="3" fontId="0" fillId="3" borderId="52" xfId="0" applyNumberFormat="1" applyFill="1" applyBorder="1" applyAlignment="1">
      <alignment horizontal="center"/>
    </xf>
    <xf numFmtId="3" fontId="0" fillId="3" borderId="9" xfId="0" applyNumberFormat="1" applyFill="1" applyBorder="1" applyAlignment="1">
      <alignment horizontal="center"/>
    </xf>
    <xf numFmtId="166" fontId="0" fillId="3" borderId="52" xfId="0" applyNumberFormat="1" applyFill="1" applyBorder="1" applyAlignment="1">
      <alignment horizontal="center"/>
    </xf>
    <xf numFmtId="3" fontId="0" fillId="3" borderId="40" xfId="0" applyNumberFormat="1" applyFill="1" applyBorder="1" applyAlignment="1">
      <alignment horizontal="center"/>
    </xf>
    <xf numFmtId="3" fontId="0" fillId="3" borderId="0" xfId="0" applyNumberFormat="1" applyFill="1" applyAlignment="1">
      <alignment horizontal="center"/>
    </xf>
    <xf numFmtId="0" fontId="11" fillId="4" borderId="53" xfId="0" applyFont="1" applyFill="1" applyBorder="1" applyAlignment="1">
      <alignment horizontal="right"/>
    </xf>
    <xf numFmtId="0" fontId="11" fillId="4" borderId="54" xfId="0" applyFont="1" applyFill="1" applyBorder="1"/>
    <xf numFmtId="3" fontId="13" fillId="9" borderId="29" xfId="0" applyNumberFormat="1" applyFont="1" applyFill="1" applyBorder="1" applyAlignment="1">
      <alignment horizontal="right"/>
    </xf>
    <xf numFmtId="166" fontId="13" fillId="9" borderId="42" xfId="26" applyNumberFormat="1" applyFont="1" applyFill="1" applyBorder="1"/>
    <xf numFmtId="3" fontId="13" fillId="9" borderId="32" xfId="0" applyNumberFormat="1" applyFont="1" applyFill="1" applyBorder="1" applyAlignment="1">
      <alignment horizontal="right"/>
    </xf>
    <xf numFmtId="166" fontId="13" fillId="9" borderId="43" xfId="26" applyNumberFormat="1" applyFont="1" applyFill="1" applyBorder="1"/>
    <xf numFmtId="170" fontId="0" fillId="6" borderId="1" xfId="0" applyNumberFormat="1" applyFill="1" applyBorder="1" applyAlignment="1"/>
    <xf numFmtId="1" fontId="3" fillId="6" borderId="2" xfId="0" applyNumberFormat="1" applyFont="1" applyFill="1" applyBorder="1"/>
    <xf numFmtId="1" fontId="0" fillId="6" borderId="2" xfId="0" applyNumberFormat="1" applyFill="1" applyBorder="1"/>
    <xf numFmtId="170" fontId="0" fillId="6" borderId="55" xfId="0" applyNumberFormat="1" applyFill="1" applyBorder="1" applyAlignment="1"/>
    <xf numFmtId="1" fontId="3" fillId="6" borderId="3" xfId="0" applyNumberFormat="1" applyFont="1" applyFill="1" applyBorder="1"/>
    <xf numFmtId="0" fontId="11" fillId="4" borderId="30"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56" xfId="0" applyFont="1" applyFill="1" applyBorder="1" applyAlignment="1">
      <alignment horizontal="center" vertical="center" wrapText="1"/>
    </xf>
    <xf numFmtId="0" fontId="11" fillId="4" borderId="57"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1" fillId="4" borderId="3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58" xfId="0" applyFont="1" applyFill="1" applyBorder="1" applyAlignment="1">
      <alignment horizontal="center" vertical="center" wrapText="1"/>
    </xf>
    <xf numFmtId="0" fontId="11" fillId="4" borderId="59" xfId="0" applyFont="1" applyFill="1" applyBorder="1" applyAlignment="1">
      <alignment horizontal="center" vertical="center" wrapText="1"/>
    </xf>
    <xf numFmtId="0" fontId="73" fillId="7" borderId="33" xfId="0" applyFont="1" applyFill="1" applyBorder="1" applyAlignment="1">
      <alignment horizontal="left" wrapText="1"/>
    </xf>
    <xf numFmtId="3" fontId="73" fillId="7" borderId="34" xfId="0" applyNumberFormat="1" applyFont="1" applyFill="1" applyBorder="1" applyAlignment="1">
      <alignment horizontal="center" wrapText="1"/>
    </xf>
    <xf numFmtId="166" fontId="73" fillId="7" borderId="0" xfId="0" applyNumberFormat="1" applyFont="1" applyFill="1" applyBorder="1" applyAlignment="1">
      <alignment horizontal="center" wrapText="1"/>
    </xf>
    <xf numFmtId="3" fontId="73" fillId="7" borderId="60" xfId="0" applyNumberFormat="1" applyFont="1" applyFill="1" applyBorder="1" applyAlignment="1">
      <alignment horizontal="center" wrapText="1"/>
    </xf>
    <xf numFmtId="166" fontId="73" fillId="7" borderId="5" xfId="0" applyNumberFormat="1" applyFont="1" applyFill="1" applyBorder="1" applyAlignment="1">
      <alignment horizontal="center" wrapText="1"/>
    </xf>
    <xf numFmtId="164" fontId="73" fillId="7" borderId="60" xfId="0" applyNumberFormat="1" applyFont="1" applyFill="1" applyBorder="1" applyAlignment="1">
      <alignment horizontal="center" wrapText="1"/>
    </xf>
    <xf numFmtId="0" fontId="73" fillId="7" borderId="36" xfId="0" applyFont="1" applyFill="1" applyBorder="1" applyAlignment="1">
      <alignment horizontal="left" wrapText="1"/>
    </xf>
    <xf numFmtId="3" fontId="73" fillId="7" borderId="37" xfId="0" applyNumberFormat="1" applyFont="1" applyFill="1" applyBorder="1" applyAlignment="1">
      <alignment horizontal="center" wrapText="1"/>
    </xf>
    <xf numFmtId="164" fontId="73" fillId="7" borderId="61" xfId="0" applyNumberFormat="1" applyFont="1" applyFill="1" applyBorder="1" applyAlignment="1">
      <alignment horizontal="center" wrapText="1"/>
    </xf>
    <xf numFmtId="0" fontId="73" fillId="7" borderId="62" xfId="0" applyFont="1" applyFill="1" applyBorder="1" applyAlignment="1">
      <alignment horizontal="left" wrapText="1"/>
    </xf>
    <xf numFmtId="3" fontId="73" fillId="7" borderId="63" xfId="0" applyNumberFormat="1" applyFont="1" applyFill="1" applyBorder="1" applyAlignment="1">
      <alignment horizontal="center" wrapText="1"/>
    </xf>
    <xf numFmtId="166" fontId="73" fillId="7" borderId="64" xfId="0" applyNumberFormat="1" applyFont="1" applyFill="1" applyBorder="1" applyAlignment="1">
      <alignment horizontal="center" wrapText="1"/>
    </xf>
    <xf numFmtId="166" fontId="73" fillId="7" borderId="65" xfId="0" applyNumberFormat="1" applyFont="1" applyFill="1" applyBorder="1" applyAlignment="1">
      <alignment horizontal="center" wrapText="1"/>
    </xf>
    <xf numFmtId="0" fontId="13" fillId="3" borderId="0" xfId="0" applyFont="1" applyFill="1"/>
    <xf numFmtId="4" fontId="63" fillId="3" borderId="0" xfId="0" applyNumberFormat="1" applyFont="1" applyFill="1" applyBorder="1" applyAlignment="1">
      <alignment horizontal="right"/>
    </xf>
    <xf numFmtId="169" fontId="64" fillId="3" borderId="0" xfId="0" applyNumberFormat="1" applyFont="1" applyFill="1" applyBorder="1" applyAlignment="1">
      <alignment horizontal="right"/>
    </xf>
    <xf numFmtId="9" fontId="0" fillId="3" borderId="0" xfId="0" applyNumberFormat="1" applyFill="1"/>
    <xf numFmtId="3" fontId="64" fillId="3" borderId="0" xfId="0" applyNumberFormat="1" applyFont="1" applyFill="1" applyBorder="1" applyAlignment="1">
      <alignment horizontal="right"/>
    </xf>
    <xf numFmtId="2" fontId="0" fillId="3" borderId="0" xfId="0" applyNumberFormat="1" applyFill="1"/>
    <xf numFmtId="0" fontId="11" fillId="3" borderId="0" xfId="0" applyFont="1" applyFill="1" applyBorder="1" applyAlignment="1">
      <alignment horizontal="right"/>
    </xf>
    <xf numFmtId="0" fontId="11" fillId="3" borderId="0" xfId="0" applyFont="1" applyFill="1" applyBorder="1" applyAlignment="1">
      <alignment horizontal="center"/>
    </xf>
    <xf numFmtId="0" fontId="55" fillId="3" borderId="0" xfId="0" applyFont="1" applyFill="1" applyBorder="1" applyAlignment="1">
      <alignment horizontal="left" wrapText="1"/>
    </xf>
    <xf numFmtId="0" fontId="73" fillId="3" borderId="0" xfId="0" applyFont="1" applyFill="1" applyBorder="1" applyAlignment="1">
      <alignment horizontal="left" vertical="center" wrapText="1"/>
    </xf>
    <xf numFmtId="164" fontId="73" fillId="3" borderId="0" xfId="0" applyNumberFormat="1" applyFont="1" applyFill="1" applyBorder="1" applyAlignment="1">
      <alignment horizontal="center" wrapText="1"/>
    </xf>
    <xf numFmtId="0" fontId="73" fillId="3" borderId="0" xfId="0" applyFont="1" applyFill="1" applyBorder="1" applyAlignment="1">
      <alignment horizontal="left" wrapText="1"/>
    </xf>
    <xf numFmtId="0" fontId="13" fillId="3" borderId="0" xfId="0" applyFont="1" applyFill="1" applyBorder="1"/>
    <xf numFmtId="0" fontId="71" fillId="3" borderId="0" xfId="0" applyFont="1" applyFill="1"/>
    <xf numFmtId="0" fontId="72" fillId="3" borderId="0" xfId="0" applyFont="1" applyFill="1"/>
    <xf numFmtId="0" fontId="0" fillId="6" borderId="1" xfId="0" applyFill="1" applyBorder="1"/>
    <xf numFmtId="0" fontId="0" fillId="6" borderId="2" xfId="0" applyFill="1" applyBorder="1"/>
    <xf numFmtId="0" fontId="0" fillId="6" borderId="3" xfId="0" applyFill="1" applyBorder="1"/>
    <xf numFmtId="0" fontId="11" fillId="4" borderId="66" xfId="0" applyFont="1" applyFill="1" applyBorder="1"/>
    <xf numFmtId="0" fontId="11" fillId="4" borderId="67" xfId="0" applyFont="1" applyFill="1" applyBorder="1"/>
    <xf numFmtId="166" fontId="13" fillId="9" borderId="57" xfId="26" applyNumberFormat="1" applyFont="1" applyFill="1" applyBorder="1"/>
    <xf numFmtId="166" fontId="13" fillId="9" borderId="68" xfId="26" applyNumberFormat="1" applyFont="1" applyFill="1" applyBorder="1"/>
    <xf numFmtId="0" fontId="13" fillId="9" borderId="46" xfId="0" applyFont="1" applyFill="1" applyBorder="1"/>
    <xf numFmtId="3" fontId="13" fillId="9" borderId="69" xfId="0" applyNumberFormat="1" applyFont="1" applyFill="1" applyBorder="1" applyAlignment="1">
      <alignment horizontal="right"/>
    </xf>
    <xf numFmtId="0" fontId="13" fillId="9" borderId="70" xfId="0" applyFont="1" applyFill="1" applyBorder="1"/>
    <xf numFmtId="0" fontId="13" fillId="9" borderId="65" xfId="0" applyFont="1" applyFill="1" applyBorder="1"/>
    <xf numFmtId="0" fontId="0" fillId="7" borderId="62" xfId="0" applyFill="1" applyBorder="1" applyAlignment="1">
      <alignment horizontal="center" wrapText="1"/>
    </xf>
    <xf numFmtId="0" fontId="0" fillId="7" borderId="63" xfId="0" applyFill="1" applyBorder="1" applyAlignment="1">
      <alignment horizontal="center" wrapText="1"/>
    </xf>
    <xf numFmtId="166" fontId="0" fillId="7" borderId="11" xfId="0" applyNumberFormat="1" applyFill="1" applyBorder="1" applyAlignment="1">
      <alignment horizontal="center" wrapText="1"/>
    </xf>
    <xf numFmtId="3" fontId="0" fillId="7" borderId="71" xfId="0" applyNumberFormat="1" applyFill="1" applyBorder="1" applyAlignment="1">
      <alignment horizontal="center" wrapText="1"/>
    </xf>
    <xf numFmtId="0" fontId="0" fillId="7" borderId="12" xfId="0" applyFill="1" applyBorder="1" applyAlignment="1">
      <alignment horizontal="center" wrapText="1"/>
    </xf>
    <xf numFmtId="166" fontId="13" fillId="9" borderId="70" xfId="0" applyNumberFormat="1" applyFont="1" applyFill="1" applyBorder="1"/>
    <xf numFmtId="166" fontId="13" fillId="9" borderId="65" xfId="0" applyNumberFormat="1" applyFont="1" applyFill="1" applyBorder="1"/>
    <xf numFmtId="3" fontId="62" fillId="9" borderId="30" xfId="26" applyNumberFormat="1" applyFont="1" applyFill="1" applyBorder="1" applyAlignment="1">
      <alignment horizontal="left"/>
    </xf>
    <xf numFmtId="166" fontId="62" fillId="9" borderId="26" xfId="26" applyNumberFormat="1" applyFont="1" applyFill="1" applyBorder="1" applyAlignment="1">
      <alignment horizontal="right"/>
    </xf>
    <xf numFmtId="3" fontId="11" fillId="4" borderId="47" xfId="0" applyNumberFormat="1" applyFont="1" applyFill="1" applyBorder="1" applyAlignment="1">
      <alignment horizontal="right"/>
    </xf>
    <xf numFmtId="3" fontId="11" fillId="4" borderId="13" xfId="0" applyNumberFormat="1" applyFont="1" applyFill="1" applyBorder="1" applyAlignment="1">
      <alignment horizontal="right"/>
    </xf>
    <xf numFmtId="3" fontId="11" fillId="4" borderId="41" xfId="0" applyNumberFormat="1" applyFont="1" applyFill="1" applyBorder="1" applyAlignment="1">
      <alignment horizontal="right"/>
    </xf>
    <xf numFmtId="3" fontId="11" fillId="4" borderId="14" xfId="0" applyNumberFormat="1" applyFont="1" applyFill="1" applyBorder="1" applyAlignment="1">
      <alignment horizontal="right"/>
    </xf>
    <xf numFmtId="9" fontId="62" fillId="9" borderId="57" xfId="26" applyFont="1" applyFill="1" applyBorder="1"/>
    <xf numFmtId="9" fontId="62" fillId="9" borderId="68" xfId="26" applyFont="1" applyFill="1" applyBorder="1"/>
    <xf numFmtId="3" fontId="62" fillId="9" borderId="69" xfId="0" applyNumberFormat="1" applyFont="1" applyFill="1" applyBorder="1" applyAlignment="1">
      <alignment horizontal="right"/>
    </xf>
    <xf numFmtId="0" fontId="62" fillId="9" borderId="70" xfId="0" applyFont="1" applyFill="1" applyBorder="1"/>
    <xf numFmtId="0" fontId="62" fillId="9" borderId="65" xfId="0" applyFont="1" applyFill="1" applyBorder="1"/>
    <xf numFmtId="0" fontId="54" fillId="3" borderId="29" xfId="0" applyFont="1" applyFill="1" applyBorder="1"/>
    <xf numFmtId="0" fontId="54" fillId="3" borderId="29" xfId="0" applyFont="1" applyFill="1" applyBorder="1" applyAlignment="1">
      <alignment horizontal="center"/>
    </xf>
    <xf numFmtId="0" fontId="54" fillId="3" borderId="42" xfId="0" applyFont="1" applyFill="1" applyBorder="1" applyAlignment="1">
      <alignment horizontal="center"/>
    </xf>
    <xf numFmtId="0" fontId="54" fillId="3" borderId="15" xfId="0" applyFont="1" applyFill="1" applyBorder="1" applyAlignment="1">
      <alignment horizontal="center"/>
    </xf>
    <xf numFmtId="0" fontId="54" fillId="3" borderId="35" xfId="0" applyFont="1" applyFill="1" applyBorder="1"/>
    <xf numFmtId="0" fontId="54" fillId="3" borderId="35" xfId="0" applyFont="1" applyFill="1" applyBorder="1" applyAlignment="1">
      <alignment horizontal="center"/>
    </xf>
    <xf numFmtId="0" fontId="54" fillId="3" borderId="51" xfId="0" applyFont="1" applyFill="1" applyBorder="1" applyAlignment="1">
      <alignment horizontal="center"/>
    </xf>
    <xf numFmtId="0" fontId="54" fillId="3" borderId="8" xfId="0" applyFont="1" applyFill="1" applyBorder="1" applyAlignment="1">
      <alignment horizontal="center"/>
    </xf>
    <xf numFmtId="0" fontId="54" fillId="3" borderId="32" xfId="0" applyFont="1" applyFill="1" applyBorder="1"/>
    <xf numFmtId="3" fontId="54" fillId="3" borderId="32" xfId="0" applyNumberFormat="1" applyFont="1" applyFill="1" applyBorder="1" applyAlignment="1">
      <alignment horizontal="center"/>
    </xf>
    <xf numFmtId="3" fontId="54" fillId="3" borderId="43" xfId="0" applyNumberFormat="1" applyFont="1" applyFill="1" applyBorder="1" applyAlignment="1">
      <alignment horizontal="center"/>
    </xf>
    <xf numFmtId="3" fontId="54" fillId="3" borderId="0" xfId="0" applyNumberFormat="1" applyFont="1" applyFill="1" applyBorder="1" applyAlignment="1">
      <alignment horizontal="center"/>
    </xf>
    <xf numFmtId="0" fontId="54" fillId="3" borderId="43" xfId="0" applyFont="1" applyFill="1" applyBorder="1" applyAlignment="1">
      <alignment horizontal="center"/>
    </xf>
    <xf numFmtId="0" fontId="54" fillId="3" borderId="0" xfId="0" applyFont="1" applyFill="1" applyBorder="1" applyAlignment="1">
      <alignment horizontal="center"/>
    </xf>
    <xf numFmtId="0" fontId="54" fillId="3" borderId="32" xfId="0" applyFont="1" applyFill="1" applyBorder="1" applyAlignment="1">
      <alignment horizontal="center"/>
    </xf>
    <xf numFmtId="0" fontId="54" fillId="3" borderId="38" xfId="0" applyFont="1" applyFill="1" applyBorder="1"/>
    <xf numFmtId="3" fontId="54" fillId="3" borderId="38" xfId="0" applyNumberFormat="1" applyFont="1" applyFill="1" applyBorder="1" applyAlignment="1">
      <alignment horizontal="center"/>
    </xf>
    <xf numFmtId="3" fontId="54" fillId="3" borderId="52" xfId="0" applyNumberFormat="1" applyFont="1" applyFill="1" applyBorder="1" applyAlignment="1">
      <alignment horizontal="center"/>
    </xf>
    <xf numFmtId="3" fontId="54" fillId="3" borderId="9" xfId="0" applyNumberFormat="1" applyFont="1" applyFill="1" applyBorder="1" applyAlignment="1">
      <alignment horizontal="center"/>
    </xf>
    <xf numFmtId="0" fontId="53" fillId="3" borderId="32" xfId="0" applyFont="1" applyFill="1" applyBorder="1"/>
    <xf numFmtId="3" fontId="54" fillId="3" borderId="35" xfId="0" applyNumberFormat="1" applyFont="1" applyFill="1" applyBorder="1" applyAlignment="1">
      <alignment horizontal="center"/>
    </xf>
    <xf numFmtId="3" fontId="54" fillId="3" borderId="51" xfId="0" applyNumberFormat="1" applyFont="1" applyFill="1" applyBorder="1" applyAlignment="1">
      <alignment horizontal="center"/>
    </xf>
    <xf numFmtId="3" fontId="54" fillId="3" borderId="8" xfId="0" applyNumberFormat="1" applyFont="1" applyFill="1" applyBorder="1" applyAlignment="1">
      <alignment horizontal="center"/>
    </xf>
    <xf numFmtId="0" fontId="54" fillId="3" borderId="0" xfId="0" applyFont="1" applyFill="1" applyBorder="1"/>
    <xf numFmtId="3" fontId="54" fillId="3" borderId="0" xfId="0" applyNumberFormat="1" applyFont="1" applyFill="1" applyBorder="1"/>
    <xf numFmtId="0" fontId="58" fillId="3" borderId="0" xfId="0" applyFont="1" applyFill="1" applyBorder="1"/>
    <xf numFmtId="0" fontId="0" fillId="3" borderId="0" xfId="0" applyNumberFormat="1" applyFill="1"/>
    <xf numFmtId="167" fontId="0" fillId="3" borderId="0" xfId="0" applyNumberFormat="1" applyFill="1"/>
    <xf numFmtId="0" fontId="0" fillId="3" borderId="0" xfId="0" applyNumberFormat="1" applyFill="1" applyAlignment="1">
      <alignment horizontal="center"/>
    </xf>
    <xf numFmtId="0" fontId="31" fillId="9" borderId="20" xfId="0" applyNumberFormat="1" applyFont="1" applyFill="1" applyBorder="1"/>
    <xf numFmtId="0" fontId="31" fillId="9" borderId="22" xfId="0" applyNumberFormat="1" applyFont="1" applyFill="1" applyBorder="1"/>
    <xf numFmtId="0" fontId="31" fillId="9" borderId="21" xfId="0" applyNumberFormat="1" applyFont="1" applyFill="1" applyBorder="1"/>
    <xf numFmtId="0" fontId="0" fillId="3" borderId="1" xfId="0" applyNumberFormat="1" applyFill="1" applyBorder="1"/>
    <xf numFmtId="0" fontId="0" fillId="3" borderId="4" xfId="0" applyNumberFormat="1" applyFill="1" applyBorder="1"/>
    <xf numFmtId="0" fontId="0" fillId="9" borderId="72" xfId="0" applyNumberFormat="1" applyFill="1" applyBorder="1"/>
    <xf numFmtId="0" fontId="13" fillId="3" borderId="20" xfId="0" applyNumberFormat="1" applyFont="1" applyFill="1" applyBorder="1"/>
    <xf numFmtId="0" fontId="13" fillId="3" borderId="22" xfId="0" applyNumberFormat="1" applyFont="1" applyFill="1" applyBorder="1"/>
    <xf numFmtId="0" fontId="0" fillId="3" borderId="22" xfId="0" applyNumberFormat="1" applyFill="1" applyBorder="1"/>
    <xf numFmtId="3" fontId="0" fillId="3" borderId="11" xfId="0" applyNumberFormat="1" applyFill="1" applyBorder="1" applyAlignment="1">
      <alignment horizontal="center"/>
    </xf>
    <xf numFmtId="3" fontId="0" fillId="3" borderId="2" xfId="0" applyNumberFormat="1" applyFill="1" applyBorder="1" applyAlignment="1">
      <alignment horizontal="center"/>
    </xf>
    <xf numFmtId="3" fontId="0" fillId="3" borderId="1" xfId="0" applyNumberFormat="1" applyFill="1" applyBorder="1" applyAlignment="1">
      <alignment horizontal="center"/>
    </xf>
    <xf numFmtId="3" fontId="0" fillId="3" borderId="4" xfId="0" applyNumberFormat="1" applyFill="1" applyBorder="1" applyAlignment="1">
      <alignment horizontal="center"/>
    </xf>
    <xf numFmtId="0" fontId="31" fillId="9" borderId="3" xfId="0" applyNumberFormat="1" applyFont="1" applyFill="1" applyBorder="1" applyAlignment="1">
      <alignment horizontal="center"/>
    </xf>
    <xf numFmtId="3" fontId="0" fillId="9" borderId="11" xfId="0" applyNumberFormat="1" applyFill="1" applyBorder="1" applyAlignment="1">
      <alignment horizontal="center"/>
    </xf>
    <xf numFmtId="0" fontId="0" fillId="9" borderId="16" xfId="0" applyNumberFormat="1" applyFill="1" applyBorder="1"/>
    <xf numFmtId="3" fontId="0" fillId="9" borderId="1" xfId="0" applyNumberFormat="1" applyFill="1" applyBorder="1" applyAlignment="1">
      <alignment horizontal="center"/>
    </xf>
    <xf numFmtId="3" fontId="0" fillId="9" borderId="4" xfId="0" applyNumberFormat="1" applyFill="1" applyBorder="1" applyAlignment="1">
      <alignment horizontal="center"/>
    </xf>
    <xf numFmtId="3" fontId="0" fillId="9" borderId="16" xfId="0" applyNumberFormat="1" applyFill="1" applyBorder="1" applyAlignment="1">
      <alignment horizontal="center"/>
    </xf>
    <xf numFmtId="0" fontId="13" fillId="3" borderId="0" xfId="0" applyNumberFormat="1" applyFont="1" applyFill="1" applyAlignment="1">
      <alignment horizontal="center"/>
    </xf>
    <xf numFmtId="17" fontId="0" fillId="3" borderId="0" xfId="0" applyNumberFormat="1" applyFill="1" applyAlignment="1">
      <alignment horizontal="center"/>
    </xf>
    <xf numFmtId="0" fontId="31" fillId="9" borderId="5" xfId="0" applyNumberFormat="1" applyFont="1" applyFill="1" applyBorder="1" applyAlignment="1">
      <alignment horizontal="center"/>
    </xf>
    <xf numFmtId="3" fontId="0" fillId="9" borderId="5" xfId="0" applyNumberFormat="1" applyFill="1" applyBorder="1" applyAlignment="1">
      <alignment horizontal="center"/>
    </xf>
    <xf numFmtId="3" fontId="0" fillId="3" borderId="70" xfId="0" applyNumberFormat="1" applyFill="1" applyBorder="1" applyAlignment="1">
      <alignment horizontal="center"/>
    </xf>
    <xf numFmtId="3" fontId="0" fillId="9" borderId="12" xfId="0" applyNumberFormat="1" applyFill="1" applyBorder="1" applyAlignment="1">
      <alignment horizontal="center"/>
    </xf>
    <xf numFmtId="3" fontId="0" fillId="9" borderId="70" xfId="0" applyNumberFormat="1" applyFill="1" applyBorder="1" applyAlignment="1">
      <alignment horizontal="center"/>
    </xf>
    <xf numFmtId="3" fontId="0" fillId="3" borderId="73" xfId="0" applyNumberFormat="1" applyFill="1" applyBorder="1" applyAlignment="1">
      <alignment horizontal="center"/>
    </xf>
    <xf numFmtId="3" fontId="0" fillId="9" borderId="3" xfId="0" applyNumberFormat="1" applyFill="1" applyBorder="1" applyAlignment="1">
      <alignment horizontal="center"/>
    </xf>
    <xf numFmtId="3" fontId="0" fillId="9" borderId="73" xfId="0" applyNumberFormat="1" applyFill="1" applyBorder="1" applyAlignment="1">
      <alignment horizontal="center"/>
    </xf>
    <xf numFmtId="3" fontId="0" fillId="9" borderId="2" xfId="0" applyNumberFormat="1" applyFill="1" applyBorder="1" applyAlignment="1">
      <alignment horizontal="center"/>
    </xf>
    <xf numFmtId="3" fontId="0" fillId="9" borderId="43" xfId="0" applyNumberFormat="1" applyFill="1" applyBorder="1" applyAlignment="1">
      <alignment horizontal="center"/>
    </xf>
    <xf numFmtId="3" fontId="0" fillId="9" borderId="0" xfId="0" applyNumberFormat="1" applyFill="1" applyBorder="1" applyAlignment="1">
      <alignment horizontal="center"/>
    </xf>
    <xf numFmtId="3" fontId="0" fillId="9" borderId="74" xfId="0" applyNumberFormat="1" applyFill="1" applyBorder="1" applyAlignment="1">
      <alignment horizontal="center"/>
    </xf>
    <xf numFmtId="3" fontId="0" fillId="9" borderId="75" xfId="0" applyNumberFormat="1" applyFill="1" applyBorder="1" applyAlignment="1">
      <alignment horizontal="center"/>
    </xf>
    <xf numFmtId="3" fontId="0" fillId="9" borderId="50" xfId="0" applyNumberFormat="1" applyFill="1" applyBorder="1" applyAlignment="1">
      <alignment horizontal="center"/>
    </xf>
    <xf numFmtId="0" fontId="31" fillId="9" borderId="2" xfId="0" applyNumberFormat="1" applyFont="1" applyFill="1" applyBorder="1" applyAlignment="1">
      <alignment horizontal="center"/>
    </xf>
    <xf numFmtId="0" fontId="31" fillId="9" borderId="73" xfId="0" applyNumberFormat="1" applyFont="1" applyFill="1" applyBorder="1" applyAlignment="1">
      <alignment horizontal="center"/>
    </xf>
    <xf numFmtId="0" fontId="48" fillId="9" borderId="73" xfId="0" applyNumberFormat="1" applyFont="1" applyFill="1" applyBorder="1" applyAlignment="1">
      <alignment horizontal="center"/>
    </xf>
    <xf numFmtId="0" fontId="31" fillId="9" borderId="43" xfId="0" applyNumberFormat="1" applyFont="1" applyFill="1" applyBorder="1" applyAlignment="1">
      <alignment horizontal="center"/>
    </xf>
    <xf numFmtId="0" fontId="31" fillId="9" borderId="0" xfId="0" applyNumberFormat="1" applyFont="1" applyFill="1" applyBorder="1" applyAlignment="1">
      <alignment horizontal="center"/>
    </xf>
    <xf numFmtId="0" fontId="48" fillId="9" borderId="0" xfId="0" applyNumberFormat="1" applyFont="1" applyFill="1" applyBorder="1" applyAlignment="1">
      <alignment horizontal="center"/>
    </xf>
    <xf numFmtId="0" fontId="0" fillId="9" borderId="43" xfId="0" applyFill="1" applyBorder="1" applyAlignment="1">
      <alignment horizontal="center"/>
    </xf>
    <xf numFmtId="3" fontId="0" fillId="9" borderId="49" xfId="0" applyNumberFormat="1" applyFill="1" applyBorder="1" applyAlignment="1">
      <alignment horizontal="center"/>
    </xf>
    <xf numFmtId="0" fontId="0" fillId="9" borderId="4" xfId="0" applyNumberFormat="1" applyFill="1" applyBorder="1"/>
    <xf numFmtId="0" fontId="0" fillId="3" borderId="0" xfId="0" applyFill="1" applyAlignment="1">
      <alignment horizontal="left"/>
    </xf>
    <xf numFmtId="0" fontId="0" fillId="3" borderId="76" xfId="0" applyFill="1" applyBorder="1"/>
    <xf numFmtId="0" fontId="31" fillId="9" borderId="72" xfId="0" applyNumberFormat="1" applyFont="1" applyFill="1" applyBorder="1"/>
    <xf numFmtId="0" fontId="13" fillId="9" borderId="72" xfId="0" applyFont="1" applyFill="1" applyBorder="1"/>
    <xf numFmtId="0" fontId="48" fillId="9" borderId="22" xfId="0" applyNumberFormat="1" applyFont="1" applyFill="1" applyBorder="1"/>
    <xf numFmtId="3" fontId="51" fillId="3" borderId="0" xfId="0" applyNumberFormat="1" applyFont="1" applyFill="1" applyBorder="1" applyAlignment="1">
      <alignment horizontal="center"/>
    </xf>
    <xf numFmtId="3" fontId="51" fillId="3" borderId="43" xfId="0" applyNumberFormat="1" applyFont="1" applyFill="1" applyBorder="1" applyAlignment="1">
      <alignment horizontal="center"/>
    </xf>
    <xf numFmtId="3" fontId="51" fillId="9" borderId="43" xfId="0" applyNumberFormat="1" applyFont="1" applyFill="1" applyBorder="1" applyAlignment="1">
      <alignment horizontal="center"/>
    </xf>
    <xf numFmtId="3" fontId="51" fillId="3" borderId="0" xfId="0" applyNumberFormat="1" applyFont="1" applyFill="1"/>
    <xf numFmtId="164" fontId="51" fillId="3" borderId="43" xfId="0" applyNumberFormat="1" applyFont="1" applyFill="1" applyBorder="1" applyAlignment="1">
      <alignment horizontal="center"/>
    </xf>
    <xf numFmtId="3" fontId="51" fillId="9" borderId="5" xfId="0" applyNumberFormat="1" applyFont="1" applyFill="1" applyBorder="1" applyAlignment="1">
      <alignment horizontal="center"/>
    </xf>
    <xf numFmtId="0" fontId="74" fillId="3" borderId="0" xfId="0" applyFont="1" applyFill="1" applyBorder="1" applyAlignment="1">
      <alignment horizontal="center"/>
    </xf>
    <xf numFmtId="0" fontId="58" fillId="3" borderId="0" xfId="0" applyFont="1" applyFill="1" applyAlignment="1">
      <alignment horizontal="center"/>
    </xf>
    <xf numFmtId="0" fontId="75" fillId="3" borderId="77" xfId="0" applyFont="1" applyFill="1" applyBorder="1"/>
    <xf numFmtId="0" fontId="75" fillId="3" borderId="78" xfId="0" applyFont="1" applyFill="1" applyBorder="1"/>
    <xf numFmtId="0" fontId="75" fillId="3" borderId="79" xfId="0" applyFont="1" applyFill="1" applyBorder="1"/>
    <xf numFmtId="0" fontId="75" fillId="3" borderId="80" xfId="0" applyFont="1" applyFill="1" applyBorder="1"/>
    <xf numFmtId="0" fontId="76" fillId="3" borderId="79" xfId="0" applyFont="1" applyFill="1" applyBorder="1"/>
    <xf numFmtId="0" fontId="77" fillId="3" borderId="80" xfId="0" applyFont="1" applyFill="1" applyBorder="1" applyAlignment="1">
      <alignment horizontal="center"/>
    </xf>
    <xf numFmtId="17" fontId="77" fillId="3" borderId="80" xfId="0" applyNumberFormat="1" applyFont="1" applyFill="1" applyBorder="1" applyAlignment="1">
      <alignment horizontal="center"/>
    </xf>
    <xf numFmtId="0" fontId="76" fillId="3" borderId="80" xfId="0" applyFont="1" applyFill="1" applyBorder="1"/>
    <xf numFmtId="0" fontId="78" fillId="3" borderId="80" xfId="0" applyFont="1" applyFill="1" applyBorder="1" applyAlignment="1">
      <alignment horizontal="center"/>
    </xf>
    <xf numFmtId="0" fontId="74" fillId="3" borderId="79" xfId="0" applyFont="1" applyFill="1" applyBorder="1"/>
    <xf numFmtId="0" fontId="74" fillId="3" borderId="80" xfId="0" applyFont="1" applyFill="1" applyBorder="1" applyAlignment="1">
      <alignment horizontal="center"/>
    </xf>
    <xf numFmtId="0" fontId="76" fillId="3" borderId="81" xfId="0" applyFont="1" applyFill="1" applyBorder="1" applyAlignment="1">
      <alignment horizontal="left"/>
    </xf>
    <xf numFmtId="0" fontId="76" fillId="3" borderId="82" xfId="0" applyFont="1" applyFill="1" applyBorder="1" applyAlignment="1">
      <alignment horizontal="left"/>
    </xf>
    <xf numFmtId="0" fontId="79" fillId="3" borderId="80" xfId="0" applyFont="1" applyFill="1" applyBorder="1" applyAlignment="1">
      <alignment horizontal="center"/>
    </xf>
    <xf numFmtId="0" fontId="20" fillId="3" borderId="0" xfId="20" applyFont="1" applyFill="1" applyBorder="1"/>
    <xf numFmtId="0" fontId="3" fillId="3" borderId="0" xfId="20" applyFill="1"/>
    <xf numFmtId="3" fontId="3" fillId="3" borderId="0" xfId="20" applyNumberFormat="1" applyFill="1"/>
    <xf numFmtId="3" fontId="8" fillId="3" borderId="0" xfId="20" applyNumberFormat="1" applyFont="1" applyFill="1" applyBorder="1" applyAlignment="1"/>
    <xf numFmtId="0" fontId="3" fillId="3" borderId="5" xfId="20" applyFill="1" applyBorder="1" applyAlignment="1"/>
    <xf numFmtId="166" fontId="3" fillId="3" borderId="5" xfId="20" applyNumberFormat="1" applyFill="1" applyBorder="1" applyAlignment="1"/>
    <xf numFmtId="3" fontId="3" fillId="3" borderId="5" xfId="20" applyNumberFormat="1" applyFill="1" applyBorder="1" applyAlignment="1"/>
    <xf numFmtId="3" fontId="8" fillId="3" borderId="9" xfId="20" applyNumberFormat="1" applyFont="1" applyFill="1" applyBorder="1" applyAlignment="1"/>
    <xf numFmtId="166" fontId="3" fillId="3" borderId="10" xfId="20" applyNumberFormat="1" applyFill="1" applyBorder="1" applyAlignment="1"/>
    <xf numFmtId="3" fontId="3" fillId="3" borderId="13" xfId="20" applyNumberFormat="1" applyFill="1" applyBorder="1" applyAlignment="1"/>
    <xf numFmtId="3" fontId="3" fillId="3" borderId="14" xfId="20" applyNumberFormat="1" applyFill="1" applyBorder="1" applyAlignment="1"/>
    <xf numFmtId="3" fontId="8" fillId="3" borderId="2" xfId="22" applyNumberFormat="1" applyFont="1" applyFill="1" applyBorder="1" applyAlignment="1"/>
    <xf numFmtId="3" fontId="8" fillId="3" borderId="3" xfId="22" applyNumberFormat="1" applyFont="1" applyFill="1" applyBorder="1" applyAlignment="1"/>
    <xf numFmtId="3" fontId="8" fillId="3" borderId="10" xfId="22" applyNumberFormat="1" applyFont="1" applyFill="1" applyBorder="1" applyAlignment="1"/>
    <xf numFmtId="1" fontId="17" fillId="2" borderId="16" xfId="4" applyNumberFormat="1" applyFont="1" applyFill="1" applyBorder="1" applyAlignment="1">
      <alignment horizontal="left"/>
    </xf>
    <xf numFmtId="1" fontId="14" fillId="2" borderId="11" xfId="4" applyNumberFormat="1" applyFont="1" applyFill="1" applyBorder="1" applyAlignment="1">
      <alignment horizontal="right"/>
    </xf>
    <xf numFmtId="1" fontId="15" fillId="2" borderId="12" xfId="4" applyNumberFormat="1" applyFont="1" applyFill="1" applyBorder="1" applyAlignment="1">
      <alignment horizontal="right"/>
    </xf>
    <xf numFmtId="3" fontId="3" fillId="3" borderId="0" xfId="21" applyNumberFormat="1" applyFill="1" applyBorder="1"/>
    <xf numFmtId="0" fontId="3" fillId="3" borderId="0" xfId="21" applyFill="1" applyBorder="1"/>
    <xf numFmtId="0" fontId="3" fillId="3" borderId="0" xfId="12" applyFill="1"/>
    <xf numFmtId="0" fontId="20" fillId="3" borderId="0" xfId="12" applyFont="1" applyFill="1" applyBorder="1"/>
    <xf numFmtId="3" fontId="21" fillId="3" borderId="0" xfId="12" applyNumberFormat="1" applyFont="1" applyFill="1"/>
    <xf numFmtId="3" fontId="3" fillId="3" borderId="0" xfId="12" applyNumberFormat="1" applyFill="1"/>
    <xf numFmtId="0" fontId="8" fillId="3" borderId="0" xfId="12" applyFont="1" applyFill="1" applyBorder="1" applyAlignment="1"/>
    <xf numFmtId="3" fontId="8" fillId="3" borderId="5" xfId="12" applyNumberFormat="1" applyFont="1" applyFill="1" applyBorder="1" applyAlignment="1"/>
    <xf numFmtId="3" fontId="8" fillId="3" borderId="0" xfId="12" applyNumberFormat="1" applyFont="1" applyFill="1" applyBorder="1" applyAlignment="1"/>
    <xf numFmtId="3" fontId="3" fillId="3" borderId="11" xfId="12" applyNumberFormat="1" applyFill="1" applyBorder="1" applyAlignment="1"/>
    <xf numFmtId="3" fontId="3" fillId="3" borderId="12" xfId="12" applyNumberFormat="1" applyFill="1" applyBorder="1" applyAlignment="1"/>
    <xf numFmtId="166" fontId="3" fillId="3" borderId="11" xfId="7" applyNumberFormat="1" applyFont="1" applyFill="1" applyBorder="1" applyAlignment="1">
      <alignment horizontal="center"/>
    </xf>
    <xf numFmtId="168" fontId="49" fillId="2" borderId="0" xfId="7" applyNumberFormat="1" applyFont="1" applyFill="1" applyBorder="1" applyAlignment="1">
      <alignment horizontal="center"/>
    </xf>
    <xf numFmtId="3" fontId="5" fillId="2" borderId="0" xfId="7" applyNumberFormat="1" applyFont="1" applyFill="1" applyBorder="1" applyAlignment="1">
      <alignment horizontal="center"/>
    </xf>
    <xf numFmtId="3" fontId="8" fillId="3" borderId="2" xfId="7" applyNumberFormat="1" applyFont="1" applyFill="1" applyBorder="1" applyAlignment="1">
      <alignment horizontal="center"/>
    </xf>
    <xf numFmtId="3" fontId="3" fillId="3" borderId="0" xfId="7" applyNumberFormat="1" applyFill="1" applyBorder="1" applyAlignment="1">
      <alignment horizontal="center"/>
    </xf>
    <xf numFmtId="3" fontId="8" fillId="3" borderId="0" xfId="7" applyNumberFormat="1" applyFont="1" applyFill="1" applyBorder="1" applyAlignment="1">
      <alignment horizontal="center"/>
    </xf>
    <xf numFmtId="3" fontId="3" fillId="3" borderId="11" xfId="7" applyNumberFormat="1" applyFill="1" applyBorder="1" applyAlignment="1">
      <alignment horizontal="center"/>
    </xf>
    <xf numFmtId="0" fontId="3" fillId="3" borderId="0" xfId="7" applyFill="1" applyAlignment="1">
      <alignment horizontal="center"/>
    </xf>
    <xf numFmtId="9" fontId="5" fillId="2" borderId="0" xfId="7" applyNumberFormat="1" applyFont="1" applyFill="1" applyBorder="1" applyAlignment="1">
      <alignment horizontal="center"/>
    </xf>
    <xf numFmtId="9" fontId="5" fillId="2" borderId="0" xfId="7" applyNumberFormat="1" applyFont="1" applyFill="1" applyBorder="1" applyAlignment="1">
      <alignment horizontal="center" wrapText="1"/>
    </xf>
    <xf numFmtId="9" fontId="3" fillId="3" borderId="2" xfId="7" applyNumberFormat="1" applyFill="1" applyBorder="1" applyAlignment="1">
      <alignment horizontal="center"/>
    </xf>
    <xf numFmtId="9" fontId="3" fillId="3" borderId="0" xfId="7" applyNumberFormat="1" applyFill="1" applyBorder="1" applyAlignment="1">
      <alignment horizontal="center"/>
    </xf>
    <xf numFmtId="9" fontId="3" fillId="3" borderId="0" xfId="26" applyFont="1" applyFill="1" applyBorder="1" applyAlignment="1">
      <alignment horizontal="center"/>
    </xf>
    <xf numFmtId="166" fontId="3" fillId="3" borderId="0" xfId="26" applyNumberFormat="1" applyFont="1" applyFill="1" applyBorder="1" applyAlignment="1">
      <alignment horizontal="center"/>
    </xf>
    <xf numFmtId="0" fontId="0" fillId="6" borderId="2" xfId="0" applyFill="1" applyBorder="1" applyAlignment="1">
      <alignment horizontal="center"/>
    </xf>
    <xf numFmtId="0" fontId="21" fillId="6" borderId="3" xfId="7" applyFont="1" applyFill="1" applyBorder="1"/>
    <xf numFmtId="1" fontId="49" fillId="2" borderId="4" xfId="7" applyNumberFormat="1" applyFont="1" applyFill="1" applyBorder="1" applyAlignment="1">
      <alignment horizontal="left"/>
    </xf>
    <xf numFmtId="0" fontId="3" fillId="4" borderId="5" xfId="7" applyFill="1" applyBorder="1"/>
    <xf numFmtId="0" fontId="3" fillId="3" borderId="5" xfId="7" applyFill="1" applyBorder="1"/>
    <xf numFmtId="3" fontId="3" fillId="3" borderId="5" xfId="7" applyNumberFormat="1" applyFill="1" applyBorder="1"/>
    <xf numFmtId="9" fontId="3" fillId="3" borderId="5" xfId="7" applyNumberFormat="1" applyFill="1" applyBorder="1"/>
    <xf numFmtId="3" fontId="3" fillId="3" borderId="5" xfId="7" applyNumberFormat="1" applyFill="1" applyBorder="1" applyAlignment="1"/>
    <xf numFmtId="9" fontId="3" fillId="3" borderId="11" xfId="7" applyNumberFormat="1" applyFill="1" applyBorder="1" applyAlignment="1">
      <alignment horizontal="center"/>
    </xf>
    <xf numFmtId="0" fontId="3" fillId="3" borderId="12" xfId="7" applyFill="1" applyBorder="1"/>
    <xf numFmtId="0" fontId="3" fillId="3" borderId="3" xfId="7" applyFill="1" applyBorder="1"/>
    <xf numFmtId="164" fontId="48" fillId="7" borderId="2" xfId="0" applyNumberFormat="1" applyFont="1" applyFill="1" applyBorder="1" applyAlignment="1">
      <alignment horizontal="center"/>
    </xf>
    <xf numFmtId="166" fontId="48" fillId="7" borderId="0" xfId="0" applyNumberFormat="1" applyFont="1" applyFill="1" applyBorder="1" applyAlignment="1">
      <alignment horizontal="center"/>
    </xf>
    <xf numFmtId="164" fontId="48" fillId="7" borderId="0" xfId="0" applyNumberFormat="1" applyFont="1" applyFill="1" applyBorder="1" applyAlignment="1">
      <alignment horizontal="center"/>
    </xf>
    <xf numFmtId="166" fontId="48" fillId="7" borderId="11" xfId="0" applyNumberFormat="1" applyFont="1" applyFill="1" applyBorder="1" applyAlignment="1">
      <alignment horizontal="center"/>
    </xf>
    <xf numFmtId="0" fontId="11" fillId="4" borderId="5" xfId="0" applyFont="1" applyFill="1" applyBorder="1" applyAlignment="1">
      <alignment horizontal="center"/>
    </xf>
    <xf numFmtId="0" fontId="53" fillId="3" borderId="0" xfId="0" applyFont="1" applyFill="1" applyAlignment="1">
      <alignment horizontal="center"/>
    </xf>
    <xf numFmtId="0" fontId="11" fillId="4" borderId="0" xfId="0" applyFont="1" applyFill="1" applyBorder="1" applyAlignment="1">
      <alignment horizontal="center"/>
    </xf>
    <xf numFmtId="0" fontId="81" fillId="4" borderId="0" xfId="24" applyFont="1" applyFill="1" applyBorder="1" applyAlignment="1">
      <alignment horizontal="center"/>
    </xf>
    <xf numFmtId="0" fontId="44" fillId="4" borderId="0" xfId="24" applyFill="1" applyBorder="1"/>
    <xf numFmtId="0" fontId="44" fillId="3" borderId="0" xfId="24" applyFill="1"/>
    <xf numFmtId="0" fontId="44" fillId="6" borderId="29" xfId="24" applyFill="1" applyBorder="1"/>
    <xf numFmtId="0" fontId="44" fillId="6" borderId="15" xfId="24" applyFill="1" applyBorder="1"/>
    <xf numFmtId="0" fontId="44" fillId="6" borderId="31" xfId="24" applyFill="1" applyBorder="1"/>
    <xf numFmtId="0" fontId="80" fillId="4" borderId="32" xfId="24" applyFont="1" applyFill="1" applyBorder="1"/>
    <xf numFmtId="0" fontId="80" fillId="4" borderId="34" xfId="24" applyFont="1" applyFill="1" applyBorder="1"/>
    <xf numFmtId="0" fontId="45" fillId="4" borderId="32" xfId="24" applyFont="1" applyFill="1" applyBorder="1"/>
    <xf numFmtId="0" fontId="44" fillId="4" borderId="34" xfId="24" applyFill="1" applyBorder="1"/>
    <xf numFmtId="0" fontId="80" fillId="4" borderId="29" xfId="24" applyFont="1" applyFill="1" applyBorder="1"/>
    <xf numFmtId="0" fontId="80" fillId="4" borderId="31" xfId="24" applyFont="1" applyFill="1" applyBorder="1"/>
    <xf numFmtId="0" fontId="45" fillId="4" borderId="35" xfId="24" applyFont="1" applyFill="1" applyBorder="1"/>
    <xf numFmtId="0" fontId="44" fillId="4" borderId="8" xfId="24" applyFill="1" applyBorder="1"/>
    <xf numFmtId="0" fontId="44" fillId="4" borderId="37" xfId="24" applyFill="1" applyBorder="1"/>
    <xf numFmtId="0" fontId="83" fillId="4" borderId="0" xfId="25" applyNumberFormat="1" applyFont="1" applyFill="1" applyBorder="1" applyAlignment="1">
      <alignment horizontal="center"/>
    </xf>
    <xf numFmtId="0" fontId="83" fillId="4" borderId="0" xfId="25" applyNumberFormat="1" applyFont="1" applyFill="1" applyBorder="1" applyAlignment="1">
      <alignment horizontal="left"/>
    </xf>
    <xf numFmtId="0" fontId="83" fillId="4" borderId="15" xfId="25" applyNumberFormat="1" applyFont="1" applyFill="1" applyBorder="1" applyAlignment="1">
      <alignment horizontal="center"/>
    </xf>
    <xf numFmtId="0" fontId="20" fillId="4" borderId="15" xfId="25" applyNumberFormat="1" applyFont="1" applyFill="1" applyBorder="1"/>
    <xf numFmtId="0" fontId="83" fillId="4" borderId="8" xfId="25" applyNumberFormat="1" applyFont="1" applyFill="1" applyBorder="1" applyAlignment="1">
      <alignment horizontal="center"/>
    </xf>
    <xf numFmtId="0" fontId="20" fillId="3" borderId="0" xfId="25" applyNumberFormat="1" applyFont="1" applyFill="1"/>
    <xf numFmtId="0" fontId="20" fillId="3" borderId="0" xfId="25" applyFont="1" applyFill="1"/>
    <xf numFmtId="0" fontId="20" fillId="3" borderId="83" xfId="25" applyFont="1" applyFill="1" applyBorder="1"/>
    <xf numFmtId="0" fontId="20" fillId="3" borderId="32" xfId="25" applyFont="1" applyFill="1" applyBorder="1"/>
    <xf numFmtId="3" fontId="51" fillId="3" borderId="33" xfId="0" applyNumberFormat="1" applyFont="1" applyFill="1" applyBorder="1" applyAlignment="1">
      <alignment horizontal="center"/>
    </xf>
    <xf numFmtId="3" fontId="0" fillId="3" borderId="32" xfId="0" applyNumberFormat="1" applyFill="1" applyBorder="1" applyAlignment="1">
      <alignment horizontal="center"/>
    </xf>
    <xf numFmtId="3" fontId="51" fillId="3" borderId="32" xfId="0" applyNumberFormat="1" applyFont="1" applyFill="1" applyBorder="1" applyAlignment="1">
      <alignment horizontal="center"/>
    </xf>
    <xf numFmtId="0" fontId="87" fillId="3" borderId="0" xfId="1" applyFill="1" applyAlignment="1" applyProtection="1"/>
    <xf numFmtId="165" fontId="87" fillId="3" borderId="0" xfId="1" applyNumberFormat="1" applyFill="1" applyAlignment="1" applyProtection="1"/>
    <xf numFmtId="0" fontId="88" fillId="3" borderId="0" xfId="0" applyFont="1" applyFill="1"/>
    <xf numFmtId="0" fontId="87" fillId="3" borderId="0" xfId="1" applyFill="1" applyBorder="1" applyAlignment="1" applyProtection="1"/>
    <xf numFmtId="1" fontId="87" fillId="3" borderId="0" xfId="1" applyNumberFormat="1" applyFill="1" applyAlignment="1" applyProtection="1"/>
    <xf numFmtId="3" fontId="87" fillId="0" borderId="0" xfId="1" applyNumberFormat="1" applyAlignment="1" applyProtection="1">
      <alignment horizontal="center"/>
    </xf>
    <xf numFmtId="0" fontId="87" fillId="3" borderId="0" xfId="1" quotePrefix="1" applyFill="1" applyAlignment="1" applyProtection="1"/>
    <xf numFmtId="0" fontId="87" fillId="3" borderId="0" xfId="1" applyNumberFormat="1" applyFill="1" applyAlignment="1" applyProtection="1">
      <alignment horizontal="center"/>
    </xf>
    <xf numFmtId="0" fontId="87" fillId="3" borderId="0" xfId="1" applyFill="1" applyAlignment="1" applyProtection="1">
      <alignment horizontal="center"/>
    </xf>
    <xf numFmtId="0" fontId="87" fillId="3" borderId="0" xfId="1" applyNumberFormat="1" applyFill="1" applyAlignment="1" applyProtection="1"/>
    <xf numFmtId="3" fontId="3" fillId="6" borderId="1" xfId="19" applyNumberFormat="1" applyFill="1" applyBorder="1"/>
    <xf numFmtId="3" fontId="3" fillId="6" borderId="2" xfId="19" applyNumberFormat="1" applyFill="1" applyBorder="1"/>
    <xf numFmtId="3" fontId="3" fillId="6" borderId="3" xfId="19" applyNumberFormat="1" applyFill="1" applyBorder="1"/>
    <xf numFmtId="3" fontId="87" fillId="3" borderId="0" xfId="1" applyNumberFormat="1" applyFill="1" applyAlignment="1" applyProtection="1"/>
    <xf numFmtId="3" fontId="17" fillId="2" borderId="1" xfId="19" applyNumberFormat="1" applyFont="1" applyFill="1" applyBorder="1" applyAlignment="1">
      <alignment horizontal="left"/>
    </xf>
    <xf numFmtId="3" fontId="15" fillId="2" borderId="2" xfId="19" applyNumberFormat="1" applyFont="1" applyFill="1" applyBorder="1" applyAlignment="1">
      <alignment horizontal="right"/>
    </xf>
    <xf numFmtId="3" fontId="15" fillId="2" borderId="2" xfId="19" applyNumberFormat="1" applyFont="1" applyFill="1" applyBorder="1" applyAlignment="1">
      <alignment horizontal="center"/>
    </xf>
    <xf numFmtId="3" fontId="14" fillId="2" borderId="2" xfId="19" applyNumberFormat="1" applyFont="1" applyFill="1" applyBorder="1" applyAlignment="1">
      <alignment horizontal="right"/>
    </xf>
    <xf numFmtId="3" fontId="15" fillId="2" borderId="3" xfId="19" applyNumberFormat="1" applyFont="1" applyFill="1" applyBorder="1" applyAlignment="1">
      <alignment horizontal="right"/>
    </xf>
    <xf numFmtId="3" fontId="20" fillId="3" borderId="0" xfId="19" applyNumberFormat="1" applyFont="1" applyFill="1" applyBorder="1"/>
    <xf numFmtId="3" fontId="17" fillId="2" borderId="4" xfId="19" applyNumberFormat="1" applyFont="1" applyFill="1" applyBorder="1" applyAlignment="1">
      <alignment horizontal="left"/>
    </xf>
    <xf numFmtId="3" fontId="15" fillId="2" borderId="0" xfId="19" applyNumberFormat="1" applyFont="1" applyFill="1" applyBorder="1" applyAlignment="1">
      <alignment horizontal="right"/>
    </xf>
    <xf numFmtId="3" fontId="15" fillId="2" borderId="0" xfId="19" applyNumberFormat="1" applyFont="1" applyFill="1" applyBorder="1" applyAlignment="1">
      <alignment horizontal="center"/>
    </xf>
    <xf numFmtId="3" fontId="14" fillId="2" borderId="0" xfId="19" applyNumberFormat="1" applyFont="1" applyFill="1" applyBorder="1" applyAlignment="1">
      <alignment horizontal="right"/>
    </xf>
    <xf numFmtId="3" fontId="15" fillId="2" borderId="5" xfId="19" applyNumberFormat="1" applyFont="1" applyFill="1" applyBorder="1" applyAlignment="1">
      <alignment horizontal="right"/>
    </xf>
    <xf numFmtId="3" fontId="5" fillId="2" borderId="0" xfId="19" applyNumberFormat="1" applyFont="1" applyFill="1" applyBorder="1" applyAlignment="1">
      <alignment horizontal="center"/>
    </xf>
    <xf numFmtId="3" fontId="5" fillId="2" borderId="5" xfId="19" applyNumberFormat="1" applyFont="1" applyFill="1" applyBorder="1" applyAlignment="1">
      <alignment horizontal="center"/>
    </xf>
    <xf numFmtId="3" fontId="21" fillId="3" borderId="0" xfId="19" applyNumberFormat="1" applyFont="1" applyFill="1"/>
    <xf numFmtId="3" fontId="22" fillId="11" borderId="0" xfId="19" applyNumberFormat="1" applyFont="1" applyFill="1" applyBorder="1" applyAlignment="1">
      <alignment horizontal="left"/>
    </xf>
    <xf numFmtId="3" fontId="10" fillId="3" borderId="0" xfId="19" applyNumberFormat="1" applyFont="1" applyFill="1"/>
    <xf numFmtId="3" fontId="9" fillId="3" borderId="0" xfId="10" applyNumberFormat="1" applyFont="1" applyFill="1"/>
    <xf numFmtId="3" fontId="10" fillId="3" borderId="0" xfId="4" applyNumberFormat="1" applyFont="1" applyFill="1"/>
    <xf numFmtId="3" fontId="18" fillId="3" borderId="0" xfId="4" applyNumberFormat="1" applyFont="1" applyFill="1"/>
    <xf numFmtId="0" fontId="89" fillId="3" borderId="0" xfId="0" applyFont="1" applyFill="1"/>
    <xf numFmtId="0" fontId="12" fillId="3" borderId="0" xfId="0" applyFont="1" applyFill="1" applyBorder="1"/>
    <xf numFmtId="0" fontId="9" fillId="3" borderId="0" xfId="10" applyFont="1" applyFill="1" applyBorder="1"/>
    <xf numFmtId="3" fontId="12" fillId="3" borderId="0" xfId="0" applyNumberFormat="1" applyFont="1" applyFill="1" applyBorder="1"/>
    <xf numFmtId="1" fontId="10" fillId="3" borderId="0" xfId="4" applyNumberFormat="1" applyFont="1" applyFill="1" applyBorder="1"/>
    <xf numFmtId="0" fontId="0" fillId="12" borderId="0" xfId="0" applyFill="1" applyBorder="1"/>
    <xf numFmtId="0" fontId="0" fillId="12" borderId="0" xfId="0" applyFill="1"/>
    <xf numFmtId="3" fontId="0" fillId="12" borderId="0" xfId="0" applyNumberFormat="1" applyFill="1"/>
    <xf numFmtId="3" fontId="3" fillId="12" borderId="0" xfId="19" applyNumberFormat="1" applyFill="1" applyBorder="1" applyAlignment="1"/>
    <xf numFmtId="3" fontId="3" fillId="12" borderId="0" xfId="19" applyNumberFormat="1" applyFill="1" applyBorder="1"/>
    <xf numFmtId="3" fontId="18" fillId="12" borderId="0" xfId="4" applyNumberFormat="1" applyFont="1" applyFill="1" applyBorder="1"/>
    <xf numFmtId="3" fontId="10" fillId="3" borderId="0" xfId="4" applyNumberFormat="1" applyFont="1" applyFill="1" applyBorder="1"/>
    <xf numFmtId="0" fontId="51" fillId="12" borderId="0" xfId="0" applyFont="1" applyFill="1"/>
    <xf numFmtId="0" fontId="0" fillId="12" borderId="0" xfId="0" applyFill="1" applyAlignment="1">
      <alignment horizontal="center"/>
    </xf>
    <xf numFmtId="11" fontId="85" fillId="9" borderId="84" xfId="25" applyNumberFormat="1" applyFont="1" applyFill="1" applyBorder="1" applyAlignment="1">
      <alignment horizontal="center"/>
    </xf>
    <xf numFmtId="11" fontId="85" fillId="9" borderId="0" xfId="25" applyNumberFormat="1" applyFont="1" applyFill="1" applyBorder="1" applyAlignment="1">
      <alignment horizontal="center"/>
    </xf>
    <xf numFmtId="11" fontId="85" fillId="9" borderId="83" xfId="25" applyNumberFormat="1" applyFont="1" applyFill="1" applyBorder="1" applyAlignment="1"/>
    <xf numFmtId="11" fontId="85" fillId="9" borderId="85" xfId="25" applyNumberFormat="1" applyFont="1" applyFill="1" applyBorder="1" applyAlignment="1">
      <alignment horizontal="center"/>
    </xf>
    <xf numFmtId="11" fontId="85" fillId="9" borderId="86" xfId="25" applyNumberFormat="1" applyFont="1" applyFill="1" applyBorder="1" applyAlignment="1"/>
    <xf numFmtId="11" fontId="85" fillId="9" borderId="87" xfId="25" applyNumberFormat="1" applyFont="1" applyFill="1" applyBorder="1" applyAlignment="1"/>
    <xf numFmtId="0" fontId="84" fillId="9" borderId="88" xfId="25" applyFont="1" applyFill="1" applyBorder="1" applyAlignment="1">
      <alignment horizontal="center"/>
    </xf>
    <xf numFmtId="0" fontId="86" fillId="9" borderId="18" xfId="25" applyFont="1" applyFill="1" applyBorder="1" applyAlignment="1">
      <alignment horizontal="center"/>
    </xf>
    <xf numFmtId="0" fontId="86" fillId="9" borderId="89" xfId="25" applyFont="1" applyFill="1" applyBorder="1" applyAlignment="1">
      <alignment horizontal="center"/>
    </xf>
    <xf numFmtId="0" fontId="84" fillId="9" borderId="88" xfId="25" applyFont="1" applyFill="1" applyBorder="1" applyAlignment="1">
      <alignment horizontal="left"/>
    </xf>
    <xf numFmtId="0" fontId="84" fillId="9" borderId="90" xfId="25" applyFont="1" applyFill="1" applyBorder="1" applyAlignment="1"/>
    <xf numFmtId="0" fontId="34" fillId="9" borderId="85" xfId="25" applyFont="1" applyFill="1" applyBorder="1" applyAlignment="1"/>
    <xf numFmtId="0" fontId="84" fillId="9" borderId="86" xfId="25" applyFont="1" applyFill="1" applyBorder="1" applyAlignment="1"/>
    <xf numFmtId="0" fontId="20" fillId="9" borderId="91" xfId="25" applyFont="1" applyFill="1" applyBorder="1" applyAlignment="1"/>
    <xf numFmtId="0" fontId="85" fillId="9" borderId="86" xfId="25" applyFont="1" applyFill="1" applyBorder="1" applyAlignment="1"/>
    <xf numFmtId="0" fontId="20" fillId="9" borderId="92" xfId="25" quotePrefix="1" applyFont="1" applyFill="1" applyBorder="1" applyAlignment="1">
      <alignment horizontal="left"/>
    </xf>
    <xf numFmtId="0" fontId="85" fillId="9" borderId="93" xfId="25" applyFont="1" applyFill="1" applyBorder="1" applyAlignment="1"/>
    <xf numFmtId="0" fontId="85" fillId="9" borderId="94" xfId="25" applyFont="1" applyFill="1" applyBorder="1" applyAlignment="1"/>
    <xf numFmtId="0" fontId="34" fillId="9" borderId="95" xfId="25" applyFont="1" applyFill="1" applyBorder="1" applyAlignment="1"/>
    <xf numFmtId="0" fontId="85" fillId="9" borderId="0" xfId="25" applyNumberFormat="1" applyFont="1" applyFill="1" applyBorder="1" applyAlignment="1">
      <alignment horizontal="left"/>
    </xf>
    <xf numFmtId="0" fontId="85" fillId="9" borderId="83" xfId="25" applyNumberFormat="1" applyFont="1" applyFill="1" applyBorder="1" applyAlignment="1">
      <alignment horizontal="left"/>
    </xf>
    <xf numFmtId="0" fontId="20" fillId="9" borderId="95" xfId="25" applyFont="1" applyFill="1" applyBorder="1" applyAlignment="1"/>
    <xf numFmtId="0" fontId="85" fillId="9" borderId="83" xfId="25" applyFont="1" applyFill="1" applyBorder="1" applyAlignment="1"/>
    <xf numFmtId="0" fontId="20" fillId="9" borderId="96" xfId="25" applyFont="1" applyFill="1" applyBorder="1" applyAlignment="1"/>
    <xf numFmtId="0" fontId="85" fillId="9" borderId="19" xfId="25" applyFont="1" applyFill="1" applyBorder="1" applyAlignment="1"/>
    <xf numFmtId="0" fontId="85" fillId="9" borderId="97" xfId="25" applyFont="1" applyFill="1" applyBorder="1" applyAlignment="1"/>
    <xf numFmtId="0" fontId="34" fillId="9" borderId="90" xfId="25" applyFont="1" applyFill="1" applyBorder="1" applyAlignment="1"/>
    <xf numFmtId="0" fontId="85" fillId="9" borderId="98" xfId="25" applyNumberFormat="1" applyFont="1" applyFill="1" applyBorder="1" applyAlignment="1">
      <alignment horizontal="left"/>
    </xf>
    <xf numFmtId="0" fontId="85" fillId="9" borderId="86" xfId="25" applyNumberFormat="1" applyFont="1" applyFill="1" applyBorder="1" applyAlignment="1">
      <alignment horizontal="left"/>
    </xf>
    <xf numFmtId="0" fontId="85" fillId="9" borderId="0" xfId="25" applyFont="1" applyFill="1" applyBorder="1" applyAlignment="1">
      <alignment horizontal="left"/>
    </xf>
    <xf numFmtId="0" fontId="85" fillId="9" borderId="83" xfId="25" applyFont="1" applyFill="1" applyBorder="1" applyAlignment="1">
      <alignment horizontal="left"/>
    </xf>
    <xf numFmtId="0" fontId="85" fillId="9" borderId="85" xfId="25" applyFont="1" applyFill="1" applyBorder="1" applyAlignment="1">
      <alignment horizontal="left"/>
    </xf>
    <xf numFmtId="0" fontId="85" fillId="9" borderId="86" xfId="25" applyFont="1" applyFill="1" applyBorder="1" applyAlignment="1">
      <alignment horizontal="left"/>
    </xf>
    <xf numFmtId="0" fontId="84" fillId="9" borderId="18" xfId="25" applyFont="1" applyFill="1" applyBorder="1" applyAlignment="1">
      <alignment horizontal="center"/>
    </xf>
    <xf numFmtId="0" fontId="84" fillId="9" borderId="89" xfId="25" applyFont="1" applyFill="1" applyBorder="1" applyAlignment="1">
      <alignment horizontal="center"/>
    </xf>
    <xf numFmtId="0" fontId="84" fillId="9" borderId="95" xfId="25" applyFont="1" applyFill="1" applyBorder="1" applyAlignment="1">
      <alignment horizontal="left"/>
    </xf>
    <xf numFmtId="0" fontId="84" fillId="9" borderId="0" xfId="25" applyFont="1" applyFill="1" applyBorder="1" applyAlignment="1">
      <alignment horizontal="left"/>
    </xf>
    <xf numFmtId="0" fontId="84" fillId="9" borderId="83" xfId="25" applyFont="1" applyFill="1" applyBorder="1" applyAlignment="1">
      <alignment horizontal="right"/>
    </xf>
    <xf numFmtId="0" fontId="85" fillId="9" borderId="91" xfId="25" applyFont="1" applyFill="1" applyBorder="1" applyAlignment="1"/>
    <xf numFmtId="0" fontId="85" fillId="9" borderId="85" xfId="25" applyFont="1" applyFill="1" applyBorder="1" applyAlignment="1"/>
    <xf numFmtId="0" fontId="85" fillId="9" borderId="85" xfId="25" applyNumberFormat="1" applyFont="1" applyFill="1" applyBorder="1" applyAlignment="1">
      <alignment horizontal="left"/>
    </xf>
    <xf numFmtId="0" fontId="85" fillId="9" borderId="95" xfId="25" applyFont="1" applyFill="1" applyBorder="1" applyAlignment="1"/>
    <xf numFmtId="0" fontId="85" fillId="9" borderId="0" xfId="25" applyFont="1" applyFill="1" applyBorder="1" applyAlignment="1"/>
    <xf numFmtId="0" fontId="34" fillId="9" borderId="96" xfId="25" applyNumberFormat="1" applyFont="1" applyFill="1" applyBorder="1" applyAlignment="1"/>
    <xf numFmtId="0" fontId="85" fillId="9" borderId="19" xfId="25" applyNumberFormat="1" applyFont="1" applyFill="1" applyBorder="1" applyAlignment="1">
      <alignment horizontal="left"/>
    </xf>
    <xf numFmtId="0" fontId="85" fillId="9" borderId="97" xfId="25" applyNumberFormat="1" applyFont="1" applyFill="1" applyBorder="1" applyAlignment="1">
      <alignment horizontal="left"/>
    </xf>
    <xf numFmtId="0" fontId="85" fillId="9" borderId="99" xfId="25" applyNumberFormat="1" applyFont="1" applyFill="1" applyBorder="1" applyAlignment="1"/>
    <xf numFmtId="0" fontId="85" fillId="9" borderId="100" xfId="25" applyNumberFormat="1" applyFont="1" applyFill="1" applyBorder="1" applyAlignment="1"/>
    <xf numFmtId="0" fontId="3" fillId="6" borderId="1" xfId="18" applyFill="1" applyBorder="1"/>
    <xf numFmtId="0" fontId="3" fillId="6" borderId="2" xfId="18" applyFill="1" applyBorder="1"/>
    <xf numFmtId="0" fontId="3" fillId="6" borderId="3" xfId="18" applyFill="1" applyBorder="1"/>
    <xf numFmtId="3" fontId="13" fillId="3" borderId="0" xfId="0" applyNumberFormat="1" applyFont="1" applyFill="1" applyBorder="1" applyAlignment="1">
      <alignment horizontal="center"/>
    </xf>
    <xf numFmtId="0" fontId="13" fillId="3" borderId="0" xfId="0" applyFont="1" applyFill="1" applyBorder="1" applyAlignment="1">
      <alignment horizontal="center"/>
    </xf>
    <xf numFmtId="0" fontId="6" fillId="2" borderId="16" xfId="8" applyFont="1" applyFill="1" applyBorder="1" applyAlignment="1">
      <alignment horizontal="left"/>
    </xf>
    <xf numFmtId="0" fontId="3" fillId="4" borderId="11" xfId="8" applyFill="1" applyBorder="1" applyAlignment="1"/>
    <xf numFmtId="0" fontId="0" fillId="4" borderId="11" xfId="0" applyFill="1" applyBorder="1"/>
    <xf numFmtId="0" fontId="3" fillId="4" borderId="12" xfId="8" applyFill="1" applyBorder="1" applyAlignment="1"/>
    <xf numFmtId="0" fontId="7" fillId="5" borderId="27" xfId="8" applyFont="1" applyFill="1" applyBorder="1" applyAlignment="1">
      <alignment horizontal="left"/>
    </xf>
    <xf numFmtId="0" fontId="7" fillId="5" borderId="33" xfId="8" applyFont="1" applyFill="1" applyBorder="1" applyAlignment="1">
      <alignment horizontal="left"/>
    </xf>
    <xf numFmtId="0" fontId="6" fillId="5" borderId="39" xfId="8" applyFont="1" applyFill="1" applyBorder="1" applyAlignment="1">
      <alignment horizontal="left"/>
    </xf>
    <xf numFmtId="0" fontId="6" fillId="5" borderId="62" xfId="8" applyFont="1" applyFill="1" applyBorder="1" applyAlignment="1">
      <alignment horizontal="left"/>
    </xf>
    <xf numFmtId="0" fontId="6" fillId="5" borderId="33" xfId="18" applyFont="1" applyFill="1" applyBorder="1" applyAlignment="1">
      <alignment horizontal="left"/>
    </xf>
    <xf numFmtId="0" fontId="7" fillId="5" borderId="33" xfId="18" applyFont="1" applyFill="1" applyBorder="1" applyAlignment="1">
      <alignment horizontal="left"/>
    </xf>
    <xf numFmtId="0" fontId="6" fillId="5" borderId="62" xfId="18" applyFont="1" applyFill="1" applyBorder="1" applyAlignment="1">
      <alignment horizontal="left"/>
    </xf>
    <xf numFmtId="0" fontId="6" fillId="5" borderId="39" xfId="18" applyFont="1" applyFill="1" applyBorder="1" applyAlignment="1">
      <alignment horizontal="left"/>
    </xf>
    <xf numFmtId="0" fontId="16" fillId="2" borderId="16" xfId="18" applyFont="1" applyFill="1" applyBorder="1" applyAlignment="1">
      <alignment horizontal="left"/>
    </xf>
    <xf numFmtId="0" fontId="15" fillId="2" borderId="12" xfId="18" applyFont="1" applyFill="1" applyBorder="1" applyAlignment="1">
      <alignment horizontal="center"/>
    </xf>
    <xf numFmtId="0" fontId="90" fillId="6" borderId="72" xfId="0" applyFont="1" applyFill="1" applyBorder="1"/>
    <xf numFmtId="0" fontId="90" fillId="6" borderId="74" xfId="0" applyFont="1" applyFill="1" applyBorder="1"/>
    <xf numFmtId="0" fontId="90" fillId="6" borderId="50" xfId="0" applyFont="1" applyFill="1" applyBorder="1"/>
    <xf numFmtId="1" fontId="6" fillId="5" borderId="27" xfId="4" applyNumberFormat="1" applyFont="1" applyFill="1" applyBorder="1" applyAlignment="1">
      <alignment horizontal="left"/>
    </xf>
    <xf numFmtId="1" fontId="7" fillId="5" borderId="33" xfId="4" applyNumberFormat="1" applyFont="1" applyFill="1" applyBorder="1" applyAlignment="1">
      <alignment horizontal="left"/>
    </xf>
    <xf numFmtId="1" fontId="6" fillId="5" borderId="39" xfId="4" applyNumberFormat="1" applyFont="1" applyFill="1" applyBorder="1" applyAlignment="1">
      <alignment horizontal="left"/>
    </xf>
    <xf numFmtId="1" fontId="6" fillId="5" borderId="101" xfId="4" applyNumberFormat="1" applyFont="1" applyFill="1" applyBorder="1" applyAlignment="1">
      <alignment horizontal="left"/>
    </xf>
    <xf numFmtId="1" fontId="18" fillId="6" borderId="1" xfId="4" applyNumberFormat="1" applyFont="1" applyFill="1" applyBorder="1"/>
    <xf numFmtId="1" fontId="18" fillId="6" borderId="2" xfId="4" applyNumberFormat="1" applyFont="1" applyFill="1" applyBorder="1"/>
    <xf numFmtId="1" fontId="18" fillId="6" borderId="3" xfId="4" applyNumberFormat="1" applyFont="1" applyFill="1" applyBorder="1"/>
    <xf numFmtId="3" fontId="17" fillId="2" borderId="16" xfId="19" applyNumberFormat="1" applyFont="1" applyFill="1" applyBorder="1" applyAlignment="1">
      <alignment horizontal="left"/>
    </xf>
    <xf numFmtId="3" fontId="15" fillId="2" borderId="11" xfId="19" applyNumberFormat="1" applyFont="1" applyFill="1" applyBorder="1" applyAlignment="1">
      <alignment horizontal="center"/>
    </xf>
    <xf numFmtId="3" fontId="15" fillId="2" borderId="11" xfId="19" applyNumberFormat="1" applyFont="1" applyFill="1" applyBorder="1" applyAlignment="1">
      <alignment horizontal="right"/>
    </xf>
    <xf numFmtId="3" fontId="5" fillId="2" borderId="11" xfId="19" applyNumberFormat="1" applyFont="1" applyFill="1" applyBorder="1" applyAlignment="1">
      <alignment horizontal="center"/>
    </xf>
    <xf numFmtId="3" fontId="15" fillId="2" borderId="12" xfId="19" applyNumberFormat="1" applyFont="1" applyFill="1" applyBorder="1" applyAlignment="1">
      <alignment horizontal="center"/>
    </xf>
    <xf numFmtId="3" fontId="7" fillId="5" borderId="27" xfId="19" applyNumberFormat="1" applyFont="1" applyFill="1" applyBorder="1" applyAlignment="1">
      <alignment horizontal="left"/>
    </xf>
    <xf numFmtId="3" fontId="7" fillId="5" borderId="33" xfId="19" applyNumberFormat="1" applyFont="1" applyFill="1" applyBorder="1" applyAlignment="1">
      <alignment horizontal="left"/>
    </xf>
    <xf numFmtId="3" fontId="7" fillId="5" borderId="33" xfId="19" applyNumberFormat="1" applyFont="1" applyFill="1" applyBorder="1" applyAlignment="1">
      <alignment horizontal="right"/>
    </xf>
    <xf numFmtId="3" fontId="6" fillId="5" borderId="33" xfId="19" applyNumberFormat="1" applyFont="1" applyFill="1" applyBorder="1" applyAlignment="1">
      <alignment horizontal="left"/>
    </xf>
    <xf numFmtId="3" fontId="22" fillId="5" borderId="101" xfId="19" applyNumberFormat="1" applyFont="1" applyFill="1" applyBorder="1" applyAlignment="1">
      <alignment horizontal="left"/>
    </xf>
    <xf numFmtId="0" fontId="17" fillId="2" borderId="16" xfId="20" applyFont="1" applyFill="1" applyBorder="1" applyAlignment="1">
      <alignment horizontal="left"/>
    </xf>
    <xf numFmtId="0" fontId="14" fillId="2" borderId="11" xfId="20" applyFont="1" applyFill="1" applyBorder="1" applyAlignment="1">
      <alignment horizontal="center"/>
    </xf>
    <xf numFmtId="0" fontId="14" fillId="2" borderId="12" xfId="20" applyFont="1" applyFill="1" applyBorder="1" applyAlignment="1">
      <alignment horizontal="center"/>
    </xf>
    <xf numFmtId="0" fontId="7" fillId="5" borderId="27" xfId="19" applyFont="1" applyFill="1" applyBorder="1" applyAlignment="1">
      <alignment horizontal="left"/>
    </xf>
    <xf numFmtId="0" fontId="7" fillId="5" borderId="33" xfId="20" applyFont="1" applyFill="1" applyBorder="1" applyAlignment="1">
      <alignment horizontal="left"/>
    </xf>
    <xf numFmtId="0" fontId="6" fillId="5" borderId="39" xfId="20" applyFont="1" applyFill="1" applyBorder="1" applyAlignment="1">
      <alignment horizontal="left"/>
    </xf>
    <xf numFmtId="0" fontId="6" fillId="5" borderId="101" xfId="20" applyFont="1" applyFill="1" applyBorder="1" applyAlignment="1">
      <alignment horizontal="left"/>
    </xf>
    <xf numFmtId="0" fontId="3" fillId="6" borderId="1" xfId="21" applyFill="1" applyBorder="1"/>
    <xf numFmtId="0" fontId="3" fillId="6" borderId="2" xfId="21" applyFill="1" applyBorder="1"/>
    <xf numFmtId="0" fontId="3" fillId="6" borderId="3" xfId="21" applyFill="1" applyBorder="1"/>
    <xf numFmtId="0" fontId="17" fillId="2" borderId="16" xfId="21" applyFont="1" applyFill="1" applyBorder="1" applyAlignment="1">
      <alignment horizontal="left"/>
    </xf>
    <xf numFmtId="0" fontId="14" fillId="2" borderId="11" xfId="21" applyFont="1" applyFill="1" applyBorder="1" applyAlignment="1">
      <alignment horizontal="right"/>
    </xf>
    <xf numFmtId="0" fontId="14" fillId="2" borderId="12" xfId="21" applyFont="1" applyFill="1" applyBorder="1" applyAlignment="1">
      <alignment horizontal="right"/>
    </xf>
    <xf numFmtId="0" fontId="6" fillId="5" borderId="33" xfId="21" applyFont="1" applyFill="1" applyBorder="1" applyAlignment="1">
      <alignment horizontal="left"/>
    </xf>
    <xf numFmtId="0" fontId="7" fillId="5" borderId="33" xfId="21" applyFont="1" applyFill="1" applyBorder="1" applyAlignment="1">
      <alignment horizontal="left"/>
    </xf>
    <xf numFmtId="0" fontId="6" fillId="5" borderId="39" xfId="21" applyFont="1" applyFill="1" applyBorder="1" applyAlignment="1">
      <alignment horizontal="left"/>
    </xf>
    <xf numFmtId="0" fontId="6" fillId="5" borderId="101" xfId="21" applyFont="1" applyFill="1" applyBorder="1" applyAlignment="1">
      <alignment horizontal="left"/>
    </xf>
    <xf numFmtId="0" fontId="20" fillId="6" borderId="1" xfId="22" applyFont="1" applyFill="1" applyBorder="1"/>
    <xf numFmtId="0" fontId="20" fillId="6" borderId="2" xfId="22" applyFont="1" applyFill="1" applyBorder="1"/>
    <xf numFmtId="0" fontId="20" fillId="6" borderId="3" xfId="22" applyFont="1" applyFill="1" applyBorder="1"/>
    <xf numFmtId="0" fontId="17" fillId="2" borderId="16" xfId="22" applyFont="1" applyFill="1" applyBorder="1" applyAlignment="1">
      <alignment horizontal="left"/>
    </xf>
    <xf numFmtId="0" fontId="14" fillId="2" borderId="11" xfId="22" applyFont="1" applyFill="1" applyBorder="1" applyAlignment="1">
      <alignment horizontal="center"/>
    </xf>
    <xf numFmtId="0" fontId="15" fillId="2" borderId="12" xfId="22" applyFont="1" applyFill="1" applyBorder="1" applyAlignment="1">
      <alignment horizontal="center"/>
    </xf>
    <xf numFmtId="0" fontId="6" fillId="5" borderId="33" xfId="22" applyFont="1" applyFill="1" applyBorder="1" applyAlignment="1">
      <alignment horizontal="left"/>
    </xf>
    <xf numFmtId="0" fontId="23" fillId="5" borderId="33" xfId="22" applyFont="1" applyFill="1" applyBorder="1" applyAlignment="1">
      <alignment horizontal="left"/>
    </xf>
    <xf numFmtId="0" fontId="7" fillId="5" borderId="33" xfId="22" applyFont="1" applyFill="1" applyBorder="1" applyAlignment="1">
      <alignment horizontal="left"/>
    </xf>
    <xf numFmtId="0" fontId="6" fillId="5" borderId="39" xfId="22" applyFont="1" applyFill="1" applyBorder="1" applyAlignment="1">
      <alignment horizontal="left"/>
    </xf>
    <xf numFmtId="0" fontId="6" fillId="5" borderId="101" xfId="22" applyFont="1" applyFill="1" applyBorder="1" applyAlignment="1">
      <alignment horizontal="left"/>
    </xf>
    <xf numFmtId="0" fontId="3" fillId="6" borderId="1" xfId="23" applyFill="1" applyBorder="1"/>
    <xf numFmtId="0" fontId="3" fillId="6" borderId="2" xfId="23" applyFill="1" applyBorder="1"/>
    <xf numFmtId="0" fontId="3" fillId="6" borderId="3" xfId="23" applyFill="1" applyBorder="1"/>
    <xf numFmtId="0" fontId="17" fillId="2" borderId="16" xfId="23" applyFont="1" applyFill="1" applyBorder="1" applyAlignment="1">
      <alignment horizontal="left"/>
    </xf>
    <xf numFmtId="0" fontId="14" fillId="2" borderId="11" xfId="23" applyFont="1" applyFill="1" applyBorder="1" applyAlignment="1">
      <alignment horizontal="center"/>
    </xf>
    <xf numFmtId="0" fontId="15" fillId="2" borderId="11" xfId="23" applyFont="1" applyFill="1" applyBorder="1" applyAlignment="1">
      <alignment horizontal="center"/>
    </xf>
    <xf numFmtId="0" fontId="15" fillId="2" borderId="12" xfId="23" applyFont="1" applyFill="1" applyBorder="1" applyAlignment="1">
      <alignment horizontal="center"/>
    </xf>
    <xf numFmtId="0" fontId="7" fillId="5" borderId="33" xfId="23" applyFont="1" applyFill="1" applyBorder="1" applyAlignment="1">
      <alignment horizontal="left"/>
    </xf>
    <xf numFmtId="0" fontId="6" fillId="5" borderId="39" xfId="23" applyFont="1" applyFill="1" applyBorder="1" applyAlignment="1">
      <alignment horizontal="left"/>
    </xf>
    <xf numFmtId="0" fontId="6" fillId="5" borderId="101" xfId="23" applyFont="1" applyFill="1" applyBorder="1" applyAlignment="1">
      <alignment horizontal="left"/>
    </xf>
    <xf numFmtId="0" fontId="26" fillId="2" borderId="16" xfId="0" applyFont="1" applyFill="1" applyBorder="1" applyAlignment="1">
      <alignment horizontal="left"/>
    </xf>
    <xf numFmtId="0" fontId="28" fillId="2" borderId="11" xfId="0" applyFont="1" applyFill="1" applyBorder="1" applyAlignment="1">
      <alignment horizontal="center"/>
    </xf>
    <xf numFmtId="0" fontId="29" fillId="2" borderId="12" xfId="0" applyFont="1" applyFill="1" applyBorder="1" applyAlignment="1">
      <alignment horizontal="center"/>
    </xf>
    <xf numFmtId="0" fontId="31" fillId="5" borderId="33" xfId="0" applyFont="1" applyFill="1" applyBorder="1" applyAlignment="1">
      <alignment horizontal="left"/>
    </xf>
    <xf numFmtId="0" fontId="30" fillId="5" borderId="39" xfId="0" applyFont="1" applyFill="1" applyBorder="1" applyAlignment="1">
      <alignment horizontal="left"/>
    </xf>
    <xf numFmtId="0" fontId="30" fillId="5" borderId="62" xfId="0" applyFont="1" applyFill="1" applyBorder="1" applyAlignment="1">
      <alignment horizontal="left"/>
    </xf>
    <xf numFmtId="0" fontId="3" fillId="6" borderId="1" xfId="9" applyFill="1" applyBorder="1"/>
    <xf numFmtId="0" fontId="3" fillId="6" borderId="3" xfId="9" applyFill="1" applyBorder="1"/>
    <xf numFmtId="0" fontId="17" fillId="2" borderId="16" xfId="9" applyFont="1" applyFill="1" applyBorder="1" applyAlignment="1">
      <alignment horizontal="left"/>
    </xf>
    <xf numFmtId="0" fontId="14" fillId="2" borderId="12" xfId="9" applyFont="1" applyFill="1" applyBorder="1" applyAlignment="1">
      <alignment horizontal="right"/>
    </xf>
    <xf numFmtId="0" fontId="6" fillId="5" borderId="27" xfId="9" applyFont="1" applyFill="1" applyBorder="1" applyAlignment="1">
      <alignment horizontal="left"/>
    </xf>
    <xf numFmtId="0" fontId="6" fillId="5" borderId="33" xfId="9" applyFont="1" applyFill="1" applyBorder="1" applyAlignment="1">
      <alignment horizontal="left"/>
    </xf>
    <xf numFmtId="0" fontId="7" fillId="5" borderId="33" xfId="9" applyFont="1" applyFill="1" applyBorder="1" applyAlignment="1">
      <alignment horizontal="left"/>
    </xf>
    <xf numFmtId="3" fontId="7" fillId="5" borderId="33" xfId="9" applyNumberFormat="1" applyFont="1" applyFill="1" applyBorder="1" applyAlignment="1">
      <alignment horizontal="left"/>
    </xf>
    <xf numFmtId="3" fontId="6" fillId="5" borderId="39" xfId="9" applyNumberFormat="1" applyFont="1" applyFill="1" applyBorder="1" applyAlignment="1">
      <alignment horizontal="left"/>
    </xf>
    <xf numFmtId="3" fontId="6" fillId="5" borderId="62" xfId="9" applyNumberFormat="1" applyFont="1" applyFill="1" applyBorder="1" applyAlignment="1">
      <alignment horizontal="left"/>
    </xf>
    <xf numFmtId="0" fontId="3" fillId="6" borderId="1" xfId="10" applyFill="1" applyBorder="1"/>
    <xf numFmtId="0" fontId="3" fillId="6" borderId="2" xfId="10" applyFill="1" applyBorder="1"/>
    <xf numFmtId="0" fontId="3" fillId="6" borderId="3" xfId="10" applyFill="1" applyBorder="1"/>
    <xf numFmtId="0" fontId="17" fillId="2" borderId="16" xfId="10" applyFont="1" applyFill="1" applyBorder="1" applyAlignment="1">
      <alignment horizontal="left"/>
    </xf>
    <xf numFmtId="0" fontId="14" fillId="2" borderId="11" xfId="10" applyFont="1" applyFill="1" applyBorder="1" applyAlignment="1">
      <alignment horizontal="right"/>
    </xf>
    <xf numFmtId="0" fontId="15" fillId="2" borderId="12" xfId="10" applyFont="1" applyFill="1" applyBorder="1" applyAlignment="1">
      <alignment horizontal="right"/>
    </xf>
    <xf numFmtId="0" fontId="6" fillId="5" borderId="27" xfId="10" applyFont="1" applyFill="1" applyBorder="1" applyAlignment="1">
      <alignment horizontal="left"/>
    </xf>
    <xf numFmtId="0" fontId="6" fillId="5" borderId="33" xfId="10" applyFont="1" applyFill="1" applyBorder="1" applyAlignment="1">
      <alignment horizontal="left"/>
    </xf>
    <xf numFmtId="0" fontId="7" fillId="5" borderId="33" xfId="10" applyFont="1" applyFill="1" applyBorder="1" applyAlignment="1">
      <alignment horizontal="left"/>
    </xf>
    <xf numFmtId="0" fontId="6" fillId="5" borderId="62" xfId="10" applyFont="1" applyFill="1" applyBorder="1" applyAlignment="1">
      <alignment horizontal="left"/>
    </xf>
    <xf numFmtId="0" fontId="3" fillId="6" borderId="1" xfId="11" applyFill="1" applyBorder="1"/>
    <xf numFmtId="0" fontId="3" fillId="6" borderId="2" xfId="11" applyFill="1" applyBorder="1"/>
    <xf numFmtId="0" fontId="3" fillId="6" borderId="3" xfId="11" applyFill="1" applyBorder="1"/>
    <xf numFmtId="0" fontId="2" fillId="2" borderId="16" xfId="11" applyFont="1" applyFill="1" applyBorder="1" applyAlignment="1">
      <alignment horizontal="left"/>
    </xf>
    <xf numFmtId="0" fontId="2" fillId="2" borderId="11" xfId="11" applyFont="1" applyFill="1" applyBorder="1" applyAlignment="1">
      <alignment horizontal="center"/>
    </xf>
    <xf numFmtId="0" fontId="2" fillId="2" borderId="12" xfId="11" applyFont="1" applyFill="1" applyBorder="1" applyAlignment="1">
      <alignment horizontal="center"/>
    </xf>
    <xf numFmtId="0" fontId="36" fillId="5" borderId="27" xfId="19" applyFont="1" applyFill="1" applyBorder="1" applyAlignment="1">
      <alignment horizontal="left"/>
    </xf>
    <xf numFmtId="0" fontId="36" fillId="5" borderId="33" xfId="11" applyFont="1" applyFill="1" applyBorder="1" applyAlignment="1">
      <alignment horizontal="left"/>
    </xf>
    <xf numFmtId="0" fontId="38" fillId="5" borderId="33" xfId="11" applyFont="1" applyFill="1" applyBorder="1" applyAlignment="1">
      <alignment horizontal="left"/>
    </xf>
    <xf numFmtId="0" fontId="38" fillId="5" borderId="62" xfId="11" applyFont="1" applyFill="1" applyBorder="1" applyAlignment="1">
      <alignment horizontal="left"/>
    </xf>
    <xf numFmtId="0" fontId="3" fillId="6" borderId="1" xfId="12" applyFill="1" applyBorder="1"/>
    <xf numFmtId="0" fontId="3" fillId="6" borderId="2" xfId="12" applyFill="1" applyBorder="1"/>
    <xf numFmtId="0" fontId="3" fillId="6" borderId="3" xfId="12" applyFill="1" applyBorder="1"/>
    <xf numFmtId="0" fontId="14" fillId="2" borderId="16" xfId="12" applyFont="1" applyFill="1" applyBorder="1" applyAlignment="1">
      <alignment horizontal="right"/>
    </xf>
    <xf numFmtId="0" fontId="14" fillId="2" borderId="11" xfId="12" applyFont="1" applyFill="1" applyBorder="1" applyAlignment="1">
      <alignment horizontal="center"/>
    </xf>
    <xf numFmtId="3" fontId="14" fillId="2" borderId="12" xfId="12" applyNumberFormat="1" applyFont="1" applyFill="1" applyBorder="1" applyAlignment="1">
      <alignment horizontal="center"/>
    </xf>
    <xf numFmtId="0" fontId="30" fillId="5" borderId="33" xfId="12" applyFont="1" applyFill="1" applyBorder="1" applyAlignment="1">
      <alignment horizontal="left"/>
    </xf>
    <xf numFmtId="0" fontId="31" fillId="5" borderId="33" xfId="12" applyFont="1" applyFill="1" applyBorder="1" applyAlignment="1">
      <alignment horizontal="left"/>
    </xf>
    <xf numFmtId="0" fontId="31" fillId="5" borderId="62" xfId="12" applyFont="1" applyFill="1" applyBorder="1" applyAlignment="1">
      <alignment horizontal="left"/>
    </xf>
    <xf numFmtId="0" fontId="3" fillId="6" borderId="1" xfId="13" applyFill="1" applyBorder="1"/>
    <xf numFmtId="0" fontId="3" fillId="6" borderId="2" xfId="13" applyFill="1" applyBorder="1"/>
    <xf numFmtId="0" fontId="3" fillId="6" borderId="3" xfId="13" applyFill="1" applyBorder="1"/>
    <xf numFmtId="0" fontId="17" fillId="2" borderId="16" xfId="13" applyFont="1" applyFill="1" applyBorder="1" applyAlignment="1">
      <alignment horizontal="left"/>
    </xf>
    <xf numFmtId="0" fontId="14" fillId="2" borderId="11" xfId="13" applyFont="1" applyFill="1" applyBorder="1" applyAlignment="1">
      <alignment horizontal="center"/>
    </xf>
    <xf numFmtId="0" fontId="15" fillId="2" borderId="12" xfId="13" applyFont="1" applyFill="1" applyBorder="1" applyAlignment="1">
      <alignment horizontal="center"/>
    </xf>
    <xf numFmtId="0" fontId="6" fillId="5" borderId="27" xfId="13" applyFont="1" applyFill="1" applyBorder="1" applyAlignment="1">
      <alignment horizontal="left"/>
    </xf>
    <xf numFmtId="0" fontId="7" fillId="5" borderId="33" xfId="13" applyFont="1" applyFill="1" applyBorder="1" applyAlignment="1">
      <alignment horizontal="left"/>
    </xf>
    <xf numFmtId="0" fontId="6" fillId="5" borderId="33" xfId="13" applyFont="1" applyFill="1" applyBorder="1" applyAlignment="1">
      <alignment horizontal="left"/>
    </xf>
    <xf numFmtId="0" fontId="6" fillId="5" borderId="62" xfId="13" applyFont="1" applyFill="1" applyBorder="1" applyAlignment="1">
      <alignment horizontal="left"/>
    </xf>
    <xf numFmtId="0" fontId="20" fillId="6" borderId="1" xfId="14" applyFont="1" applyFill="1" applyBorder="1"/>
    <xf numFmtId="0" fontId="20" fillId="6" borderId="2" xfId="14" applyFont="1" applyFill="1" applyBorder="1"/>
    <xf numFmtId="0" fontId="20" fillId="6" borderId="3" xfId="14" applyFont="1" applyFill="1" applyBorder="1"/>
    <xf numFmtId="0" fontId="17" fillId="2" borderId="16" xfId="14" applyFont="1" applyFill="1" applyBorder="1" applyAlignment="1">
      <alignment horizontal="left"/>
    </xf>
    <xf numFmtId="0" fontId="14" fillId="2" borderId="11" xfId="14" applyFont="1" applyFill="1" applyBorder="1" applyAlignment="1">
      <alignment horizontal="center"/>
    </xf>
    <xf numFmtId="0" fontId="15" fillId="2" borderId="12" xfId="14" applyFont="1" applyFill="1" applyBorder="1" applyAlignment="1">
      <alignment horizontal="center"/>
    </xf>
    <xf numFmtId="0" fontId="6" fillId="5" borderId="27" xfId="14" applyFont="1" applyFill="1" applyBorder="1" applyAlignment="1">
      <alignment horizontal="left"/>
    </xf>
    <xf numFmtId="0" fontId="7" fillId="5" borderId="33" xfId="14" applyFont="1" applyFill="1" applyBorder="1" applyAlignment="1">
      <alignment horizontal="left"/>
    </xf>
    <xf numFmtId="0" fontId="6" fillId="5" borderId="33" xfId="14" applyFont="1" applyFill="1" applyBorder="1" applyAlignment="1">
      <alignment horizontal="left"/>
    </xf>
    <xf numFmtId="0" fontId="6" fillId="5" borderId="62" xfId="14" applyFont="1" applyFill="1" applyBorder="1" applyAlignment="1">
      <alignment horizontal="left"/>
    </xf>
    <xf numFmtId="0" fontId="3" fillId="6" borderId="1" xfId="15" applyFill="1" applyBorder="1"/>
    <xf numFmtId="0" fontId="3" fillId="6" borderId="2" xfId="15" applyFill="1" applyBorder="1"/>
    <xf numFmtId="0" fontId="3" fillId="6" borderId="3" xfId="15" applyFill="1" applyBorder="1"/>
    <xf numFmtId="0" fontId="6" fillId="2" borderId="16" xfId="15" applyFont="1" applyFill="1" applyBorder="1" applyAlignment="1">
      <alignment horizontal="left"/>
    </xf>
    <xf numFmtId="0" fontId="3" fillId="4" borderId="11" xfId="15" applyFill="1" applyBorder="1" applyAlignment="1"/>
    <xf numFmtId="0" fontId="3" fillId="4" borderId="12" xfId="15" applyFill="1" applyBorder="1" applyAlignment="1"/>
    <xf numFmtId="0" fontId="7" fillId="5" borderId="33" xfId="15" applyFont="1" applyFill="1" applyBorder="1" applyAlignment="1">
      <alignment horizontal="left"/>
    </xf>
    <xf numFmtId="0" fontId="6" fillId="5" borderId="33" xfId="15" applyFont="1" applyFill="1" applyBorder="1" applyAlignment="1">
      <alignment horizontal="left"/>
    </xf>
    <xf numFmtId="0" fontId="6" fillId="5" borderId="62" xfId="15" applyFont="1" applyFill="1" applyBorder="1" applyAlignment="1">
      <alignment horizontal="left"/>
    </xf>
    <xf numFmtId="0" fontId="3" fillId="6" borderId="1" xfId="16" applyFill="1" applyBorder="1"/>
    <xf numFmtId="0" fontId="3" fillId="6" borderId="2" xfId="16" applyFill="1" applyBorder="1"/>
    <xf numFmtId="0" fontId="3" fillId="6" borderId="3" xfId="16" applyFill="1" applyBorder="1"/>
    <xf numFmtId="0" fontId="17" fillId="2" borderId="16" xfId="16" applyFont="1" applyFill="1" applyBorder="1" applyAlignment="1">
      <alignment horizontal="left"/>
    </xf>
    <xf numFmtId="0" fontId="6" fillId="5" borderId="27" xfId="16" applyFont="1" applyFill="1" applyBorder="1" applyAlignment="1">
      <alignment horizontal="left"/>
    </xf>
    <xf numFmtId="0" fontId="7" fillId="5" borderId="33" xfId="16" applyFont="1" applyFill="1" applyBorder="1" applyAlignment="1">
      <alignment horizontal="left"/>
    </xf>
    <xf numFmtId="0" fontId="6" fillId="5" borderId="33" xfId="16" applyFont="1" applyFill="1" applyBorder="1" applyAlignment="1">
      <alignment horizontal="left"/>
    </xf>
    <xf numFmtId="0" fontId="6" fillId="5" borderId="62" xfId="16" applyFont="1" applyFill="1" applyBorder="1" applyAlignment="1">
      <alignment horizontal="left"/>
    </xf>
    <xf numFmtId="0" fontId="3" fillId="6" borderId="1" xfId="17" applyFill="1" applyBorder="1"/>
    <xf numFmtId="0" fontId="3" fillId="6" borderId="2" xfId="17" applyFill="1" applyBorder="1"/>
    <xf numFmtId="0" fontId="3" fillId="6" borderId="3" xfId="17" applyFill="1" applyBorder="1"/>
    <xf numFmtId="0" fontId="17" fillId="2" borderId="16" xfId="17" applyFont="1" applyFill="1" applyBorder="1" applyAlignment="1">
      <alignment horizontal="left"/>
    </xf>
    <xf numFmtId="0" fontId="17" fillId="2" borderId="11" xfId="17" applyFont="1" applyFill="1" applyBorder="1" applyAlignment="1">
      <alignment horizontal="left"/>
    </xf>
    <xf numFmtId="0" fontId="14" fillId="2" borderId="12" xfId="17" applyFont="1" applyFill="1" applyBorder="1" applyAlignment="1">
      <alignment horizontal="center"/>
    </xf>
    <xf numFmtId="0" fontId="6" fillId="5" borderId="1" xfId="17" applyFont="1" applyFill="1" applyBorder="1" applyAlignment="1">
      <alignment horizontal="left"/>
    </xf>
    <xf numFmtId="0" fontId="6" fillId="5" borderId="28" xfId="17" applyFont="1" applyFill="1" applyBorder="1" applyAlignment="1">
      <alignment horizontal="left"/>
    </xf>
    <xf numFmtId="0" fontId="7" fillId="5" borderId="34" xfId="17" applyFont="1" applyFill="1" applyBorder="1" applyAlignment="1">
      <alignment horizontal="left"/>
    </xf>
    <xf numFmtId="3" fontId="7" fillId="5" borderId="34" xfId="17" applyNumberFormat="1" applyFont="1" applyFill="1" applyBorder="1" applyAlignment="1">
      <alignment horizontal="left"/>
    </xf>
    <xf numFmtId="3" fontId="6" fillId="5" borderId="40" xfId="17" applyNumberFormat="1" applyFont="1" applyFill="1" applyBorder="1" applyAlignment="1">
      <alignment horizontal="left"/>
    </xf>
    <xf numFmtId="3" fontId="6" fillId="5" borderId="63" xfId="17" applyNumberFormat="1" applyFont="1" applyFill="1" applyBorder="1" applyAlignment="1">
      <alignment horizontal="left"/>
    </xf>
    <xf numFmtId="1" fontId="22" fillId="5" borderId="27" xfId="7" applyNumberFormat="1" applyFont="1" applyFill="1" applyBorder="1" applyAlignment="1">
      <alignment horizontal="left"/>
    </xf>
    <xf numFmtId="1" fontId="6" fillId="5" borderId="33" xfId="7" applyNumberFormat="1" applyFont="1" applyFill="1" applyBorder="1" applyAlignment="1">
      <alignment horizontal="left"/>
    </xf>
    <xf numFmtId="1" fontId="7" fillId="5" borderId="33" xfId="7" applyNumberFormat="1" applyFont="1" applyFill="1" applyBorder="1" applyAlignment="1">
      <alignment horizontal="left"/>
    </xf>
    <xf numFmtId="1" fontId="22" fillId="5" borderId="33" xfId="7" applyNumberFormat="1" applyFont="1" applyFill="1" applyBorder="1" applyAlignment="1">
      <alignment horizontal="left"/>
    </xf>
    <xf numFmtId="3" fontId="22" fillId="5" borderId="33" xfId="7" applyNumberFormat="1" applyFont="1" applyFill="1" applyBorder="1" applyAlignment="1">
      <alignment horizontal="left"/>
    </xf>
    <xf numFmtId="1" fontId="6" fillId="5" borderId="33" xfId="7" quotePrefix="1" applyNumberFormat="1" applyFont="1" applyFill="1" applyBorder="1" applyAlignment="1">
      <alignment horizontal="left"/>
    </xf>
    <xf numFmtId="0" fontId="22" fillId="5" borderId="33" xfId="7" applyFont="1" applyFill="1" applyBorder="1" applyAlignment="1">
      <alignment horizontal="left"/>
    </xf>
    <xf numFmtId="1" fontId="22" fillId="5" borderId="62" xfId="7" quotePrefix="1" applyNumberFormat="1" applyFont="1" applyFill="1" applyBorder="1" applyAlignment="1">
      <alignment horizontal="left"/>
    </xf>
    <xf numFmtId="0" fontId="54" fillId="6" borderId="1" xfId="0" applyFont="1" applyFill="1" applyBorder="1"/>
    <xf numFmtId="0" fontId="54" fillId="6" borderId="2" xfId="0" applyFont="1" applyFill="1" applyBorder="1"/>
    <xf numFmtId="0" fontId="54" fillId="6" borderId="3" xfId="0" applyFont="1" applyFill="1" applyBorder="1"/>
    <xf numFmtId="0" fontId="45" fillId="9" borderId="32" xfId="24" applyFont="1" applyFill="1" applyBorder="1"/>
    <xf numFmtId="0" fontId="45" fillId="9" borderId="0" xfId="24" applyFont="1" applyFill="1" applyBorder="1" applyAlignment="1">
      <alignment horizontal="center"/>
    </xf>
    <xf numFmtId="0" fontId="45" fillId="9" borderId="34" xfId="24" applyFont="1" applyFill="1" applyBorder="1" applyAlignment="1">
      <alignment horizontal="center"/>
    </xf>
    <xf numFmtId="171" fontId="44" fillId="9" borderId="0" xfId="24" applyNumberFormat="1" applyFill="1" applyBorder="1" applyAlignment="1">
      <alignment horizontal="center"/>
    </xf>
    <xf numFmtId="3" fontId="44" fillId="9" borderId="34" xfId="24" applyNumberFormat="1" applyFill="1" applyBorder="1" applyAlignment="1">
      <alignment horizontal="center"/>
    </xf>
    <xf numFmtId="0" fontId="44" fillId="9" borderId="0" xfId="24" applyFill="1" applyBorder="1" applyAlignment="1">
      <alignment horizontal="center"/>
    </xf>
    <xf numFmtId="0" fontId="45" fillId="9" borderId="32" xfId="24" applyFont="1" applyFill="1" applyBorder="1" applyAlignment="1">
      <alignment horizontal="left"/>
    </xf>
    <xf numFmtId="0" fontId="44" fillId="9" borderId="0" xfId="24" applyFill="1" applyBorder="1"/>
    <xf numFmtId="0" fontId="44" fillId="9" borderId="34" xfId="24" applyFill="1" applyBorder="1"/>
    <xf numFmtId="0" fontId="82" fillId="9" borderId="32" xfId="24" applyFont="1" applyFill="1" applyBorder="1" applyAlignment="1">
      <alignment horizontal="left"/>
    </xf>
    <xf numFmtId="0" fontId="82" fillId="9" borderId="35" xfId="24" applyFont="1" applyFill="1" applyBorder="1" applyAlignment="1">
      <alignment horizontal="left"/>
    </xf>
    <xf numFmtId="0" fontId="44" fillId="9" borderId="8" xfId="24" applyFill="1" applyBorder="1"/>
    <xf numFmtId="0" fontId="44" fillId="9" borderId="37" xfId="24" applyFill="1" applyBorder="1"/>
    <xf numFmtId="0" fontId="20" fillId="6" borderId="1" xfId="25" applyNumberFormat="1" applyFont="1" applyFill="1" applyBorder="1"/>
    <xf numFmtId="0" fontId="20" fillId="6" borderId="2" xfId="25" applyNumberFormat="1" applyFont="1" applyFill="1" applyBorder="1"/>
    <xf numFmtId="0" fontId="20" fillId="6" borderId="3" xfId="25" applyNumberFormat="1" applyFont="1" applyFill="1" applyBorder="1"/>
    <xf numFmtId="0" fontId="83" fillId="4" borderId="24" xfId="25" applyNumberFormat="1" applyFont="1" applyFill="1" applyBorder="1" applyAlignment="1">
      <alignment horizontal="left"/>
    </xf>
    <xf numFmtId="0" fontId="83" fillId="4" borderId="26" xfId="25" applyNumberFormat="1" applyFont="1" applyFill="1" applyBorder="1" applyAlignment="1">
      <alignment horizontal="center"/>
    </xf>
    <xf numFmtId="0" fontId="83" fillId="4" borderId="4" xfId="25" applyNumberFormat="1" applyFont="1" applyFill="1" applyBorder="1" applyAlignment="1">
      <alignment horizontal="left"/>
    </xf>
    <xf numFmtId="0" fontId="83" fillId="4" borderId="5" xfId="25" applyNumberFormat="1" applyFont="1" applyFill="1" applyBorder="1" applyAlignment="1">
      <alignment horizontal="center"/>
    </xf>
    <xf numFmtId="0" fontId="83" fillId="4" borderId="4" xfId="25" applyNumberFormat="1" applyFont="1" applyFill="1" applyBorder="1" applyAlignment="1">
      <alignment horizontal="center"/>
    </xf>
    <xf numFmtId="0" fontId="83" fillId="4" borderId="6" xfId="25" applyNumberFormat="1" applyFont="1" applyFill="1" applyBorder="1" applyAlignment="1">
      <alignment horizontal="right"/>
    </xf>
    <xf numFmtId="0" fontId="83" fillId="4" borderId="7" xfId="25" applyNumberFormat="1" applyFont="1" applyFill="1" applyBorder="1" applyAlignment="1">
      <alignment horizontal="right"/>
    </xf>
    <xf numFmtId="0" fontId="84" fillId="9" borderId="102" xfId="25" applyNumberFormat="1" applyFont="1" applyFill="1" applyBorder="1" applyAlignment="1"/>
    <xf numFmtId="11" fontId="85" fillId="9" borderId="103" xfId="25" applyNumberFormat="1" applyFont="1" applyFill="1" applyBorder="1" applyAlignment="1"/>
    <xf numFmtId="0" fontId="84" fillId="9" borderId="4" xfId="25" applyNumberFormat="1" applyFont="1" applyFill="1" applyBorder="1" applyAlignment="1"/>
    <xf numFmtId="11" fontId="85" fillId="9" borderId="5" xfId="25" applyNumberFormat="1" applyFont="1" applyFill="1" applyBorder="1" applyAlignment="1"/>
    <xf numFmtId="0" fontId="84" fillId="9" borderId="104" xfId="25" applyNumberFormat="1" applyFont="1" applyFill="1" applyBorder="1" applyAlignment="1"/>
    <xf numFmtId="11" fontId="85" fillId="9" borderId="105" xfId="25" applyNumberFormat="1" applyFont="1" applyFill="1" applyBorder="1" applyAlignment="1"/>
    <xf numFmtId="0" fontId="84" fillId="9" borderId="106" xfId="25" applyNumberFormat="1" applyFont="1" applyFill="1" applyBorder="1" applyAlignment="1"/>
    <xf numFmtId="11" fontId="85" fillId="9" borderId="107" xfId="25" applyNumberFormat="1" applyFont="1" applyFill="1" applyBorder="1" applyAlignment="1">
      <alignment horizontal="center"/>
    </xf>
    <xf numFmtId="11" fontId="85" fillId="9" borderId="108" xfId="25" applyNumberFormat="1" applyFont="1" applyFill="1" applyBorder="1" applyAlignment="1"/>
    <xf numFmtId="0" fontId="8" fillId="3" borderId="11" xfId="10" applyFont="1" applyFill="1" applyBorder="1" applyAlignment="1"/>
    <xf numFmtId="0" fontId="3" fillId="6" borderId="38" xfId="10" applyFill="1" applyBorder="1"/>
    <xf numFmtId="0" fontId="3" fillId="6" borderId="9" xfId="10" applyFill="1" applyBorder="1"/>
    <xf numFmtId="0" fontId="3" fillId="6" borderId="40" xfId="10" applyFill="1" applyBorder="1"/>
    <xf numFmtId="0" fontId="14" fillId="13" borderId="4" xfId="10" applyFont="1" applyFill="1" applyBorder="1" applyAlignment="1">
      <alignment horizontal="right"/>
    </xf>
    <xf numFmtId="0" fontId="14" fillId="13" borderId="0" xfId="10" applyFont="1" applyFill="1" applyBorder="1" applyAlignment="1">
      <alignment horizontal="right"/>
    </xf>
    <xf numFmtId="0" fontId="14" fillId="13" borderId="5" xfId="10" applyFont="1" applyFill="1" applyBorder="1" applyAlignment="1">
      <alignment horizontal="right"/>
    </xf>
    <xf numFmtId="0" fontId="6" fillId="5" borderId="1" xfId="10" applyFont="1" applyFill="1" applyBorder="1" applyAlignment="1">
      <alignment horizontal="left"/>
    </xf>
    <xf numFmtId="0" fontId="3" fillId="3" borderId="2" xfId="10" applyFill="1" applyBorder="1" applyAlignment="1"/>
    <xf numFmtId="0" fontId="3" fillId="3" borderId="3" xfId="10" applyFill="1" applyBorder="1" applyAlignment="1"/>
    <xf numFmtId="0" fontId="60" fillId="6" borderId="72" xfId="0" applyFont="1" applyFill="1" applyBorder="1" applyAlignment="1">
      <alignment horizontal="center"/>
    </xf>
    <xf numFmtId="0" fontId="60" fillId="6" borderId="74" xfId="0" applyFont="1" applyFill="1" applyBorder="1" applyAlignment="1">
      <alignment horizontal="center"/>
    </xf>
    <xf numFmtId="0" fontId="0" fillId="6" borderId="74" xfId="0" applyFill="1" applyBorder="1"/>
    <xf numFmtId="0" fontId="0" fillId="6" borderId="50" xfId="0" applyFill="1" applyBorder="1"/>
    <xf numFmtId="0" fontId="11" fillId="4" borderId="6" xfId="0" applyFont="1" applyFill="1" applyBorder="1"/>
    <xf numFmtId="0" fontId="11" fillId="4" borderId="32" xfId="0" applyFont="1" applyFill="1" applyBorder="1" applyAlignment="1">
      <alignment horizontal="right"/>
    </xf>
    <xf numFmtId="0" fontId="11" fillId="4" borderId="0" xfId="0" applyFont="1" applyFill="1" applyBorder="1" applyAlignment="1">
      <alignment horizontal="right"/>
    </xf>
    <xf numFmtId="0" fontId="66" fillId="4" borderId="4" xfId="0" applyFont="1" applyFill="1" applyBorder="1" applyAlignment="1">
      <alignment horizontal="right"/>
    </xf>
    <xf numFmtId="0" fontId="66" fillId="4" borderId="34" xfId="0" applyFont="1" applyFill="1" applyBorder="1" applyAlignment="1">
      <alignment horizontal="right"/>
    </xf>
    <xf numFmtId="0" fontId="66" fillId="4" borderId="5" xfId="0" applyFont="1" applyFill="1" applyBorder="1" applyAlignment="1">
      <alignment horizontal="right"/>
    </xf>
    <xf numFmtId="0" fontId="11" fillId="4" borderId="33" xfId="0" applyFont="1" applyFill="1" applyBorder="1" applyAlignment="1">
      <alignment horizontal="right"/>
    </xf>
    <xf numFmtId="0" fontId="11" fillId="4" borderId="34" xfId="0" applyFont="1" applyFill="1" applyBorder="1" applyAlignment="1">
      <alignment horizontal="right"/>
    </xf>
    <xf numFmtId="0" fontId="11" fillId="4" borderId="5" xfId="0" applyFont="1" applyFill="1" applyBorder="1" applyAlignment="1">
      <alignment horizontal="right"/>
    </xf>
    <xf numFmtId="0" fontId="69" fillId="14" borderId="72" xfId="0" applyFont="1" applyFill="1" applyBorder="1" applyAlignment="1">
      <alignment horizontal="center"/>
    </xf>
    <xf numFmtId="0" fontId="69" fillId="14" borderId="74" xfId="0" applyFont="1" applyFill="1" applyBorder="1" applyAlignment="1">
      <alignment horizontal="center"/>
    </xf>
    <xf numFmtId="0" fontId="70" fillId="14" borderId="74" xfId="0" applyFont="1" applyFill="1" applyBorder="1"/>
    <xf numFmtId="0" fontId="0" fillId="14" borderId="74" xfId="0" applyFill="1" applyBorder="1"/>
    <xf numFmtId="0" fontId="0" fillId="14" borderId="50" xfId="0" applyFill="1" applyBorder="1"/>
    <xf numFmtId="3" fontId="62" fillId="9" borderId="15" xfId="0" applyNumberFormat="1" applyFont="1" applyFill="1" applyBorder="1" applyAlignment="1">
      <alignment horizontal="right"/>
    </xf>
    <xf numFmtId="3" fontId="62" fillId="9" borderId="0" xfId="0" applyNumberFormat="1" applyFont="1" applyFill="1" applyBorder="1" applyAlignment="1">
      <alignment horizontal="right"/>
    </xf>
    <xf numFmtId="3" fontId="62" fillId="9" borderId="41" xfId="0" applyNumberFormat="1" applyFont="1" applyFill="1" applyBorder="1" applyAlignment="1">
      <alignment horizontal="right"/>
    </xf>
    <xf numFmtId="0" fontId="11" fillId="4" borderId="43" xfId="0" applyFont="1" applyFill="1" applyBorder="1"/>
    <xf numFmtId="0" fontId="11" fillId="4" borderId="68" xfId="0" applyFont="1" applyFill="1" applyBorder="1"/>
    <xf numFmtId="3" fontId="13" fillId="9" borderId="15" xfId="0" applyNumberFormat="1" applyFont="1" applyFill="1" applyBorder="1" applyAlignment="1">
      <alignment horizontal="right"/>
    </xf>
    <xf numFmtId="3" fontId="13" fillId="9" borderId="0" xfId="0" applyNumberFormat="1" applyFont="1" applyFill="1" applyBorder="1" applyAlignment="1">
      <alignment horizontal="right"/>
    </xf>
    <xf numFmtId="3" fontId="13" fillId="9" borderId="13" xfId="0" applyNumberFormat="1" applyFont="1" applyFill="1" applyBorder="1" applyAlignment="1">
      <alignment horizontal="right"/>
    </xf>
    <xf numFmtId="0" fontId="48" fillId="7" borderId="4" xfId="0" applyFont="1" applyFill="1" applyBorder="1" applyAlignment="1">
      <alignment horizontal="left"/>
    </xf>
    <xf numFmtId="0" fontId="48" fillId="7" borderId="16" xfId="0" applyFont="1" applyFill="1" applyBorder="1" applyAlignment="1">
      <alignment horizontal="left"/>
    </xf>
    <xf numFmtId="0" fontId="48" fillId="7" borderId="1" xfId="0" applyFont="1" applyFill="1" applyBorder="1"/>
    <xf numFmtId="0" fontId="48" fillId="7" borderId="4" xfId="0" applyFont="1" applyFill="1" applyBorder="1"/>
    <xf numFmtId="0" fontId="48" fillId="7" borderId="20" xfId="0" applyFont="1" applyFill="1" applyBorder="1" applyAlignment="1">
      <alignment horizontal="center"/>
    </xf>
    <xf numFmtId="166" fontId="48" fillId="7" borderId="22" xfId="0" applyNumberFormat="1" applyFont="1" applyFill="1" applyBorder="1" applyAlignment="1">
      <alignment horizontal="right"/>
    </xf>
    <xf numFmtId="166" fontId="48" fillId="7" borderId="22" xfId="0" applyNumberFormat="1" applyFont="1" applyFill="1" applyBorder="1"/>
    <xf numFmtId="0" fontId="48" fillId="7" borderId="22" xfId="0" applyFont="1" applyFill="1" applyBorder="1" applyAlignment="1">
      <alignment horizontal="right"/>
    </xf>
    <xf numFmtId="166" fontId="48" fillId="7" borderId="21" xfId="0" applyNumberFormat="1" applyFont="1" applyFill="1" applyBorder="1" applyAlignment="1">
      <alignment horizontal="right"/>
    </xf>
    <xf numFmtId="3" fontId="45" fillId="0" borderId="52" xfId="5" applyNumberFormat="1" applyFont="1" applyBorder="1" applyAlignment="1">
      <alignment horizontal="center"/>
    </xf>
    <xf numFmtId="3" fontId="45" fillId="15" borderId="52" xfId="5" applyNumberFormat="1" applyFont="1" applyFill="1" applyBorder="1" applyAlignment="1">
      <alignment horizontal="center"/>
    </xf>
    <xf numFmtId="3" fontId="45" fillId="7" borderId="52" xfId="5" applyNumberFormat="1" applyFont="1" applyFill="1" applyBorder="1" applyAlignment="1">
      <alignment horizontal="center"/>
    </xf>
    <xf numFmtId="3" fontId="47" fillId="15" borderId="52" xfId="5" applyNumberFormat="1" applyFont="1" applyFill="1" applyBorder="1" applyAlignment="1">
      <alignment horizontal="center"/>
    </xf>
    <xf numFmtId="0" fontId="13" fillId="5" borderId="33" xfId="12" applyFont="1" applyFill="1" applyBorder="1" applyAlignment="1">
      <alignment horizontal="left"/>
    </xf>
    <xf numFmtId="3" fontId="45" fillId="0" borderId="52" xfId="6" applyNumberFormat="1" applyFont="1" applyBorder="1" applyAlignment="1">
      <alignment horizontal="center"/>
    </xf>
    <xf numFmtId="165" fontId="45" fillId="0" borderId="52" xfId="6" applyNumberFormat="1" applyFont="1" applyBorder="1" applyAlignment="1">
      <alignment horizontal="center"/>
    </xf>
    <xf numFmtId="3" fontId="47" fillId="15" borderId="52" xfId="6" applyNumberFormat="1" applyFont="1" applyFill="1" applyBorder="1" applyAlignment="1">
      <alignment horizontal="center"/>
    </xf>
    <xf numFmtId="3" fontId="0" fillId="0" borderId="43" xfId="0" applyNumberFormat="1" applyFill="1" applyBorder="1" applyAlignment="1">
      <alignment horizontal="center"/>
    </xf>
    <xf numFmtId="3" fontId="0" fillId="0" borderId="0" xfId="0" applyNumberFormat="1" applyFill="1" applyBorder="1" applyAlignment="1">
      <alignment horizontal="center"/>
    </xf>
    <xf numFmtId="3" fontId="45" fillId="0" borderId="52" xfId="5" applyNumberFormat="1" applyFont="1" applyFill="1" applyBorder="1" applyAlignment="1">
      <alignment horizontal="center"/>
    </xf>
    <xf numFmtId="3" fontId="45" fillId="0" borderId="8" xfId="5" applyNumberFormat="1" applyFont="1" applyFill="1" applyBorder="1" applyAlignment="1">
      <alignment horizontal="center"/>
    </xf>
    <xf numFmtId="3" fontId="45" fillId="0" borderId="18" xfId="5" applyNumberFormat="1" applyFont="1" applyFill="1" applyBorder="1" applyAlignment="1">
      <alignment horizontal="left"/>
    </xf>
    <xf numFmtId="3" fontId="45" fillId="0" borderId="0" xfId="5" applyNumberFormat="1" applyFont="1" applyFill="1" applyBorder="1" applyAlignment="1">
      <alignment horizontal="center"/>
    </xf>
    <xf numFmtId="3" fontId="45" fillId="0" borderId="19" xfId="5" applyNumberFormat="1" applyFont="1" applyFill="1" applyBorder="1" applyAlignment="1">
      <alignment horizontal="center"/>
    </xf>
    <xf numFmtId="0" fontId="0" fillId="0" borderId="0" xfId="0" applyFill="1"/>
    <xf numFmtId="3" fontId="47" fillId="9" borderId="52" xfId="5" applyNumberFormat="1" applyFont="1" applyFill="1" applyBorder="1" applyAlignment="1">
      <alignment horizontal="center"/>
    </xf>
    <xf numFmtId="0" fontId="45" fillId="0" borderId="0" xfId="5" applyFont="1" applyFill="1"/>
    <xf numFmtId="3" fontId="47" fillId="0" borderId="0" xfId="5" applyNumberFormat="1" applyFont="1" applyFill="1" applyBorder="1" applyAlignment="1">
      <alignment horizontal="center"/>
    </xf>
    <xf numFmtId="3" fontId="47" fillId="0" borderId="0" xfId="6" applyNumberFormat="1" applyFont="1" applyFill="1" applyBorder="1" applyAlignment="1">
      <alignment horizontal="center"/>
    </xf>
    <xf numFmtId="0" fontId="44" fillId="0" borderId="0" xfId="6" applyFill="1"/>
    <xf numFmtId="3" fontId="47" fillId="9" borderId="52" xfId="6" applyNumberFormat="1" applyFont="1" applyFill="1" applyBorder="1" applyAlignment="1">
      <alignment horizontal="center"/>
    </xf>
    <xf numFmtId="3" fontId="8" fillId="3" borderId="0" xfId="12" quotePrefix="1" applyNumberFormat="1" applyFont="1" applyFill="1" applyBorder="1" applyAlignment="1"/>
    <xf numFmtId="3" fontId="8" fillId="3" borderId="5" xfId="12" quotePrefix="1" applyNumberFormat="1" applyFont="1" applyFill="1" applyBorder="1" applyAlignment="1"/>
    <xf numFmtId="3" fontId="45" fillId="0" borderId="52" xfId="6" applyNumberFormat="1" applyFont="1" applyFill="1" applyBorder="1" applyAlignment="1">
      <alignment horizontal="center"/>
    </xf>
    <xf numFmtId="0" fontId="0" fillId="3" borderId="0" xfId="0" applyFill="1" applyAlignment="1">
      <alignment horizontal="right"/>
    </xf>
    <xf numFmtId="0" fontId="87" fillId="0" borderId="0" xfId="1" applyAlignment="1" applyProtection="1"/>
    <xf numFmtId="0" fontId="9" fillId="0" borderId="0" xfId="10" applyFont="1" applyFill="1"/>
    <xf numFmtId="3" fontId="58" fillId="9" borderId="3" xfId="0" applyNumberFormat="1" applyFont="1" applyFill="1" applyBorder="1" applyAlignment="1">
      <alignment horizontal="center"/>
    </xf>
    <xf numFmtId="3" fontId="13" fillId="9" borderId="50" xfId="0" applyNumberFormat="1" applyFont="1" applyFill="1" applyBorder="1" applyAlignment="1">
      <alignment horizontal="center"/>
    </xf>
    <xf numFmtId="0" fontId="31" fillId="9" borderId="4" xfId="0" applyNumberFormat="1" applyFont="1" applyFill="1" applyBorder="1"/>
    <xf numFmtId="0" fontId="31" fillId="9" borderId="16" xfId="0" applyNumberFormat="1" applyFont="1" applyFill="1" applyBorder="1"/>
    <xf numFmtId="3" fontId="0" fillId="9" borderId="28" xfId="0" applyNumberFormat="1" applyFill="1" applyBorder="1" applyAlignment="1">
      <alignment horizontal="center"/>
    </xf>
    <xf numFmtId="3" fontId="0" fillId="9" borderId="34" xfId="0" applyNumberFormat="1" applyFill="1" applyBorder="1" applyAlignment="1">
      <alignment horizontal="center"/>
    </xf>
    <xf numFmtId="3" fontId="0" fillId="9" borderId="63" xfId="0" applyNumberFormat="1" applyFill="1" applyBorder="1" applyAlignment="1">
      <alignment horizontal="center"/>
    </xf>
    <xf numFmtId="3" fontId="0" fillId="3" borderId="3" xfId="0" applyNumberFormat="1" applyFill="1" applyBorder="1" applyAlignment="1">
      <alignment horizontal="center"/>
    </xf>
    <xf numFmtId="3" fontId="0" fillId="3" borderId="5" xfId="0" applyNumberFormat="1" applyFill="1" applyBorder="1" applyAlignment="1">
      <alignment horizontal="center"/>
    </xf>
    <xf numFmtId="3" fontId="0" fillId="3" borderId="12" xfId="0" applyNumberFormat="1" applyFill="1" applyBorder="1" applyAlignment="1">
      <alignment horizontal="center"/>
    </xf>
    <xf numFmtId="3" fontId="0" fillId="3" borderId="29" xfId="0" applyNumberFormat="1" applyFill="1" applyBorder="1" applyAlignment="1">
      <alignment horizontal="center"/>
    </xf>
    <xf numFmtId="3" fontId="0" fillId="3" borderId="35" xfId="0" applyNumberFormat="1" applyFill="1" applyBorder="1" applyAlignment="1">
      <alignment horizontal="center"/>
    </xf>
    <xf numFmtId="3" fontId="0" fillId="9" borderId="72" xfId="0" applyNumberFormat="1" applyFill="1" applyBorder="1" applyAlignment="1">
      <alignment horizontal="center"/>
    </xf>
    <xf numFmtId="3" fontId="0" fillId="9" borderId="109" xfId="0" applyNumberFormat="1" applyFill="1" applyBorder="1" applyAlignment="1">
      <alignment horizontal="center"/>
    </xf>
    <xf numFmtId="3" fontId="0" fillId="9" borderId="110" xfId="0" applyNumberFormat="1" applyFill="1" applyBorder="1" applyAlignment="1">
      <alignment horizontal="center"/>
    </xf>
    <xf numFmtId="0" fontId="31" fillId="9" borderId="1" xfId="0" applyNumberFormat="1" applyFont="1" applyFill="1" applyBorder="1"/>
    <xf numFmtId="3" fontId="0" fillId="3" borderId="45" xfId="0" applyNumberFormat="1" applyFill="1" applyBorder="1" applyAlignment="1">
      <alignment horizontal="center"/>
    </xf>
    <xf numFmtId="3" fontId="0" fillId="3" borderId="7" xfId="0" applyNumberFormat="1" applyFill="1" applyBorder="1" applyAlignment="1">
      <alignment horizontal="center"/>
    </xf>
    <xf numFmtId="3" fontId="0" fillId="3" borderId="26" xfId="0" applyNumberFormat="1" applyFill="1" applyBorder="1" applyAlignment="1">
      <alignment horizontal="center"/>
    </xf>
    <xf numFmtId="3" fontId="0" fillId="3" borderId="111" xfId="0" applyNumberFormat="1" applyFill="1" applyBorder="1" applyAlignment="1">
      <alignment horizontal="center"/>
    </xf>
    <xf numFmtId="10" fontId="18" fillId="12" borderId="0" xfId="4" applyNumberFormat="1" applyFont="1" applyFill="1" applyBorder="1"/>
    <xf numFmtId="3" fontId="58" fillId="3" borderId="0" xfId="19" applyNumberFormat="1" applyFont="1" applyFill="1" applyBorder="1" applyAlignment="1"/>
    <xf numFmtId="3" fontId="58" fillId="3" borderId="5" xfId="19" applyNumberFormat="1" applyFont="1" applyFill="1" applyBorder="1" applyAlignment="1"/>
    <xf numFmtId="3" fontId="21" fillId="3" borderId="0" xfId="20" applyNumberFormat="1" applyFont="1" applyFill="1" applyBorder="1" applyAlignment="1"/>
    <xf numFmtId="3" fontId="21" fillId="3" borderId="0" xfId="19" applyNumberFormat="1" applyFont="1" applyFill="1" applyBorder="1" applyAlignment="1"/>
    <xf numFmtId="3" fontId="21" fillId="3" borderId="0" xfId="21" applyNumberFormat="1" applyFont="1" applyFill="1" applyBorder="1" applyAlignment="1"/>
    <xf numFmtId="3" fontId="21" fillId="3" borderId="5" xfId="21" applyNumberFormat="1" applyFont="1" applyFill="1" applyBorder="1" applyAlignment="1"/>
    <xf numFmtId="3" fontId="21" fillId="3" borderId="0" xfId="22" applyNumberFormat="1" applyFont="1" applyFill="1" applyBorder="1" applyAlignment="1"/>
    <xf numFmtId="3" fontId="21" fillId="3" borderId="5" xfId="22" applyNumberFormat="1" applyFont="1" applyFill="1" applyBorder="1" applyAlignment="1"/>
    <xf numFmtId="0" fontId="21" fillId="3" borderId="0" xfId="22" applyFont="1" applyFill="1" applyBorder="1" applyAlignment="1"/>
    <xf numFmtId="0" fontId="21" fillId="3" borderId="5" xfId="22" applyFont="1" applyFill="1" applyBorder="1" applyAlignment="1"/>
    <xf numFmtId="3" fontId="21" fillId="3" borderId="0" xfId="23" applyNumberFormat="1" applyFont="1" applyFill="1" applyBorder="1" applyAlignment="1"/>
    <xf numFmtId="0" fontId="21" fillId="3" borderId="0" xfId="23" applyFont="1" applyFill="1" applyBorder="1" applyAlignment="1"/>
    <xf numFmtId="3" fontId="58" fillId="12" borderId="0" xfId="0" applyNumberFormat="1" applyFont="1" applyFill="1" applyBorder="1"/>
    <xf numFmtId="3" fontId="58" fillId="12" borderId="5" xfId="0" applyNumberFormat="1" applyFont="1" applyFill="1" applyBorder="1"/>
    <xf numFmtId="3" fontId="58" fillId="3" borderId="0" xfId="0" applyNumberFormat="1" applyFont="1" applyFill="1" applyBorder="1" applyAlignment="1"/>
    <xf numFmtId="3" fontId="58" fillId="3" borderId="5" xfId="0" applyNumberFormat="1" applyFont="1" applyFill="1" applyBorder="1" applyAlignment="1"/>
    <xf numFmtId="3" fontId="8" fillId="3" borderId="0" xfId="16" applyNumberFormat="1" applyFont="1" applyFill="1" applyBorder="1" applyAlignment="1"/>
    <xf numFmtId="3" fontId="8" fillId="3" borderId="0" xfId="16" quotePrefix="1" applyNumberFormat="1" applyFont="1" applyFill="1" applyBorder="1" applyAlignment="1"/>
    <xf numFmtId="3" fontId="8" fillId="3" borderId="5" xfId="16" quotePrefix="1" applyNumberFormat="1" applyFont="1" applyFill="1" applyBorder="1" applyAlignment="1"/>
    <xf numFmtId="3" fontId="8" fillId="3" borderId="5" xfId="16" applyNumberFormat="1" applyFont="1" applyFill="1" applyBorder="1" applyAlignment="1"/>
    <xf numFmtId="0" fontId="92" fillId="0" borderId="0" xfId="0" applyFont="1" applyFill="1" applyAlignment="1">
      <alignment horizontal="center"/>
    </xf>
    <xf numFmtId="3" fontId="0" fillId="3" borderId="0" xfId="0" applyNumberFormat="1" applyFill="1" applyBorder="1" applyAlignment="1"/>
    <xf numFmtId="0" fontId="93" fillId="3" borderId="0" xfId="19" applyFont="1" applyFill="1"/>
    <xf numFmtId="0" fontId="94" fillId="12" borderId="0" xfId="0" applyFont="1" applyFill="1"/>
    <xf numFmtId="4" fontId="0" fillId="0" borderId="0" xfId="0" applyNumberFormat="1"/>
    <xf numFmtId="172" fontId="45" fillId="0" borderId="0" xfId="5" applyNumberFormat="1" applyFont="1" applyFill="1" applyBorder="1" applyAlignment="1">
      <alignment horizontal="center"/>
    </xf>
    <xf numFmtId="172" fontId="45" fillId="0" borderId="0" xfId="5" applyNumberFormat="1" applyFont="1" applyFill="1" applyBorder="1" applyAlignment="1">
      <alignment horizontal="left"/>
    </xf>
    <xf numFmtId="172" fontId="0" fillId="0" borderId="0" xfId="0" applyNumberFormat="1" applyFill="1"/>
    <xf numFmtId="3" fontId="0" fillId="0" borderId="0" xfId="0" applyNumberFormat="1" applyBorder="1"/>
    <xf numFmtId="3" fontId="0" fillId="0" borderId="0" xfId="0" applyNumberFormat="1" applyFill="1" applyBorder="1"/>
    <xf numFmtId="172" fontId="1" fillId="0" borderId="0" xfId="0" applyNumberFormat="1" applyFont="1" applyFill="1" applyAlignment="1">
      <alignment horizontal="center"/>
    </xf>
    <xf numFmtId="172" fontId="0" fillId="16" borderId="0" xfId="0" applyNumberFormat="1" applyFill="1"/>
    <xf numFmtId="3" fontId="21" fillId="3" borderId="0" xfId="22" quotePrefix="1" applyNumberFormat="1" applyFont="1" applyFill="1" applyBorder="1" applyAlignment="1"/>
    <xf numFmtId="3" fontId="8" fillId="3" borderId="0" xfId="22" quotePrefix="1" applyNumberFormat="1" applyFont="1" applyFill="1" applyBorder="1" applyAlignment="1"/>
    <xf numFmtId="3" fontId="13" fillId="12" borderId="5" xfId="0" applyNumberFormat="1" applyFont="1" applyFill="1" applyBorder="1"/>
    <xf numFmtId="3" fontId="8" fillId="3" borderId="0" xfId="14" quotePrefix="1" applyNumberFormat="1" applyFont="1" applyFill="1" applyBorder="1" applyAlignment="1"/>
    <xf numFmtId="0" fontId="3" fillId="0" borderId="0" xfId="14" applyFill="1" applyBorder="1"/>
    <xf numFmtId="0" fontId="14" fillId="0" borderId="0" xfId="14" applyFont="1" applyFill="1" applyBorder="1" applyAlignment="1">
      <alignment horizontal="center"/>
    </xf>
    <xf numFmtId="0" fontId="0" fillId="0" borderId="0" xfId="0" applyFill="1" applyBorder="1"/>
    <xf numFmtId="3" fontId="8" fillId="0" borderId="0" xfId="14" quotePrefix="1" applyNumberFormat="1" applyFont="1" applyFill="1" applyBorder="1" applyAlignment="1"/>
    <xf numFmtId="3" fontId="8" fillId="0" borderId="0" xfId="14" applyNumberFormat="1" applyFont="1" applyFill="1" applyBorder="1" applyAlignment="1"/>
    <xf numFmtId="1" fontId="18" fillId="0" borderId="0" xfId="4" applyNumberFormat="1" applyFont="1" applyFill="1" applyBorder="1"/>
    <xf numFmtId="0" fontId="20" fillId="0" borderId="0" xfId="14" applyFont="1" applyFill="1" applyBorder="1"/>
    <xf numFmtId="2" fontId="0" fillId="0" borderId="0" xfId="0" quotePrefix="1" applyNumberFormat="1" applyFill="1" applyBorder="1"/>
    <xf numFmtId="2" fontId="0" fillId="0" borderId="0" xfId="0" applyNumberFormat="1" applyFill="1" applyBorder="1"/>
    <xf numFmtId="3" fontId="42" fillId="0" borderId="0" xfId="16" applyNumberFormat="1" applyFont="1" applyFill="1" applyBorder="1" applyAlignment="1"/>
    <xf numFmtId="3" fontId="95" fillId="5" borderId="33" xfId="19" applyNumberFormat="1" applyFont="1" applyFill="1" applyBorder="1" applyAlignment="1">
      <alignment horizontal="right"/>
    </xf>
    <xf numFmtId="0" fontId="96" fillId="5" borderId="33" xfId="20" applyFont="1" applyFill="1" applyBorder="1" applyAlignment="1">
      <alignment horizontal="right"/>
    </xf>
    <xf numFmtId="0" fontId="96" fillId="5" borderId="33" xfId="21" applyFont="1" applyFill="1" applyBorder="1" applyAlignment="1">
      <alignment horizontal="right"/>
    </xf>
    <xf numFmtId="0" fontId="97" fillId="5" borderId="33" xfId="21" applyFont="1" applyFill="1" applyBorder="1" applyAlignment="1">
      <alignment horizontal="left"/>
    </xf>
    <xf numFmtId="0" fontId="96" fillId="5" borderId="33" xfId="22" applyFont="1" applyFill="1" applyBorder="1" applyAlignment="1">
      <alignment horizontal="right"/>
    </xf>
    <xf numFmtId="0" fontId="96" fillId="5" borderId="33" xfId="23" applyFont="1" applyFill="1" applyBorder="1" applyAlignment="1">
      <alignment horizontal="right"/>
    </xf>
    <xf numFmtId="0" fontId="95" fillId="5" borderId="33" xfId="0" applyFont="1" applyFill="1" applyBorder="1" applyAlignment="1">
      <alignment horizontal="right"/>
    </xf>
    <xf numFmtId="1" fontId="8" fillId="3" borderId="0" xfId="18" applyNumberFormat="1" applyFont="1" applyFill="1"/>
    <xf numFmtId="3" fontId="8" fillId="3" borderId="0" xfId="18" applyNumberFormat="1" applyFont="1" applyFill="1"/>
    <xf numFmtId="3" fontId="13" fillId="3" borderId="0" xfId="18" applyNumberFormat="1" applyFont="1" applyFill="1" applyBorder="1" applyAlignment="1">
      <alignment horizontal="center"/>
    </xf>
    <xf numFmtId="3" fontId="13" fillId="3" borderId="9" xfId="18" applyNumberFormat="1" applyFont="1" applyFill="1" applyBorder="1" applyAlignment="1">
      <alignment horizontal="center"/>
    </xf>
    <xf numFmtId="165" fontId="13" fillId="3" borderId="5" xfId="18" applyNumberFormat="1" applyFont="1" applyFill="1" applyBorder="1" applyAlignment="1">
      <alignment horizontal="center"/>
    </xf>
    <xf numFmtId="165" fontId="13" fillId="3" borderId="10" xfId="18" applyNumberFormat="1" applyFont="1" applyFill="1" applyBorder="1" applyAlignment="1">
      <alignment horizontal="center"/>
    </xf>
    <xf numFmtId="0" fontId="98" fillId="0" borderId="0" xfId="18" applyFont="1" applyFill="1" applyBorder="1" applyAlignment="1">
      <alignment horizontal="left" wrapText="1"/>
    </xf>
    <xf numFmtId="0" fontId="59" fillId="3" borderId="0" xfId="0" applyFont="1" applyFill="1" applyAlignment="1">
      <alignment horizontal="center"/>
    </xf>
    <xf numFmtId="0" fontId="60" fillId="3" borderId="0" xfId="0" applyFont="1" applyFill="1" applyAlignment="1">
      <alignment horizontal="center"/>
    </xf>
    <xf numFmtId="0" fontId="60" fillId="3" borderId="0" xfId="0" applyFont="1" applyFill="1" applyBorder="1" applyAlignment="1">
      <alignment horizontal="center"/>
    </xf>
    <xf numFmtId="0" fontId="59" fillId="17" borderId="0" xfId="0" applyFont="1" applyFill="1" applyAlignment="1">
      <alignment horizontal="left"/>
    </xf>
    <xf numFmtId="0" fontId="59" fillId="3" borderId="0" xfId="0" applyFont="1" applyFill="1" applyAlignment="1">
      <alignment horizontal="left"/>
    </xf>
    <xf numFmtId="0" fontId="0" fillId="3" borderId="47" xfId="0" applyNumberFormat="1" applyFill="1" applyBorder="1" applyAlignment="1">
      <alignment horizontal="center"/>
    </xf>
    <xf numFmtId="0" fontId="0" fillId="3" borderId="13" xfId="0" applyNumberFormat="1" applyFill="1" applyBorder="1" applyAlignment="1">
      <alignment horizontal="center"/>
    </xf>
    <xf numFmtId="0" fontId="0" fillId="3" borderId="41" xfId="0" applyNumberFormat="1" applyFill="1" applyBorder="1" applyAlignment="1">
      <alignment horizontal="center"/>
    </xf>
    <xf numFmtId="0" fontId="0" fillId="3" borderId="1" xfId="0" applyNumberFormat="1" applyFill="1" applyBorder="1" applyAlignment="1">
      <alignment horizontal="center" textRotation="90"/>
    </xf>
    <xf numFmtId="0" fontId="0" fillId="3" borderId="4" xfId="0" applyNumberFormat="1" applyFill="1" applyBorder="1" applyAlignment="1">
      <alignment horizontal="center" textRotation="90"/>
    </xf>
    <xf numFmtId="0" fontId="0" fillId="3" borderId="16" xfId="0" applyNumberFormat="1" applyFill="1" applyBorder="1" applyAlignment="1">
      <alignment horizontal="center" textRotation="90"/>
    </xf>
    <xf numFmtId="0" fontId="0" fillId="3" borderId="20" xfId="0" applyNumberFormat="1" applyFill="1" applyBorder="1" applyAlignment="1">
      <alignment horizontal="center" textRotation="90"/>
    </xf>
    <xf numFmtId="0" fontId="0" fillId="3" borderId="22" xfId="0" applyNumberFormat="1" applyFill="1" applyBorder="1" applyAlignment="1">
      <alignment horizontal="center" textRotation="90"/>
    </xf>
    <xf numFmtId="0" fontId="0" fillId="3" borderId="21" xfId="0" applyNumberFormat="1" applyFill="1" applyBorder="1" applyAlignment="1">
      <alignment horizontal="center" textRotation="90"/>
    </xf>
  </cellXfs>
  <cellStyles count="27">
    <cellStyle name="Hipervínculo" xfId="1" builtinId="8"/>
    <cellStyle name="Millares [0]_Cuadro1" xfId="2"/>
    <cellStyle name="Millares [0]_CUADRO11" xfId="3"/>
    <cellStyle name="Millares [0]_CUADRO3" xfId="4"/>
    <cellStyle name="Normal" xfId="0" builtinId="0"/>
    <cellStyle name="Normal_ANEXOA1-1" xfId="5"/>
    <cellStyle name="Normal_ANEXOA1-2" xfId="6"/>
    <cellStyle name="Normal_BALEE_97" xfId="7"/>
    <cellStyle name="Normal_Cuadro1" xfId="8"/>
    <cellStyle name="Normal_CUADRO10" xfId="9"/>
    <cellStyle name="Normal_CUADRO11" xfId="10"/>
    <cellStyle name="Normal_CUADRO12" xfId="11"/>
    <cellStyle name="Normal_CUADRO13" xfId="12"/>
    <cellStyle name="Normal_CUADRO14" xfId="13"/>
    <cellStyle name="Normal_Cuadro15" xfId="14"/>
    <cellStyle name="Normal_CUADRO16" xfId="15"/>
    <cellStyle name="Normal_CUADRO17" xfId="16"/>
    <cellStyle name="Normal_CUADRO18" xfId="17"/>
    <cellStyle name="Normal_CUADRO2" xfId="18"/>
    <cellStyle name="Normal_Cuadro4" xfId="19"/>
    <cellStyle name="Normal_Cuadro5" xfId="20"/>
    <cellStyle name="Normal_CUADRO6" xfId="21"/>
    <cellStyle name="Normal_CUADRO7" xfId="22"/>
    <cellStyle name="Normal_CUADRO8" xfId="23"/>
    <cellStyle name="Normal_Cuadroa2" xfId="24"/>
    <cellStyle name="Normal_CUADROA3" xfId="25"/>
    <cellStyle name="Porcentaje" xfId="2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xdr:row>
      <xdr:rowOff>57150</xdr:rowOff>
    </xdr:from>
    <xdr:to>
      <xdr:col>2</xdr:col>
      <xdr:colOff>2105025</xdr:colOff>
      <xdr:row>8</xdr:row>
      <xdr:rowOff>95250</xdr:rowOff>
    </xdr:to>
    <xdr:pic>
      <xdr:nvPicPr>
        <xdr:cNvPr id="51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295275"/>
          <a:ext cx="2143125"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276225</xdr:colOff>
      <xdr:row>72</xdr:row>
      <xdr:rowOff>28575</xdr:rowOff>
    </xdr:to>
    <xdr:pic>
      <xdr:nvPicPr>
        <xdr:cNvPr id="1042" name="Picture 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5610225" cy="1172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workbookViewId="0">
      <selection activeCell="F17" sqref="F17"/>
    </sheetView>
  </sheetViews>
  <sheetFormatPr baseColWidth="10" defaultRowHeight="12.75"/>
  <cols>
    <col min="1" max="1" width="1.85546875" style="22" customWidth="1"/>
    <col min="2" max="2" width="2.140625" style="22" customWidth="1"/>
    <col min="3" max="3" width="98.42578125" style="22" customWidth="1"/>
    <col min="4" max="4" width="1.85546875" style="22" customWidth="1"/>
    <col min="5" max="16384" width="11.42578125" style="22"/>
  </cols>
  <sheetData>
    <row r="1" spans="1:5" ht="18.75" thickBot="1">
      <c r="A1" s="472"/>
      <c r="B1" s="472"/>
      <c r="C1" s="756"/>
      <c r="D1" s="757"/>
      <c r="E1" s="472"/>
    </row>
    <row r="2" spans="1:5" ht="16.5" thickTop="1">
      <c r="A2" s="472"/>
      <c r="B2" s="758"/>
      <c r="C2" s="759"/>
      <c r="D2" s="697"/>
      <c r="E2" s="472"/>
    </row>
    <row r="3" spans="1:5" ht="15.75">
      <c r="A3" s="472"/>
      <c r="B3" s="760"/>
      <c r="C3" s="761"/>
      <c r="D3" s="697"/>
      <c r="E3" s="472"/>
    </row>
    <row r="4" spans="1:5" ht="15.75">
      <c r="A4" s="472"/>
      <c r="B4" s="760"/>
      <c r="C4" s="761"/>
      <c r="D4" s="760"/>
      <c r="E4" s="472"/>
    </row>
    <row r="5" spans="1:5" ht="15.75">
      <c r="A5" s="472"/>
      <c r="B5" s="762"/>
      <c r="D5" s="760"/>
      <c r="E5" s="472"/>
    </row>
    <row r="6" spans="1:5" ht="14.25">
      <c r="A6" s="472"/>
      <c r="B6" s="762"/>
      <c r="D6" s="762"/>
      <c r="E6" s="472"/>
    </row>
    <row r="7" spans="1:5" ht="33.75">
      <c r="A7" s="472"/>
      <c r="B7" s="762"/>
      <c r="C7" s="764"/>
      <c r="D7" s="697"/>
      <c r="E7" s="472"/>
    </row>
    <row r="8" spans="1:5" ht="14.25">
      <c r="A8" s="472"/>
      <c r="B8" s="762"/>
      <c r="C8" s="765"/>
      <c r="D8" s="697"/>
      <c r="E8" s="472"/>
    </row>
    <row r="9" spans="1:5" ht="14.25">
      <c r="A9" s="472"/>
      <c r="B9" s="762"/>
      <c r="C9" s="765"/>
      <c r="D9" s="697"/>
      <c r="E9" s="472"/>
    </row>
    <row r="10" spans="1:5" ht="14.25">
      <c r="A10" s="472"/>
      <c r="B10" s="762"/>
      <c r="C10" s="765"/>
      <c r="D10" s="697"/>
      <c r="E10" s="472"/>
    </row>
    <row r="11" spans="1:5" ht="33.75">
      <c r="A11" s="472"/>
      <c r="B11" s="762"/>
      <c r="C11" s="763" t="s">
        <v>579</v>
      </c>
      <c r="D11" s="697"/>
      <c r="E11" s="472"/>
    </row>
    <row r="12" spans="1:5" ht="33.75">
      <c r="A12" s="472"/>
      <c r="B12" s="762"/>
      <c r="C12" s="763" t="s">
        <v>580</v>
      </c>
      <c r="D12" s="697"/>
      <c r="E12" s="472"/>
    </row>
    <row r="13" spans="1:5" ht="26.25">
      <c r="A13" s="472"/>
      <c r="B13" s="762"/>
      <c r="C13" s="771">
        <v>2004</v>
      </c>
      <c r="D13" s="697"/>
      <c r="E13" s="472"/>
    </row>
    <row r="14" spans="1:5" ht="30">
      <c r="A14" s="472"/>
      <c r="B14" s="762"/>
      <c r="C14" s="766"/>
      <c r="D14" s="697"/>
      <c r="E14" s="472"/>
    </row>
    <row r="15" spans="1:5" ht="30">
      <c r="A15" s="472"/>
      <c r="B15" s="762"/>
      <c r="C15" s="766"/>
      <c r="D15" s="697"/>
      <c r="E15" s="472"/>
    </row>
    <row r="16" spans="1:5" ht="30">
      <c r="A16" s="472"/>
      <c r="B16" s="762"/>
      <c r="C16" s="766"/>
      <c r="D16" s="697"/>
      <c r="E16" s="472"/>
    </row>
    <row r="17" spans="1:5" ht="30">
      <c r="A17" s="472"/>
      <c r="B17" s="762"/>
      <c r="C17" s="766"/>
      <c r="D17" s="697"/>
      <c r="E17" s="472"/>
    </row>
    <row r="18" spans="1:5" ht="18">
      <c r="A18" s="472"/>
      <c r="B18" s="767"/>
      <c r="C18" s="768"/>
      <c r="D18" s="697"/>
      <c r="E18" s="472"/>
    </row>
    <row r="19" spans="1:5" ht="18">
      <c r="A19" s="472"/>
      <c r="B19" s="767"/>
      <c r="C19" s="768" t="s">
        <v>581</v>
      </c>
      <c r="D19" s="697"/>
      <c r="E19" s="472"/>
    </row>
    <row r="20" spans="1:5" ht="18">
      <c r="A20" s="472"/>
      <c r="B20" s="767"/>
      <c r="C20" s="768">
        <v>2006</v>
      </c>
      <c r="D20" s="697"/>
      <c r="E20" s="472"/>
    </row>
    <row r="21" spans="1:5" ht="15" thickBot="1">
      <c r="A21" s="472"/>
      <c r="B21" s="769"/>
      <c r="C21" s="770"/>
      <c r="D21" s="697"/>
      <c r="E21" s="472"/>
    </row>
    <row r="22" spans="1:5" ht="13.5" thickTop="1">
      <c r="A22" s="472"/>
      <c r="B22" s="697"/>
      <c r="C22" s="697"/>
      <c r="D22" s="697"/>
      <c r="E22" s="697"/>
    </row>
    <row r="23" spans="1:5">
      <c r="A23" s="472"/>
      <c r="B23" s="472"/>
      <c r="C23" s="472"/>
      <c r="D23" s="757"/>
      <c r="E23" s="472"/>
    </row>
  </sheetData>
  <phoneticPr fontId="0" type="noConversion"/>
  <pageMargins left="0.75" right="0.75" top="1" bottom="1" header="0" footer="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8"/>
  <sheetViews>
    <sheetView workbookViewId="0">
      <selection activeCell="I13" sqref="I13"/>
    </sheetView>
  </sheetViews>
  <sheetFormatPr baseColWidth="10" defaultRowHeight="12.75" outlineLevelRow="1"/>
  <cols>
    <col min="1" max="1" width="1.5703125" style="898" customWidth="1"/>
    <col min="2" max="2" width="31" style="898" customWidth="1"/>
    <col min="3" max="6" width="11.42578125" style="898"/>
    <col min="7" max="7" width="11.5703125" style="898" customWidth="1"/>
    <col min="8" max="17" width="11.42578125" style="22"/>
    <col min="18" max="16384" width="11.42578125" style="898"/>
  </cols>
  <sheetData>
    <row r="1" spans="2:10" ht="6.75" customHeight="1" thickBot="1"/>
    <row r="2" spans="2:10" ht="13.5" thickBot="1">
      <c r="B2" s="1000"/>
      <c r="C2" s="1001"/>
      <c r="D2" s="1001"/>
      <c r="E2" s="1001"/>
      <c r="F2" s="1001"/>
      <c r="G2" s="1002"/>
      <c r="H2" s="859" t="s">
        <v>683</v>
      </c>
      <c r="I2" s="105"/>
      <c r="J2" s="105"/>
    </row>
    <row r="3" spans="2:10" ht="15.75">
      <c r="B3" s="96"/>
      <c r="C3" s="89"/>
      <c r="D3" s="89" t="s">
        <v>77</v>
      </c>
      <c r="E3" s="97"/>
      <c r="F3" s="97"/>
      <c r="G3" s="98"/>
      <c r="H3" s="116"/>
      <c r="I3" s="116"/>
      <c r="J3" s="116"/>
    </row>
    <row r="4" spans="2:10" ht="15.75">
      <c r="B4" s="99"/>
      <c r="C4" s="100"/>
      <c r="D4" s="101" t="s">
        <v>92</v>
      </c>
      <c r="E4" s="100"/>
      <c r="F4" s="100"/>
      <c r="G4" s="102"/>
      <c r="H4" s="116"/>
      <c r="I4" s="116"/>
      <c r="J4" s="116"/>
    </row>
    <row r="5" spans="2:10" ht="15.75">
      <c r="B5" s="99"/>
      <c r="C5" s="100"/>
      <c r="D5" s="103" t="s">
        <v>782</v>
      </c>
      <c r="E5" s="100"/>
      <c r="F5" s="100"/>
      <c r="G5" s="102"/>
      <c r="H5" s="116"/>
      <c r="I5" s="116"/>
      <c r="J5" s="116"/>
    </row>
    <row r="6" spans="2:10" ht="15.75">
      <c r="B6" s="99"/>
      <c r="C6" s="100"/>
      <c r="D6" s="101" t="s">
        <v>93</v>
      </c>
      <c r="E6" s="100"/>
      <c r="F6" s="100"/>
      <c r="G6" s="102"/>
      <c r="H6" s="116"/>
      <c r="I6" s="116"/>
      <c r="J6" s="116"/>
    </row>
    <row r="7" spans="2:10" ht="15.75">
      <c r="B7" s="99"/>
      <c r="C7" s="100"/>
      <c r="D7" s="100"/>
      <c r="E7" s="100"/>
      <c r="F7" s="100"/>
      <c r="G7" s="102"/>
      <c r="H7" s="116"/>
      <c r="I7" s="116"/>
      <c r="J7" s="116"/>
    </row>
    <row r="8" spans="2:10" ht="15.75">
      <c r="B8" s="99"/>
      <c r="C8" s="100"/>
      <c r="D8" s="100"/>
      <c r="E8" s="100"/>
      <c r="F8" s="100"/>
      <c r="G8" s="102"/>
      <c r="H8" s="116"/>
      <c r="I8" s="116"/>
      <c r="J8" s="116"/>
    </row>
    <row r="9" spans="2:10" ht="16.5" thickBot="1">
      <c r="B9" s="1003" t="s">
        <v>3</v>
      </c>
      <c r="C9" s="1004" t="s">
        <v>94</v>
      </c>
      <c r="D9" s="1004" t="s">
        <v>95</v>
      </c>
      <c r="E9" s="1004" t="s">
        <v>96</v>
      </c>
      <c r="F9" s="1004" t="s">
        <v>97</v>
      </c>
      <c r="G9" s="1005" t="s">
        <v>11</v>
      </c>
      <c r="H9" s="116"/>
      <c r="I9" s="116"/>
      <c r="J9" s="116"/>
    </row>
    <row r="10" spans="2:10">
      <c r="B10" s="996" t="s">
        <v>88</v>
      </c>
      <c r="C10" s="117">
        <f>SUM(C12:C26)</f>
        <v>51481.996516435996</v>
      </c>
      <c r="D10" s="117">
        <f>SUM(D12:D26)</f>
        <v>190.30180125599998</v>
      </c>
      <c r="E10" s="117">
        <f>SUM(E12:E26)</f>
        <v>14859.495771274003</v>
      </c>
      <c r="F10" s="117">
        <f>SUM(F12:F26)</f>
        <v>6433.0434729200015</v>
      </c>
      <c r="G10" s="118">
        <f>SUM(G12:G26)</f>
        <v>72964.837561886001</v>
      </c>
      <c r="H10" s="105"/>
      <c r="I10" s="105"/>
      <c r="J10" s="105"/>
    </row>
    <row r="11" spans="2:10" outlineLevel="1">
      <c r="B11" s="1006"/>
      <c r="C11" s="106"/>
      <c r="D11" s="106"/>
      <c r="E11" s="106"/>
      <c r="F11" s="106"/>
      <c r="G11" s="107"/>
      <c r="H11" s="105"/>
      <c r="I11" s="105"/>
      <c r="J11" s="105"/>
    </row>
    <row r="12" spans="2:10" outlineLevel="1">
      <c r="B12" s="1310" t="s">
        <v>55</v>
      </c>
      <c r="C12" s="1266">
        <f>SECT_TERAC.!D7</f>
        <v>1.5404389559999998</v>
      </c>
      <c r="D12" s="1266">
        <f>SECT_TERAC.!D8</f>
        <v>2.5724999999999997E-3</v>
      </c>
      <c r="E12" s="1266">
        <f>SECT_TERAC.!D9</f>
        <v>11123.659167390002</v>
      </c>
      <c r="F12" s="1266">
        <f>SECT_TERAC.!D10</f>
        <v>0</v>
      </c>
      <c r="G12" s="1267">
        <f>SUM(C12:F12)</f>
        <v>11125.202178846002</v>
      </c>
      <c r="H12" s="108"/>
      <c r="I12" s="108"/>
      <c r="J12" s="105"/>
    </row>
    <row r="13" spans="2:10" outlineLevel="1">
      <c r="B13" s="1310"/>
      <c r="C13" s="1266"/>
      <c r="D13" s="1266"/>
      <c r="E13" s="1266"/>
      <c r="F13" s="1266"/>
      <c r="G13" s="1267"/>
      <c r="H13" s="105"/>
      <c r="I13" s="105"/>
      <c r="J13" s="105"/>
    </row>
    <row r="14" spans="2:10" outlineLevel="1">
      <c r="B14" s="1310" t="s">
        <v>56</v>
      </c>
      <c r="C14" s="1266">
        <f>SECT_TERAC.!C7</f>
        <v>27830.924905391999</v>
      </c>
      <c r="D14" s="1266">
        <f>SECT_TERAC.!C8</f>
        <v>190.29922875599996</v>
      </c>
      <c r="E14" s="1266">
        <f>SECT_TERAC.!C9</f>
        <v>3672.1084638840007</v>
      </c>
      <c r="F14" s="1266">
        <f>SECT_TERAC.!C10</f>
        <v>1.5380248800000003</v>
      </c>
      <c r="G14" s="1267">
        <f t="shared" ref="G14:G30" si="0">SUM(C14:F14)</f>
        <v>31694.870622912</v>
      </c>
      <c r="H14" s="109"/>
      <c r="I14" s="108"/>
      <c r="J14" s="105"/>
    </row>
    <row r="15" spans="2:10" outlineLevel="1">
      <c r="B15" s="1310"/>
      <c r="C15" s="1266"/>
      <c r="D15" s="1266"/>
      <c r="E15" s="1266"/>
      <c r="F15" s="1266"/>
      <c r="G15" s="1267"/>
      <c r="H15" s="108"/>
      <c r="I15" s="105"/>
      <c r="J15" s="105"/>
    </row>
    <row r="16" spans="2:10" outlineLevel="1">
      <c r="B16" s="1309" t="s">
        <v>89</v>
      </c>
      <c r="C16" s="1266">
        <f>SECT_TERAC.!E7</f>
        <v>23586.904896687996</v>
      </c>
      <c r="D16" s="1266">
        <f>SECT_TERAC.!E8</f>
        <v>0</v>
      </c>
      <c r="E16" s="1266">
        <f>SECT_TERAC.!E9</f>
        <v>61.965903999999995</v>
      </c>
      <c r="F16" s="1266">
        <f>SECT_TERAC.!E10</f>
        <v>0.31068799999999996</v>
      </c>
      <c r="G16" s="1267">
        <f t="shared" si="0"/>
        <v>23649.181488687998</v>
      </c>
      <c r="H16" s="108"/>
      <c r="I16" s="108"/>
      <c r="J16" s="105"/>
    </row>
    <row r="17" spans="2:10" outlineLevel="1">
      <c r="B17" s="1310"/>
      <c r="C17" s="1266"/>
      <c r="D17" s="1266"/>
      <c r="E17" s="1266"/>
      <c r="F17" s="1266"/>
      <c r="G17" s="1267"/>
      <c r="H17" s="108"/>
      <c r="I17" s="105"/>
      <c r="J17" s="105"/>
    </row>
    <row r="18" spans="2:10" outlineLevel="1">
      <c r="B18" s="1310" t="s">
        <v>90</v>
      </c>
      <c r="C18" s="1266">
        <v>0</v>
      </c>
      <c r="D18" s="1266">
        <v>0</v>
      </c>
      <c r="E18" s="1266">
        <v>0</v>
      </c>
      <c r="F18" s="1266">
        <v>0</v>
      </c>
      <c r="G18" s="1267">
        <f t="shared" si="0"/>
        <v>0</v>
      </c>
      <c r="H18" s="108"/>
      <c r="I18" s="108"/>
      <c r="J18" s="105"/>
    </row>
    <row r="19" spans="2:10" outlineLevel="1">
      <c r="B19" s="1310"/>
      <c r="C19" s="1266"/>
      <c r="D19" s="1266"/>
      <c r="E19" s="1266"/>
      <c r="F19" s="1266"/>
      <c r="G19" s="1267"/>
      <c r="H19" s="108"/>
      <c r="I19" s="105"/>
      <c r="J19" s="105"/>
    </row>
    <row r="20" spans="2:10" outlineLevel="1">
      <c r="B20" s="1310" t="s">
        <v>61</v>
      </c>
      <c r="C20" s="1266">
        <f>SECT_TERAC.!I7</f>
        <v>0.16757999999999998</v>
      </c>
      <c r="D20" s="1266">
        <f>SECT_TERAC.!I8</f>
        <v>0</v>
      </c>
      <c r="E20" s="1266">
        <f>SECT_TERAC.!I9</f>
        <v>0</v>
      </c>
      <c r="F20" s="1266">
        <f>SECT_TERAC.!I10</f>
        <v>47.544840000000001</v>
      </c>
      <c r="G20" s="1267">
        <f t="shared" si="0"/>
        <v>47.712420000000002</v>
      </c>
      <c r="H20" s="108"/>
      <c r="I20" s="108"/>
      <c r="J20" s="105"/>
    </row>
    <row r="21" spans="2:10" outlineLevel="1">
      <c r="B21" s="1310"/>
      <c r="C21" s="1266"/>
      <c r="D21" s="1266"/>
      <c r="E21" s="1266"/>
      <c r="F21" s="1266"/>
      <c r="G21" s="1267"/>
      <c r="H21" s="108"/>
      <c r="I21" s="105"/>
      <c r="J21" s="105"/>
    </row>
    <row r="22" spans="2:10" outlineLevel="1">
      <c r="B22" s="1310" t="s">
        <v>62</v>
      </c>
      <c r="C22" s="1266">
        <f>SECT_TERAC.!J7</f>
        <v>0.44955000000000006</v>
      </c>
      <c r="D22" s="1266">
        <f>SECT_TERAC.!J8</f>
        <v>0</v>
      </c>
      <c r="E22" s="1266">
        <f>SECT_TERAC.!J9</f>
        <v>0</v>
      </c>
      <c r="F22" s="1266">
        <f>SECT_TERAC.!J10</f>
        <v>6383.6499200400012</v>
      </c>
      <c r="G22" s="1267">
        <f t="shared" si="0"/>
        <v>6384.0994700400015</v>
      </c>
      <c r="H22" s="108"/>
      <c r="I22" s="108"/>
      <c r="J22" s="105"/>
    </row>
    <row r="23" spans="2:10" outlineLevel="1">
      <c r="B23" s="1311"/>
      <c r="C23" s="104"/>
      <c r="D23" s="104"/>
      <c r="E23" s="104"/>
      <c r="F23" s="104"/>
      <c r="G23" s="1267"/>
      <c r="H23" s="108"/>
      <c r="I23" s="105"/>
      <c r="J23" s="105"/>
    </row>
    <row r="24" spans="2:10" outlineLevel="1">
      <c r="B24" s="1309" t="s">
        <v>59</v>
      </c>
      <c r="C24" s="1266">
        <f>SECT_TERAC.!G7</f>
        <v>42.9041529</v>
      </c>
      <c r="D24" s="1266">
        <f>SECT_TERAC.!G8</f>
        <v>0</v>
      </c>
      <c r="E24" s="1266">
        <f>SECT_TERAC.!G9</f>
        <v>1.7622360000000001</v>
      </c>
      <c r="F24" s="1266">
        <f>SECT_TERAC.!G10</f>
        <v>0</v>
      </c>
      <c r="G24" s="1267">
        <f t="shared" si="0"/>
        <v>44.666388900000001</v>
      </c>
      <c r="H24" s="108"/>
      <c r="I24" s="105"/>
      <c r="J24" s="105"/>
    </row>
    <row r="25" spans="2:10" outlineLevel="1">
      <c r="B25" s="1311"/>
      <c r="C25" s="1266"/>
      <c r="D25" s="1266"/>
      <c r="E25" s="1266"/>
      <c r="F25" s="1266"/>
      <c r="G25" s="1267"/>
      <c r="H25" s="108"/>
      <c r="I25" s="105"/>
      <c r="J25" s="105"/>
    </row>
    <row r="26" spans="2:10" outlineLevel="1">
      <c r="B26" s="1309" t="s">
        <v>60</v>
      </c>
      <c r="C26" s="1266">
        <f>SECT_TERAC.!H7</f>
        <v>19.104992500000002</v>
      </c>
      <c r="D26" s="1266">
        <f>SECT_TERAC.!H8</f>
        <v>0</v>
      </c>
      <c r="E26" s="1266">
        <f>SECT_TERAC.!H9</f>
        <v>0</v>
      </c>
      <c r="F26" s="1266">
        <f>SECT_TERAC.!H10</f>
        <v>0</v>
      </c>
      <c r="G26" s="1267">
        <f t="shared" si="0"/>
        <v>19.104992500000002</v>
      </c>
      <c r="H26" s="108"/>
      <c r="I26" s="105"/>
      <c r="J26" s="105"/>
    </row>
    <row r="27" spans="2:10">
      <c r="B27" s="1007"/>
      <c r="C27" s="104"/>
      <c r="D27" s="104"/>
      <c r="E27" s="104"/>
      <c r="F27" s="104"/>
      <c r="G27" s="1267"/>
      <c r="H27" s="108"/>
      <c r="I27" s="105"/>
      <c r="J27" s="105"/>
    </row>
    <row r="28" spans="2:10">
      <c r="B28" s="1007" t="s">
        <v>18</v>
      </c>
      <c r="C28" s="104">
        <f>SECT_TERAC.!N7</f>
        <v>129.07022243999998</v>
      </c>
      <c r="D28" s="104">
        <f>SECT_TERAC.!N8</f>
        <v>71.16777522000001</v>
      </c>
      <c r="E28" s="104">
        <f>SECT_TERAC.!N9</f>
        <v>0</v>
      </c>
      <c r="F28" s="104">
        <f>SECT_TERAC.!N10</f>
        <v>0</v>
      </c>
      <c r="G28" s="110">
        <f t="shared" si="0"/>
        <v>200.23799765999999</v>
      </c>
      <c r="H28" s="109"/>
      <c r="I28" s="108"/>
      <c r="J28" s="105"/>
    </row>
    <row r="29" spans="2:10">
      <c r="B29" s="1007"/>
      <c r="C29" s="104"/>
      <c r="D29" s="104"/>
      <c r="E29" s="104"/>
      <c r="F29" s="104"/>
      <c r="G29" s="110"/>
      <c r="H29" s="108"/>
      <c r="I29" s="108"/>
      <c r="J29" s="105"/>
    </row>
    <row r="30" spans="2:10">
      <c r="B30" s="997" t="s">
        <v>70</v>
      </c>
      <c r="C30" s="104">
        <f>SECT_TERAC.!T7</f>
        <v>293.82739268138204</v>
      </c>
      <c r="D30" s="104">
        <f>SECT_TERAC.!T8</f>
        <v>0</v>
      </c>
      <c r="E30" s="104">
        <f>SECT_TERAC.!T9</f>
        <v>0</v>
      </c>
      <c r="F30" s="104">
        <f>SECT_TERAC.!T10</f>
        <v>0</v>
      </c>
      <c r="G30" s="110">
        <f t="shared" si="0"/>
        <v>293.82739268138204</v>
      </c>
      <c r="H30" s="109"/>
      <c r="I30" s="108"/>
      <c r="J30" s="105"/>
    </row>
    <row r="31" spans="2:10">
      <c r="B31" s="1007"/>
      <c r="C31" s="104"/>
      <c r="D31" s="104"/>
      <c r="E31" s="104"/>
      <c r="F31" s="104"/>
      <c r="G31" s="111"/>
      <c r="H31" s="108"/>
      <c r="I31" s="105"/>
      <c r="J31" s="105"/>
    </row>
    <row r="32" spans="2:10" ht="13.5" thickBot="1">
      <c r="B32" s="1008" t="s">
        <v>11</v>
      </c>
      <c r="C32" s="112">
        <f>C10+C28+C30</f>
        <v>51904.894131557383</v>
      </c>
      <c r="D32" s="112">
        <f>D10+D28+D30</f>
        <v>261.46957647599999</v>
      </c>
      <c r="E32" s="112">
        <f>E10+E28+E30</f>
        <v>14859.495771274003</v>
      </c>
      <c r="F32" s="112">
        <f>F10+F28+F30</f>
        <v>6433.0434729200015</v>
      </c>
      <c r="G32" s="119">
        <f>G10+G28+G30</f>
        <v>73458.902952227392</v>
      </c>
      <c r="H32" s="108"/>
      <c r="I32" s="789"/>
      <c r="J32" s="105"/>
    </row>
    <row r="33" spans="2:10" ht="13.5" thickBot="1">
      <c r="B33" s="1009"/>
      <c r="C33" s="113"/>
      <c r="D33" s="113"/>
      <c r="E33" s="113"/>
      <c r="F33" s="113"/>
      <c r="G33" s="114"/>
      <c r="H33" s="108"/>
      <c r="I33" s="790"/>
      <c r="J33" s="105"/>
    </row>
    <row r="34" spans="2:10">
      <c r="B34" s="80" t="s">
        <v>91</v>
      </c>
      <c r="C34" s="81"/>
      <c r="D34" s="81"/>
      <c r="E34" s="81"/>
      <c r="F34" s="82"/>
      <c r="G34" s="77"/>
      <c r="H34" s="83"/>
      <c r="I34" s="81"/>
      <c r="J34" s="75"/>
    </row>
    <row r="35" spans="2:10">
      <c r="B35" s="80" t="s">
        <v>71</v>
      </c>
      <c r="C35" s="81"/>
      <c r="D35" s="81"/>
      <c r="E35" s="81"/>
      <c r="F35" s="81"/>
      <c r="G35" s="81"/>
      <c r="H35" s="81"/>
      <c r="I35" s="81"/>
      <c r="J35" s="77"/>
    </row>
    <row r="36" spans="2:10">
      <c r="B36" s="11" t="s">
        <v>42</v>
      </c>
      <c r="C36" s="58"/>
      <c r="D36" s="59"/>
      <c r="E36" s="59"/>
      <c r="F36" s="59"/>
      <c r="G36" s="60"/>
      <c r="H36" s="21"/>
      <c r="I36" s="73"/>
      <c r="J36" s="73"/>
    </row>
    <row r="37" spans="2:10">
      <c r="B37" s="11" t="s">
        <v>43</v>
      </c>
      <c r="C37" s="21"/>
      <c r="D37" s="21"/>
      <c r="E37" s="21"/>
      <c r="F37" s="21"/>
      <c r="G37" s="21"/>
      <c r="H37" s="21"/>
      <c r="I37" s="73"/>
      <c r="J37" s="73"/>
    </row>
    <row r="38" spans="2:10">
      <c r="B38" s="21" t="s">
        <v>14</v>
      </c>
      <c r="C38" s="21"/>
      <c r="D38" s="21"/>
      <c r="E38" s="21"/>
      <c r="F38" s="21"/>
      <c r="G38" s="21"/>
      <c r="H38" s="21"/>
      <c r="I38" s="73"/>
      <c r="J38" s="73"/>
    </row>
    <row r="39" spans="2:10">
      <c r="B39" s="21" t="s">
        <v>777</v>
      </c>
      <c r="C39" s="21"/>
      <c r="D39" s="21"/>
      <c r="E39" s="21"/>
      <c r="F39" s="21"/>
      <c r="G39" s="21"/>
      <c r="H39" s="21"/>
      <c r="I39" s="73"/>
      <c r="J39" s="73"/>
    </row>
    <row r="40" spans="2:10">
      <c r="B40" s="105"/>
      <c r="C40" s="105"/>
      <c r="D40" s="105"/>
      <c r="E40" s="105"/>
      <c r="F40" s="105"/>
      <c r="G40" s="105"/>
      <c r="H40" s="105"/>
      <c r="I40" s="105"/>
      <c r="J40" s="105"/>
    </row>
    <row r="41" spans="2:10">
      <c r="B41" s="22"/>
      <c r="C41" s="22"/>
      <c r="D41" s="22"/>
      <c r="E41" s="22"/>
      <c r="F41" s="22"/>
      <c r="G41" s="22"/>
    </row>
    <row r="42" spans="2:10">
      <c r="B42" s="22"/>
      <c r="C42" s="22"/>
      <c r="D42" s="22"/>
      <c r="E42" s="22"/>
      <c r="F42" s="22"/>
      <c r="G42" s="22"/>
    </row>
    <row r="43" spans="2:10">
      <c r="B43" s="22"/>
      <c r="C43" s="22"/>
      <c r="D43" s="22"/>
      <c r="E43" s="22"/>
      <c r="F43" s="22"/>
      <c r="G43" s="22"/>
    </row>
    <row r="44" spans="2:10">
      <c r="B44" s="22"/>
      <c r="C44" s="22"/>
      <c r="D44" s="22"/>
      <c r="E44" s="22"/>
      <c r="F44" s="22"/>
      <c r="G44" s="22"/>
    </row>
    <row r="45" spans="2:10">
      <c r="B45" s="22"/>
      <c r="C45" s="22"/>
      <c r="D45" s="22"/>
      <c r="E45" s="22"/>
      <c r="F45" s="22"/>
      <c r="G45" s="22"/>
    </row>
    <row r="46" spans="2:10">
      <c r="B46" s="22"/>
      <c r="C46" s="22"/>
      <c r="D46" s="22"/>
      <c r="E46" s="22"/>
      <c r="F46" s="22"/>
      <c r="G46" s="22"/>
    </row>
    <row r="47" spans="2:10" s="22" customFormat="1"/>
    <row r="48" spans="2:10" s="22" customFormat="1"/>
    <row r="49" spans="3:7" s="22" customFormat="1"/>
    <row r="50" spans="3:7" s="22" customFormat="1"/>
    <row r="51" spans="3:7" s="22" customFormat="1"/>
    <row r="52" spans="3:7" s="22" customFormat="1"/>
    <row r="53" spans="3:7" s="22" customFormat="1"/>
    <row r="54" spans="3:7" s="22" customFormat="1"/>
    <row r="55" spans="3:7" s="22" customFormat="1"/>
    <row r="56" spans="3:7" s="22" customFormat="1"/>
    <row r="57" spans="3:7" s="22" customFormat="1"/>
    <row r="58" spans="3:7" s="22" customFormat="1"/>
    <row r="59" spans="3:7" s="22" customFormat="1"/>
    <row r="60" spans="3:7">
      <c r="C60" s="22"/>
      <c r="D60" s="22"/>
      <c r="E60" s="22"/>
      <c r="F60" s="22"/>
      <c r="G60" s="22"/>
    </row>
    <row r="61" spans="3:7">
      <c r="C61" s="22"/>
      <c r="D61" s="22"/>
      <c r="E61" s="22"/>
      <c r="F61" s="22"/>
      <c r="G61" s="22"/>
    </row>
    <row r="62" spans="3:7">
      <c r="C62" s="22"/>
      <c r="D62" s="22"/>
      <c r="E62" s="22"/>
      <c r="F62" s="22"/>
      <c r="G62" s="22"/>
    </row>
    <row r="63" spans="3:7">
      <c r="C63" s="22"/>
      <c r="D63" s="22"/>
      <c r="E63" s="22"/>
      <c r="F63" s="22"/>
      <c r="G63" s="22"/>
    </row>
    <row r="64" spans="3:7">
      <c r="C64" s="22"/>
      <c r="D64" s="22"/>
      <c r="E64" s="22"/>
      <c r="F64" s="22"/>
      <c r="G64" s="22"/>
    </row>
    <row r="65" spans="3:7">
      <c r="C65" s="22"/>
      <c r="D65" s="22"/>
      <c r="E65" s="22"/>
      <c r="F65" s="22"/>
      <c r="G65" s="22"/>
    </row>
    <row r="66" spans="3:7">
      <c r="C66" s="22"/>
      <c r="D66" s="22"/>
      <c r="E66" s="22"/>
      <c r="F66" s="22"/>
      <c r="G66" s="22"/>
    </row>
    <row r="67" spans="3:7">
      <c r="C67" s="22"/>
      <c r="D67" s="22"/>
      <c r="E67" s="22"/>
      <c r="F67" s="22"/>
      <c r="G67" s="22"/>
    </row>
    <row r="68" spans="3:7">
      <c r="C68" s="22"/>
      <c r="D68" s="22"/>
      <c r="E68" s="22"/>
      <c r="F68" s="22"/>
      <c r="G68" s="22"/>
    </row>
    <row r="69" spans="3:7">
      <c r="C69" s="22"/>
      <c r="D69" s="22"/>
      <c r="E69" s="22"/>
      <c r="F69" s="22"/>
      <c r="G69" s="22"/>
    </row>
    <row r="70" spans="3:7">
      <c r="C70" s="22"/>
      <c r="D70" s="22"/>
      <c r="E70" s="22"/>
      <c r="F70" s="22"/>
      <c r="G70" s="22"/>
    </row>
    <row r="71" spans="3:7">
      <c r="C71" s="22"/>
      <c r="D71" s="22"/>
      <c r="E71" s="22"/>
      <c r="F71" s="22"/>
      <c r="G71" s="22"/>
    </row>
    <row r="72" spans="3:7">
      <c r="C72" s="22"/>
      <c r="D72" s="22"/>
      <c r="E72" s="22"/>
      <c r="F72" s="22"/>
      <c r="G72" s="22"/>
    </row>
    <row r="73" spans="3:7">
      <c r="C73" s="22"/>
      <c r="D73" s="22"/>
      <c r="E73" s="22"/>
      <c r="F73" s="22"/>
      <c r="G73" s="22"/>
    </row>
    <row r="74" spans="3:7">
      <c r="C74" s="22"/>
      <c r="D74" s="22"/>
      <c r="E74" s="22"/>
      <c r="F74" s="22"/>
      <c r="G74" s="22"/>
    </row>
    <row r="75" spans="3:7">
      <c r="C75" s="22"/>
      <c r="D75" s="22"/>
      <c r="E75" s="22"/>
      <c r="F75" s="22"/>
      <c r="G75" s="22"/>
    </row>
    <row r="76" spans="3:7">
      <c r="C76" s="22"/>
      <c r="D76" s="22"/>
      <c r="E76" s="22"/>
      <c r="F76" s="22"/>
      <c r="G76" s="22"/>
    </row>
    <row r="77" spans="3:7">
      <c r="C77" s="22"/>
      <c r="D77" s="22"/>
      <c r="E77" s="22"/>
      <c r="F77" s="22"/>
      <c r="G77" s="22"/>
    </row>
    <row r="78" spans="3:7">
      <c r="C78" s="22"/>
      <c r="D78" s="22"/>
      <c r="E78" s="22"/>
      <c r="F78" s="22"/>
      <c r="G78" s="22"/>
    </row>
    <row r="79" spans="3:7">
      <c r="C79" s="22"/>
      <c r="D79" s="22"/>
      <c r="E79" s="22"/>
      <c r="F79" s="22"/>
      <c r="G79" s="22"/>
    </row>
    <row r="80" spans="3:7">
      <c r="C80" s="22"/>
      <c r="D80" s="22"/>
      <c r="E80" s="22"/>
      <c r="F80" s="22"/>
      <c r="G80" s="22"/>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row r="87" spans="3:7">
      <c r="C87" s="22"/>
      <c r="D87" s="22"/>
      <c r="E87" s="22"/>
      <c r="F87" s="22"/>
      <c r="G87" s="22"/>
    </row>
    <row r="88" spans="3:7">
      <c r="C88" s="22"/>
      <c r="D88" s="22"/>
      <c r="E88" s="22"/>
      <c r="F88" s="22"/>
      <c r="G88" s="22"/>
    </row>
    <row r="89" spans="3:7">
      <c r="C89" s="22"/>
      <c r="D89" s="22"/>
      <c r="E89" s="22"/>
      <c r="F89" s="22"/>
      <c r="G89" s="22"/>
    </row>
    <row r="90" spans="3:7">
      <c r="C90" s="22"/>
      <c r="D90" s="22"/>
      <c r="E90" s="22"/>
      <c r="F90" s="22"/>
      <c r="G90" s="22"/>
    </row>
    <row r="91" spans="3:7">
      <c r="C91" s="22"/>
      <c r="D91" s="22"/>
      <c r="E91" s="22"/>
      <c r="F91" s="22"/>
      <c r="G91" s="22"/>
    </row>
    <row r="92" spans="3:7">
      <c r="C92" s="22"/>
      <c r="D92" s="22"/>
      <c r="E92" s="22"/>
      <c r="F92" s="22"/>
      <c r="G92" s="22"/>
    </row>
    <row r="93" spans="3:7">
      <c r="C93" s="22"/>
      <c r="D93" s="22"/>
      <c r="E93" s="22"/>
      <c r="F93" s="22"/>
      <c r="G93" s="22"/>
    </row>
    <row r="94" spans="3:7">
      <c r="C94" s="22"/>
      <c r="D94" s="22"/>
      <c r="E94" s="22"/>
      <c r="F94" s="22"/>
      <c r="G94" s="22"/>
    </row>
    <row r="95" spans="3:7">
      <c r="C95" s="22"/>
      <c r="D95" s="22"/>
      <c r="E95" s="22"/>
      <c r="F95" s="22"/>
      <c r="G95" s="22"/>
    </row>
    <row r="96" spans="3:7">
      <c r="C96" s="22"/>
      <c r="D96" s="22"/>
      <c r="E96" s="22"/>
      <c r="F96" s="22"/>
      <c r="G96" s="22"/>
    </row>
    <row r="97" spans="3:7">
      <c r="C97" s="22"/>
      <c r="D97" s="22"/>
      <c r="E97" s="22"/>
      <c r="F97" s="22"/>
      <c r="G97" s="22"/>
    </row>
    <row r="98" spans="3:7">
      <c r="C98" s="22"/>
      <c r="D98" s="22"/>
      <c r="E98" s="22"/>
      <c r="F98" s="22"/>
      <c r="G98" s="22"/>
    </row>
  </sheetData>
  <phoneticPr fontId="0" type="noConversion"/>
  <hyperlinks>
    <hyperlink ref="H2" location="INDICE!A1" display="VOLVER A INDICE"/>
  </hyperlinks>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2"/>
  <sheetViews>
    <sheetView zoomScale="85" workbookViewId="0">
      <selection activeCell="E27" sqref="E27"/>
    </sheetView>
  </sheetViews>
  <sheetFormatPr baseColWidth="10" defaultRowHeight="12.75" outlineLevelRow="1"/>
  <cols>
    <col min="1" max="1" width="1.85546875" style="898" customWidth="1"/>
    <col min="2" max="2" width="26.5703125" style="898" customWidth="1"/>
    <col min="3" max="14" width="11.42578125" style="898"/>
    <col min="15" max="25" width="11.42578125" style="22"/>
    <col min="26" max="16384" width="11.42578125" style="898"/>
  </cols>
  <sheetData>
    <row r="1" spans="2:17" ht="8.25" customHeight="1" thickBot="1"/>
    <row r="2" spans="2:17" ht="15.75" customHeight="1" thickBot="1">
      <c r="B2" s="1010"/>
      <c r="C2" s="1011"/>
      <c r="D2" s="1011"/>
      <c r="E2" s="1011"/>
      <c r="F2" s="1011"/>
      <c r="G2" s="1011"/>
      <c r="H2" s="1011"/>
      <c r="I2" s="1011"/>
      <c r="J2" s="1011"/>
      <c r="K2" s="1011"/>
      <c r="L2" s="1011"/>
      <c r="M2" s="1011"/>
      <c r="N2" s="1012"/>
      <c r="O2" s="142"/>
      <c r="P2" s="144"/>
      <c r="Q2" s="144"/>
    </row>
    <row r="3" spans="2:17" ht="15.75">
      <c r="B3" s="120"/>
      <c r="C3" s="121"/>
      <c r="D3" s="121"/>
      <c r="E3" s="122"/>
      <c r="F3" s="122"/>
      <c r="G3" s="89" t="s">
        <v>77</v>
      </c>
      <c r="H3" s="122"/>
      <c r="I3" s="122"/>
      <c r="J3" s="121"/>
      <c r="K3" s="121"/>
      <c r="L3" s="121"/>
      <c r="M3" s="121"/>
      <c r="N3" s="123"/>
      <c r="O3" s="142"/>
      <c r="P3" s="144"/>
      <c r="Q3" s="144"/>
    </row>
    <row r="4" spans="2:17" ht="15.75">
      <c r="B4" s="124"/>
      <c r="C4" s="125"/>
      <c r="D4" s="125"/>
      <c r="E4" s="126"/>
      <c r="F4" s="126"/>
      <c r="G4" s="126" t="s">
        <v>78</v>
      </c>
      <c r="H4" s="126"/>
      <c r="I4" s="126"/>
      <c r="J4" s="125"/>
      <c r="K4" s="125"/>
      <c r="L4" s="125"/>
      <c r="M4" s="125"/>
      <c r="N4" s="127"/>
      <c r="O4" s="859" t="s">
        <v>683</v>
      </c>
      <c r="P4" s="144"/>
      <c r="Q4" s="144"/>
    </row>
    <row r="5" spans="2:17" ht="15.75">
      <c r="B5" s="124"/>
      <c r="C5" s="125"/>
      <c r="D5" s="125"/>
      <c r="E5" s="126"/>
      <c r="F5" s="126"/>
      <c r="G5" s="126" t="s">
        <v>781</v>
      </c>
      <c r="H5" s="126"/>
      <c r="I5" s="126"/>
      <c r="J5" s="125"/>
      <c r="K5" s="125"/>
      <c r="L5" s="125"/>
      <c r="M5" s="125"/>
      <c r="N5" s="127"/>
      <c r="O5" s="142"/>
      <c r="P5" s="144"/>
      <c r="Q5" s="144"/>
    </row>
    <row r="6" spans="2:17" ht="15.75">
      <c r="B6" s="124"/>
      <c r="C6" s="125"/>
      <c r="D6" s="125"/>
      <c r="E6" s="125"/>
      <c r="F6" s="128" t="s">
        <v>98</v>
      </c>
      <c r="G6" s="125"/>
      <c r="H6" s="125"/>
      <c r="I6" s="125"/>
      <c r="J6" s="125"/>
      <c r="K6" s="125"/>
      <c r="L6" s="125"/>
      <c r="M6" s="125"/>
      <c r="N6" s="127"/>
      <c r="O6" s="142"/>
      <c r="P6" s="144"/>
      <c r="Q6" s="144"/>
    </row>
    <row r="7" spans="2:17" ht="15.75">
      <c r="B7" s="124" t="s">
        <v>3</v>
      </c>
      <c r="C7" s="126" t="s">
        <v>99</v>
      </c>
      <c r="D7" s="126" t="s">
        <v>100</v>
      </c>
      <c r="E7" s="126" t="s">
        <v>101</v>
      </c>
      <c r="F7" s="126" t="s">
        <v>102</v>
      </c>
      <c r="G7" s="126" t="s">
        <v>103</v>
      </c>
      <c r="H7" s="126" t="s">
        <v>104</v>
      </c>
      <c r="I7" s="126" t="s">
        <v>105</v>
      </c>
      <c r="J7" s="126" t="s">
        <v>106</v>
      </c>
      <c r="K7" s="126" t="s">
        <v>107</v>
      </c>
      <c r="L7" s="126" t="s">
        <v>108</v>
      </c>
      <c r="M7" s="126" t="s">
        <v>109</v>
      </c>
      <c r="N7" s="129" t="s">
        <v>11</v>
      </c>
      <c r="O7" s="142"/>
      <c r="P7" s="144"/>
      <c r="Q7" s="144"/>
    </row>
    <row r="8" spans="2:17" ht="16.5" thickBot="1">
      <c r="B8" s="1013"/>
      <c r="C8" s="1014"/>
      <c r="D8" s="1014"/>
      <c r="E8" s="1014"/>
      <c r="F8" s="1014" t="s">
        <v>110</v>
      </c>
      <c r="G8" s="1014" t="s">
        <v>111</v>
      </c>
      <c r="H8" s="1014" t="s">
        <v>112</v>
      </c>
      <c r="I8" s="1014"/>
      <c r="J8" s="1014"/>
      <c r="K8" s="1014"/>
      <c r="L8" s="1014" t="s">
        <v>113</v>
      </c>
      <c r="M8" s="1014" t="s">
        <v>113</v>
      </c>
      <c r="N8" s="1015"/>
      <c r="O8" s="142"/>
      <c r="P8" s="144"/>
      <c r="Q8" s="144"/>
    </row>
    <row r="9" spans="2:17">
      <c r="B9" s="996" t="s">
        <v>88</v>
      </c>
      <c r="C9" s="783">
        <f>SUM(C11:C25)</f>
        <v>5765.6642778792002</v>
      </c>
      <c r="D9" s="783">
        <f t="shared" ref="D9:N9" si="0">SUM(D11:D25)</f>
        <v>414.18953116097532</v>
      </c>
      <c r="E9" s="783">
        <f t="shared" si="0"/>
        <v>70.626169739999995</v>
      </c>
      <c r="F9" s="783">
        <f t="shared" si="0"/>
        <v>1098.0586328969412</v>
      </c>
      <c r="G9" s="783">
        <f t="shared" si="0"/>
        <v>208.97885106000001</v>
      </c>
      <c r="H9" s="783">
        <f t="shared" si="0"/>
        <v>8.9006973599999988</v>
      </c>
      <c r="I9" s="783">
        <f t="shared" si="0"/>
        <v>293.23686806550006</v>
      </c>
      <c r="J9" s="783">
        <f t="shared" si="0"/>
        <v>113.46094312319001</v>
      </c>
      <c r="K9" s="783">
        <f t="shared" si="0"/>
        <v>1574.1929036036317</v>
      </c>
      <c r="L9" s="783">
        <f t="shared" si="0"/>
        <v>8066.2924761255381</v>
      </c>
      <c r="M9" s="783">
        <f t="shared" si="0"/>
        <v>4410.3826546777982</v>
      </c>
      <c r="N9" s="784">
        <f t="shared" si="0"/>
        <v>22023.984005692771</v>
      </c>
      <c r="O9" s="142"/>
      <c r="P9" s="143"/>
      <c r="Q9" s="144"/>
    </row>
    <row r="10" spans="2:17" outlineLevel="1">
      <c r="B10" s="1016"/>
      <c r="C10" s="141"/>
      <c r="D10" s="141"/>
      <c r="E10" s="141"/>
      <c r="F10" s="141"/>
      <c r="G10" s="141"/>
      <c r="H10" s="141"/>
      <c r="I10" s="141"/>
      <c r="J10" s="141"/>
      <c r="K10" s="141"/>
      <c r="L10" s="141"/>
      <c r="M10" s="141"/>
      <c r="N10" s="145"/>
      <c r="O10" s="142"/>
      <c r="P10" s="144"/>
      <c r="Q10" s="144"/>
    </row>
    <row r="11" spans="2:17" outlineLevel="1">
      <c r="B11" s="1312" t="s">
        <v>55</v>
      </c>
      <c r="C11" s="1294">
        <f>SECT_TERAC.!D14</f>
        <v>901.07897249999996</v>
      </c>
      <c r="D11" s="1294">
        <f>SECT_TERAC.!D15</f>
        <v>37.536660000000005</v>
      </c>
      <c r="E11" s="1294">
        <f>SECT_TERAC.!D16</f>
        <v>29.580599999999997</v>
      </c>
      <c r="F11" s="1294">
        <f>SECT_TERAC.!D17</f>
        <v>1000.7808430934211</v>
      </c>
      <c r="G11" s="1294">
        <f>SECT_TERAC.!D18</f>
        <v>182.322</v>
      </c>
      <c r="H11" s="1294">
        <f>SECT_TERAC.!D19</f>
        <v>0</v>
      </c>
      <c r="I11" s="1294">
        <f>SECT_TERAC.!D20</f>
        <v>233.60522563350003</v>
      </c>
      <c r="J11" s="1294">
        <f>SECT_TERAC.!D21</f>
        <v>111.22244312319</v>
      </c>
      <c r="K11" s="1294">
        <f>SECT_TERAC.!D22</f>
        <v>803.72299854000005</v>
      </c>
      <c r="L11" s="1294">
        <f>SECT_TERAC.!D23</f>
        <v>801.42052527485976</v>
      </c>
      <c r="M11" s="1294">
        <f>SECT_TERAC.!D24</f>
        <v>677.17157550000002</v>
      </c>
      <c r="N11" s="1269">
        <f>SUM(C11:M11)</f>
        <v>4778.4418436649703</v>
      </c>
      <c r="O11" s="148"/>
      <c r="P11" s="143"/>
      <c r="Q11" s="144"/>
    </row>
    <row r="12" spans="2:17" outlineLevel="1">
      <c r="B12" s="1312"/>
      <c r="C12" s="1270"/>
      <c r="D12" s="1270"/>
      <c r="E12" s="1270"/>
      <c r="F12" s="1270"/>
      <c r="G12" s="1270"/>
      <c r="H12" s="1270"/>
      <c r="I12" s="1270"/>
      <c r="J12" s="1270"/>
      <c r="K12" s="1270"/>
      <c r="L12" s="1270"/>
      <c r="M12" s="1270"/>
      <c r="N12" s="1271"/>
      <c r="O12" s="148"/>
      <c r="P12" s="144"/>
      <c r="Q12" s="144"/>
    </row>
    <row r="13" spans="2:17" outlineLevel="1">
      <c r="B13" s="1312" t="s">
        <v>56</v>
      </c>
      <c r="C13" s="1294">
        <f>SECT_TERAC.!C14</f>
        <v>4699.8263730011995</v>
      </c>
      <c r="D13" s="1294">
        <f>SECT_TERAC.!C15</f>
        <v>370.17098767597531</v>
      </c>
      <c r="E13" s="1294">
        <f>SECT_TERAC.!C16</f>
        <v>41.045569739999998</v>
      </c>
      <c r="F13" s="1294">
        <f>SECT_TERAC.!C17</f>
        <v>64.06171350852</v>
      </c>
      <c r="G13" s="1294">
        <f>SECT_TERAC.!C18</f>
        <v>20.232318399999997</v>
      </c>
      <c r="H13" s="1294">
        <f>SECT_TERAC.!C19</f>
        <v>3.4326759599999992</v>
      </c>
      <c r="I13" s="1294">
        <f>SECT_TERAC.!C20</f>
        <v>55.094142432000005</v>
      </c>
      <c r="J13" s="1294">
        <f>SECT_TERAC.!C21</f>
        <v>0</v>
      </c>
      <c r="K13" s="1294">
        <f>SECT_TERAC.!C22</f>
        <v>753.50475823863178</v>
      </c>
      <c r="L13" s="1294">
        <f>SECT_TERAC.!C23</f>
        <v>5746.1123194556785</v>
      </c>
      <c r="M13" s="1294">
        <f>SECT_TERAC.!C24</f>
        <v>3693.2172126107985</v>
      </c>
      <c r="N13" s="1269">
        <f>SUM(C13:M13)</f>
        <v>15446.698071022802</v>
      </c>
      <c r="O13" s="148"/>
      <c r="P13" s="143"/>
      <c r="Q13" s="144"/>
    </row>
    <row r="14" spans="2:17" outlineLevel="1">
      <c r="B14" s="1312"/>
      <c r="C14" s="1268"/>
      <c r="D14" s="1268"/>
      <c r="E14" s="1268"/>
      <c r="F14" s="1268"/>
      <c r="G14" s="1268"/>
      <c r="H14" s="1268"/>
      <c r="I14" s="1268"/>
      <c r="J14" s="1268"/>
      <c r="K14" s="1268"/>
      <c r="L14" s="1268"/>
      <c r="M14" s="1268"/>
      <c r="N14" s="1269"/>
      <c r="O14" s="148"/>
      <c r="P14" s="144"/>
      <c r="Q14" s="144"/>
    </row>
    <row r="15" spans="2:17" outlineLevel="1">
      <c r="B15" s="1312" t="s">
        <v>59</v>
      </c>
      <c r="C15" s="1294">
        <f>SECT_TERAC.!G14</f>
        <v>80.724281912999999</v>
      </c>
      <c r="D15" s="1294">
        <f>SECT_TERAC.!G15</f>
        <v>0</v>
      </c>
      <c r="E15" s="1294">
        <f>SECT_TERAC.!G16</f>
        <v>0</v>
      </c>
      <c r="F15" s="1294">
        <f>SECT_TERAC.!G17</f>
        <v>7.907584500000002E-2</v>
      </c>
      <c r="G15" s="1294">
        <f>SECT_TERAC.!G18</f>
        <v>2.0067912000000003</v>
      </c>
      <c r="H15" s="1294">
        <f>SECT_TERAC.!G19</f>
        <v>0</v>
      </c>
      <c r="I15" s="1294">
        <f>SECT_TERAC.!G20</f>
        <v>0</v>
      </c>
      <c r="J15" s="1294">
        <f>SECT_TERAC.!G21</f>
        <v>0</v>
      </c>
      <c r="K15" s="1294">
        <f>SECT_TERAC.!G22</f>
        <v>0</v>
      </c>
      <c r="L15" s="1294">
        <f>SECT_TERAC.!G23</f>
        <v>151.78790515500006</v>
      </c>
      <c r="M15" s="1294">
        <f>SECT_TERAC.!G24</f>
        <v>32.76803216699998</v>
      </c>
      <c r="N15" s="1269">
        <f>SUM(C15:M15)</f>
        <v>267.36608628000005</v>
      </c>
      <c r="O15" s="148"/>
      <c r="P15" s="143"/>
      <c r="Q15" s="144"/>
    </row>
    <row r="16" spans="2:17" outlineLevel="1">
      <c r="B16" s="1312"/>
      <c r="C16" s="1268"/>
      <c r="D16" s="1268"/>
      <c r="E16" s="1268"/>
      <c r="F16" s="1268"/>
      <c r="G16" s="1268"/>
      <c r="H16" s="1268"/>
      <c r="I16" s="1268"/>
      <c r="J16" s="1268"/>
      <c r="K16" s="1268"/>
      <c r="L16" s="1268"/>
      <c r="M16" s="1268"/>
      <c r="N16" s="1269"/>
      <c r="O16" s="148"/>
      <c r="P16" s="144"/>
      <c r="Q16" s="144"/>
    </row>
    <row r="17" spans="2:17" outlineLevel="1">
      <c r="B17" s="1312" t="s">
        <v>60</v>
      </c>
      <c r="C17" s="1294">
        <f>SECT_TERAC.!H14</f>
        <v>67.792766799999995</v>
      </c>
      <c r="D17" s="1294">
        <f>SECT_TERAC.!H15</f>
        <v>6.4818834850000009</v>
      </c>
      <c r="E17" s="1294">
        <f>SECT_TERAC.!H16</f>
        <v>0</v>
      </c>
      <c r="F17" s="1294">
        <f>SECT_TERAC.!H17</f>
        <v>33.120900450000015</v>
      </c>
      <c r="G17" s="1294">
        <f>SECT_TERAC.!H18</f>
        <v>4.4177414600000002</v>
      </c>
      <c r="H17" s="1294">
        <f>SECT_TERAC.!H19</f>
        <v>0.69132140000000009</v>
      </c>
      <c r="I17" s="1294">
        <f>SECT_TERAC.!H20</f>
        <v>4.5374999999999996</v>
      </c>
      <c r="J17" s="1294">
        <f>SECT_TERAC.!H21</f>
        <v>2.2385000000000002</v>
      </c>
      <c r="K17" s="1294">
        <f>SECT_TERAC.!H22</f>
        <v>16.965146825000005</v>
      </c>
      <c r="L17" s="1294">
        <f>SECT_TERAC.!H23</f>
        <v>1366.8872012400002</v>
      </c>
      <c r="M17" s="1294">
        <f>SECT_TERAC.!H24</f>
        <v>4.7190000000000003</v>
      </c>
      <c r="N17" s="1269">
        <f>SUM(C17:M17)</f>
        <v>1507.8519616600001</v>
      </c>
      <c r="O17" s="148"/>
      <c r="P17" s="143"/>
      <c r="Q17" s="144"/>
    </row>
    <row r="18" spans="2:17" outlineLevel="1">
      <c r="B18" s="1312"/>
      <c r="C18" s="1268"/>
      <c r="D18" s="1268"/>
      <c r="E18" s="1268"/>
      <c r="F18" s="1268"/>
      <c r="G18" s="1268"/>
      <c r="H18" s="1268"/>
      <c r="I18" s="1268"/>
      <c r="J18" s="1268"/>
      <c r="K18" s="1268"/>
      <c r="L18" s="1268"/>
      <c r="M18" s="1268"/>
      <c r="N18" s="1269"/>
      <c r="O18" s="148"/>
      <c r="P18" s="144"/>
      <c r="Q18" s="144"/>
    </row>
    <row r="19" spans="2:17" outlineLevel="1">
      <c r="B19" s="1312" t="s">
        <v>63</v>
      </c>
      <c r="C19" s="1294">
        <f>SECT_TERAC.!K14</f>
        <v>16.241883665</v>
      </c>
      <c r="D19" s="1294">
        <f>SECT_TERAC.!K15</f>
        <v>0</v>
      </c>
      <c r="E19" s="1294">
        <f>SECT_TERAC.!K16</f>
        <v>0</v>
      </c>
      <c r="F19" s="1294">
        <f>SECT_TERAC.!K17</f>
        <v>1.61E-2</v>
      </c>
      <c r="G19" s="1294">
        <f>SECT_TERAC.!K18</f>
        <v>0</v>
      </c>
      <c r="H19" s="1294">
        <f>SECT_TERAC.!K19</f>
        <v>0</v>
      </c>
      <c r="I19" s="1294">
        <f>SECT_TERAC.!K20</f>
        <v>0</v>
      </c>
      <c r="J19" s="1294">
        <f>SECT_TERAC.!K21</f>
        <v>0</v>
      </c>
      <c r="K19" s="1294">
        <f>SECT_TERAC.!K22</f>
        <v>0</v>
      </c>
      <c r="L19" s="1294">
        <f>SECT_TERAC.!K23</f>
        <v>8.4524999999999989E-2</v>
      </c>
      <c r="M19" s="1294">
        <f>SECT_TERAC.!K24</f>
        <v>2.5068344000000002</v>
      </c>
      <c r="N19" s="1269">
        <f>SUM(C19:M19)</f>
        <v>18.849343064999999</v>
      </c>
      <c r="O19" s="148"/>
      <c r="P19" s="143"/>
      <c r="Q19" s="144"/>
    </row>
    <row r="20" spans="2:17" outlineLevel="1">
      <c r="B20" s="1312"/>
      <c r="C20" s="1268"/>
      <c r="D20" s="1268"/>
      <c r="E20" s="1268"/>
      <c r="F20" s="1268"/>
      <c r="G20" s="1268"/>
      <c r="H20" s="1268"/>
      <c r="I20" s="1268"/>
      <c r="J20" s="1268"/>
      <c r="K20" s="1268"/>
      <c r="L20" s="1268"/>
      <c r="M20" s="1268"/>
      <c r="N20" s="1269"/>
      <c r="O20" s="148"/>
      <c r="P20" s="144"/>
      <c r="Q20" s="144"/>
    </row>
    <row r="21" spans="2:17" outlineLevel="1">
      <c r="B21" s="1312" t="s">
        <v>64</v>
      </c>
      <c r="C21" s="1294">
        <f>SECT_TERAC.!L14</f>
        <v>0</v>
      </c>
      <c r="D21" s="1294">
        <f>SECT_TERAC.!L15</f>
        <v>0</v>
      </c>
      <c r="E21" s="1294">
        <f>SECT_TERAC.!L16</f>
        <v>0</v>
      </c>
      <c r="F21" s="1294">
        <f>SECT_TERAC.!L17</f>
        <v>0</v>
      </c>
      <c r="G21" s="1294">
        <f>SECT_TERAC.!L18</f>
        <v>0</v>
      </c>
      <c r="H21" s="1294">
        <f>SECT_TERAC.!L19</f>
        <v>4.7766999999999999</v>
      </c>
      <c r="I21" s="1294">
        <f>SECT_TERAC.!L20</f>
        <v>0</v>
      </c>
      <c r="J21" s="1294">
        <f>SECT_TERAC.!L21</f>
        <v>0</v>
      </c>
      <c r="K21" s="1294">
        <f>SECT_TERAC.!L22</f>
        <v>0</v>
      </c>
      <c r="L21" s="1294">
        <f>SECT_TERAC.!L23</f>
        <v>0</v>
      </c>
      <c r="M21" s="1294">
        <f>SECT_TERAC.!L24</f>
        <v>0</v>
      </c>
      <c r="N21" s="1269">
        <f>SUM(C21:M21)</f>
        <v>4.7766999999999999</v>
      </c>
      <c r="O21" s="148"/>
      <c r="P21" s="143"/>
      <c r="Q21" s="144"/>
    </row>
    <row r="22" spans="2:17" outlineLevel="1">
      <c r="B22" s="1312"/>
      <c r="C22" s="1268"/>
      <c r="D22" s="1268"/>
      <c r="E22" s="1268"/>
      <c r="F22" s="1268"/>
      <c r="G22" s="1268"/>
      <c r="H22" s="1268"/>
      <c r="I22" s="1268"/>
      <c r="J22" s="1268"/>
      <c r="K22" s="1268"/>
      <c r="L22" s="1268"/>
      <c r="M22" s="1268"/>
      <c r="N22" s="1269"/>
      <c r="O22" s="148"/>
      <c r="P22" s="143"/>
      <c r="Q22" s="144"/>
    </row>
    <row r="23" spans="2:17" outlineLevel="1">
      <c r="B23" s="1309" t="s">
        <v>62</v>
      </c>
      <c r="C23" s="1294">
        <f>SECT_TERAC.!J14</f>
        <v>0</v>
      </c>
      <c r="D23" s="1294">
        <f>SECT_TERAC.!J15</f>
        <v>0</v>
      </c>
      <c r="E23" s="1294">
        <f>SECT_TERAC.!J16</f>
        <v>0</v>
      </c>
      <c r="F23" s="1294">
        <f>SECT_TERAC.!J17</f>
        <v>0</v>
      </c>
      <c r="G23" s="1294">
        <f>SECT_TERAC.!J18</f>
        <v>0</v>
      </c>
      <c r="H23" s="1294">
        <f>SECT_TERAC.!J19</f>
        <v>0</v>
      </c>
      <c r="I23" s="1294">
        <f>SECT_TERAC.!J20</f>
        <v>0</v>
      </c>
      <c r="J23" s="1294">
        <f>SECT_TERAC.!J21</f>
        <v>0</v>
      </c>
      <c r="K23" s="1294">
        <f>SECT_TERAC.!J22</f>
        <v>0</v>
      </c>
      <c r="L23" s="1294">
        <f>SECT_TERAC.!J23</f>
        <v>0</v>
      </c>
      <c r="M23" s="1294">
        <f>SECT_TERAC.!J24</f>
        <v>0</v>
      </c>
      <c r="N23" s="1269">
        <f>SUM(C23:M23)</f>
        <v>0</v>
      </c>
      <c r="O23" s="148"/>
      <c r="P23" s="143"/>
      <c r="Q23" s="144"/>
    </row>
    <row r="24" spans="2:17" outlineLevel="1">
      <c r="B24" s="1312"/>
      <c r="C24" s="1268"/>
      <c r="D24" s="1268"/>
      <c r="E24" s="1268"/>
      <c r="F24" s="1268"/>
      <c r="G24" s="1268"/>
      <c r="H24" s="1268"/>
      <c r="I24" s="1268"/>
      <c r="J24" s="1268"/>
      <c r="K24" s="1268"/>
      <c r="L24" s="1268"/>
      <c r="M24" s="1268"/>
      <c r="N24" s="1269"/>
      <c r="O24" s="148"/>
      <c r="P24" s="143"/>
      <c r="Q24" s="144"/>
    </row>
    <row r="25" spans="2:17" outlineLevel="1">
      <c r="B25" s="1309" t="s">
        <v>89</v>
      </c>
      <c r="C25" s="1294">
        <f>SECT_TERAC.!E14</f>
        <v>0</v>
      </c>
      <c r="D25" s="1294">
        <f>SECT_TERAC.!E15</f>
        <v>0</v>
      </c>
      <c r="E25" s="1294">
        <f>SECT_TERAC.!E16</f>
        <v>0</v>
      </c>
      <c r="F25" s="1294">
        <f>SECT_TERAC.!E17</f>
        <v>0</v>
      </c>
      <c r="G25" s="1294">
        <f>SECT_TERAC.!E18</f>
        <v>0</v>
      </c>
      <c r="H25" s="1294">
        <f>SECT_TERAC.!E19</f>
        <v>0</v>
      </c>
      <c r="I25" s="1294">
        <f>SECT_TERAC.!E20</f>
        <v>0</v>
      </c>
      <c r="J25" s="1294">
        <f>SECT_TERAC.!E21</f>
        <v>0</v>
      </c>
      <c r="K25" s="1294">
        <f>SECT_TERAC.!E22</f>
        <v>0</v>
      </c>
      <c r="L25" s="1294">
        <f>SECT_TERAC.!E23</f>
        <v>0</v>
      </c>
      <c r="M25" s="1294">
        <f>SECT_TERAC.!E24</f>
        <v>0</v>
      </c>
      <c r="N25" s="1269">
        <f>SUM(C25:M25)</f>
        <v>0</v>
      </c>
      <c r="O25" s="148"/>
      <c r="P25" s="143"/>
      <c r="Q25" s="144"/>
    </row>
    <row r="26" spans="2:17">
      <c r="B26" s="1017"/>
      <c r="C26" s="146"/>
      <c r="D26" s="146"/>
      <c r="E26" s="146"/>
      <c r="F26" s="146"/>
      <c r="G26" s="146"/>
      <c r="H26" s="146"/>
      <c r="I26" s="146"/>
      <c r="J26" s="146"/>
      <c r="K26" s="146"/>
      <c r="L26" s="146"/>
      <c r="M26" s="146"/>
      <c r="N26" s="147"/>
      <c r="O26" s="148"/>
      <c r="P26" s="144"/>
      <c r="Q26" s="144"/>
    </row>
    <row r="27" spans="2:17">
      <c r="B27" s="1018" t="s">
        <v>18</v>
      </c>
      <c r="C27" s="1295">
        <f>SECT_TERAC.!N14</f>
        <v>13500.164920185473</v>
      </c>
      <c r="D27" s="1295">
        <f>SECT_TERAC.!N15</f>
        <v>321.87910869390009</v>
      </c>
      <c r="E27" s="1295">
        <f>SECT_TERAC.!N16</f>
        <v>312.29029328000013</v>
      </c>
      <c r="F27" s="1295">
        <f>SECT_TERAC.!N17</f>
        <v>3476.5130154581921</v>
      </c>
      <c r="G27" s="1295">
        <f>SECT_TERAC.!N18</f>
        <v>500.10965443999982</v>
      </c>
      <c r="H27" s="1295">
        <f>SECT_TERAC.!N19</f>
        <v>545.65938243827509</v>
      </c>
      <c r="I27" s="1295">
        <f>SECT_TERAC.!N20</f>
        <v>413.5862253091413</v>
      </c>
      <c r="J27" s="1295">
        <f>SECT_TERAC.!N21</f>
        <v>81.587555860000023</v>
      </c>
      <c r="K27" s="1295">
        <f>SECT_TERAC.!N22</f>
        <v>116.50773373999999</v>
      </c>
      <c r="L27" s="1295">
        <f>SECT_TERAC.!N23</f>
        <v>7055.068193762022</v>
      </c>
      <c r="M27" s="1295">
        <f>SECT_TERAC.!N24</f>
        <v>1343.3758016457778</v>
      </c>
      <c r="N27" s="145">
        <f>SUM(C27:M27)</f>
        <v>27666.741884812778</v>
      </c>
      <c r="O27" s="148"/>
      <c r="P27" s="143"/>
      <c r="Q27" s="144"/>
    </row>
    <row r="28" spans="2:17">
      <c r="B28" s="1018"/>
      <c r="C28" s="141"/>
      <c r="D28" s="141"/>
      <c r="E28" s="141"/>
      <c r="F28" s="141"/>
      <c r="G28" s="141"/>
      <c r="H28" s="141"/>
      <c r="I28" s="141"/>
      <c r="J28" s="141"/>
      <c r="K28" s="141"/>
      <c r="L28" s="141"/>
      <c r="M28" s="141"/>
      <c r="N28" s="145"/>
      <c r="O28" s="148"/>
      <c r="P28" s="144"/>
      <c r="Q28" s="144"/>
    </row>
    <row r="29" spans="2:17">
      <c r="B29" s="1018" t="s">
        <v>114</v>
      </c>
      <c r="C29" s="1295">
        <f>SECT_TERAC.!O14</f>
        <v>26.098317000000002</v>
      </c>
      <c r="D29" s="1295">
        <f>SECT_TERAC.!O15</f>
        <v>0</v>
      </c>
      <c r="E29" s="1295">
        <f>SECT_TERAC.!O16</f>
        <v>599.73199999999997</v>
      </c>
      <c r="F29" s="1295">
        <f>SECT_TERAC.!O17</f>
        <v>0</v>
      </c>
      <c r="G29" s="1295">
        <f>SECT_TERAC.!O18</f>
        <v>0.34300000000000003</v>
      </c>
      <c r="H29" s="1295">
        <f>SECT_TERAC.!O19</f>
        <v>0</v>
      </c>
      <c r="I29" s="1295">
        <f>SECT_TERAC.!O20</f>
        <v>1721.6250680039402</v>
      </c>
      <c r="J29" s="1295">
        <f>SECT_TERAC.!O21</f>
        <v>822.62204742705808</v>
      </c>
      <c r="K29" s="1295">
        <f>SECT_TERAC.!O22</f>
        <v>261.08424175916946</v>
      </c>
      <c r="L29" s="1295">
        <f>SECT_TERAC.!O23</f>
        <v>1666.6300817266037</v>
      </c>
      <c r="M29" s="1295">
        <f>SECT_TERAC.!O24</f>
        <v>92.083589159999988</v>
      </c>
      <c r="N29" s="145">
        <f>SUM(C29:M29)</f>
        <v>5190.2183450767716</v>
      </c>
      <c r="O29" s="148"/>
      <c r="P29" s="143"/>
      <c r="Q29" s="144"/>
    </row>
    <row r="30" spans="2:17">
      <c r="B30" s="1018"/>
      <c r="C30" s="141"/>
      <c r="D30" s="141"/>
      <c r="E30" s="141"/>
      <c r="F30" s="141"/>
      <c r="G30" s="141"/>
      <c r="H30" s="141"/>
      <c r="I30" s="141"/>
      <c r="J30" s="141"/>
      <c r="K30" s="141"/>
      <c r="L30" s="141"/>
      <c r="M30" s="141"/>
      <c r="N30" s="145"/>
      <c r="O30" s="148"/>
      <c r="P30" s="144"/>
      <c r="Q30" s="144"/>
    </row>
    <row r="31" spans="2:17">
      <c r="B31" s="1018" t="s">
        <v>115</v>
      </c>
      <c r="C31" s="1295">
        <f>SECT_TERAC.!P14</f>
        <v>84.051100000000005</v>
      </c>
      <c r="D31" s="1295">
        <f>SECT_TERAC.!P15</f>
        <v>0</v>
      </c>
      <c r="E31" s="1295">
        <f>SECT_TERAC.!P16</f>
        <v>0</v>
      </c>
      <c r="F31" s="1295">
        <f>SECT_TERAC.!P17</f>
        <v>0</v>
      </c>
      <c r="G31" s="1295">
        <f>SECT_TERAC.!P18</f>
        <v>1551.8470000000009</v>
      </c>
      <c r="H31" s="1295">
        <f>SECT_TERAC.!P19</f>
        <v>0</v>
      </c>
      <c r="I31" s="1295">
        <f>SECT_TERAC.!P20</f>
        <v>315.36399999999998</v>
      </c>
      <c r="J31" s="1295">
        <f>SECT_TERAC.!P21</f>
        <v>35.424872000000001</v>
      </c>
      <c r="K31" s="1295">
        <f>SECT_TERAC.!P22</f>
        <v>0</v>
      </c>
      <c r="L31" s="1295">
        <f>SECT_TERAC.!P23</f>
        <v>10.616680000000001</v>
      </c>
      <c r="M31" s="1295">
        <f>SECT_TERAC.!P24</f>
        <v>0</v>
      </c>
      <c r="N31" s="145">
        <f>SUM(C31:M31)</f>
        <v>1997.303652000001</v>
      </c>
      <c r="O31" s="148"/>
      <c r="P31" s="143"/>
      <c r="Q31" s="144"/>
    </row>
    <row r="32" spans="2:17">
      <c r="B32" s="1018"/>
      <c r="C32" s="141"/>
      <c r="D32" s="141"/>
      <c r="E32" s="141"/>
      <c r="F32" s="141"/>
      <c r="G32" s="141"/>
      <c r="H32" s="141"/>
      <c r="I32" s="141"/>
      <c r="J32" s="141"/>
      <c r="K32" s="141"/>
      <c r="L32" s="141"/>
      <c r="M32" s="141"/>
      <c r="N32" s="145"/>
      <c r="O32" s="148"/>
      <c r="P32" s="144"/>
      <c r="Q32" s="144"/>
    </row>
    <row r="33" spans="2:17">
      <c r="B33" s="1018" t="s">
        <v>116</v>
      </c>
      <c r="C33" s="1295">
        <f>SECT_TERAC.!Q14</f>
        <v>0</v>
      </c>
      <c r="D33" s="1295">
        <f>SECT_TERAC.!Q15</f>
        <v>0</v>
      </c>
      <c r="E33" s="1295">
        <f>SECT_TERAC.!Q16</f>
        <v>0</v>
      </c>
      <c r="F33" s="1295">
        <f>SECT_TERAC.!Q17</f>
        <v>0</v>
      </c>
      <c r="G33" s="1295">
        <f>SECT_TERAC.!Q18</f>
        <v>0</v>
      </c>
      <c r="H33" s="1295">
        <f>SECT_TERAC.!Q19</f>
        <v>0</v>
      </c>
      <c r="I33" s="1295">
        <f>SECT_TERAC.!Q20</f>
        <v>0</v>
      </c>
      <c r="J33" s="1295">
        <f>SECT_TERAC.!Q21</f>
        <v>0</v>
      </c>
      <c r="K33" s="1295">
        <f>SECT_TERAC.!Q22</f>
        <v>0</v>
      </c>
      <c r="L33" s="1295">
        <f>SECT_TERAC.!Q23</f>
        <v>0</v>
      </c>
      <c r="M33" s="1295">
        <f>SECT_TERAC.!Q24</f>
        <v>0</v>
      </c>
      <c r="N33" s="145">
        <f>SUM(C33:M33)</f>
        <v>0</v>
      </c>
      <c r="O33" s="148"/>
      <c r="P33" s="143"/>
      <c r="Q33" s="144"/>
    </row>
    <row r="34" spans="2:17">
      <c r="B34" s="1018"/>
      <c r="C34" s="141"/>
      <c r="D34" s="141"/>
      <c r="E34" s="141"/>
      <c r="F34" s="141"/>
      <c r="G34" s="141"/>
      <c r="H34" s="141"/>
      <c r="I34" s="141"/>
      <c r="J34" s="141"/>
      <c r="K34" s="141"/>
      <c r="L34" s="141"/>
      <c r="M34" s="141"/>
      <c r="N34" s="145"/>
      <c r="O34" s="148"/>
      <c r="P34" s="144"/>
      <c r="Q34" s="144"/>
    </row>
    <row r="35" spans="2:17">
      <c r="B35" s="1018" t="s">
        <v>20</v>
      </c>
      <c r="C35" s="1295">
        <f>SECT_TERAC.!R14</f>
        <v>7.4319999999999994E-3</v>
      </c>
      <c r="D35" s="1295">
        <f>SECT_TERAC.!R15</f>
        <v>0</v>
      </c>
      <c r="E35" s="1295">
        <f>SECT_TERAC.!R16</f>
        <v>0</v>
      </c>
      <c r="F35" s="1295">
        <f>SECT_TERAC.!R17</f>
        <v>0</v>
      </c>
      <c r="G35" s="1295">
        <f>SECT_TERAC.!R18</f>
        <v>830.3309999999999</v>
      </c>
      <c r="H35" s="1295">
        <f>SECT_TERAC.!R19</f>
        <v>0</v>
      </c>
      <c r="I35" s="1295">
        <f>SECT_TERAC.!R20</f>
        <v>0</v>
      </c>
      <c r="J35" s="1295">
        <f>SECT_TERAC.!R21</f>
        <v>0</v>
      </c>
      <c r="K35" s="1295">
        <f>SECT_TERAC.!R22</f>
        <v>4.178120000000001E-4</v>
      </c>
      <c r="L35" s="1295">
        <f>SECT_TERAC.!R23</f>
        <v>0</v>
      </c>
      <c r="M35" s="1295">
        <f>SECT_TERAC.!R24</f>
        <v>0</v>
      </c>
      <c r="N35" s="145">
        <f>SUM(C35:M35)</f>
        <v>830.33884981199992</v>
      </c>
      <c r="O35" s="148"/>
      <c r="P35" s="143"/>
      <c r="Q35" s="144"/>
    </row>
    <row r="36" spans="2:17">
      <c r="B36" s="1018"/>
      <c r="C36" s="141"/>
      <c r="D36" s="141"/>
      <c r="E36" s="141"/>
      <c r="F36" s="141"/>
      <c r="G36" s="141"/>
      <c r="H36" s="141"/>
      <c r="I36" s="141"/>
      <c r="J36" s="141"/>
      <c r="K36" s="141"/>
      <c r="L36" s="141"/>
      <c r="M36" s="141"/>
      <c r="N36" s="145"/>
      <c r="O36" s="148"/>
      <c r="P36" s="144"/>
      <c r="Q36" s="144"/>
    </row>
    <row r="37" spans="2:17">
      <c r="B37" s="1018" t="s">
        <v>69</v>
      </c>
      <c r="C37" s="1295">
        <f>SECT_TERAC.!S14</f>
        <v>0</v>
      </c>
      <c r="D37" s="1295">
        <f>SECT_TERAC.!S15</f>
        <v>0</v>
      </c>
      <c r="E37" s="1295">
        <f>SECT_TERAC.!S16</f>
        <v>0</v>
      </c>
      <c r="F37" s="1295">
        <f>SECT_TERAC.!S17</f>
        <v>0</v>
      </c>
      <c r="G37" s="1295">
        <f>SECT_TERAC.!S18</f>
        <v>367.87299999999982</v>
      </c>
      <c r="H37" s="1295">
        <f>SECT_TERAC.!S19</f>
        <v>0</v>
      </c>
      <c r="I37" s="1295">
        <f>SECT_TERAC.!S20</f>
        <v>0</v>
      </c>
      <c r="J37" s="1295">
        <f>SECT_TERAC.!S21</f>
        <v>0</v>
      </c>
      <c r="K37" s="1295">
        <f>SECT_TERAC.!S22</f>
        <v>0</v>
      </c>
      <c r="L37" s="1295">
        <f>SECT_TERAC.!S23</f>
        <v>0</v>
      </c>
      <c r="M37" s="1295">
        <f>SECT_TERAC.!S24</f>
        <v>0</v>
      </c>
      <c r="N37" s="145">
        <f>SUM(C37:M37)</f>
        <v>367.87299999999982</v>
      </c>
      <c r="O37" s="148"/>
      <c r="P37" s="143"/>
      <c r="Q37" s="144"/>
    </row>
    <row r="38" spans="2:17">
      <c r="B38" s="1018"/>
      <c r="C38" s="141"/>
      <c r="D38" s="141"/>
      <c r="E38" s="141"/>
      <c r="F38" s="141"/>
      <c r="G38" s="141"/>
      <c r="H38" s="141"/>
      <c r="I38" s="141"/>
      <c r="J38" s="141"/>
      <c r="K38" s="141"/>
      <c r="L38" s="141"/>
      <c r="M38" s="141"/>
      <c r="N38" s="145"/>
      <c r="O38" s="148"/>
      <c r="P38" s="144"/>
      <c r="Q38" s="144"/>
    </row>
    <row r="39" spans="2:17">
      <c r="B39" s="1018" t="s">
        <v>117</v>
      </c>
      <c r="C39" s="1295">
        <f>SECT_TERAC.!T14</f>
        <v>1441.5704548211831</v>
      </c>
      <c r="D39" s="1295">
        <f>SECT_TERAC.!T15</f>
        <v>820.05610463999983</v>
      </c>
      <c r="E39" s="1295">
        <f>SECT_TERAC.!T16</f>
        <v>14.544291958000001</v>
      </c>
      <c r="F39" s="1295">
        <f>SECT_TERAC.!T17</f>
        <v>1467.0651343369184</v>
      </c>
      <c r="G39" s="1295">
        <f>SECT_TERAC.!T18</f>
        <v>294.46568400000001</v>
      </c>
      <c r="H39" s="1295">
        <f>SECT_TERAC.!T19</f>
        <v>176.90410815499996</v>
      </c>
      <c r="I39" s="1295">
        <f>SECT_TERAC.!T20</f>
        <v>394.70328119375711</v>
      </c>
      <c r="J39" s="1295">
        <f>SECT_TERAC.!T21</f>
        <v>0</v>
      </c>
      <c r="K39" s="1295">
        <f>SECT_TERAC.!T22</f>
        <v>487.78702000000015</v>
      </c>
      <c r="L39" s="1295">
        <f>SECT_TERAC.!T23</f>
        <v>5694.3894527584453</v>
      </c>
      <c r="M39" s="1295">
        <f>SECT_TERAC.!T24</f>
        <v>72.74116827249</v>
      </c>
      <c r="N39" s="145">
        <f>SUM(C39:M39)</f>
        <v>10864.226700135794</v>
      </c>
      <c r="O39" s="148"/>
      <c r="P39" s="143"/>
      <c r="Q39" s="144"/>
    </row>
    <row r="40" spans="2:17">
      <c r="B40" s="1018"/>
      <c r="C40" s="141"/>
      <c r="D40" s="141"/>
      <c r="E40" s="141"/>
      <c r="F40" s="141"/>
      <c r="G40" s="141"/>
      <c r="H40" s="141"/>
      <c r="I40" s="141"/>
      <c r="J40" s="141"/>
      <c r="K40" s="141"/>
      <c r="L40" s="141"/>
      <c r="M40" s="141"/>
      <c r="N40" s="145"/>
      <c r="O40" s="148"/>
      <c r="P40" s="144"/>
      <c r="Q40" s="144"/>
    </row>
    <row r="41" spans="2:17">
      <c r="B41" s="1018" t="s">
        <v>22</v>
      </c>
      <c r="C41" s="1295">
        <f>SECT_TERAC.!U14</f>
        <v>0</v>
      </c>
      <c r="D41" s="1295">
        <f>SECT_TERAC.!U15</f>
        <v>0</v>
      </c>
      <c r="E41" s="1295">
        <f>SECT_TERAC.!U16</f>
        <v>0</v>
      </c>
      <c r="F41" s="1295">
        <f>SECT_TERAC.!U17</f>
        <v>0</v>
      </c>
      <c r="G41" s="1295">
        <f>SECT_TERAC.!U18</f>
        <v>0</v>
      </c>
      <c r="H41" s="1295">
        <f>SECT_TERAC.!U19</f>
        <v>0</v>
      </c>
      <c r="I41" s="1295">
        <f>SECT_TERAC.!U20</f>
        <v>0</v>
      </c>
      <c r="J41" s="1295">
        <f>SECT_TERAC.!U21</f>
        <v>0</v>
      </c>
      <c r="K41" s="1295">
        <f>SECT_TERAC.!U22</f>
        <v>0</v>
      </c>
      <c r="L41" s="1295">
        <f>SECT_TERAC.!U23</f>
        <v>0</v>
      </c>
      <c r="M41" s="1295">
        <f>SECT_TERAC.!U24</f>
        <v>0</v>
      </c>
      <c r="N41" s="145">
        <f>SUM(C41:M41)</f>
        <v>0</v>
      </c>
      <c r="O41" s="148"/>
      <c r="P41" s="143"/>
      <c r="Q41" s="144"/>
    </row>
    <row r="42" spans="2:17">
      <c r="B42" s="1018"/>
      <c r="C42" s="141"/>
      <c r="D42" s="141"/>
      <c r="E42" s="141"/>
      <c r="F42" s="141"/>
      <c r="G42" s="141"/>
      <c r="H42" s="141"/>
      <c r="I42" s="141"/>
      <c r="J42" s="141"/>
      <c r="K42" s="141"/>
      <c r="L42" s="141"/>
      <c r="M42" s="141"/>
      <c r="N42" s="145"/>
      <c r="O42" s="148"/>
      <c r="P42" s="144"/>
      <c r="Q42" s="144"/>
    </row>
    <row r="43" spans="2:17">
      <c r="B43" s="1018" t="s">
        <v>9</v>
      </c>
      <c r="C43" s="1295">
        <f>SECT_TERAC.!W14</f>
        <v>0</v>
      </c>
      <c r="D43" s="1295">
        <f>SECT_TERAC.!W15</f>
        <v>0</v>
      </c>
      <c r="E43" s="1295">
        <f>SECT_TERAC.!W16</f>
        <v>0</v>
      </c>
      <c r="F43" s="1295">
        <f>SECT_TERAC.!W17</f>
        <v>5706.6574696934958</v>
      </c>
      <c r="G43" s="1295">
        <f>SECT_TERAC.!W18</f>
        <v>0.22942499999999999</v>
      </c>
      <c r="H43" s="1295">
        <f>SECT_TERAC.!W19</f>
        <v>0</v>
      </c>
      <c r="I43" s="1295">
        <f>SECT_TERAC.!W20</f>
        <v>49.475999999999999</v>
      </c>
      <c r="J43" s="1295">
        <f>SECT_TERAC.!W21</f>
        <v>0</v>
      </c>
      <c r="K43" s="1295">
        <f>SECT_TERAC.!W22</f>
        <v>0</v>
      </c>
      <c r="L43" s="1295">
        <f>SECT_TERAC.!W23</f>
        <v>3839.8569280927809</v>
      </c>
      <c r="M43" s="1295">
        <f>SECT_TERAC.!W24</f>
        <v>0</v>
      </c>
      <c r="N43" s="145">
        <f>SUM(C43:M43)</f>
        <v>9596.2198227862773</v>
      </c>
      <c r="O43" s="148"/>
      <c r="P43" s="143"/>
      <c r="Q43" s="144"/>
    </row>
    <row r="44" spans="2:17">
      <c r="B44" s="1018"/>
      <c r="C44" s="141"/>
      <c r="D44" s="141"/>
      <c r="E44" s="141"/>
      <c r="F44" s="141"/>
      <c r="G44" s="141"/>
      <c r="H44" s="141"/>
      <c r="I44" s="141"/>
      <c r="J44" s="141"/>
      <c r="K44" s="141"/>
      <c r="L44" s="141"/>
      <c r="M44" s="141"/>
      <c r="N44" s="145"/>
      <c r="O44" s="148"/>
      <c r="P44" s="144"/>
      <c r="Q44" s="144"/>
    </row>
    <row r="45" spans="2:17">
      <c r="B45" s="1018"/>
      <c r="C45" s="141"/>
      <c r="D45" s="141"/>
      <c r="E45" s="141"/>
      <c r="F45" s="141"/>
      <c r="G45" s="141"/>
      <c r="H45" s="141"/>
      <c r="I45" s="141"/>
      <c r="J45" s="141"/>
      <c r="K45" s="141"/>
      <c r="L45" s="141"/>
      <c r="M45" s="141"/>
      <c r="N45" s="145"/>
      <c r="O45" s="142"/>
      <c r="P45" s="144"/>
      <c r="Q45" s="144"/>
    </row>
    <row r="46" spans="2:17">
      <c r="B46" s="1019" t="s">
        <v>11</v>
      </c>
      <c r="C46" s="149">
        <f>SUM(C27:C43)+C9</f>
        <v>20817.556501885858</v>
      </c>
      <c r="D46" s="149">
        <f t="shared" ref="D46:N46" si="1">SUM(D27:D43)+D9</f>
        <v>1556.1247444948751</v>
      </c>
      <c r="E46" s="149">
        <f t="shared" si="1"/>
        <v>997.19275497800015</v>
      </c>
      <c r="F46" s="149">
        <f t="shared" si="1"/>
        <v>11748.294252385545</v>
      </c>
      <c r="G46" s="149">
        <f t="shared" si="1"/>
        <v>3754.1776144999999</v>
      </c>
      <c r="H46" s="149">
        <f t="shared" si="1"/>
        <v>731.46418795327497</v>
      </c>
      <c r="I46" s="149">
        <f t="shared" si="1"/>
        <v>3187.9914425723387</v>
      </c>
      <c r="J46" s="149">
        <f>SUM(J27:J43)+J9</f>
        <v>1053.0954184102482</v>
      </c>
      <c r="K46" s="149">
        <f t="shared" si="1"/>
        <v>2439.5723169148014</v>
      </c>
      <c r="L46" s="149">
        <f t="shared" si="1"/>
        <v>26332.85381246539</v>
      </c>
      <c r="M46" s="149">
        <f t="shared" si="1"/>
        <v>5918.5832137560665</v>
      </c>
      <c r="N46" s="785">
        <f t="shared" si="1"/>
        <v>78536.906260316391</v>
      </c>
      <c r="O46" s="148"/>
      <c r="P46" s="143"/>
      <c r="Q46" s="144"/>
    </row>
    <row r="47" spans="2:17" ht="13.5" thickBot="1">
      <c r="B47" s="1020"/>
      <c r="C47" s="150"/>
      <c r="D47" s="150"/>
      <c r="E47" s="150"/>
      <c r="F47" s="150"/>
      <c r="G47" s="150"/>
      <c r="H47" s="150"/>
      <c r="I47" s="150"/>
      <c r="J47" s="150"/>
      <c r="K47" s="150"/>
      <c r="L47" s="150"/>
      <c r="M47" s="150"/>
      <c r="N47" s="151"/>
      <c r="O47" s="148"/>
      <c r="P47" s="144"/>
      <c r="Q47" s="144"/>
    </row>
    <row r="48" spans="2:17">
      <c r="B48" s="80" t="s">
        <v>118</v>
      </c>
      <c r="C48" s="81"/>
      <c r="D48" s="81"/>
      <c r="E48" s="81"/>
      <c r="F48" s="81"/>
      <c r="G48" s="81"/>
      <c r="H48" s="81"/>
      <c r="I48" s="81"/>
      <c r="J48" s="859" t="s">
        <v>683</v>
      </c>
      <c r="K48" s="77"/>
      <c r="L48" s="77"/>
      <c r="M48" s="77"/>
      <c r="N48" s="77"/>
      <c r="O48" s="77"/>
      <c r="P48" s="77"/>
      <c r="Q48" s="77"/>
    </row>
    <row r="49" spans="2:17">
      <c r="B49" s="80" t="s">
        <v>119</v>
      </c>
      <c r="C49" s="81"/>
      <c r="D49" s="81"/>
      <c r="E49" s="81"/>
      <c r="F49" s="81"/>
      <c r="G49" s="81"/>
      <c r="H49" s="81"/>
      <c r="I49" s="81"/>
      <c r="J49" s="77"/>
      <c r="K49" s="77"/>
      <c r="L49" s="77"/>
      <c r="M49" s="77"/>
      <c r="N49" s="77"/>
      <c r="O49" s="77"/>
      <c r="P49" s="77"/>
      <c r="Q49" s="77"/>
    </row>
    <row r="50" spans="2:17">
      <c r="B50" s="11" t="s">
        <v>42</v>
      </c>
      <c r="C50" s="58"/>
      <c r="D50" s="59"/>
      <c r="E50" s="59"/>
      <c r="F50" s="59"/>
      <c r="G50" s="60"/>
      <c r="H50" s="21"/>
      <c r="I50" s="73"/>
      <c r="J50" s="73"/>
      <c r="K50" s="73"/>
      <c r="L50" s="73"/>
      <c r="M50" s="73"/>
      <c r="N50" s="73"/>
      <c r="O50" s="73"/>
      <c r="P50" s="73"/>
      <c r="Q50" s="73"/>
    </row>
    <row r="51" spans="2:17">
      <c r="B51" s="11" t="s">
        <v>43</v>
      </c>
      <c r="C51" s="21"/>
      <c r="D51" s="21"/>
      <c r="E51" s="21"/>
      <c r="F51" s="21"/>
      <c r="G51" s="21"/>
      <c r="H51" s="21"/>
      <c r="I51" s="73"/>
      <c r="J51" s="73"/>
      <c r="K51" s="73"/>
      <c r="L51" s="73"/>
      <c r="M51" s="73"/>
      <c r="N51" s="73"/>
      <c r="O51" s="73"/>
      <c r="P51" s="73"/>
      <c r="Q51" s="73"/>
    </row>
    <row r="52" spans="2:17">
      <c r="B52" s="21" t="s">
        <v>14</v>
      </c>
      <c r="C52" s="21"/>
      <c r="D52" s="21"/>
      <c r="E52" s="21"/>
      <c r="F52" s="21"/>
      <c r="G52" s="21"/>
      <c r="H52" s="21"/>
      <c r="I52" s="73"/>
      <c r="J52" s="73"/>
      <c r="K52" s="73"/>
      <c r="L52" s="73"/>
      <c r="M52" s="73"/>
      <c r="N52" s="73"/>
      <c r="O52" s="73"/>
      <c r="P52" s="73"/>
      <c r="Q52" s="73"/>
    </row>
    <row r="53" spans="2:17">
      <c r="B53" s="21" t="s">
        <v>777</v>
      </c>
      <c r="C53" s="21"/>
      <c r="D53" s="21"/>
      <c r="E53" s="21"/>
      <c r="F53" s="21"/>
      <c r="G53" s="21"/>
      <c r="H53" s="21"/>
      <c r="I53" s="73"/>
      <c r="J53" s="73"/>
      <c r="K53" s="73"/>
      <c r="L53" s="73"/>
      <c r="M53" s="73"/>
      <c r="N53" s="73"/>
      <c r="O53" s="73"/>
      <c r="P53" s="73"/>
      <c r="Q53" s="73"/>
    </row>
    <row r="54" spans="2:17">
      <c r="B54" s="144"/>
      <c r="C54" s="144"/>
      <c r="D54" s="144"/>
      <c r="E54" s="144"/>
      <c r="F54" s="144"/>
      <c r="G54" s="144"/>
      <c r="H54" s="144"/>
      <c r="I54" s="144"/>
      <c r="J54" s="144"/>
      <c r="K54" s="144"/>
      <c r="L54" s="144"/>
      <c r="M54" s="144"/>
      <c r="N54" s="144"/>
      <c r="O54" s="142"/>
      <c r="P54" s="144"/>
      <c r="Q54" s="144"/>
    </row>
    <row r="55" spans="2:17">
      <c r="B55" s="144"/>
      <c r="C55" s="144"/>
      <c r="D55" s="144"/>
      <c r="E55" s="144"/>
      <c r="F55" s="144"/>
      <c r="G55" s="144"/>
      <c r="H55" s="144"/>
      <c r="I55" s="144"/>
      <c r="J55" s="144"/>
      <c r="K55" s="144"/>
      <c r="L55" s="144"/>
      <c r="M55" s="144"/>
      <c r="N55" s="144"/>
      <c r="O55" s="142"/>
      <c r="P55" s="144"/>
      <c r="Q55" s="144"/>
    </row>
    <row r="56" spans="2:17">
      <c r="B56" s="144"/>
      <c r="C56" s="144"/>
      <c r="D56" s="144"/>
      <c r="E56" s="144"/>
      <c r="F56" s="144"/>
      <c r="G56" s="144"/>
      <c r="H56" s="144"/>
      <c r="I56" s="144"/>
      <c r="J56" s="144"/>
      <c r="K56" s="144"/>
      <c r="L56" s="144"/>
      <c r="M56" s="144"/>
      <c r="N56" s="144"/>
      <c r="O56" s="142"/>
      <c r="P56" s="144"/>
      <c r="Q56" s="144"/>
    </row>
    <row r="57" spans="2:17">
      <c r="B57" s="144"/>
      <c r="C57" s="144"/>
      <c r="D57" s="144"/>
      <c r="E57" s="144"/>
      <c r="F57" s="144"/>
      <c r="G57" s="144"/>
      <c r="H57" s="144"/>
      <c r="I57" s="144"/>
      <c r="J57" s="144"/>
      <c r="K57" s="144"/>
      <c r="L57" s="144"/>
      <c r="M57" s="144"/>
      <c r="N57" s="144"/>
      <c r="O57" s="142"/>
      <c r="P57" s="144"/>
      <c r="Q57" s="144"/>
    </row>
    <row r="58" spans="2:17">
      <c r="B58" s="144"/>
      <c r="C58" s="144"/>
      <c r="D58" s="144"/>
      <c r="E58" s="144"/>
      <c r="F58" s="144"/>
      <c r="G58" s="144"/>
      <c r="H58" s="144"/>
      <c r="I58" s="144"/>
      <c r="J58" s="144"/>
      <c r="K58" s="144"/>
      <c r="L58" s="144"/>
      <c r="M58" s="144"/>
      <c r="N58" s="144"/>
      <c r="O58" s="142"/>
      <c r="P58" s="144"/>
      <c r="Q58" s="144"/>
    </row>
    <row r="59" spans="2:17">
      <c r="B59" s="144"/>
      <c r="C59" s="144"/>
      <c r="D59" s="144"/>
      <c r="E59" s="144"/>
      <c r="F59" s="144"/>
      <c r="G59" s="144"/>
      <c r="H59" s="144"/>
      <c r="I59" s="144"/>
      <c r="J59" s="144"/>
      <c r="K59" s="144"/>
      <c r="L59" s="144"/>
      <c r="M59" s="144"/>
      <c r="N59" s="144"/>
      <c r="O59" s="142"/>
      <c r="P59" s="144"/>
      <c r="Q59" s="144"/>
    </row>
    <row r="60" spans="2:17">
      <c r="B60" s="144"/>
      <c r="C60" s="144"/>
      <c r="D60" s="144"/>
      <c r="E60" s="144"/>
      <c r="F60" s="144"/>
      <c r="G60" s="144"/>
      <c r="H60" s="144"/>
      <c r="I60" s="144"/>
      <c r="J60" s="144"/>
      <c r="K60" s="144"/>
      <c r="L60" s="144"/>
      <c r="M60" s="144"/>
      <c r="N60" s="144"/>
      <c r="O60" s="142"/>
      <c r="P60" s="144"/>
      <c r="Q60" s="144"/>
    </row>
    <row r="61" spans="2:17">
      <c r="B61" s="144"/>
      <c r="C61" s="144"/>
      <c r="D61" s="144"/>
      <c r="E61" s="144"/>
      <c r="F61" s="144"/>
      <c r="G61" s="144"/>
      <c r="H61" s="144"/>
      <c r="I61" s="144"/>
      <c r="J61" s="144"/>
      <c r="K61" s="144"/>
      <c r="L61" s="144"/>
      <c r="M61" s="144"/>
      <c r="N61" s="144"/>
      <c r="O61" s="142"/>
      <c r="P61" s="144"/>
      <c r="Q61" s="144"/>
    </row>
    <row r="62" spans="2:17">
      <c r="B62" s="144"/>
      <c r="C62" s="144"/>
      <c r="D62" s="144"/>
      <c r="E62" s="144"/>
      <c r="F62" s="144"/>
      <c r="G62" s="144"/>
      <c r="H62" s="144"/>
      <c r="I62" s="144"/>
      <c r="J62" s="144"/>
      <c r="K62" s="144"/>
      <c r="L62" s="144"/>
      <c r="M62" s="144"/>
      <c r="N62" s="144"/>
      <c r="O62" s="142"/>
      <c r="P62" s="144"/>
      <c r="Q62" s="144"/>
    </row>
    <row r="63" spans="2:17">
      <c r="B63" s="144"/>
      <c r="C63" s="144"/>
      <c r="D63" s="144"/>
      <c r="E63" s="144"/>
      <c r="F63" s="144"/>
      <c r="G63" s="144"/>
      <c r="H63" s="144"/>
      <c r="I63" s="144"/>
      <c r="J63" s="144"/>
      <c r="K63" s="144"/>
      <c r="L63" s="144"/>
      <c r="M63" s="144"/>
      <c r="N63" s="144"/>
      <c r="O63" s="142"/>
      <c r="P63" s="144"/>
      <c r="Q63" s="144"/>
    </row>
    <row r="64" spans="2:17">
      <c r="B64" s="144"/>
      <c r="C64" s="144"/>
      <c r="D64" s="144"/>
      <c r="E64" s="144"/>
      <c r="F64" s="144"/>
      <c r="G64" s="144"/>
      <c r="H64" s="144"/>
      <c r="I64" s="144"/>
      <c r="J64" s="144"/>
      <c r="K64" s="144"/>
      <c r="L64" s="144"/>
      <c r="M64" s="144"/>
      <c r="N64" s="144"/>
      <c r="O64" s="142"/>
      <c r="P64" s="144"/>
      <c r="Q64" s="144"/>
    </row>
    <row r="65" spans="2:17">
      <c r="B65" s="144"/>
      <c r="C65" s="144"/>
      <c r="D65" s="144"/>
      <c r="E65" s="144"/>
      <c r="F65" s="144"/>
      <c r="G65" s="144"/>
      <c r="H65" s="144"/>
      <c r="I65" s="144"/>
      <c r="J65" s="144"/>
      <c r="K65" s="144"/>
      <c r="L65" s="144"/>
      <c r="M65" s="144"/>
      <c r="N65" s="144"/>
      <c r="O65" s="142"/>
      <c r="P65" s="144"/>
      <c r="Q65" s="144"/>
    </row>
    <row r="66" spans="2:17">
      <c r="B66" s="144"/>
      <c r="C66" s="144"/>
      <c r="D66" s="144"/>
      <c r="E66" s="144"/>
      <c r="F66" s="144"/>
      <c r="G66" s="144"/>
      <c r="H66" s="144"/>
      <c r="I66" s="144"/>
      <c r="J66" s="144"/>
      <c r="K66" s="144"/>
      <c r="L66" s="144"/>
      <c r="M66" s="144"/>
      <c r="N66" s="144"/>
      <c r="O66" s="142"/>
      <c r="P66" s="144"/>
      <c r="Q66" s="144"/>
    </row>
    <row r="67" spans="2:17">
      <c r="B67" s="144"/>
      <c r="C67" s="144"/>
      <c r="D67" s="144"/>
      <c r="E67" s="144"/>
      <c r="F67" s="144"/>
      <c r="G67" s="144"/>
      <c r="H67" s="144"/>
      <c r="I67" s="144"/>
      <c r="J67" s="144"/>
      <c r="K67" s="144"/>
      <c r="L67" s="144"/>
      <c r="M67" s="144"/>
      <c r="N67" s="144"/>
      <c r="O67" s="142"/>
      <c r="P67" s="144"/>
      <c r="Q67" s="144"/>
    </row>
    <row r="68" spans="2:17">
      <c r="B68" s="144"/>
      <c r="C68" s="144"/>
      <c r="D68" s="144"/>
      <c r="E68" s="144"/>
      <c r="F68" s="144"/>
      <c r="G68" s="144"/>
      <c r="H68" s="144"/>
      <c r="I68" s="144"/>
      <c r="J68" s="144"/>
      <c r="K68" s="144"/>
      <c r="L68" s="144"/>
      <c r="M68" s="144"/>
      <c r="N68" s="144"/>
      <c r="O68" s="142"/>
      <c r="P68" s="144"/>
      <c r="Q68" s="144"/>
    </row>
    <row r="69" spans="2:17">
      <c r="B69" s="144"/>
      <c r="C69" s="144"/>
      <c r="D69" s="144"/>
      <c r="E69" s="144"/>
      <c r="F69" s="144"/>
      <c r="G69" s="144"/>
      <c r="H69" s="144"/>
      <c r="I69" s="144"/>
      <c r="J69" s="144"/>
      <c r="K69" s="144"/>
      <c r="L69" s="144"/>
      <c r="M69" s="144"/>
      <c r="N69" s="144"/>
      <c r="O69" s="142"/>
      <c r="P69" s="144"/>
      <c r="Q69" s="144"/>
    </row>
    <row r="70" spans="2:17">
      <c r="B70" s="22"/>
      <c r="C70" s="22"/>
      <c r="D70" s="22"/>
      <c r="E70" s="22"/>
      <c r="F70" s="22"/>
      <c r="G70" s="22"/>
      <c r="H70" s="22"/>
      <c r="I70" s="22"/>
      <c r="J70" s="22"/>
      <c r="K70" s="22"/>
      <c r="L70" s="22"/>
      <c r="M70" s="22"/>
      <c r="N70" s="22"/>
    </row>
    <row r="71" spans="2:17">
      <c r="B71" s="22"/>
      <c r="C71" s="22"/>
      <c r="D71" s="22"/>
      <c r="E71" s="22"/>
      <c r="F71" s="22"/>
      <c r="G71" s="22"/>
      <c r="H71" s="22"/>
      <c r="I71" s="22"/>
      <c r="J71" s="22"/>
      <c r="K71" s="22"/>
      <c r="L71" s="22"/>
      <c r="M71" s="22"/>
      <c r="N71" s="22"/>
    </row>
    <row r="72" spans="2:17">
      <c r="B72" s="22"/>
      <c r="C72" s="22"/>
      <c r="D72" s="22"/>
      <c r="E72" s="22"/>
      <c r="F72" s="22"/>
      <c r="G72" s="22"/>
      <c r="H72" s="22"/>
      <c r="I72" s="22"/>
      <c r="J72" s="22"/>
      <c r="K72" s="22"/>
      <c r="L72" s="22"/>
      <c r="M72" s="22"/>
      <c r="N72" s="22"/>
    </row>
    <row r="73" spans="2:17">
      <c r="B73" s="22"/>
      <c r="C73" s="22"/>
      <c r="D73" s="22"/>
      <c r="E73" s="22"/>
      <c r="F73" s="22"/>
      <c r="G73" s="22"/>
      <c r="H73" s="22"/>
      <c r="I73" s="22"/>
      <c r="J73" s="22"/>
      <c r="K73" s="22"/>
      <c r="L73" s="22"/>
      <c r="M73" s="22"/>
      <c r="N73" s="22"/>
    </row>
    <row r="74" spans="2:17">
      <c r="B74" s="22"/>
      <c r="C74" s="22"/>
      <c r="D74" s="22"/>
      <c r="E74" s="22"/>
      <c r="F74" s="22"/>
      <c r="G74" s="22"/>
      <c r="H74" s="22"/>
      <c r="I74" s="22"/>
      <c r="J74" s="22"/>
      <c r="K74" s="22"/>
      <c r="L74" s="22"/>
      <c r="M74" s="22"/>
      <c r="N74" s="22"/>
    </row>
    <row r="75" spans="2:17">
      <c r="B75" s="22"/>
      <c r="C75" s="22"/>
      <c r="D75" s="22"/>
      <c r="E75" s="22"/>
      <c r="F75" s="22"/>
      <c r="G75" s="22"/>
      <c r="H75" s="22"/>
      <c r="I75" s="22"/>
      <c r="J75" s="22"/>
      <c r="K75" s="22"/>
      <c r="L75" s="22"/>
      <c r="M75" s="22"/>
      <c r="N75" s="22"/>
    </row>
    <row r="76" spans="2:17">
      <c r="B76" s="22"/>
      <c r="C76" s="22"/>
      <c r="D76" s="22"/>
      <c r="E76" s="22"/>
      <c r="F76" s="22"/>
      <c r="G76" s="22"/>
      <c r="H76" s="22"/>
      <c r="I76" s="22"/>
      <c r="J76" s="22"/>
      <c r="K76" s="22"/>
      <c r="L76" s="22"/>
      <c r="M76" s="22"/>
      <c r="N76" s="22"/>
    </row>
    <row r="77" spans="2:17">
      <c r="B77" s="22"/>
      <c r="C77" s="22"/>
      <c r="D77" s="22"/>
      <c r="E77" s="22"/>
      <c r="F77" s="22"/>
      <c r="G77" s="22"/>
      <c r="H77" s="22"/>
      <c r="I77" s="22"/>
      <c r="J77" s="22"/>
      <c r="K77" s="22"/>
      <c r="L77" s="22"/>
      <c r="M77" s="22"/>
      <c r="N77" s="22"/>
    </row>
    <row r="78" spans="2:17">
      <c r="B78" s="22"/>
      <c r="C78" s="22"/>
      <c r="D78" s="22"/>
      <c r="E78" s="22"/>
      <c r="F78" s="22"/>
      <c r="G78" s="22"/>
      <c r="H78" s="22"/>
      <c r="I78" s="22"/>
      <c r="J78" s="22"/>
      <c r="K78" s="22"/>
      <c r="L78" s="22"/>
      <c r="M78" s="22"/>
      <c r="N78" s="22"/>
    </row>
    <row r="79" spans="2:17" s="22" customFormat="1"/>
    <row r="80" spans="2:17" s="22" customFormat="1"/>
    <row r="81" spans="3:14" s="22" customFormat="1"/>
    <row r="82" spans="3:14" s="22" customFormat="1"/>
    <row r="83" spans="3:14" s="22" customFormat="1"/>
    <row r="84" spans="3:14" s="22" customFormat="1"/>
    <row r="85" spans="3:14" s="22" customFormat="1"/>
    <row r="86" spans="3:14" s="22" customFormat="1"/>
    <row r="87" spans="3:14" s="22" customFormat="1"/>
    <row r="88" spans="3:14" s="22" customFormat="1"/>
    <row r="89" spans="3:14" s="22" customFormat="1"/>
    <row r="90" spans="3:14" s="22" customFormat="1"/>
    <row r="91" spans="3:14" s="22" customFormat="1"/>
    <row r="92" spans="3:14" s="22" customFormat="1"/>
    <row r="93" spans="3:14">
      <c r="C93" s="22"/>
      <c r="D93" s="22"/>
      <c r="E93" s="22"/>
      <c r="F93" s="22"/>
      <c r="G93" s="22"/>
      <c r="H93" s="22"/>
      <c r="I93" s="22"/>
      <c r="J93" s="22"/>
      <c r="K93" s="22"/>
      <c r="L93" s="22"/>
      <c r="M93" s="22"/>
      <c r="N93" s="22"/>
    </row>
    <row r="94" spans="3:14">
      <c r="C94" s="22"/>
      <c r="D94" s="22"/>
      <c r="E94" s="22"/>
      <c r="F94" s="22"/>
      <c r="G94" s="22"/>
      <c r="H94" s="22"/>
      <c r="I94" s="22"/>
      <c r="J94" s="22"/>
      <c r="K94" s="22"/>
      <c r="L94" s="22"/>
      <c r="M94" s="22"/>
      <c r="N94" s="22"/>
    </row>
    <row r="95" spans="3:14">
      <c r="C95" s="22"/>
      <c r="D95" s="22"/>
      <c r="E95" s="22"/>
      <c r="F95" s="22"/>
      <c r="G95" s="22"/>
      <c r="H95" s="22"/>
      <c r="I95" s="22"/>
      <c r="J95" s="22"/>
      <c r="K95" s="22"/>
      <c r="L95" s="22"/>
      <c r="M95" s="22"/>
      <c r="N95" s="22"/>
    </row>
    <row r="96" spans="3:14">
      <c r="C96" s="22"/>
      <c r="D96" s="22"/>
      <c r="E96" s="22"/>
      <c r="F96" s="22"/>
      <c r="G96" s="22"/>
      <c r="H96" s="22"/>
      <c r="I96" s="22"/>
      <c r="J96" s="22"/>
      <c r="K96" s="22"/>
      <c r="L96" s="22"/>
      <c r="M96" s="22"/>
      <c r="N96" s="22"/>
    </row>
    <row r="97" spans="3:14">
      <c r="C97" s="22"/>
      <c r="D97" s="22"/>
      <c r="E97" s="22"/>
      <c r="F97" s="22"/>
      <c r="G97" s="22"/>
      <c r="H97" s="22"/>
      <c r="I97" s="22"/>
      <c r="J97" s="22"/>
      <c r="K97" s="22"/>
      <c r="L97" s="22"/>
      <c r="M97" s="22"/>
      <c r="N97" s="22"/>
    </row>
    <row r="98" spans="3:14">
      <c r="C98" s="22"/>
      <c r="D98" s="22"/>
      <c r="E98" s="22"/>
      <c r="F98" s="22"/>
      <c r="G98" s="22"/>
      <c r="H98" s="22"/>
      <c r="I98" s="22"/>
      <c r="J98" s="22"/>
      <c r="K98" s="22"/>
      <c r="L98" s="22"/>
      <c r="M98" s="22"/>
      <c r="N98" s="22"/>
    </row>
    <row r="99" spans="3:14">
      <c r="C99" s="22"/>
      <c r="D99" s="22"/>
      <c r="E99" s="22"/>
      <c r="F99" s="22"/>
      <c r="G99" s="22"/>
      <c r="H99" s="22"/>
      <c r="I99" s="22"/>
      <c r="J99" s="22"/>
      <c r="K99" s="22"/>
      <c r="L99" s="22"/>
      <c r="M99" s="22"/>
      <c r="N99" s="22"/>
    </row>
    <row r="100" spans="3:14">
      <c r="C100" s="22"/>
      <c r="D100" s="22"/>
      <c r="E100" s="22"/>
      <c r="F100" s="22"/>
      <c r="G100" s="22"/>
      <c r="H100" s="22"/>
      <c r="I100" s="22"/>
      <c r="J100" s="22"/>
      <c r="K100" s="22"/>
      <c r="L100" s="22"/>
      <c r="M100" s="22"/>
      <c r="N100" s="22"/>
    </row>
    <row r="101" spans="3:14">
      <c r="C101" s="22"/>
      <c r="D101" s="22"/>
      <c r="E101" s="22"/>
      <c r="F101" s="22"/>
      <c r="G101" s="22"/>
      <c r="H101" s="22"/>
      <c r="I101" s="22"/>
      <c r="J101" s="22"/>
      <c r="K101" s="22"/>
      <c r="L101" s="22"/>
      <c r="M101" s="22"/>
      <c r="N101" s="22"/>
    </row>
    <row r="102" spans="3:14">
      <c r="C102" s="22"/>
      <c r="D102" s="22"/>
      <c r="E102" s="22"/>
      <c r="F102" s="22"/>
      <c r="G102" s="22"/>
      <c r="H102" s="22"/>
      <c r="I102" s="22"/>
      <c r="J102" s="22"/>
      <c r="K102" s="22"/>
      <c r="L102" s="22"/>
      <c r="M102" s="22"/>
      <c r="N102" s="22"/>
    </row>
  </sheetData>
  <phoneticPr fontId="0" type="noConversion"/>
  <hyperlinks>
    <hyperlink ref="J48" location="INDICE!A1" display="VOLVER A INDICE"/>
    <hyperlink ref="O4" location="INDICE!A1" display="VOLVER A INDICE"/>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86"/>
  <sheetViews>
    <sheetView workbookViewId="0">
      <selection activeCell="I9" sqref="I9"/>
    </sheetView>
  </sheetViews>
  <sheetFormatPr baseColWidth="10" defaultRowHeight="12.75" outlineLevelRow="1"/>
  <cols>
    <col min="1" max="1" width="1.42578125" style="898" customWidth="1"/>
    <col min="2" max="2" width="28.28515625" style="898" customWidth="1"/>
    <col min="3" max="7" width="11.42578125" style="898"/>
    <col min="8" max="14" width="11.42578125" style="22"/>
    <col min="15" max="16384" width="11.42578125" style="898"/>
  </cols>
  <sheetData>
    <row r="1" spans="2:21" ht="6.75" customHeight="1" thickBot="1"/>
    <row r="2" spans="2:21" ht="15.75" customHeight="1" thickBot="1">
      <c r="B2" s="1021"/>
      <c r="C2" s="1022"/>
      <c r="D2" s="1022"/>
      <c r="E2" s="1022"/>
      <c r="F2" s="1022"/>
      <c r="G2" s="1023"/>
      <c r="H2" s="154"/>
      <c r="I2" s="154"/>
      <c r="J2" s="154"/>
    </row>
    <row r="3" spans="2:21" ht="15.75">
      <c r="B3" s="130"/>
      <c r="C3" s="131"/>
      <c r="D3" s="89" t="s">
        <v>588</v>
      </c>
      <c r="E3" s="132"/>
      <c r="F3" s="133"/>
      <c r="G3" s="134"/>
      <c r="H3" s="859" t="s">
        <v>683</v>
      </c>
      <c r="I3" s="154"/>
      <c r="J3" s="154"/>
    </row>
    <row r="4" spans="2:21" ht="15.75">
      <c r="B4" s="135"/>
      <c r="C4" s="136"/>
      <c r="D4" s="137" t="s">
        <v>781</v>
      </c>
      <c r="E4" s="136"/>
      <c r="F4" s="138"/>
      <c r="G4" s="139"/>
      <c r="H4" s="163"/>
      <c r="I4" s="154"/>
      <c r="J4" s="154"/>
    </row>
    <row r="5" spans="2:21" ht="15.75">
      <c r="B5" s="135"/>
      <c r="C5" s="140" t="s">
        <v>589</v>
      </c>
      <c r="D5" s="136"/>
      <c r="E5" s="136"/>
      <c r="F5" s="138"/>
      <c r="G5" s="139"/>
      <c r="H5" s="164"/>
      <c r="I5" s="154"/>
      <c r="J5" s="154"/>
    </row>
    <row r="6" spans="2:21" ht="15.75">
      <c r="B6" s="135"/>
      <c r="C6" s="137" t="s">
        <v>120</v>
      </c>
      <c r="D6" s="136"/>
      <c r="E6" s="136"/>
      <c r="F6" s="138"/>
      <c r="G6" s="139"/>
      <c r="H6" s="154"/>
      <c r="I6" s="154"/>
      <c r="J6" s="154"/>
    </row>
    <row r="7" spans="2:21" ht="15.75">
      <c r="B7" s="135"/>
      <c r="C7" s="140" t="s">
        <v>587</v>
      </c>
      <c r="D7" s="136"/>
      <c r="E7" s="136"/>
      <c r="F7" s="138"/>
      <c r="G7" s="139"/>
      <c r="H7" s="165"/>
      <c r="I7" s="154"/>
      <c r="J7" s="154"/>
    </row>
    <row r="8" spans="2:21" ht="15.75">
      <c r="B8" s="135"/>
      <c r="C8" s="136"/>
      <c r="D8" s="136"/>
      <c r="E8" s="136"/>
      <c r="F8" s="138"/>
      <c r="G8" s="139"/>
      <c r="H8" s="165"/>
      <c r="I8" s="154"/>
      <c r="J8" s="154"/>
    </row>
    <row r="9" spans="2:21" ht="16.5" thickBot="1">
      <c r="B9" s="1024" t="s">
        <v>3</v>
      </c>
      <c r="C9" s="1025" t="s">
        <v>121</v>
      </c>
      <c r="D9" s="1025" t="s">
        <v>122</v>
      </c>
      <c r="E9" s="1025" t="s">
        <v>123</v>
      </c>
      <c r="F9" s="1026" t="s">
        <v>11</v>
      </c>
      <c r="G9" s="1027"/>
      <c r="H9" s="154"/>
      <c r="I9" s="154"/>
      <c r="J9" s="154"/>
    </row>
    <row r="10" spans="2:21">
      <c r="B10" s="996" t="s">
        <v>88</v>
      </c>
      <c r="C10" s="152">
        <f>SUM(C11:C19)</f>
        <v>2363.4653680199999</v>
      </c>
      <c r="D10" s="152">
        <f>SUM(D11:D19)</f>
        <v>311.50076038400005</v>
      </c>
      <c r="E10" s="152">
        <f>SUM(E11:E19)</f>
        <v>10084.640723370001</v>
      </c>
      <c r="F10" s="152">
        <f>SUM(F11:F19)</f>
        <v>12759.606851774</v>
      </c>
      <c r="G10" s="153"/>
      <c r="H10" s="154"/>
      <c r="I10" s="154"/>
      <c r="J10" s="154"/>
      <c r="O10" s="22"/>
      <c r="P10" s="22"/>
      <c r="Q10" s="22"/>
      <c r="R10" s="22"/>
      <c r="S10" s="22"/>
      <c r="T10" s="22"/>
      <c r="U10" s="22"/>
    </row>
    <row r="11" spans="2:21" outlineLevel="1">
      <c r="B11" s="1313" t="s">
        <v>124</v>
      </c>
      <c r="C11" s="1272">
        <f>SECT_TERAC.!D29</f>
        <v>20.621695500000001</v>
      </c>
      <c r="D11" s="1272">
        <f>SECT_TERAC.!D30</f>
        <v>33.101130384000001</v>
      </c>
      <c r="E11" s="1272">
        <f>SECT_TERAC.!D31</f>
        <v>0.94414950000000009</v>
      </c>
      <c r="F11" s="1272">
        <f>SUM(C11:E11)</f>
        <v>54.666975384000004</v>
      </c>
      <c r="G11" s="155"/>
      <c r="H11" s="156"/>
      <c r="I11" s="156"/>
      <c r="J11" s="154"/>
      <c r="O11" s="22"/>
      <c r="P11" s="22"/>
      <c r="Q11" s="22"/>
      <c r="R11" s="22"/>
      <c r="S11" s="22"/>
      <c r="T11" s="22"/>
      <c r="U11" s="22"/>
    </row>
    <row r="12" spans="2:21" outlineLevel="1">
      <c r="B12" s="1313"/>
      <c r="C12" s="1273"/>
      <c r="D12" s="1273"/>
      <c r="E12" s="1273"/>
      <c r="F12" s="1273"/>
      <c r="G12" s="153"/>
      <c r="H12" s="154"/>
      <c r="I12" s="154"/>
      <c r="J12" s="154"/>
      <c r="O12" s="22"/>
      <c r="P12" s="22"/>
      <c r="Q12" s="22"/>
      <c r="R12" s="22"/>
      <c r="S12" s="22"/>
      <c r="T12" s="22"/>
      <c r="U12" s="22"/>
    </row>
    <row r="13" spans="2:21" outlineLevel="1">
      <c r="B13" s="1313" t="s">
        <v>125</v>
      </c>
      <c r="C13" s="1272">
        <f>SECT_TERAC.!C29</f>
        <v>1209.2761363199998</v>
      </c>
      <c r="D13" s="1272">
        <f>SECT_TERAC.!C30</f>
        <v>63.982128000000003</v>
      </c>
      <c r="E13" s="1272">
        <f>SECT_TERAC.!C31</f>
        <v>113.31026111999998</v>
      </c>
      <c r="F13" s="1272">
        <f>SUM(C13:E13)</f>
        <v>1386.5685254399998</v>
      </c>
      <c r="G13" s="155"/>
      <c r="H13" s="156"/>
      <c r="I13" s="156"/>
      <c r="J13" s="154"/>
      <c r="O13" s="22"/>
      <c r="P13" s="22"/>
      <c r="Q13" s="22"/>
      <c r="R13" s="22"/>
      <c r="S13" s="22"/>
      <c r="T13" s="22"/>
      <c r="U13" s="22"/>
    </row>
    <row r="14" spans="2:21" outlineLevel="1">
      <c r="B14" s="1313"/>
      <c r="C14" s="1273"/>
      <c r="D14" s="1273"/>
      <c r="E14" s="1273"/>
      <c r="F14" s="1273"/>
      <c r="G14" s="153"/>
      <c r="H14" s="154"/>
      <c r="I14" s="154"/>
      <c r="J14" s="154"/>
      <c r="O14" s="22"/>
      <c r="P14" s="22"/>
      <c r="Q14" s="22"/>
      <c r="R14" s="22"/>
      <c r="S14" s="22"/>
      <c r="T14" s="22"/>
      <c r="U14" s="22"/>
    </row>
    <row r="15" spans="2:21" outlineLevel="1">
      <c r="B15" s="1313" t="s">
        <v>59</v>
      </c>
      <c r="C15" s="1272">
        <f>SECT_TERAC.!G29</f>
        <v>70.31861099999999</v>
      </c>
      <c r="D15" s="1272">
        <f>SECT_TERAC.!G30</f>
        <v>4.8281670000000014</v>
      </c>
      <c r="E15" s="1272">
        <f>SECT_TERAC.!G31</f>
        <v>801.69285464999996</v>
      </c>
      <c r="F15" s="1272">
        <f>SUM(C15:E15)</f>
        <v>876.83963265</v>
      </c>
      <c r="G15" s="155"/>
      <c r="H15" s="156"/>
      <c r="I15" s="156"/>
      <c r="J15" s="154"/>
      <c r="O15" s="22"/>
      <c r="P15" s="22"/>
      <c r="Q15" s="22"/>
      <c r="R15" s="22"/>
      <c r="S15" s="22"/>
      <c r="T15" s="22"/>
      <c r="U15" s="22"/>
    </row>
    <row r="16" spans="2:21" outlineLevel="1">
      <c r="B16" s="1313"/>
      <c r="C16" s="1273"/>
      <c r="D16" s="1273"/>
      <c r="E16" s="1273"/>
      <c r="F16" s="1273"/>
      <c r="G16" s="153"/>
      <c r="H16" s="157"/>
      <c r="I16" s="154"/>
      <c r="J16" s="154"/>
      <c r="O16" s="22"/>
      <c r="P16" s="22"/>
      <c r="Q16" s="22"/>
      <c r="R16" s="22"/>
      <c r="S16" s="22"/>
      <c r="T16" s="22"/>
      <c r="U16" s="22"/>
    </row>
    <row r="17" spans="2:21" outlineLevel="1">
      <c r="B17" s="1313" t="s">
        <v>60</v>
      </c>
      <c r="C17" s="1272">
        <f>SECT_TERAC.!H29</f>
        <v>1063.2489252000003</v>
      </c>
      <c r="D17" s="1272">
        <f>SECT_TERAC.!H30</f>
        <v>209.02036100000004</v>
      </c>
      <c r="E17" s="1272">
        <f>SECT_TERAC.!H31</f>
        <v>9168.6934581000005</v>
      </c>
      <c r="F17" s="1272">
        <f>SUM(C17:E17)</f>
        <v>10440.962744300001</v>
      </c>
      <c r="G17" s="155"/>
      <c r="H17" s="156"/>
      <c r="I17" s="156"/>
      <c r="J17" s="154"/>
      <c r="O17" s="22"/>
      <c r="P17" s="22"/>
      <c r="Q17" s="22"/>
      <c r="R17" s="22"/>
      <c r="S17" s="22"/>
      <c r="T17" s="22"/>
      <c r="U17" s="22"/>
    </row>
    <row r="18" spans="2:21" outlineLevel="1">
      <c r="B18" s="1313"/>
      <c r="C18" s="1272"/>
      <c r="D18" s="1272"/>
      <c r="E18" s="1272"/>
      <c r="F18" s="1272"/>
      <c r="G18" s="155"/>
      <c r="H18" s="156"/>
      <c r="I18" s="156"/>
      <c r="J18" s="154"/>
      <c r="O18" s="22"/>
      <c r="P18" s="22"/>
      <c r="Q18" s="22"/>
      <c r="R18" s="22"/>
      <c r="S18" s="22"/>
      <c r="T18" s="22"/>
      <c r="U18" s="22"/>
    </row>
    <row r="19" spans="2:21" outlineLevel="1">
      <c r="B19" s="1309" t="s">
        <v>63</v>
      </c>
      <c r="C19" s="1272">
        <f>SECT_TERAC.!K29</f>
        <v>0</v>
      </c>
      <c r="D19" s="1272">
        <f>SECT_TERAC.!K30</f>
        <v>0.56897400000000009</v>
      </c>
      <c r="E19" s="1272">
        <f>SECT_TERAC.!K31</f>
        <v>0</v>
      </c>
      <c r="F19" s="1272">
        <f>SUM(C19:E19)</f>
        <v>0.56897400000000009</v>
      </c>
      <c r="G19" s="155"/>
      <c r="H19" s="156"/>
      <c r="I19" s="156"/>
      <c r="J19" s="154"/>
      <c r="O19" s="22"/>
      <c r="P19" s="22"/>
      <c r="Q19" s="22"/>
      <c r="R19" s="22"/>
      <c r="S19" s="22"/>
      <c r="T19" s="22"/>
      <c r="U19" s="22"/>
    </row>
    <row r="20" spans="2:21">
      <c r="B20" s="1028"/>
      <c r="C20" s="152"/>
      <c r="D20" s="152"/>
      <c r="E20" s="152"/>
      <c r="F20" s="152"/>
      <c r="G20" s="153"/>
      <c r="H20" s="157"/>
      <c r="I20" s="154"/>
      <c r="J20" s="154"/>
      <c r="O20" s="22"/>
      <c r="P20" s="22"/>
      <c r="Q20" s="22"/>
      <c r="R20" s="22"/>
      <c r="S20" s="22"/>
      <c r="T20" s="22"/>
      <c r="U20" s="22"/>
    </row>
    <row r="21" spans="2:21">
      <c r="B21" s="1028" t="s">
        <v>18</v>
      </c>
      <c r="C21" s="152">
        <f>SECT_TERAC.!N29</f>
        <v>4273.9183816863488</v>
      </c>
      <c r="D21" s="152">
        <f>SECT_TERAC.!N30</f>
        <v>1469.2854309217732</v>
      </c>
      <c r="E21" s="152">
        <f>SECT_TERAC.!N31</f>
        <v>6737.1462601291951</v>
      </c>
      <c r="F21" s="152">
        <f>SUM(C21:E21)</f>
        <v>12480.350072737318</v>
      </c>
      <c r="G21" s="155"/>
      <c r="H21" s="156"/>
      <c r="I21" s="156"/>
      <c r="J21" s="154"/>
      <c r="O21" s="22"/>
      <c r="P21" s="22"/>
      <c r="Q21" s="22"/>
      <c r="R21" s="22"/>
      <c r="S21" s="22"/>
      <c r="T21" s="22"/>
      <c r="U21" s="22"/>
    </row>
    <row r="22" spans="2:21">
      <c r="B22" s="1028"/>
      <c r="C22" s="158"/>
      <c r="D22" s="158"/>
      <c r="E22" s="158"/>
      <c r="F22" s="158"/>
      <c r="G22" s="153"/>
      <c r="H22" s="157"/>
      <c r="I22" s="154"/>
      <c r="J22" s="154"/>
      <c r="O22" s="22"/>
      <c r="P22" s="22"/>
      <c r="Q22" s="22"/>
      <c r="R22" s="22"/>
      <c r="S22" s="22"/>
      <c r="T22" s="22"/>
      <c r="U22" s="22"/>
    </row>
    <row r="23" spans="2:21">
      <c r="B23" s="1028" t="s">
        <v>126</v>
      </c>
      <c r="C23" s="152">
        <f>SECT_TERAC.!O29</f>
        <v>0</v>
      </c>
      <c r="D23" s="152">
        <f>SECT_TERAC.!O30</f>
        <v>54.093682820778582</v>
      </c>
      <c r="E23" s="152">
        <f>SECT_TERAC.!O31</f>
        <v>1.243347</v>
      </c>
      <c r="F23" s="152">
        <f>SUM(C23:E23)</f>
        <v>55.337029820778582</v>
      </c>
      <c r="G23" s="155"/>
      <c r="H23" s="156"/>
      <c r="I23" s="156"/>
      <c r="J23" s="154"/>
      <c r="O23" s="22"/>
      <c r="P23" s="22"/>
      <c r="Q23" s="22"/>
      <c r="R23" s="22"/>
      <c r="S23" s="22"/>
      <c r="T23" s="22"/>
      <c r="U23" s="22"/>
    </row>
    <row r="24" spans="2:21">
      <c r="B24" s="1028"/>
      <c r="C24" s="158"/>
      <c r="D24" s="158"/>
      <c r="E24" s="158"/>
      <c r="F24" s="158"/>
      <c r="G24" s="153"/>
      <c r="H24" s="157"/>
      <c r="I24" s="154"/>
      <c r="J24" s="154"/>
      <c r="O24" s="22"/>
      <c r="P24" s="22"/>
      <c r="Q24" s="22"/>
      <c r="R24" s="22"/>
      <c r="S24" s="22"/>
      <c r="T24" s="22"/>
      <c r="U24" s="22"/>
    </row>
    <row r="25" spans="2:21">
      <c r="B25" s="1028" t="s">
        <v>20</v>
      </c>
      <c r="C25" s="152">
        <f>SECT_TERAC.!R29</f>
        <v>100.20454338743227</v>
      </c>
      <c r="D25" s="152">
        <f>SECT_TERAC.!R30</f>
        <v>5.2748642439999998</v>
      </c>
      <c r="E25" s="152">
        <f>SECT_TERAC.!R31</f>
        <v>111.11381450206302</v>
      </c>
      <c r="F25" s="152">
        <f>SUM(C25:E25)</f>
        <v>216.59322213349529</v>
      </c>
      <c r="G25" s="155"/>
      <c r="H25" s="156"/>
      <c r="I25" s="156"/>
      <c r="J25" s="154"/>
      <c r="O25" s="22"/>
      <c r="P25" s="22"/>
      <c r="Q25" s="22"/>
      <c r="R25" s="22"/>
      <c r="S25" s="22"/>
      <c r="T25" s="22"/>
      <c r="U25" s="22"/>
    </row>
    <row r="26" spans="2:21">
      <c r="B26" s="1028"/>
      <c r="C26" s="158"/>
      <c r="D26" s="158"/>
      <c r="E26" s="158"/>
      <c r="F26" s="158"/>
      <c r="G26" s="153"/>
      <c r="H26" s="157"/>
      <c r="I26" s="154"/>
      <c r="J26" s="154"/>
      <c r="O26" s="22"/>
      <c r="P26" s="22"/>
      <c r="Q26" s="22"/>
      <c r="R26" s="22"/>
      <c r="S26" s="22"/>
      <c r="T26" s="22"/>
      <c r="U26" s="22"/>
    </row>
    <row r="27" spans="2:21">
      <c r="B27" s="1028" t="s">
        <v>117</v>
      </c>
      <c r="C27" s="152">
        <f>SECT_TERAC.!T29</f>
        <v>629.9634801505772</v>
      </c>
      <c r="D27" s="152">
        <f>SECT_TERAC.!T30</f>
        <v>287.97603359100003</v>
      </c>
      <c r="E27" s="152">
        <f>SECT_TERAC.!T31</f>
        <v>3438.7154163247237</v>
      </c>
      <c r="F27" s="152">
        <f>SUM(C27:E27)</f>
        <v>4356.6549300663009</v>
      </c>
      <c r="G27" s="155"/>
      <c r="H27" s="156"/>
      <c r="I27" s="156"/>
      <c r="J27" s="154"/>
      <c r="O27" s="22"/>
      <c r="P27" s="22"/>
      <c r="Q27" s="22"/>
      <c r="R27" s="22"/>
      <c r="S27" s="22"/>
      <c r="T27" s="22"/>
      <c r="U27" s="22"/>
    </row>
    <row r="28" spans="2:21">
      <c r="B28" s="1028"/>
      <c r="C28" s="158"/>
      <c r="D28" s="158"/>
      <c r="E28" s="158"/>
      <c r="F28" s="152"/>
      <c r="G28" s="153"/>
      <c r="H28" s="157"/>
      <c r="I28" s="154"/>
      <c r="J28" s="154"/>
      <c r="O28" s="22"/>
      <c r="P28" s="22"/>
      <c r="Q28" s="22"/>
      <c r="R28" s="22"/>
      <c r="S28" s="22"/>
      <c r="T28" s="22"/>
      <c r="U28" s="22"/>
    </row>
    <row r="29" spans="2:21">
      <c r="B29" s="1028" t="s">
        <v>9</v>
      </c>
      <c r="C29" s="152">
        <f>SECT_TERAC.!W29</f>
        <v>0</v>
      </c>
      <c r="D29" s="152">
        <f>SECT_TERAC.!W30</f>
        <v>77.312101910828034</v>
      </c>
      <c r="E29" s="152">
        <f>SECT_TERAC.!W31</f>
        <v>28922.415474093956</v>
      </c>
      <c r="F29" s="152">
        <f>SUM(C29:E29)</f>
        <v>28999.727576004785</v>
      </c>
      <c r="G29" s="155"/>
      <c r="H29" s="156"/>
      <c r="I29" s="156"/>
      <c r="J29" s="154"/>
      <c r="O29" s="22"/>
      <c r="P29" s="22"/>
      <c r="Q29" s="22"/>
      <c r="R29" s="22"/>
      <c r="S29" s="22"/>
      <c r="T29" s="22"/>
      <c r="U29" s="22"/>
    </row>
    <row r="30" spans="2:21">
      <c r="B30" s="1028"/>
      <c r="C30" s="152"/>
      <c r="D30" s="158"/>
      <c r="E30" s="158"/>
      <c r="F30" s="158"/>
      <c r="G30" s="153"/>
      <c r="H30" s="157"/>
      <c r="I30" s="154"/>
      <c r="J30" s="154"/>
      <c r="O30" s="22"/>
      <c r="P30" s="22"/>
      <c r="Q30" s="22"/>
      <c r="R30" s="22"/>
      <c r="S30" s="22"/>
      <c r="T30" s="22"/>
      <c r="U30" s="22"/>
    </row>
    <row r="31" spans="2:21">
      <c r="B31" s="1029" t="s">
        <v>11</v>
      </c>
      <c r="C31" s="159">
        <f>SUM(C21:C29)+C10</f>
        <v>7367.5517732443577</v>
      </c>
      <c r="D31" s="159">
        <f>SUM(D21:D29)+D10</f>
        <v>2205.44287387238</v>
      </c>
      <c r="E31" s="159">
        <f>SUM(E21:E29)+E10</f>
        <v>49295.275035419938</v>
      </c>
      <c r="F31" s="159">
        <f>SUM(F21:F29)+F10</f>
        <v>58868.26968253668</v>
      </c>
      <c r="G31" s="160"/>
      <c r="H31" s="156"/>
      <c r="I31" s="156"/>
      <c r="J31" s="154"/>
      <c r="O31" s="22"/>
      <c r="P31" s="22"/>
      <c r="Q31" s="22"/>
      <c r="R31" s="22"/>
      <c r="S31" s="22"/>
      <c r="T31" s="22"/>
      <c r="U31" s="22"/>
    </row>
    <row r="32" spans="2:21" ht="13.5" thickBot="1">
      <c r="B32" s="1030"/>
      <c r="C32" s="161"/>
      <c r="D32" s="161"/>
      <c r="E32" s="161"/>
      <c r="F32" s="161"/>
      <c r="G32" s="162"/>
      <c r="H32" s="157"/>
      <c r="I32" s="154"/>
      <c r="J32" s="154"/>
      <c r="O32" s="22"/>
      <c r="P32" s="22"/>
      <c r="Q32" s="22"/>
      <c r="R32" s="22"/>
      <c r="S32" s="22"/>
      <c r="T32" s="22"/>
      <c r="U32" s="22"/>
    </row>
    <row r="33" spans="2:10" s="22" customFormat="1">
      <c r="B33" s="80" t="s">
        <v>118</v>
      </c>
      <c r="C33" s="81"/>
      <c r="D33" s="81"/>
      <c r="E33" s="81"/>
      <c r="F33" s="81"/>
      <c r="G33" s="81"/>
      <c r="H33" s="81"/>
      <c r="I33" s="81"/>
      <c r="J33" s="77"/>
    </row>
    <row r="34" spans="2:10">
      <c r="B34" s="11" t="s">
        <v>42</v>
      </c>
      <c r="C34" s="58"/>
      <c r="D34" s="59"/>
      <c r="E34" s="59"/>
      <c r="F34" s="59"/>
      <c r="G34" s="60"/>
      <c r="H34" s="21"/>
      <c r="I34" s="73"/>
      <c r="J34" s="73"/>
    </row>
    <row r="35" spans="2:10">
      <c r="B35" s="11" t="s">
        <v>43</v>
      </c>
      <c r="C35" s="21"/>
      <c r="D35" s="21"/>
      <c r="E35" s="21"/>
      <c r="F35" s="21"/>
      <c r="G35" s="21"/>
      <c r="H35" s="21"/>
      <c r="I35" s="73"/>
      <c r="J35" s="73"/>
    </row>
    <row r="36" spans="2:10">
      <c r="B36" s="21" t="s">
        <v>14</v>
      </c>
      <c r="C36" s="21"/>
      <c r="D36" s="21"/>
      <c r="E36" s="21"/>
      <c r="F36" s="21"/>
      <c r="G36" s="21"/>
      <c r="H36" s="21"/>
      <c r="I36" s="73"/>
      <c r="J36" s="73"/>
    </row>
    <row r="37" spans="2:10">
      <c r="B37" s="21" t="s">
        <v>777</v>
      </c>
      <c r="C37" s="21"/>
      <c r="D37" s="21"/>
      <c r="E37" s="21"/>
      <c r="F37" s="21"/>
      <c r="G37" s="21"/>
      <c r="H37" s="21"/>
      <c r="I37" s="73"/>
      <c r="J37" s="73"/>
    </row>
    <row r="38" spans="2:10">
      <c r="B38" s="154"/>
      <c r="C38" s="154"/>
      <c r="D38" s="154"/>
      <c r="E38" s="154"/>
      <c r="F38" s="154"/>
      <c r="G38" s="154"/>
      <c r="H38" s="154"/>
      <c r="I38" s="154"/>
      <c r="J38" s="154"/>
    </row>
    <row r="39" spans="2:10">
      <c r="B39" s="154"/>
      <c r="C39" s="154"/>
      <c r="D39" s="154"/>
      <c r="E39" s="154"/>
      <c r="F39" s="154"/>
      <c r="G39" s="154"/>
      <c r="H39" s="154"/>
      <c r="I39" s="154"/>
      <c r="J39" s="154"/>
    </row>
    <row r="40" spans="2:10">
      <c r="B40" s="154"/>
      <c r="C40" s="154"/>
      <c r="D40" s="154"/>
      <c r="E40" s="154"/>
      <c r="F40" s="154"/>
      <c r="G40" s="154"/>
      <c r="H40" s="154"/>
      <c r="I40" s="154"/>
      <c r="J40" s="154"/>
    </row>
    <row r="41" spans="2:10">
      <c r="B41" s="154"/>
      <c r="C41" s="154"/>
      <c r="D41" s="154"/>
      <c r="E41" s="154"/>
      <c r="F41" s="154"/>
      <c r="G41" s="154"/>
      <c r="H41" s="154"/>
      <c r="I41" s="154"/>
      <c r="J41" s="154"/>
    </row>
    <row r="42" spans="2:10">
      <c r="B42" s="154"/>
      <c r="C42" s="154"/>
      <c r="D42" s="154"/>
      <c r="E42" s="154"/>
      <c r="F42" s="154"/>
      <c r="G42" s="154"/>
      <c r="H42" s="154"/>
      <c r="I42" s="154"/>
      <c r="J42" s="154"/>
    </row>
    <row r="43" spans="2:10">
      <c r="B43" s="154"/>
      <c r="C43" s="154"/>
      <c r="D43" s="154"/>
      <c r="E43" s="154"/>
      <c r="F43" s="154"/>
      <c r="G43" s="154"/>
      <c r="H43" s="154"/>
      <c r="I43" s="154"/>
      <c r="J43" s="154"/>
    </row>
    <row r="44" spans="2:10">
      <c r="B44" s="22"/>
      <c r="C44" s="22"/>
      <c r="D44" s="22"/>
      <c r="E44" s="22"/>
      <c r="F44" s="22"/>
      <c r="G44" s="22"/>
    </row>
    <row r="45" spans="2:10">
      <c r="B45" s="22"/>
      <c r="C45" s="22"/>
      <c r="D45" s="22"/>
      <c r="E45" s="22"/>
      <c r="F45" s="22"/>
      <c r="G45" s="22"/>
    </row>
    <row r="46" spans="2:10">
      <c r="B46" s="22"/>
      <c r="C46" s="22"/>
      <c r="D46" s="22"/>
      <c r="E46" s="22"/>
      <c r="F46" s="22"/>
      <c r="G46" s="22"/>
    </row>
    <row r="47" spans="2:10" s="22" customFormat="1"/>
    <row r="48" spans="2:10"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sheetData>
  <phoneticPr fontId="0" type="noConversion"/>
  <hyperlinks>
    <hyperlink ref="H3" location="INDICE!A40" display="VOLVER A INDICE"/>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showGridLines="0" workbookViewId="0">
      <selection activeCell="I11" sqref="I11"/>
    </sheetView>
  </sheetViews>
  <sheetFormatPr baseColWidth="10" defaultRowHeight="12.75" outlineLevelRow="1"/>
  <cols>
    <col min="1" max="1" width="2.28515625" customWidth="1"/>
    <col min="2" max="2" width="32" customWidth="1"/>
    <col min="3" max="3" width="15.28515625" customWidth="1"/>
    <col min="4" max="4" width="13.28515625" customWidth="1"/>
  </cols>
  <sheetData>
    <row r="1" spans="2:9" ht="9.75" customHeight="1" thickBot="1"/>
    <row r="2" spans="2:9" ht="13.5" thickBot="1">
      <c r="B2" s="643"/>
      <c r="C2" s="644"/>
      <c r="D2" s="644"/>
      <c r="E2" s="644"/>
      <c r="F2" s="644"/>
      <c r="G2" s="644"/>
      <c r="H2" s="645"/>
    </row>
    <row r="3" spans="2:9" ht="15">
      <c r="B3" s="166"/>
      <c r="C3" s="167"/>
      <c r="D3" s="168" t="s">
        <v>582</v>
      </c>
      <c r="E3" s="169"/>
      <c r="F3" s="170"/>
      <c r="G3" s="170"/>
      <c r="H3" s="171"/>
      <c r="I3" s="1239" t="s">
        <v>683</v>
      </c>
    </row>
    <row r="4" spans="2:9" ht="15">
      <c r="B4" s="172"/>
      <c r="C4" s="173"/>
      <c r="D4" s="174" t="s">
        <v>583</v>
      </c>
      <c r="E4" s="173"/>
      <c r="F4" s="175"/>
      <c r="G4" s="175"/>
      <c r="H4" s="176"/>
    </row>
    <row r="5" spans="2:9" ht="15">
      <c r="B5" s="172"/>
      <c r="C5" s="173"/>
      <c r="D5" s="177" t="s">
        <v>783</v>
      </c>
      <c r="E5" s="173"/>
      <c r="F5" s="175"/>
      <c r="G5" s="175"/>
      <c r="H5" s="176"/>
    </row>
    <row r="6" spans="2:9" ht="15">
      <c r="B6" s="172"/>
      <c r="C6" s="177" t="s">
        <v>748</v>
      </c>
      <c r="D6" s="173"/>
      <c r="E6" s="173"/>
      <c r="F6" s="175"/>
      <c r="G6" s="175"/>
      <c r="H6" s="176"/>
    </row>
    <row r="7" spans="2:9" ht="15">
      <c r="B7" s="172"/>
      <c r="C7" s="178" t="s">
        <v>805</v>
      </c>
      <c r="D7" s="178" t="s">
        <v>806</v>
      </c>
      <c r="E7" s="178" t="s">
        <v>127</v>
      </c>
      <c r="F7" s="178" t="s">
        <v>128</v>
      </c>
      <c r="G7" s="178" t="s">
        <v>6</v>
      </c>
      <c r="H7" s="179" t="s">
        <v>11</v>
      </c>
    </row>
    <row r="8" spans="2:9" ht="15.75" thickBot="1">
      <c r="B8" s="1031" t="s">
        <v>3</v>
      </c>
      <c r="C8" s="1032"/>
      <c r="D8" s="1032"/>
      <c r="E8" s="1032" t="s">
        <v>6</v>
      </c>
      <c r="F8" s="1032" t="s">
        <v>807</v>
      </c>
      <c r="G8" s="1032" t="s">
        <v>808</v>
      </c>
      <c r="H8" s="1033"/>
    </row>
    <row r="9" spans="2:9">
      <c r="B9" s="996" t="s">
        <v>88</v>
      </c>
      <c r="C9" s="185">
        <f t="shared" ref="C9:H9" si="0">SUM(C10:C20)</f>
        <v>0</v>
      </c>
      <c r="D9" s="185">
        <f t="shared" si="0"/>
        <v>27.927502559999997</v>
      </c>
      <c r="E9" s="185">
        <f t="shared" si="0"/>
        <v>4929.7981633307991</v>
      </c>
      <c r="F9" s="185">
        <f t="shared" si="0"/>
        <v>0.71416799999999991</v>
      </c>
      <c r="G9" s="185">
        <f t="shared" si="0"/>
        <v>0</v>
      </c>
      <c r="H9" s="186">
        <f t="shared" si="0"/>
        <v>4958.4398338907995</v>
      </c>
    </row>
    <row r="10" spans="2:9" outlineLevel="1">
      <c r="B10" s="1314" t="s">
        <v>55</v>
      </c>
      <c r="C10" s="1274">
        <f>SECT_TERAC.!D36+SECT_TERAC.!D37</f>
        <v>0</v>
      </c>
      <c r="D10" s="1274">
        <f>SECT_TERAC.!D38+SECT_TERAC.!D39</f>
        <v>0</v>
      </c>
      <c r="E10" s="1274">
        <f>SECT_TERAC.!D40</f>
        <v>219.743685</v>
      </c>
      <c r="F10" s="1274">
        <f>SECT_TERAC.!D41</f>
        <v>0</v>
      </c>
      <c r="G10" s="1274">
        <f>SECT_TERAC.!D42</f>
        <v>0</v>
      </c>
      <c r="H10" s="1275">
        <f>SUM(C10:G10)</f>
        <v>219.743685</v>
      </c>
    </row>
    <row r="11" spans="2:9" outlineLevel="1">
      <c r="B11" s="1314"/>
      <c r="C11" s="1276"/>
      <c r="D11" s="1276"/>
      <c r="E11" s="1276"/>
      <c r="F11" s="1276"/>
      <c r="G11" s="1276"/>
      <c r="H11" s="1277"/>
    </row>
    <row r="12" spans="2:9" outlineLevel="1">
      <c r="B12" s="1314" t="s">
        <v>56</v>
      </c>
      <c r="C12" s="1276">
        <f>SECT_TERAC.!C36+SECT_TERAC.!C37</f>
        <v>0</v>
      </c>
      <c r="D12" s="1276">
        <f>SECT_TERAC.!C38+SECT_TERAC.!C39</f>
        <v>3.9870717600000005</v>
      </c>
      <c r="E12" s="1276">
        <f>SECT_TERAC.!C40</f>
        <v>18.179826730799999</v>
      </c>
      <c r="F12" s="1276">
        <f>SECT_TERAC.!C41</f>
        <v>0.71416799999999991</v>
      </c>
      <c r="G12" s="1276">
        <f>SECT_TERAC.!C42</f>
        <v>0</v>
      </c>
      <c r="H12" s="1275">
        <f>SUM(C12:G12)</f>
        <v>22.881066490799999</v>
      </c>
    </row>
    <row r="13" spans="2:9" outlineLevel="1">
      <c r="B13" s="1314"/>
      <c r="C13" s="1276"/>
      <c r="D13" s="1276"/>
      <c r="E13" s="1276"/>
      <c r="F13" s="1276"/>
      <c r="G13" s="1276"/>
      <c r="H13" s="1277"/>
    </row>
    <row r="14" spans="2:9" outlineLevel="1">
      <c r="B14" s="1314" t="s">
        <v>59</v>
      </c>
      <c r="C14" s="1276">
        <f>SECT_TERAC.!G36+SECT_TERAC.!G37</f>
        <v>0</v>
      </c>
      <c r="D14" s="1276">
        <f>SECT_TERAC.!G38+SECT_TERAC.!G39</f>
        <v>0</v>
      </c>
      <c r="E14" s="1276">
        <f>SECT_TERAC.!G40</f>
        <v>0.2571426</v>
      </c>
      <c r="F14" s="1276">
        <f>SECT_TERAC.!G41</f>
        <v>0</v>
      </c>
      <c r="G14" s="1276">
        <f>SECT_TERAC.!G42</f>
        <v>0</v>
      </c>
      <c r="H14" s="1275">
        <f>SUM(C14:G14)</f>
        <v>0.2571426</v>
      </c>
    </row>
    <row r="15" spans="2:9" outlineLevel="1">
      <c r="B15" s="1314"/>
      <c r="C15" s="1276"/>
      <c r="D15" s="1276"/>
      <c r="E15" s="1276"/>
      <c r="F15" s="1276"/>
      <c r="G15" s="1276"/>
      <c r="H15" s="1277"/>
    </row>
    <row r="16" spans="2:9" outlineLevel="1">
      <c r="B16" s="1314" t="s">
        <v>60</v>
      </c>
      <c r="C16" s="1276">
        <f>SECT_TERAC.!H36+SECT_TERAC.!H37</f>
        <v>0</v>
      </c>
      <c r="D16" s="1276">
        <f>SECT_TERAC.!H38+SECT_TERAC.!H39</f>
        <v>23.940430799999998</v>
      </c>
      <c r="E16" s="1276">
        <f>SECT_TERAC.!H40</f>
        <v>290.39999999999998</v>
      </c>
      <c r="F16" s="1276">
        <f>SECT_TERAC.!H41</f>
        <v>0</v>
      </c>
      <c r="G16" s="1276">
        <f>SECT_TERAC.!H42</f>
        <v>0</v>
      </c>
      <c r="H16" s="1275">
        <f>SUM(C16:G16)</f>
        <v>314.34043079999998</v>
      </c>
    </row>
    <row r="17" spans="2:8" outlineLevel="1">
      <c r="B17" s="1314"/>
      <c r="C17" s="1276"/>
      <c r="D17" s="1276"/>
      <c r="E17" s="1276"/>
      <c r="F17" s="1276"/>
      <c r="G17" s="1276"/>
      <c r="H17" s="1277"/>
    </row>
    <row r="18" spans="2:8" outlineLevel="1">
      <c r="B18" s="1314" t="s">
        <v>63</v>
      </c>
      <c r="C18" s="1276">
        <f>SECT_TERAC.!K36+SECT_TERAC.!K37</f>
        <v>0</v>
      </c>
      <c r="D18" s="1276">
        <f>SECT_TERAC.!K38+SECT_TERAC.!K39</f>
        <v>0</v>
      </c>
      <c r="E18" s="1276">
        <f>SECT_TERAC.!K40</f>
        <v>1949.4443729999998</v>
      </c>
      <c r="F18" s="1276">
        <f>SECT_TERAC.!K41</f>
        <v>0</v>
      </c>
      <c r="G18" s="1276">
        <f>SECT_TERAC.!K42</f>
        <v>0</v>
      </c>
      <c r="H18" s="1275">
        <f>SUM(C18:G18)</f>
        <v>1949.4443729999998</v>
      </c>
    </row>
    <row r="19" spans="2:8" outlineLevel="1">
      <c r="B19" s="1314"/>
      <c r="C19" s="1276"/>
      <c r="D19" s="1276"/>
      <c r="E19" s="1276"/>
      <c r="F19" s="1276"/>
      <c r="G19" s="1276"/>
      <c r="H19" s="1277"/>
    </row>
    <row r="20" spans="2:8" outlineLevel="1">
      <c r="B20" s="1314" t="s">
        <v>64</v>
      </c>
      <c r="C20" s="1276">
        <f>SECT_TERAC.!L36+SECT_TERAC.!L37</f>
        <v>0</v>
      </c>
      <c r="D20" s="1276">
        <f>SECT_TERAC.!L38+SECT_TERAC.!L39</f>
        <v>0</v>
      </c>
      <c r="E20" s="1276">
        <f>SECT_TERAC.!L40</f>
        <v>2451.7731359999998</v>
      </c>
      <c r="F20" s="1276">
        <f>SECT_TERAC.!L41</f>
        <v>0</v>
      </c>
      <c r="G20" s="1276">
        <f>SECT_TERAC.!L42</f>
        <v>0</v>
      </c>
      <c r="H20" s="1275">
        <f>SUM(C20:G20)</f>
        <v>2451.7731359999998</v>
      </c>
    </row>
    <row r="21" spans="2:8" outlineLevel="1">
      <c r="B21" s="1034"/>
      <c r="C21" s="180"/>
      <c r="D21" s="180"/>
      <c r="E21" s="180"/>
      <c r="F21" s="180"/>
      <c r="G21" s="180"/>
      <c r="H21" s="181"/>
    </row>
    <row r="22" spans="2:8">
      <c r="B22" s="1034" t="s">
        <v>18</v>
      </c>
      <c r="C22" s="180">
        <f>SECT_TERAC.!N36+SECT_TERAC.!N37</f>
        <v>1316.5209606050944</v>
      </c>
      <c r="D22" s="180">
        <f>SECT_TERAC.!N38+SECT_TERAC.!N39</f>
        <v>6.3035592000000005</v>
      </c>
      <c r="E22" s="180">
        <f>SECT_TERAC.!N40</f>
        <v>417.63500943999992</v>
      </c>
      <c r="F22" s="180">
        <f>SECT_TERAC.!N41</f>
        <v>1.7811121762</v>
      </c>
      <c r="G22" s="180">
        <f>SECT_TERAC.!N42</f>
        <v>116.3107</v>
      </c>
      <c r="H22" s="1296">
        <f>SUM(C22:G22)</f>
        <v>1858.5513414212944</v>
      </c>
    </row>
    <row r="23" spans="2:8">
      <c r="B23" s="1034"/>
      <c r="C23" s="180"/>
      <c r="D23" s="180"/>
      <c r="E23" s="180"/>
      <c r="F23" s="180"/>
      <c r="G23" s="180"/>
      <c r="H23" s="181"/>
    </row>
    <row r="24" spans="2:8">
      <c r="B24" s="1034" t="s">
        <v>7</v>
      </c>
      <c r="C24" s="180">
        <f>SECT_TERAC.!O36+SECT_TERAC.!O37</f>
        <v>0</v>
      </c>
      <c r="D24" s="180">
        <f>SECT_TERAC.!O38+SECT_TERAC.!O39</f>
        <v>0</v>
      </c>
      <c r="E24" s="180">
        <f>SECT_TERAC.!O40</f>
        <v>0</v>
      </c>
      <c r="F24" s="180">
        <f>SECT_TERAC.!O41</f>
        <v>6.9009904999999989</v>
      </c>
      <c r="G24" s="180">
        <f>SECT_TERAC.!O42</f>
        <v>0</v>
      </c>
      <c r="H24" s="1296">
        <f>SUM(C24:G24)</f>
        <v>6.9009904999999989</v>
      </c>
    </row>
    <row r="25" spans="2:8">
      <c r="B25" s="1034"/>
      <c r="C25" s="180"/>
      <c r="D25" s="180"/>
      <c r="E25" s="180"/>
      <c r="F25" s="180"/>
      <c r="G25" s="180"/>
      <c r="H25" s="181"/>
    </row>
    <row r="26" spans="2:8">
      <c r="B26" s="1034" t="s">
        <v>185</v>
      </c>
      <c r="C26" s="180">
        <f>SECT_TERAC.!Q36+SECT_TERAC.!Q37</f>
        <v>0</v>
      </c>
      <c r="D26" s="180">
        <f>SECT_TERAC.!Q38+SECT_TERAC.!Q39</f>
        <v>191.41300000000001</v>
      </c>
      <c r="E26" s="180">
        <f>SECT_TERAC.!Q40</f>
        <v>0</v>
      </c>
      <c r="F26" s="180">
        <f>SECT_TERAC.!Q41</f>
        <v>0</v>
      </c>
      <c r="G26" s="180">
        <f>SECT_TERAC.!Q42</f>
        <v>0</v>
      </c>
      <c r="H26" s="1296">
        <f>SUM(C26:G26)</f>
        <v>191.41300000000001</v>
      </c>
    </row>
    <row r="27" spans="2:8">
      <c r="B27" s="1034"/>
      <c r="C27" s="180"/>
      <c r="D27" s="180"/>
      <c r="E27" s="180"/>
      <c r="F27" s="180"/>
      <c r="G27" s="180"/>
      <c r="H27" s="181"/>
    </row>
    <row r="28" spans="2:8">
      <c r="B28" s="1034" t="s">
        <v>20</v>
      </c>
      <c r="C28" s="180">
        <f>SECT_TERAC.!R36+SECT_TERAC.!R37</f>
        <v>0</v>
      </c>
      <c r="D28" s="180">
        <f>SECT_TERAC.!R38+SECT_TERAC.!R39</f>
        <v>262.78800000000001</v>
      </c>
      <c r="E28" s="180">
        <f>SECT_TERAC.!R40</f>
        <v>0.64837912367810424</v>
      </c>
      <c r="F28" s="180">
        <f>SECT_TERAC.!R41</f>
        <v>3.1996000000000003E-5</v>
      </c>
      <c r="G28" s="180">
        <f>SECT_TERAC.!R42</f>
        <v>0</v>
      </c>
      <c r="H28" s="1296">
        <f>SUM(C28:G28)</f>
        <v>263.43641111967816</v>
      </c>
    </row>
    <row r="29" spans="2:8">
      <c r="B29" s="1034"/>
      <c r="C29" s="180"/>
      <c r="D29" s="180"/>
      <c r="E29" s="180"/>
      <c r="F29" s="180"/>
      <c r="G29" s="180"/>
      <c r="H29" s="181"/>
    </row>
    <row r="30" spans="2:8">
      <c r="B30" s="1034" t="s">
        <v>749</v>
      </c>
      <c r="C30" s="180">
        <f>SECT_TERAC.!S36+SECT_TERAC.!S37</f>
        <v>0</v>
      </c>
      <c r="D30" s="180">
        <f>SECT_TERAC.!S38+SECT_TERAC.!S39</f>
        <v>980.68600000000015</v>
      </c>
      <c r="E30" s="180">
        <f>SECT_TERAC.!S40</f>
        <v>0</v>
      </c>
      <c r="F30" s="180">
        <f>SECT_TERAC.!S41</f>
        <v>0</v>
      </c>
      <c r="G30" s="180">
        <f>SECT_TERAC.!S42</f>
        <v>0</v>
      </c>
      <c r="H30" s="1296">
        <f>SUM(C30:G30)</f>
        <v>980.68600000000015</v>
      </c>
    </row>
    <row r="31" spans="2:8">
      <c r="B31" s="1034"/>
      <c r="C31" s="180"/>
      <c r="D31" s="180"/>
      <c r="E31" s="180"/>
      <c r="F31" s="180"/>
      <c r="G31" s="180"/>
      <c r="H31" s="181"/>
    </row>
    <row r="32" spans="2:8">
      <c r="B32" s="1034" t="s">
        <v>6</v>
      </c>
      <c r="C32" s="180">
        <f>SECT_TERAC.!T36+SECT_TERAC.!T37</f>
        <v>0</v>
      </c>
      <c r="D32" s="180">
        <f>SECT_TERAC.!T38+SECT_TERAC.!T39</f>
        <v>18.905819700999999</v>
      </c>
      <c r="E32" s="180">
        <f>SECT_TERAC.!T40</f>
        <v>5138.4169030693311</v>
      </c>
      <c r="F32" s="180">
        <f>SECT_TERAC.!T41</f>
        <v>0</v>
      </c>
      <c r="G32" s="180">
        <f>SECT_TERAC.!T42</f>
        <v>0</v>
      </c>
      <c r="H32" s="1296">
        <f>SUM(C32:G32)</f>
        <v>5157.322722770331</v>
      </c>
    </row>
    <row r="33" spans="2:8">
      <c r="B33" s="1034"/>
      <c r="C33" s="180"/>
      <c r="D33" s="180"/>
      <c r="E33" s="180"/>
      <c r="F33" s="180"/>
      <c r="G33" s="180"/>
      <c r="H33" s="181"/>
    </row>
    <row r="34" spans="2:8">
      <c r="B34" s="1034" t="s">
        <v>22</v>
      </c>
      <c r="C34" s="180">
        <f>SECT_TERAC.!U36+SECT_TERAC.!U37</f>
        <v>0</v>
      </c>
      <c r="D34" s="180">
        <f>SECT_TERAC.!U38+SECT_TERAC.!U39</f>
        <v>0</v>
      </c>
      <c r="E34" s="180">
        <f>SECT_TERAC.!U40</f>
        <v>0</v>
      </c>
      <c r="F34" s="180">
        <f>SECT_TERAC.!U41</f>
        <v>0</v>
      </c>
      <c r="G34" s="180">
        <f>SECT_TERAC.!U42</f>
        <v>0</v>
      </c>
      <c r="H34" s="1296">
        <f>SUM(C34:G34)</f>
        <v>0</v>
      </c>
    </row>
    <row r="35" spans="2:8">
      <c r="B35" s="1034"/>
      <c r="C35" s="180"/>
      <c r="D35" s="180"/>
      <c r="E35" s="180"/>
      <c r="F35" s="180"/>
      <c r="G35" s="180"/>
      <c r="H35" s="181"/>
    </row>
    <row r="36" spans="2:8">
      <c r="B36" s="1035" t="s">
        <v>11</v>
      </c>
      <c r="C36" s="183">
        <f t="shared" ref="C36:H36" si="1">SUM(C22:C35)+C9</f>
        <v>1316.5209606050944</v>
      </c>
      <c r="D36" s="183">
        <f t="shared" si="1"/>
        <v>1488.0238814610002</v>
      </c>
      <c r="E36" s="183">
        <f t="shared" si="1"/>
        <v>10486.498454963808</v>
      </c>
      <c r="F36" s="183">
        <f t="shared" si="1"/>
        <v>9.3963026722000009</v>
      </c>
      <c r="G36" s="183">
        <f t="shared" si="1"/>
        <v>116.3107</v>
      </c>
      <c r="H36" s="184">
        <f t="shared" si="1"/>
        <v>13416.750299702104</v>
      </c>
    </row>
    <row r="37" spans="2:8" ht="13.5" thickBot="1">
      <c r="B37" s="1036"/>
      <c r="C37" s="187"/>
      <c r="D37" s="187"/>
      <c r="E37" s="187"/>
      <c r="F37" s="187"/>
      <c r="G37" s="187"/>
      <c r="H37" s="188"/>
    </row>
    <row r="38" spans="2:8">
      <c r="B38" s="1285" t="s">
        <v>801</v>
      </c>
    </row>
    <row r="39" spans="2:8">
      <c r="B39" s="1285" t="s">
        <v>802</v>
      </c>
    </row>
    <row r="40" spans="2:8">
      <c r="B40" s="1285" t="s">
        <v>803</v>
      </c>
    </row>
    <row r="41" spans="2:8">
      <c r="B41" s="1285" t="s">
        <v>804</v>
      </c>
    </row>
    <row r="42" spans="2:8">
      <c r="B42" s="11" t="s">
        <v>42</v>
      </c>
      <c r="C42" s="58"/>
      <c r="D42" s="59"/>
      <c r="E42" s="59"/>
      <c r="F42" s="59"/>
      <c r="G42" s="60"/>
    </row>
    <row r="43" spans="2:8">
      <c r="B43" s="11" t="s">
        <v>43</v>
      </c>
      <c r="C43" s="21"/>
      <c r="D43" s="21"/>
      <c r="E43" s="21"/>
      <c r="F43" s="21"/>
      <c r="G43" s="21"/>
    </row>
    <row r="44" spans="2:8">
      <c r="B44" s="21" t="s">
        <v>14</v>
      </c>
      <c r="C44" s="21"/>
      <c r="D44" s="21"/>
      <c r="E44" s="21"/>
      <c r="F44" s="21"/>
      <c r="G44" s="21"/>
    </row>
    <row r="45" spans="2:8">
      <c r="B45" s="21" t="s">
        <v>777</v>
      </c>
      <c r="C45" s="21"/>
      <c r="D45" s="21"/>
      <c r="E45" s="21"/>
      <c r="F45" s="21"/>
      <c r="G45" s="21"/>
    </row>
  </sheetData>
  <phoneticPr fontId="91" type="noConversion"/>
  <hyperlinks>
    <hyperlink ref="I3" location="INDICE!A30" display="VOLVER A INDICE"/>
  </hyperlinks>
  <pageMargins left="0.75" right="0.75" top="1" bottom="1" header="0" footer="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7"/>
  <sheetViews>
    <sheetView workbookViewId="0">
      <selection activeCell="I18" sqref="I18"/>
    </sheetView>
  </sheetViews>
  <sheetFormatPr baseColWidth="10" defaultRowHeight="12.75" outlineLevelRow="1"/>
  <cols>
    <col min="1" max="1" width="1.28515625" style="898" customWidth="1"/>
    <col min="2" max="2" width="27.85546875" style="898" customWidth="1"/>
    <col min="3" max="3" width="15.28515625" style="898" customWidth="1"/>
    <col min="4" max="4" width="13.7109375" style="898" customWidth="1"/>
    <col min="5" max="7" width="12.5703125" style="898" customWidth="1"/>
    <col min="8" max="8" width="13.5703125" style="898" customWidth="1"/>
    <col min="9" max="15" width="11.42578125" style="22"/>
    <col min="16" max="16384" width="11.42578125" style="898"/>
  </cols>
  <sheetData>
    <row r="1" spans="2:10" ht="6" customHeight="1" thickBot="1"/>
    <row r="2" spans="2:10" ht="15.75" customHeight="1" thickBot="1">
      <c r="B2" s="643"/>
      <c r="C2" s="644"/>
      <c r="D2" s="644"/>
      <c r="E2" s="644"/>
      <c r="F2" s="644"/>
      <c r="G2" s="644"/>
      <c r="H2" s="645"/>
    </row>
    <row r="3" spans="2:10" ht="15">
      <c r="B3" s="166"/>
      <c r="C3" s="167"/>
      <c r="D3" s="168" t="s">
        <v>582</v>
      </c>
      <c r="E3" s="169"/>
      <c r="F3" s="170"/>
      <c r="G3" s="170"/>
      <c r="H3" s="171"/>
      <c r="I3" s="859" t="s">
        <v>683</v>
      </c>
    </row>
    <row r="4" spans="2:10" ht="15">
      <c r="B4" s="172"/>
      <c r="C4" s="173"/>
      <c r="D4" s="174" t="s">
        <v>583</v>
      </c>
      <c r="E4" s="173"/>
      <c r="F4" s="175"/>
      <c r="G4" s="175"/>
      <c r="H4" s="176"/>
    </row>
    <row r="5" spans="2:10" ht="15">
      <c r="B5" s="172"/>
      <c r="C5" s="173"/>
      <c r="D5" s="177" t="s">
        <v>783</v>
      </c>
      <c r="E5" s="173"/>
      <c r="F5" s="175"/>
      <c r="G5" s="175"/>
      <c r="H5" s="176"/>
    </row>
    <row r="6" spans="2:10" ht="15">
      <c r="B6" s="172"/>
      <c r="C6" s="177" t="s">
        <v>584</v>
      </c>
      <c r="D6" s="173"/>
      <c r="E6" s="173"/>
      <c r="F6" s="175"/>
      <c r="G6" s="175"/>
      <c r="H6" s="176"/>
    </row>
    <row r="7" spans="2:10" ht="15">
      <c r="B7" s="172"/>
      <c r="C7" s="178" t="s">
        <v>805</v>
      </c>
      <c r="D7" s="178" t="s">
        <v>806</v>
      </c>
      <c r="E7" s="178" t="s">
        <v>127</v>
      </c>
      <c r="F7" s="178" t="s">
        <v>128</v>
      </c>
      <c r="G7" s="178" t="s">
        <v>6</v>
      </c>
      <c r="H7" s="179" t="s">
        <v>11</v>
      </c>
    </row>
    <row r="8" spans="2:10" ht="15.75" thickBot="1">
      <c r="B8" s="1031" t="s">
        <v>3</v>
      </c>
      <c r="C8" s="1032"/>
      <c r="D8" s="1032"/>
      <c r="E8" s="1032" t="s">
        <v>6</v>
      </c>
      <c r="F8" s="1032" t="s">
        <v>807</v>
      </c>
      <c r="G8" s="1032" t="s">
        <v>808</v>
      </c>
      <c r="H8" s="1033"/>
    </row>
    <row r="9" spans="2:10">
      <c r="B9" s="996" t="s">
        <v>88</v>
      </c>
      <c r="C9" s="185">
        <f t="shared" ref="C9:H9" si="0">SUM(C10:C16)</f>
        <v>1942.1566928454224</v>
      </c>
      <c r="D9" s="185">
        <f t="shared" si="0"/>
        <v>27.668561800000006</v>
      </c>
      <c r="E9" s="185">
        <f t="shared" si="0"/>
        <v>0</v>
      </c>
      <c r="F9" s="185">
        <f t="shared" si="0"/>
        <v>0</v>
      </c>
      <c r="G9" s="185">
        <f t="shared" si="0"/>
        <v>0</v>
      </c>
      <c r="H9" s="186">
        <f t="shared" si="0"/>
        <v>1969.8252546454223</v>
      </c>
    </row>
    <row r="10" spans="2:10" outlineLevel="1">
      <c r="B10" s="1314" t="s">
        <v>55</v>
      </c>
      <c r="C10" s="1274">
        <f>SECT_TERAC.!D49+SECT_TERAC.!D50</f>
        <v>911.90040483502924</v>
      </c>
      <c r="D10" s="1274">
        <f>SECT_TERAC.!D51+SECT_TERAC.!D52</f>
        <v>0</v>
      </c>
      <c r="E10" s="1274">
        <f>SECT_TERAC.!D53</f>
        <v>0</v>
      </c>
      <c r="F10" s="1274">
        <f>SECT_TERAC.!D54</f>
        <v>0</v>
      </c>
      <c r="G10" s="1274">
        <f>SECT_TERAC.!D55</f>
        <v>0</v>
      </c>
      <c r="H10" s="1275">
        <f>SUM(C10:G10)</f>
        <v>911.90040483502924</v>
      </c>
      <c r="I10" s="70"/>
      <c r="J10" s="70"/>
    </row>
    <row r="11" spans="2:10" outlineLevel="1">
      <c r="B11" s="1314"/>
      <c r="C11" s="1276"/>
      <c r="D11" s="1276"/>
      <c r="E11" s="1276"/>
      <c r="F11" s="1276"/>
      <c r="G11" s="1276"/>
      <c r="H11" s="1277"/>
    </row>
    <row r="12" spans="2:10" outlineLevel="1">
      <c r="B12" s="1314" t="s">
        <v>56</v>
      </c>
      <c r="C12" s="1276">
        <f>SECT_TERAC.!C50+SECT_TERAC.!C49</f>
        <v>942.22023017039317</v>
      </c>
      <c r="D12" s="1276">
        <f>SECT_TERAC.!C51+SECT_TERAC.!C52</f>
        <v>0</v>
      </c>
      <c r="E12" s="1276">
        <f>SECT_TERAC.!C53</f>
        <v>0</v>
      </c>
      <c r="F12" s="1276">
        <f>SECT_TERAC.!C54</f>
        <v>0</v>
      </c>
      <c r="G12" s="1276">
        <f>SECT_TERAC.!C55</f>
        <v>0</v>
      </c>
      <c r="H12" s="1275">
        <f>SUM(C12:G12)</f>
        <v>942.22023017039317</v>
      </c>
      <c r="I12" s="70"/>
      <c r="J12" s="70"/>
    </row>
    <row r="13" spans="2:10" outlineLevel="1">
      <c r="B13" s="1314"/>
      <c r="C13" s="1276"/>
      <c r="D13" s="1276"/>
      <c r="E13" s="1276"/>
      <c r="F13" s="1276"/>
      <c r="G13" s="1276"/>
      <c r="H13" s="1277"/>
    </row>
    <row r="14" spans="2:10" outlineLevel="1">
      <c r="B14" s="1314" t="s">
        <v>60</v>
      </c>
      <c r="C14" s="1276">
        <f>SECT_TERAC.!H49+SECT_TERAC.!H50</f>
        <v>1.49169284</v>
      </c>
      <c r="D14" s="1276">
        <f>SECT_TERAC.!H51+SECT_TERAC.!H52</f>
        <v>27.668561800000006</v>
      </c>
      <c r="E14" s="1276">
        <f>SECT_TERAC.!H53</f>
        <v>0</v>
      </c>
      <c r="F14" s="1276">
        <f>SECT_TERAC.!H54</f>
        <v>0</v>
      </c>
      <c r="G14" s="1276">
        <f>SECT_TERAC.!H55</f>
        <v>0</v>
      </c>
      <c r="H14" s="1275">
        <f>SUM(C14:G14)</f>
        <v>29.160254640000005</v>
      </c>
      <c r="I14" s="70"/>
      <c r="J14" s="70"/>
    </row>
    <row r="15" spans="2:10" outlineLevel="1">
      <c r="B15" s="1314"/>
      <c r="C15" s="1276"/>
      <c r="D15" s="1276"/>
      <c r="E15" s="1276"/>
      <c r="F15" s="1276"/>
      <c r="G15" s="1276"/>
      <c r="H15" s="1277"/>
    </row>
    <row r="16" spans="2:10" outlineLevel="1">
      <c r="B16" s="1314" t="s">
        <v>64</v>
      </c>
      <c r="C16" s="1276">
        <f>SECT_TERAC.!L49+SECT_TERAC.!L50</f>
        <v>86.544364999999985</v>
      </c>
      <c r="D16" s="1276">
        <f>SECT_TERAC.!L51+SECT_TERAC.!L52</f>
        <v>0</v>
      </c>
      <c r="E16" s="1276">
        <f>SECT_TERAC.!L53</f>
        <v>0</v>
      </c>
      <c r="F16" s="1276">
        <f>SECT_TERAC.!L54</f>
        <v>0</v>
      </c>
      <c r="G16" s="1276">
        <f>SECT_TERAC.!L55</f>
        <v>0</v>
      </c>
      <c r="H16" s="1275">
        <f>SUM(C16:G16)</f>
        <v>86.544364999999985</v>
      </c>
      <c r="I16" s="70"/>
      <c r="J16" s="70"/>
    </row>
    <row r="17" spans="2:10">
      <c r="B17" s="1034"/>
      <c r="C17" s="180"/>
      <c r="D17" s="180"/>
      <c r="E17" s="180"/>
      <c r="F17" s="180"/>
      <c r="G17" s="180"/>
      <c r="H17" s="181"/>
    </row>
    <row r="18" spans="2:10">
      <c r="B18" s="1034" t="s">
        <v>7</v>
      </c>
      <c r="C18" s="180">
        <f>SECT_TERAC.!O49+SECT_TERAC.!O50</f>
        <v>17801.399227717495</v>
      </c>
      <c r="D18" s="180">
        <f>SECT_TERAC.!O51+SECT_TERAC.!O52</f>
        <v>5082.796800000001</v>
      </c>
      <c r="E18" s="180">
        <f>SECT_TERAC.!O53</f>
        <v>0</v>
      </c>
      <c r="F18" s="180">
        <f>SECT_TERAC.!O54</f>
        <v>0</v>
      </c>
      <c r="G18" s="180">
        <f>SECT_TERAC.!O55</f>
        <v>0</v>
      </c>
      <c r="H18" s="1296">
        <f>SUM(C18:G18)</f>
        <v>22884.196027717495</v>
      </c>
      <c r="I18" s="70"/>
      <c r="J18" s="70"/>
    </row>
    <row r="19" spans="2:10">
      <c r="B19" s="1034"/>
      <c r="C19" s="180"/>
      <c r="D19" s="180"/>
      <c r="E19" s="180"/>
      <c r="F19" s="180"/>
      <c r="G19" s="180"/>
      <c r="H19" s="181"/>
    </row>
    <row r="20" spans="2:10">
      <c r="B20" s="1034" t="s">
        <v>115</v>
      </c>
      <c r="C20" s="180">
        <f>SECT_TERAC.!P49+SECT_TERAC.!P50</f>
        <v>5588.9669552500009</v>
      </c>
      <c r="D20" s="180">
        <f>SECT_TERAC.!P51+SECT_TERAC.!P52</f>
        <v>2033.3929999999996</v>
      </c>
      <c r="E20" s="180">
        <f>SECT_TERAC.!P53</f>
        <v>0</v>
      </c>
      <c r="F20" s="180">
        <f>SECT_TERAC.!P54</f>
        <v>8.4840000000000002E-3</v>
      </c>
      <c r="G20" s="180">
        <f>SECT_TERAC.!P55</f>
        <v>0</v>
      </c>
      <c r="H20" s="1296">
        <f>SUM(C20:G20)</f>
        <v>7622.3684392499999</v>
      </c>
      <c r="I20" s="70"/>
      <c r="J20" s="70"/>
    </row>
    <row r="21" spans="2:10">
      <c r="B21" s="1034"/>
      <c r="C21" s="180"/>
      <c r="D21" s="180"/>
      <c r="E21" s="180"/>
      <c r="F21" s="180"/>
      <c r="G21" s="180"/>
      <c r="H21" s="181"/>
    </row>
    <row r="22" spans="2:10">
      <c r="B22" s="1034" t="s">
        <v>6</v>
      </c>
      <c r="C22" s="180">
        <f>SECT_TERAC.!T49+SECT_TERAC.!T50</f>
        <v>32256.655351612459</v>
      </c>
      <c r="D22" s="180">
        <f>SECT_TERAC.!T51+SECT_TERAC.!T52</f>
        <v>276.90079287199995</v>
      </c>
      <c r="E22" s="180">
        <f>SECT_TERAC.!T53</f>
        <v>2229.5532317366915</v>
      </c>
      <c r="F22" s="180">
        <f>SECT_TERAC.!T54</f>
        <v>0</v>
      </c>
      <c r="G22" s="180">
        <f>SECT_TERAC.!T55</f>
        <v>24785.521033810026</v>
      </c>
      <c r="H22" s="1296">
        <f>SUM(C22:G22)</f>
        <v>59548.630410031168</v>
      </c>
      <c r="I22" s="70"/>
      <c r="J22" s="70"/>
    </row>
    <row r="23" spans="2:10">
      <c r="B23" s="1034"/>
      <c r="C23" s="180"/>
      <c r="D23" s="180"/>
      <c r="E23" s="180"/>
      <c r="F23" s="180"/>
      <c r="G23" s="180"/>
      <c r="H23" s="181"/>
    </row>
    <row r="24" spans="2:10">
      <c r="B24" s="1034" t="s">
        <v>9</v>
      </c>
      <c r="C24" s="180">
        <f>SECT_TERAC.!W49+SECT_TERAC.!W50</f>
        <v>4515.3870745717859</v>
      </c>
      <c r="D24" s="180">
        <f>SECT_TERAC.!W51+SECT_TERAC.!W52</f>
        <v>0</v>
      </c>
      <c r="E24" s="180">
        <f>SECT_TERAC.!W53</f>
        <v>0</v>
      </c>
      <c r="F24" s="180">
        <f>SECT_TERAC.!W54</f>
        <v>0</v>
      </c>
      <c r="G24" s="180">
        <f>SECT_TERAC.!W55</f>
        <v>0</v>
      </c>
      <c r="H24" s="1296">
        <f>SUM(C24:G24)</f>
        <v>4515.3870745717859</v>
      </c>
      <c r="I24" s="70"/>
      <c r="J24" s="70"/>
    </row>
    <row r="25" spans="2:10">
      <c r="B25" s="1034"/>
      <c r="C25" s="180"/>
      <c r="D25" s="180"/>
      <c r="E25" s="180"/>
      <c r="F25" s="180"/>
      <c r="G25" s="180"/>
      <c r="H25" s="182"/>
      <c r="J25" s="180"/>
    </row>
    <row r="26" spans="2:10">
      <c r="B26" s="1035" t="s">
        <v>11</v>
      </c>
      <c r="C26" s="183">
        <f t="shared" ref="C26:H26" si="1">SUM(C18:C24)+C9</f>
        <v>62104.565301997158</v>
      </c>
      <c r="D26" s="183">
        <f t="shared" si="1"/>
        <v>7420.7591546720005</v>
      </c>
      <c r="E26" s="183">
        <f t="shared" si="1"/>
        <v>2229.5532317366915</v>
      </c>
      <c r="F26" s="183">
        <f t="shared" si="1"/>
        <v>8.4840000000000002E-3</v>
      </c>
      <c r="G26" s="183">
        <f t="shared" si="1"/>
        <v>24785.521033810026</v>
      </c>
      <c r="H26" s="184">
        <f t="shared" si="1"/>
        <v>96540.407206215867</v>
      </c>
      <c r="I26" s="70"/>
      <c r="J26" s="70"/>
    </row>
    <row r="27" spans="2:10" ht="13.5" thickBot="1">
      <c r="B27" s="1036"/>
      <c r="C27" s="187"/>
      <c r="D27" s="187"/>
      <c r="E27" s="187"/>
      <c r="F27" s="187"/>
      <c r="G27" s="187"/>
      <c r="H27" s="188"/>
      <c r="I27" s="70"/>
    </row>
    <row r="28" spans="2:10">
      <c r="B28" s="1284" t="s">
        <v>564</v>
      </c>
      <c r="C28" s="1283"/>
      <c r="D28" s="1283"/>
      <c r="E28" s="1283"/>
      <c r="F28" s="1283"/>
      <c r="G28" s="1283"/>
      <c r="H28" s="1283"/>
      <c r="I28" s="70"/>
    </row>
    <row r="29" spans="2:10">
      <c r="B29" s="1285" t="s">
        <v>801</v>
      </c>
      <c r="C29" s="1283"/>
      <c r="D29" s="1283"/>
      <c r="E29" s="1283"/>
      <c r="F29" s="1283"/>
      <c r="G29" s="1283"/>
      <c r="H29" s="1283"/>
      <c r="I29" s="70"/>
    </row>
    <row r="30" spans="2:10">
      <c r="B30" s="1285" t="s">
        <v>802</v>
      </c>
      <c r="C30" s="1283"/>
      <c r="D30" s="1283"/>
      <c r="E30" s="1283"/>
      <c r="F30" s="1283"/>
      <c r="G30" s="1283"/>
      <c r="H30" s="1283"/>
      <c r="I30" s="70"/>
    </row>
    <row r="31" spans="2:10">
      <c r="B31" s="1285" t="s">
        <v>803</v>
      </c>
      <c r="C31" s="1283"/>
      <c r="D31" s="1283"/>
      <c r="E31" s="1283"/>
      <c r="F31" s="1283"/>
      <c r="G31" s="1283"/>
      <c r="H31" s="1283"/>
      <c r="I31" s="70"/>
    </row>
    <row r="32" spans="2:10">
      <c r="B32" s="1285" t="s">
        <v>804</v>
      </c>
      <c r="C32" s="1283"/>
      <c r="D32" s="1283"/>
      <c r="E32" s="1283"/>
      <c r="F32" s="1283"/>
      <c r="G32" s="1283"/>
      <c r="H32" s="1283"/>
      <c r="I32" s="70"/>
    </row>
    <row r="33" spans="2:10">
      <c r="B33" s="11" t="s">
        <v>42</v>
      </c>
      <c r="C33" s="1283"/>
      <c r="D33" s="1283"/>
      <c r="E33" s="1283"/>
      <c r="F33" s="1283"/>
      <c r="G33" s="1283"/>
      <c r="H33" s="1283"/>
      <c r="I33" s="70"/>
    </row>
    <row r="34" spans="2:10">
      <c r="B34" s="11" t="s">
        <v>43</v>
      </c>
      <c r="C34" s="1283"/>
      <c r="D34" s="1283"/>
      <c r="E34" s="1283"/>
      <c r="F34" s="1283"/>
      <c r="G34" s="1283"/>
      <c r="H34" s="1283"/>
      <c r="I34" s="70"/>
    </row>
    <row r="35" spans="2:10">
      <c r="B35" s="21" t="s">
        <v>14</v>
      </c>
      <c r="C35" s="21"/>
      <c r="D35" s="21"/>
      <c r="E35" s="21"/>
      <c r="F35" s="21"/>
      <c r="G35" s="21"/>
      <c r="H35" s="21"/>
      <c r="I35" s="73"/>
      <c r="J35" s="73"/>
    </row>
    <row r="36" spans="2:10">
      <c r="B36" s="21" t="s">
        <v>777</v>
      </c>
      <c r="C36" s="21"/>
      <c r="D36" s="21"/>
      <c r="E36" s="21"/>
      <c r="F36" s="21"/>
      <c r="G36" s="21"/>
      <c r="H36" s="21"/>
      <c r="I36" s="73"/>
      <c r="J36" s="73"/>
    </row>
    <row r="37" spans="2:10">
      <c r="B37" s="22"/>
      <c r="C37" s="22"/>
      <c r="D37" s="22"/>
      <c r="E37" s="22"/>
      <c r="F37" s="22"/>
      <c r="G37" s="22"/>
      <c r="H37" s="22"/>
    </row>
    <row r="38" spans="2:10">
      <c r="B38" s="22"/>
      <c r="C38" s="22"/>
      <c r="D38" s="22"/>
      <c r="E38" s="22"/>
      <c r="F38" s="22"/>
      <c r="G38" s="22"/>
      <c r="H38" s="22"/>
    </row>
    <row r="39" spans="2:10">
      <c r="B39" s="22"/>
      <c r="C39" s="22"/>
      <c r="D39" s="22"/>
      <c r="E39" s="22"/>
      <c r="F39" s="22"/>
      <c r="G39" s="22"/>
      <c r="H39" s="22"/>
    </row>
    <row r="40" spans="2:10" s="22" customFormat="1"/>
    <row r="41" spans="2:10" s="22" customFormat="1"/>
    <row r="42" spans="2:10" s="22" customFormat="1"/>
    <row r="43" spans="2:10" s="22" customFormat="1"/>
    <row r="44" spans="2:10" s="22" customFormat="1"/>
    <row r="45" spans="2:10" s="22" customFormat="1"/>
    <row r="46" spans="2:10" s="22" customFormat="1"/>
    <row r="47" spans="2:10" s="22" customFormat="1"/>
    <row r="48" spans="2:10" s="22" customFormat="1"/>
    <row r="49" spans="3:8" s="22" customFormat="1"/>
    <row r="50" spans="3:8" s="22" customFormat="1"/>
    <row r="51" spans="3:8" s="22" customFormat="1"/>
    <row r="52" spans="3:8" s="22" customFormat="1"/>
    <row r="53" spans="3:8" s="22" customFormat="1"/>
    <row r="54" spans="3:8">
      <c r="C54" s="22"/>
      <c r="D54" s="22"/>
      <c r="E54" s="22"/>
      <c r="F54" s="22"/>
      <c r="G54" s="22"/>
      <c r="H54" s="22"/>
    </row>
    <row r="55" spans="3:8">
      <c r="C55" s="22"/>
      <c r="D55" s="22"/>
      <c r="E55" s="22"/>
      <c r="F55" s="22"/>
      <c r="G55" s="22"/>
      <c r="H55" s="22"/>
    </row>
    <row r="56" spans="3:8">
      <c r="C56" s="22"/>
      <c r="D56" s="22"/>
      <c r="E56" s="22"/>
      <c r="F56" s="22"/>
      <c r="G56" s="22"/>
      <c r="H56" s="22"/>
    </row>
    <row r="57" spans="3:8">
      <c r="C57" s="22"/>
      <c r="D57" s="22"/>
      <c r="E57" s="22"/>
      <c r="F57" s="22"/>
      <c r="G57" s="22"/>
      <c r="H57" s="22"/>
    </row>
  </sheetData>
  <phoneticPr fontId="0" type="noConversion"/>
  <hyperlinks>
    <hyperlink ref="I3" location="INDICE!A40" display="VOLVER A INDICE"/>
  </hyperlinks>
  <pageMargins left="0.75" right="0.75" top="1" bottom="1" header="0" footer="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4"/>
  <sheetViews>
    <sheetView workbookViewId="0">
      <selection activeCell="D31" sqref="D31"/>
    </sheetView>
  </sheetViews>
  <sheetFormatPr baseColWidth="10" defaultRowHeight="12.75"/>
  <cols>
    <col min="1" max="1" width="1.42578125" style="898" customWidth="1"/>
    <col min="2" max="2" width="42.42578125" style="898" customWidth="1"/>
    <col min="3" max="3" width="13.85546875" style="898" customWidth="1"/>
    <col min="4" max="14" width="11.42578125" style="22"/>
    <col min="15" max="16384" width="11.42578125" style="898"/>
  </cols>
  <sheetData>
    <row r="1" spans="2:16" ht="6" customHeight="1" thickBot="1"/>
    <row r="2" spans="2:16" ht="15.75" customHeight="1" thickBot="1">
      <c r="B2" s="1037"/>
      <c r="C2" s="1038"/>
      <c r="D2" s="197"/>
      <c r="E2" s="197"/>
      <c r="F2" s="197"/>
    </row>
    <row r="3" spans="2:16" ht="15.75">
      <c r="B3" s="189" t="s">
        <v>129</v>
      </c>
      <c r="C3" s="190"/>
      <c r="D3" s="859" t="s">
        <v>683</v>
      </c>
      <c r="E3" s="197"/>
      <c r="F3" s="197"/>
    </row>
    <row r="4" spans="2:16" ht="15.75">
      <c r="B4" s="191" t="s">
        <v>130</v>
      </c>
      <c r="C4" s="192"/>
      <c r="D4" s="197"/>
      <c r="E4" s="197"/>
      <c r="F4" s="197"/>
    </row>
    <row r="5" spans="2:16" ht="15.75">
      <c r="B5" s="191" t="s">
        <v>131</v>
      </c>
      <c r="C5" s="192"/>
      <c r="D5" s="197"/>
      <c r="E5" s="197"/>
      <c r="F5" s="197"/>
    </row>
    <row r="6" spans="2:16" ht="15.75">
      <c r="B6" s="193" t="s">
        <v>781</v>
      </c>
      <c r="C6" s="194"/>
      <c r="D6" s="197"/>
      <c r="E6" s="197"/>
      <c r="F6" s="197"/>
    </row>
    <row r="7" spans="2:16" ht="15.75">
      <c r="B7" s="191"/>
      <c r="C7" s="192"/>
      <c r="D7" s="197"/>
      <c r="E7" s="197"/>
      <c r="F7" s="197"/>
    </row>
    <row r="8" spans="2:16" ht="15.75">
      <c r="B8" s="195"/>
      <c r="C8" s="192"/>
      <c r="D8" s="197"/>
      <c r="E8" s="197"/>
      <c r="F8" s="197"/>
    </row>
    <row r="9" spans="2:16" ht="16.5" thickBot="1">
      <c r="B9" s="1039" t="s">
        <v>132</v>
      </c>
      <c r="C9" s="1040" t="s">
        <v>133</v>
      </c>
      <c r="D9" s="197"/>
      <c r="E9" s="197"/>
      <c r="F9" s="197"/>
    </row>
    <row r="10" spans="2:16">
      <c r="B10" s="1041"/>
      <c r="C10" s="196"/>
      <c r="D10" s="197"/>
      <c r="E10" s="197"/>
      <c r="F10" s="197"/>
      <c r="O10" s="22"/>
      <c r="P10" s="22"/>
    </row>
    <row r="11" spans="2:16">
      <c r="B11" s="1042"/>
      <c r="C11" s="198"/>
      <c r="D11" s="197"/>
      <c r="E11" s="197"/>
      <c r="F11" s="197"/>
      <c r="O11" s="22"/>
      <c r="P11" s="22"/>
    </row>
    <row r="12" spans="2:16">
      <c r="B12" s="1043" t="s">
        <v>134</v>
      </c>
      <c r="C12" s="199">
        <v>12.861989999999999</v>
      </c>
      <c r="D12" s="197"/>
      <c r="E12" s="197"/>
      <c r="F12" s="197"/>
      <c r="O12" s="22"/>
      <c r="P12" s="22"/>
    </row>
    <row r="13" spans="2:16">
      <c r="B13" s="1043"/>
      <c r="C13" s="199"/>
      <c r="D13" s="197"/>
      <c r="E13" s="197"/>
      <c r="F13" s="197"/>
      <c r="O13" s="22"/>
      <c r="P13" s="22"/>
    </row>
    <row r="14" spans="2:16">
      <c r="B14" s="1044" t="s">
        <v>135</v>
      </c>
      <c r="C14" s="199">
        <v>268.6301982</v>
      </c>
      <c r="D14" s="197"/>
      <c r="E14" s="197"/>
      <c r="F14" s="197"/>
      <c r="O14" s="22"/>
      <c r="P14" s="22"/>
    </row>
    <row r="15" spans="2:16">
      <c r="B15" s="1044"/>
      <c r="C15" s="199"/>
      <c r="D15" s="197"/>
      <c r="E15" s="197"/>
      <c r="F15" s="197"/>
      <c r="O15" s="22"/>
      <c r="P15" s="22"/>
    </row>
    <row r="16" spans="2:16">
      <c r="B16" s="1044" t="s">
        <v>136</v>
      </c>
      <c r="C16" s="199">
        <v>119.52663263999999</v>
      </c>
      <c r="D16" s="197"/>
      <c r="E16" s="197"/>
      <c r="F16" s="197"/>
      <c r="O16" s="22"/>
      <c r="P16" s="22"/>
    </row>
    <row r="17" spans="2:16">
      <c r="B17" s="1044"/>
      <c r="C17" s="199"/>
      <c r="D17" s="197"/>
      <c r="E17" s="197"/>
      <c r="F17" s="197"/>
      <c r="O17" s="22"/>
      <c r="P17" s="22"/>
    </row>
    <row r="18" spans="2:16">
      <c r="B18" s="1044" t="s">
        <v>137</v>
      </c>
      <c r="C18" s="199">
        <v>0</v>
      </c>
      <c r="D18" s="197"/>
      <c r="E18" s="197"/>
      <c r="F18" s="197"/>
      <c r="O18" s="22"/>
      <c r="P18" s="22"/>
    </row>
    <row r="19" spans="2:16">
      <c r="B19" s="1044"/>
      <c r="C19" s="199"/>
      <c r="D19" s="197"/>
      <c r="E19" s="197"/>
      <c r="F19" s="197"/>
      <c r="O19" s="22"/>
      <c r="P19" s="22"/>
    </row>
    <row r="20" spans="2:16">
      <c r="B20" s="1044" t="s">
        <v>138</v>
      </c>
      <c r="C20" s="199">
        <v>606.18776400000002</v>
      </c>
      <c r="D20" s="197"/>
      <c r="E20" s="197"/>
      <c r="F20" s="197"/>
      <c r="O20" s="22"/>
      <c r="P20" s="22"/>
    </row>
    <row r="21" spans="2:16">
      <c r="B21" s="1044"/>
      <c r="C21" s="199"/>
      <c r="D21" s="197"/>
      <c r="E21" s="197"/>
      <c r="F21" s="197"/>
      <c r="O21" s="22"/>
      <c r="P21" s="22"/>
    </row>
    <row r="22" spans="2:16">
      <c r="B22" s="1044" t="s">
        <v>139</v>
      </c>
      <c r="C22" s="199">
        <v>588.19697999999994</v>
      </c>
      <c r="D22" s="197"/>
      <c r="E22" s="197"/>
      <c r="F22" s="197"/>
      <c r="O22" s="22"/>
      <c r="P22" s="22"/>
    </row>
    <row r="23" spans="2:16">
      <c r="B23" s="1044"/>
      <c r="C23" s="199"/>
      <c r="D23" s="197"/>
      <c r="E23" s="197"/>
      <c r="F23" s="197"/>
      <c r="O23" s="22"/>
      <c r="P23" s="22"/>
    </row>
    <row r="24" spans="2:16">
      <c r="B24" s="1044" t="s">
        <v>140</v>
      </c>
      <c r="C24" s="199">
        <v>1250.9034471999998</v>
      </c>
      <c r="D24" s="197"/>
      <c r="E24" s="197"/>
      <c r="F24" s="197"/>
      <c r="O24" s="22"/>
      <c r="P24" s="22"/>
    </row>
    <row r="25" spans="2:16">
      <c r="B25" s="1044"/>
      <c r="C25" s="199"/>
      <c r="D25" s="197"/>
      <c r="E25" s="197"/>
      <c r="F25" s="197"/>
      <c r="O25" s="22"/>
      <c r="P25" s="22"/>
    </row>
    <row r="26" spans="2:16">
      <c r="B26" s="1045" t="s">
        <v>87</v>
      </c>
      <c r="C26" s="200">
        <f>SUM(C12:C24)</f>
        <v>2846.3070120399998</v>
      </c>
      <c r="D26" s="197"/>
      <c r="E26" s="197"/>
      <c r="F26" s="197"/>
      <c r="O26" s="22"/>
      <c r="P26" s="22"/>
    </row>
    <row r="27" spans="2:16" ht="13.5" thickBot="1">
      <c r="B27" s="1046"/>
      <c r="C27" s="201"/>
      <c r="D27" s="197"/>
      <c r="E27" s="197"/>
      <c r="F27" s="197"/>
      <c r="O27" s="22"/>
      <c r="P27" s="22"/>
    </row>
    <row r="28" spans="2:16" s="22" customFormat="1">
      <c r="B28" s="21" t="s">
        <v>14</v>
      </c>
      <c r="C28" s="21"/>
      <c r="D28" s="21"/>
      <c r="E28" s="21"/>
      <c r="F28" s="21"/>
    </row>
    <row r="29" spans="2:16" s="22" customFormat="1">
      <c r="B29" s="21" t="s">
        <v>777</v>
      </c>
      <c r="C29" s="21"/>
      <c r="D29" s="21"/>
      <c r="E29" s="21"/>
      <c r="F29" s="21"/>
    </row>
    <row r="30" spans="2:16" s="22" customFormat="1">
      <c r="B30" s="197"/>
      <c r="D30" s="197"/>
      <c r="E30" s="197"/>
      <c r="F30" s="197"/>
    </row>
    <row r="31" spans="2:16" s="22" customFormat="1">
      <c r="B31" s="197"/>
      <c r="C31" s="197"/>
      <c r="D31" s="197"/>
      <c r="E31" s="197"/>
      <c r="F31" s="197"/>
    </row>
    <row r="32" spans="2:16"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pans="3:16" s="22" customFormat="1"/>
    <row r="50" spans="3:16" s="22" customFormat="1"/>
    <row r="51" spans="3:16" s="22" customFormat="1"/>
    <row r="52" spans="3:16" s="22" customFormat="1"/>
    <row r="53" spans="3:16" s="22" customFormat="1"/>
    <row r="54" spans="3:16" s="22" customFormat="1"/>
    <row r="55" spans="3:16" s="22" customFormat="1"/>
    <row r="56" spans="3:16" s="22" customFormat="1"/>
    <row r="57" spans="3:16" s="22" customFormat="1"/>
    <row r="58" spans="3:16" s="22" customFormat="1"/>
    <row r="59" spans="3:16" s="22" customFormat="1"/>
    <row r="60" spans="3:16" s="22" customFormat="1"/>
    <row r="61" spans="3:16">
      <c r="C61" s="22"/>
      <c r="O61" s="22"/>
      <c r="P61" s="22"/>
    </row>
    <row r="62" spans="3:16">
      <c r="C62" s="22"/>
      <c r="O62" s="22"/>
      <c r="P62" s="22"/>
    </row>
    <row r="63" spans="3:16">
      <c r="C63" s="22"/>
      <c r="O63" s="22"/>
      <c r="P63" s="22"/>
    </row>
    <row r="64" spans="3:16">
      <c r="C64" s="22"/>
      <c r="O64" s="22"/>
      <c r="P64" s="22"/>
    </row>
    <row r="65" spans="3:16">
      <c r="C65" s="22"/>
      <c r="O65" s="22"/>
      <c r="P65" s="22"/>
    </row>
    <row r="66" spans="3:16">
      <c r="C66" s="22"/>
      <c r="O66" s="22"/>
      <c r="P66" s="22"/>
    </row>
    <row r="67" spans="3:16">
      <c r="C67" s="22"/>
      <c r="O67" s="22"/>
      <c r="P67" s="22"/>
    </row>
    <row r="68" spans="3:16">
      <c r="C68" s="22"/>
      <c r="O68" s="22"/>
      <c r="P68" s="22"/>
    </row>
    <row r="69" spans="3:16">
      <c r="C69" s="22"/>
      <c r="O69" s="22"/>
      <c r="P69" s="22"/>
    </row>
    <row r="70" spans="3:16">
      <c r="C70" s="22"/>
      <c r="O70" s="22"/>
      <c r="P70" s="22"/>
    </row>
    <row r="71" spans="3:16">
      <c r="C71" s="22"/>
      <c r="O71" s="22"/>
      <c r="P71" s="22"/>
    </row>
    <row r="72" spans="3:16">
      <c r="C72" s="22"/>
      <c r="O72" s="22"/>
      <c r="P72" s="22"/>
    </row>
    <row r="73" spans="3:16">
      <c r="C73" s="22"/>
      <c r="O73" s="22"/>
      <c r="P73" s="22"/>
    </row>
    <row r="74" spans="3:16">
      <c r="C74" s="22"/>
      <c r="O74" s="22"/>
      <c r="P74" s="22"/>
    </row>
  </sheetData>
  <phoneticPr fontId="0" type="noConversion"/>
  <hyperlinks>
    <hyperlink ref="D3" location="INDICE!A40" display="VOLVER A INDICE"/>
  </hyperlinks>
  <pageMargins left="0.75" right="0.75" top="1" bottom="1" header="0" footer="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5"/>
  <sheetViews>
    <sheetView workbookViewId="0">
      <selection activeCell="J18" sqref="J18"/>
    </sheetView>
  </sheetViews>
  <sheetFormatPr baseColWidth="10" defaultRowHeight="12.75"/>
  <cols>
    <col min="1" max="1" width="1.42578125" style="898" customWidth="1"/>
    <col min="2" max="2" width="44.85546875" style="898" customWidth="1"/>
    <col min="3" max="6" width="13.28515625" style="898" customWidth="1"/>
    <col min="7" max="7" width="15.42578125" style="898" customWidth="1"/>
    <col min="8" max="16" width="11.42578125" style="22"/>
    <col min="17" max="16384" width="11.42578125" style="898"/>
  </cols>
  <sheetData>
    <row r="1" spans="2:18" ht="6.75" customHeight="1" thickBot="1"/>
    <row r="2" spans="2:18" ht="13.5" thickBot="1">
      <c r="B2" s="1047"/>
      <c r="C2" s="1048"/>
      <c r="D2" s="1048"/>
      <c r="E2" s="1048"/>
      <c r="F2" s="1048"/>
      <c r="G2" s="1049"/>
      <c r="H2" s="859" t="s">
        <v>683</v>
      </c>
      <c r="I2" s="214"/>
    </row>
    <row r="3" spans="2:18" ht="15.75">
      <c r="B3" s="202" t="s">
        <v>141</v>
      </c>
      <c r="C3" s="203"/>
      <c r="D3" s="204"/>
      <c r="E3" s="204"/>
      <c r="F3" s="204"/>
      <c r="G3" s="205"/>
      <c r="H3" s="214"/>
      <c r="I3" s="214"/>
    </row>
    <row r="4" spans="2:18" ht="15.75">
      <c r="B4" s="206" t="s">
        <v>142</v>
      </c>
      <c r="C4" s="207"/>
      <c r="D4" s="208"/>
      <c r="E4" s="208"/>
      <c r="F4" s="208"/>
      <c r="G4" s="209"/>
      <c r="H4" s="214"/>
      <c r="I4" s="214"/>
    </row>
    <row r="5" spans="2:18" ht="15.75">
      <c r="B5" s="206"/>
      <c r="C5" s="207">
        <v>2004</v>
      </c>
      <c r="D5" s="208"/>
      <c r="E5" s="208"/>
      <c r="F5" s="208"/>
      <c r="G5" s="209"/>
      <c r="H5" s="214"/>
      <c r="I5" s="214"/>
    </row>
    <row r="6" spans="2:18" ht="15.75">
      <c r="B6" s="206"/>
      <c r="C6" s="208"/>
      <c r="D6" s="208"/>
      <c r="E6" s="208"/>
      <c r="F6" s="208"/>
      <c r="G6" s="209"/>
      <c r="H6" s="214"/>
      <c r="I6" s="214"/>
    </row>
    <row r="7" spans="2:18" ht="15.75">
      <c r="B7" s="206"/>
      <c r="C7" s="208"/>
      <c r="D7" s="208"/>
      <c r="E7" s="208"/>
      <c r="F7" s="208"/>
      <c r="G7" s="209"/>
      <c r="H7" s="214"/>
      <c r="I7" s="214"/>
    </row>
    <row r="8" spans="2:18" ht="15.75">
      <c r="B8" s="206"/>
      <c r="C8" s="208" t="s">
        <v>25</v>
      </c>
      <c r="D8" s="208" t="s">
        <v>26</v>
      </c>
      <c r="E8" s="208" t="s">
        <v>27</v>
      </c>
      <c r="F8" s="208" t="s">
        <v>143</v>
      </c>
      <c r="G8" s="209" t="s">
        <v>29</v>
      </c>
      <c r="H8" s="214"/>
      <c r="I8" s="214"/>
    </row>
    <row r="9" spans="2:18" ht="16.5" thickBot="1">
      <c r="B9" s="1050" t="s">
        <v>3</v>
      </c>
      <c r="C9" s="1051" t="s">
        <v>30</v>
      </c>
      <c r="D9" s="1051"/>
      <c r="E9" s="1051"/>
      <c r="F9" s="1051" t="s">
        <v>144</v>
      </c>
      <c r="G9" s="1052" t="s">
        <v>32</v>
      </c>
      <c r="H9" s="214"/>
      <c r="I9" s="214"/>
    </row>
    <row r="10" spans="2:18">
      <c r="B10" s="1053"/>
      <c r="C10" s="212"/>
      <c r="D10" s="212"/>
      <c r="E10" s="212"/>
      <c r="F10" s="212"/>
      <c r="G10" s="213"/>
      <c r="H10" s="214"/>
      <c r="I10" s="214"/>
      <c r="Q10" s="22"/>
      <c r="R10" s="22"/>
    </row>
    <row r="11" spans="2:18">
      <c r="B11" s="1054"/>
      <c r="C11" s="215"/>
      <c r="D11" s="215"/>
      <c r="E11" s="215"/>
      <c r="F11" s="215"/>
      <c r="G11" s="216"/>
      <c r="H11" s="217"/>
      <c r="I11" s="214"/>
      <c r="Q11" s="22"/>
      <c r="R11" s="22"/>
    </row>
    <row r="12" spans="2:18">
      <c r="B12" s="1055" t="s">
        <v>145</v>
      </c>
      <c r="C12" s="218">
        <v>205.345</v>
      </c>
      <c r="D12" s="218">
        <v>12175.926200000002</v>
      </c>
      <c r="E12" s="218">
        <v>0</v>
      </c>
      <c r="F12" s="218">
        <v>346.45080000000053</v>
      </c>
      <c r="G12" s="219">
        <v>12034.820400000001</v>
      </c>
      <c r="H12" s="220"/>
      <c r="I12" s="221"/>
      <c r="Q12" s="22"/>
      <c r="R12" s="22"/>
    </row>
    <row r="13" spans="2:18">
      <c r="B13" s="1054" t="s">
        <v>146</v>
      </c>
      <c r="C13" s="222"/>
      <c r="D13" s="222"/>
      <c r="E13" s="222"/>
      <c r="F13" s="222"/>
      <c r="G13" s="223"/>
      <c r="H13" s="220"/>
      <c r="I13" s="221"/>
      <c r="Q13" s="22"/>
      <c r="R13" s="22"/>
    </row>
    <row r="14" spans="2:18">
      <c r="B14" s="1054"/>
      <c r="C14" s="224"/>
      <c r="D14" s="224"/>
      <c r="E14" s="224"/>
      <c r="F14" s="224"/>
      <c r="G14" s="225"/>
      <c r="H14" s="220"/>
      <c r="I14" s="221"/>
      <c r="Q14" s="22"/>
      <c r="R14" s="22"/>
    </row>
    <row r="15" spans="2:18">
      <c r="B15" s="1055" t="s">
        <v>147</v>
      </c>
      <c r="C15" s="222">
        <v>2104.3719999999998</v>
      </c>
      <c r="D15" s="222">
        <v>6808.100794126357</v>
      </c>
      <c r="E15" s="222">
        <v>0</v>
      </c>
      <c r="F15" s="222">
        <v>245.88629100196005</v>
      </c>
      <c r="G15" s="223">
        <v>8666.5865031243975</v>
      </c>
      <c r="H15" s="220"/>
      <c r="I15" s="221"/>
      <c r="Q15" s="22"/>
      <c r="R15" s="22"/>
    </row>
    <row r="16" spans="2:18">
      <c r="B16" s="1054" t="s">
        <v>148</v>
      </c>
      <c r="C16" s="222"/>
      <c r="D16" s="222"/>
      <c r="E16" s="222"/>
      <c r="F16" s="222"/>
      <c r="G16" s="223"/>
      <c r="H16" s="220"/>
      <c r="I16" s="221"/>
      <c r="Q16" s="22"/>
      <c r="R16" s="22"/>
    </row>
    <row r="17" spans="2:18">
      <c r="B17" s="1054"/>
      <c r="C17" s="224"/>
      <c r="D17" s="224"/>
      <c r="E17" s="224"/>
      <c r="F17" s="224"/>
      <c r="G17" s="225"/>
      <c r="H17" s="220"/>
      <c r="I17" s="221"/>
      <c r="Q17" s="22"/>
      <c r="R17" s="22"/>
    </row>
    <row r="18" spans="2:18">
      <c r="B18" s="1055" t="s">
        <v>128</v>
      </c>
      <c r="C18" s="222">
        <v>189.52732514285714</v>
      </c>
      <c r="D18" s="222">
        <v>3876.7102619485718</v>
      </c>
      <c r="E18" s="222">
        <v>0</v>
      </c>
      <c r="F18" s="222">
        <v>46.656816646421703</v>
      </c>
      <c r="G18" s="223">
        <v>4019.5807704450071</v>
      </c>
      <c r="H18" s="220"/>
      <c r="I18" s="221"/>
      <c r="Q18" s="22"/>
      <c r="R18" s="22"/>
    </row>
    <row r="19" spans="2:18">
      <c r="B19" s="1054" t="s">
        <v>149</v>
      </c>
      <c r="C19" s="222"/>
      <c r="D19" s="222"/>
      <c r="E19" s="222"/>
      <c r="F19" s="222"/>
      <c r="G19" s="223"/>
      <c r="H19" s="220"/>
      <c r="I19" s="221"/>
      <c r="Q19" s="22"/>
      <c r="R19" s="22"/>
    </row>
    <row r="20" spans="2:18">
      <c r="B20" s="1054"/>
      <c r="C20" s="224"/>
      <c r="D20" s="224"/>
      <c r="E20" s="224"/>
      <c r="F20" s="224"/>
      <c r="G20" s="225"/>
      <c r="H20" s="220"/>
      <c r="I20" s="221"/>
      <c r="Q20" s="22"/>
      <c r="R20" s="22"/>
    </row>
    <row r="21" spans="2:18">
      <c r="B21" s="1055" t="s">
        <v>8</v>
      </c>
      <c r="C21" s="222">
        <v>21731.194524258313</v>
      </c>
      <c r="D21" s="222">
        <v>0</v>
      </c>
      <c r="E21" s="222">
        <v>0</v>
      </c>
      <c r="F21" s="222">
        <v>86.952793200000002</v>
      </c>
      <c r="G21" s="226">
        <v>21644.241731058315</v>
      </c>
      <c r="H21" s="220"/>
      <c r="I21" s="221"/>
      <c r="Q21" s="22"/>
      <c r="R21" s="22"/>
    </row>
    <row r="22" spans="2:18">
      <c r="B22" s="1054" t="s">
        <v>150</v>
      </c>
      <c r="C22" s="222"/>
      <c r="D22" s="222"/>
      <c r="E22" s="222"/>
      <c r="F22" s="222"/>
      <c r="G22" s="226"/>
      <c r="H22" s="217"/>
      <c r="I22" s="221"/>
      <c r="Q22" s="22"/>
      <c r="R22" s="22"/>
    </row>
    <row r="23" spans="2:18">
      <c r="B23" s="1054"/>
      <c r="C23" s="224"/>
      <c r="D23" s="224"/>
      <c r="E23" s="224"/>
      <c r="F23" s="224"/>
      <c r="G23" s="225"/>
      <c r="H23" s="217"/>
      <c r="I23" s="221"/>
      <c r="Q23" s="22"/>
      <c r="R23" s="22"/>
    </row>
    <row r="24" spans="2:18">
      <c r="B24" s="1055" t="s">
        <v>23</v>
      </c>
      <c r="C24" s="222">
        <v>12317.524135246529</v>
      </c>
      <c r="D24" s="222">
        <v>0</v>
      </c>
      <c r="E24" s="222">
        <v>0</v>
      </c>
      <c r="F24" s="222">
        <v>0</v>
      </c>
      <c r="G24" s="223">
        <v>12317.524135246529</v>
      </c>
      <c r="H24" s="220"/>
      <c r="I24" s="221"/>
      <c r="Q24" s="22"/>
      <c r="R24" s="22"/>
    </row>
    <row r="25" spans="2:18">
      <c r="B25" s="1054" t="s">
        <v>149</v>
      </c>
      <c r="C25" s="222"/>
      <c r="D25" s="222"/>
      <c r="E25" s="222"/>
      <c r="F25" s="222"/>
      <c r="G25" s="223"/>
      <c r="H25" s="217"/>
      <c r="I25" s="221"/>
      <c r="Q25" s="22"/>
      <c r="R25" s="22"/>
    </row>
    <row r="26" spans="2:18">
      <c r="B26" s="1054"/>
      <c r="C26" s="224"/>
      <c r="D26" s="224"/>
      <c r="E26" s="224"/>
      <c r="F26" s="224"/>
      <c r="G26" s="225"/>
      <c r="H26" s="217"/>
      <c r="I26" s="221"/>
      <c r="Q26" s="22"/>
      <c r="R26" s="22"/>
    </row>
    <row r="27" spans="2:18">
      <c r="B27" s="1055" t="s">
        <v>10</v>
      </c>
      <c r="C27" s="222">
        <v>0</v>
      </c>
      <c r="D27" s="222">
        <v>0</v>
      </c>
      <c r="E27" s="222">
        <v>0</v>
      </c>
      <c r="F27" s="222">
        <v>0</v>
      </c>
      <c r="G27" s="223">
        <v>0</v>
      </c>
      <c r="H27" s="220"/>
      <c r="I27" s="221"/>
      <c r="Q27" s="22"/>
      <c r="R27" s="22"/>
    </row>
    <row r="28" spans="2:18" ht="13.5" thickBot="1">
      <c r="B28" s="1056" t="s">
        <v>151</v>
      </c>
      <c r="C28" s="227"/>
      <c r="D28" s="227"/>
      <c r="E28" s="227"/>
      <c r="F28" s="227"/>
      <c r="G28" s="228"/>
      <c r="H28" s="217"/>
      <c r="I28" s="214"/>
      <c r="Q28" s="22"/>
      <c r="R28" s="22"/>
    </row>
    <row r="29" spans="2:18" s="22" customFormat="1">
      <c r="B29" s="11" t="s">
        <v>152</v>
      </c>
      <c r="C29" s="229" t="s">
        <v>153</v>
      </c>
      <c r="D29" s="57">
        <v>75.19</v>
      </c>
      <c r="E29" s="11" t="s">
        <v>154</v>
      </c>
      <c r="F29" s="57">
        <v>50.31</v>
      </c>
      <c r="G29" s="11" t="s">
        <v>155</v>
      </c>
      <c r="H29" s="57">
        <v>79.844999999999999</v>
      </c>
      <c r="I29" s="214"/>
    </row>
    <row r="30" spans="2:18" s="22" customFormat="1">
      <c r="B30" s="11" t="s">
        <v>156</v>
      </c>
      <c r="C30" s="11" t="s">
        <v>157</v>
      </c>
      <c r="D30" s="57">
        <v>2105.634</v>
      </c>
      <c r="E30" s="11" t="s">
        <v>158</v>
      </c>
      <c r="F30" s="56">
        <v>1.262</v>
      </c>
      <c r="G30" s="230"/>
      <c r="H30" s="230"/>
      <c r="I30" s="214"/>
    </row>
    <row r="31" spans="2:18" s="22" customFormat="1">
      <c r="B31" s="11" t="s">
        <v>171</v>
      </c>
      <c r="C31" s="11" t="s">
        <v>159</v>
      </c>
      <c r="D31" s="56">
        <v>152.91029100196005</v>
      </c>
      <c r="E31" s="11" t="s">
        <v>160</v>
      </c>
      <c r="F31" s="56">
        <v>92.975999999999999</v>
      </c>
      <c r="G31" s="230"/>
      <c r="H31" s="230"/>
      <c r="I31" s="214"/>
    </row>
    <row r="32" spans="2:18" s="22" customFormat="1">
      <c r="B32" s="11" t="s">
        <v>161</v>
      </c>
      <c r="C32" s="11" t="s">
        <v>162</v>
      </c>
      <c r="D32" s="57">
        <v>1539.4270000000001</v>
      </c>
      <c r="E32" s="11" t="s">
        <v>163</v>
      </c>
      <c r="F32" s="56">
        <v>150.66399999999999</v>
      </c>
      <c r="G32" s="231"/>
      <c r="H32" s="230"/>
      <c r="I32" s="214"/>
    </row>
    <row r="33" spans="2:18" s="22" customFormat="1">
      <c r="B33" s="11" t="s">
        <v>164</v>
      </c>
      <c r="C33" s="56" t="s">
        <v>165</v>
      </c>
      <c r="D33" s="232">
        <v>78.570000000001528</v>
      </c>
      <c r="E33" s="231"/>
      <c r="F33" s="230"/>
      <c r="G33" s="230"/>
      <c r="H33" s="230"/>
      <c r="I33" s="214"/>
    </row>
    <row r="34" spans="2:18" s="22" customFormat="1">
      <c r="B34" s="11" t="s">
        <v>172</v>
      </c>
      <c r="C34" s="11" t="s">
        <v>166</v>
      </c>
      <c r="D34" s="56">
        <v>766.85554285714295</v>
      </c>
      <c r="E34" s="11" t="s">
        <v>167</v>
      </c>
      <c r="F34" s="57">
        <v>3109.8547190914287</v>
      </c>
      <c r="G34" s="230"/>
      <c r="H34" s="230"/>
      <c r="I34" s="214"/>
    </row>
    <row r="35" spans="2:18" s="22" customFormat="1">
      <c r="B35" s="233" t="s">
        <v>14</v>
      </c>
      <c r="C35" s="233"/>
      <c r="D35" s="233"/>
      <c r="E35" s="233"/>
      <c r="F35" s="233"/>
      <c r="G35" s="233"/>
      <c r="H35" s="233"/>
      <c r="I35" s="73"/>
    </row>
    <row r="36" spans="2:18" s="22" customFormat="1">
      <c r="B36" s="233" t="s">
        <v>777</v>
      </c>
      <c r="C36" s="233"/>
      <c r="D36" s="233"/>
      <c r="E36" s="233"/>
      <c r="F36" s="233"/>
      <c r="G36" s="233"/>
      <c r="H36" s="233"/>
      <c r="I36" s="73"/>
    </row>
    <row r="37" spans="2:18" s="22" customFormat="1">
      <c r="B37" s="214"/>
      <c r="C37" s="214"/>
      <c r="D37" s="221"/>
      <c r="E37" s="214"/>
      <c r="F37" s="214"/>
      <c r="G37" s="214"/>
      <c r="H37" s="214"/>
      <c r="I37" s="214"/>
    </row>
    <row r="38" spans="2:18" s="22" customFormat="1">
      <c r="B38" s="214"/>
      <c r="C38" s="214"/>
      <c r="D38" s="214"/>
      <c r="E38" s="214"/>
      <c r="F38" s="214"/>
      <c r="G38" s="214"/>
      <c r="H38" s="214"/>
      <c r="I38" s="214"/>
    </row>
    <row r="39" spans="2:18">
      <c r="B39" s="1169"/>
      <c r="C39" s="1170"/>
      <c r="D39" s="1171"/>
      <c r="E39" s="214"/>
      <c r="F39" s="214"/>
      <c r="G39" s="214"/>
      <c r="H39" s="214"/>
      <c r="I39" s="214"/>
      <c r="Q39" s="22"/>
      <c r="R39" s="22"/>
    </row>
    <row r="40" spans="2:18" ht="13.5" thickBot="1">
      <c r="B40" s="1172" t="s">
        <v>168</v>
      </c>
      <c r="C40" s="1173"/>
      <c r="D40" s="1174"/>
      <c r="E40" s="214"/>
      <c r="F40" s="214"/>
      <c r="G40" s="214"/>
      <c r="H40" s="214"/>
      <c r="I40" s="214"/>
      <c r="Q40" s="22"/>
      <c r="R40" s="22"/>
    </row>
    <row r="41" spans="2:18">
      <c r="B41" s="1175" t="s">
        <v>169</v>
      </c>
      <c r="C41" s="1176"/>
      <c r="D41" s="1177"/>
      <c r="E41" s="214"/>
      <c r="F41" s="235"/>
      <c r="G41" s="214"/>
      <c r="H41" s="214"/>
      <c r="I41" s="214"/>
      <c r="Q41" s="22"/>
      <c r="R41" s="22"/>
    </row>
    <row r="42" spans="2:18">
      <c r="B42" s="210"/>
      <c r="C42" s="215"/>
      <c r="D42" s="234"/>
      <c r="E42" s="214"/>
      <c r="F42" s="235"/>
      <c r="G42" s="214"/>
      <c r="H42" s="214"/>
      <c r="I42" s="214"/>
      <c r="Q42" s="22"/>
      <c r="R42" s="22"/>
    </row>
    <row r="43" spans="2:18">
      <c r="B43" s="210" t="s">
        <v>170</v>
      </c>
      <c r="C43" s="236">
        <v>80.956000000000003</v>
      </c>
      <c r="D43" s="234"/>
      <c r="E43" s="214"/>
      <c r="F43" s="235"/>
      <c r="G43" s="214"/>
      <c r="H43" s="214"/>
      <c r="I43" s="214"/>
      <c r="Q43" s="22"/>
      <c r="R43" s="22"/>
    </row>
    <row r="44" spans="2:18">
      <c r="B44" s="210"/>
      <c r="D44" s="234"/>
      <c r="E44" s="214"/>
      <c r="F44" s="214"/>
      <c r="G44" s="214"/>
      <c r="H44" s="214"/>
      <c r="I44" s="214"/>
      <c r="Q44" s="22"/>
      <c r="R44" s="22"/>
    </row>
    <row r="45" spans="2:18">
      <c r="B45" s="210" t="s">
        <v>740</v>
      </c>
      <c r="C45" s="215">
        <v>252.58250000000001</v>
      </c>
      <c r="D45" s="234"/>
      <c r="E45" s="214"/>
      <c r="F45" s="214"/>
      <c r="G45" s="214"/>
      <c r="H45" s="214"/>
      <c r="I45" s="214"/>
      <c r="Q45" s="22"/>
      <c r="R45" s="22"/>
    </row>
    <row r="46" spans="2:18" ht="13.5" thickBot="1">
      <c r="B46" s="211"/>
      <c r="C46" s="1168"/>
      <c r="D46" s="228"/>
      <c r="E46" s="214"/>
      <c r="F46" s="214"/>
      <c r="G46" s="214"/>
      <c r="H46" s="214"/>
      <c r="I46" s="214"/>
      <c r="Q46" s="22"/>
      <c r="R46" s="22"/>
    </row>
    <row r="47" spans="2:18" s="22" customFormat="1"/>
    <row r="48" spans="2:1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pans="3:18" s="22" customFormat="1"/>
    <row r="82" spans="3:18" s="22" customFormat="1"/>
    <row r="83" spans="3:18" s="22" customFormat="1"/>
    <row r="84" spans="3:18" s="22" customFormat="1"/>
    <row r="85" spans="3:18" s="22" customFormat="1"/>
    <row r="86" spans="3:18" s="22" customFormat="1"/>
    <row r="87" spans="3:18">
      <c r="C87" s="22"/>
      <c r="D87" s="22"/>
      <c r="E87" s="22"/>
      <c r="F87" s="22"/>
      <c r="G87" s="22"/>
      <c r="Q87" s="22"/>
      <c r="R87" s="22"/>
    </row>
    <row r="88" spans="3:18">
      <c r="C88" s="22"/>
      <c r="D88" s="22"/>
      <c r="E88" s="22"/>
      <c r="F88" s="22"/>
      <c r="G88" s="22"/>
      <c r="Q88" s="22"/>
      <c r="R88" s="22"/>
    </row>
    <row r="89" spans="3:18">
      <c r="C89" s="22"/>
      <c r="D89" s="22"/>
      <c r="E89" s="22"/>
      <c r="F89" s="22"/>
      <c r="G89" s="22"/>
      <c r="Q89" s="22"/>
      <c r="R89" s="22"/>
    </row>
    <row r="90" spans="3:18">
      <c r="C90" s="22"/>
      <c r="D90" s="22"/>
      <c r="E90" s="22"/>
      <c r="F90" s="22"/>
      <c r="G90" s="22"/>
      <c r="Q90" s="22"/>
      <c r="R90" s="22"/>
    </row>
    <row r="91" spans="3:18">
      <c r="C91" s="22"/>
      <c r="D91" s="22"/>
      <c r="E91" s="22"/>
      <c r="F91" s="22"/>
      <c r="G91" s="22"/>
      <c r="Q91" s="22"/>
      <c r="R91" s="22"/>
    </row>
    <row r="92" spans="3:18">
      <c r="C92" s="22"/>
      <c r="D92" s="22"/>
      <c r="E92" s="22"/>
      <c r="F92" s="22"/>
      <c r="G92" s="22"/>
      <c r="Q92" s="22"/>
      <c r="R92" s="22"/>
    </row>
    <row r="93" spans="3:18">
      <c r="C93" s="22"/>
      <c r="D93" s="22"/>
      <c r="E93" s="22"/>
      <c r="F93" s="22"/>
      <c r="G93" s="22"/>
      <c r="Q93" s="22"/>
      <c r="R93" s="22"/>
    </row>
    <row r="94" spans="3:18">
      <c r="C94" s="22"/>
      <c r="D94" s="22"/>
      <c r="E94" s="22"/>
      <c r="F94" s="22"/>
      <c r="G94" s="22"/>
      <c r="Q94" s="22"/>
      <c r="R94" s="22"/>
    </row>
    <row r="95" spans="3:18">
      <c r="C95" s="22"/>
      <c r="D95" s="22"/>
      <c r="E95" s="22"/>
      <c r="F95" s="22"/>
      <c r="G95" s="22"/>
      <c r="Q95" s="22"/>
      <c r="R95" s="22"/>
    </row>
  </sheetData>
  <phoneticPr fontId="0" type="noConversion"/>
  <hyperlinks>
    <hyperlink ref="H2" location="INDICE!A40" display="VOLVER A INDICE"/>
  </hyperlinks>
  <pageMargins left="0.75" right="0.75" top="1" bottom="1" header="0" footer="0"/>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25"/>
  <sheetViews>
    <sheetView zoomScale="75" workbookViewId="0">
      <pane ySplit="8" topLeftCell="A9" activePane="bottomLeft" state="frozen"/>
      <selection pane="bottomLeft" activeCell="C54" sqref="C54"/>
    </sheetView>
  </sheetViews>
  <sheetFormatPr baseColWidth="10" defaultRowHeight="12.75"/>
  <cols>
    <col min="1" max="1" width="1.7109375" style="898" customWidth="1"/>
    <col min="2" max="2" width="35.85546875" style="898" customWidth="1"/>
    <col min="3" max="9" width="20.28515625" style="898" customWidth="1"/>
    <col min="10" max="19" width="11.42578125" style="22"/>
    <col min="20" max="16384" width="11.42578125" style="898"/>
  </cols>
  <sheetData>
    <row r="1" spans="2:11" ht="7.5" customHeight="1" thickBot="1"/>
    <row r="2" spans="2:11" ht="15.75" customHeight="1" thickBot="1">
      <c r="B2" s="1057"/>
      <c r="C2" s="1058"/>
      <c r="D2" s="1058"/>
      <c r="E2" s="1058"/>
      <c r="F2" s="1058"/>
      <c r="G2" s="1058"/>
      <c r="H2" s="1058"/>
      <c r="I2" s="1059"/>
      <c r="J2" s="259"/>
      <c r="K2" s="259"/>
    </row>
    <row r="3" spans="2:11" ht="15.75">
      <c r="B3" s="237"/>
      <c r="C3" s="238"/>
      <c r="D3" s="238"/>
      <c r="E3" s="238" t="s">
        <v>173</v>
      </c>
      <c r="F3" s="238"/>
      <c r="G3" s="239"/>
      <c r="H3" s="239"/>
      <c r="I3" s="240"/>
      <c r="J3" s="862" t="s">
        <v>683</v>
      </c>
      <c r="K3" s="272"/>
    </row>
    <row r="4" spans="2:11" ht="15.75">
      <c r="B4" s="241"/>
      <c r="C4" s="242"/>
      <c r="D4" s="242"/>
      <c r="E4" s="243" t="s">
        <v>174</v>
      </c>
      <c r="F4" s="242"/>
      <c r="G4" s="244"/>
      <c r="H4" s="244"/>
      <c r="I4" s="245"/>
      <c r="J4" s="271"/>
      <c r="K4" s="272"/>
    </row>
    <row r="5" spans="2:11" ht="15.75">
      <c r="B5" s="241"/>
      <c r="C5" s="242"/>
      <c r="D5" s="242"/>
      <c r="E5" s="242" t="s">
        <v>780</v>
      </c>
      <c r="F5" s="242"/>
      <c r="G5" s="244"/>
      <c r="H5" s="244"/>
      <c r="I5" s="245"/>
      <c r="J5" s="271"/>
      <c r="K5" s="272"/>
    </row>
    <row r="6" spans="2:11" ht="15.75">
      <c r="B6" s="241"/>
      <c r="C6" s="246"/>
      <c r="D6" s="246"/>
      <c r="E6" s="246"/>
      <c r="F6" s="246"/>
      <c r="G6" s="246"/>
      <c r="H6" s="246"/>
      <c r="I6" s="247"/>
      <c r="J6" s="271"/>
      <c r="K6" s="272"/>
    </row>
    <row r="7" spans="2:11" ht="15.75">
      <c r="B7" s="241" t="s">
        <v>3</v>
      </c>
      <c r="C7" s="246" t="s">
        <v>25</v>
      </c>
      <c r="D7" s="246" t="s">
        <v>26</v>
      </c>
      <c r="E7" s="246" t="s">
        <v>27</v>
      </c>
      <c r="F7" s="246" t="s">
        <v>175</v>
      </c>
      <c r="G7" s="246" t="s">
        <v>29</v>
      </c>
      <c r="H7" s="246" t="s">
        <v>29</v>
      </c>
      <c r="I7" s="247" t="s">
        <v>29</v>
      </c>
      <c r="J7" s="271"/>
      <c r="K7" s="272"/>
    </row>
    <row r="8" spans="2:11" ht="16.5" thickBot="1">
      <c r="B8" s="1060"/>
      <c r="C8" s="1061" t="s">
        <v>30</v>
      </c>
      <c r="D8" s="1061"/>
      <c r="E8" s="1061"/>
      <c r="F8" s="1061" t="s">
        <v>176</v>
      </c>
      <c r="G8" s="1061" t="s">
        <v>177</v>
      </c>
      <c r="H8" s="1061" t="s">
        <v>53</v>
      </c>
      <c r="I8" s="1062" t="s">
        <v>11</v>
      </c>
      <c r="J8" s="272"/>
      <c r="K8" s="272"/>
    </row>
    <row r="9" spans="2:11" ht="15.75">
      <c r="B9" s="1063"/>
      <c r="C9" s="257"/>
      <c r="D9" s="257"/>
      <c r="E9" s="257"/>
      <c r="F9" s="257"/>
      <c r="G9" s="257"/>
      <c r="H9" s="257"/>
      <c r="I9" s="258"/>
      <c r="J9" s="259"/>
      <c r="K9" s="259"/>
    </row>
    <row r="10" spans="2:11" ht="15.75">
      <c r="B10" s="1064" t="s">
        <v>55</v>
      </c>
      <c r="C10" s="260">
        <v>2294.4750885000003</v>
      </c>
      <c r="D10" s="260">
        <v>0</v>
      </c>
      <c r="E10" s="260">
        <v>482.61362626800002</v>
      </c>
      <c r="F10" s="260">
        <v>184.24669197199981</v>
      </c>
      <c r="G10" s="260">
        <f>SECT_U.FIS.!D47</f>
        <v>1540.7671126566638</v>
      </c>
      <c r="H10" s="260">
        <f>SECT_U.FIS.!D57</f>
        <v>86.847657603336117</v>
      </c>
      <c r="I10" s="261">
        <f>G10+H10</f>
        <v>1627.6147702599999</v>
      </c>
      <c r="J10" s="262"/>
      <c r="K10" s="262"/>
    </row>
    <row r="11" spans="2:11" ht="15.75">
      <c r="B11" s="1065" t="s">
        <v>178</v>
      </c>
      <c r="C11" s="260"/>
      <c r="D11" s="260"/>
      <c r="E11" s="260"/>
      <c r="F11" s="260"/>
      <c r="G11" s="260"/>
      <c r="H11" s="260"/>
      <c r="I11" s="261"/>
      <c r="J11" s="262"/>
      <c r="K11" s="262"/>
    </row>
    <row r="12" spans="2:11" ht="15.75">
      <c r="B12" s="1064" t="s">
        <v>56</v>
      </c>
      <c r="C12" s="260">
        <v>4396.9780999999994</v>
      </c>
      <c r="D12" s="260">
        <v>1473.416858</v>
      </c>
      <c r="E12" s="260">
        <v>68.673443000000006</v>
      </c>
      <c r="F12" s="260">
        <v>396.16903399999865</v>
      </c>
      <c r="G12" s="260">
        <f>SECT_U.FIS.!C47</f>
        <v>5302.6450727245092</v>
      </c>
      <c r="H12" s="260">
        <f>SECT_U.FIS.!C57</f>
        <v>102.90740827549072</v>
      </c>
      <c r="I12" s="261">
        <f>G12+H12</f>
        <v>5405.5524809999997</v>
      </c>
      <c r="J12" s="262"/>
      <c r="K12" s="262"/>
    </row>
    <row r="13" spans="2:11" ht="15.75">
      <c r="B13" s="1065" t="s">
        <v>179</v>
      </c>
      <c r="C13" s="260"/>
      <c r="D13" s="260"/>
      <c r="E13" s="260"/>
      <c r="F13" s="260"/>
      <c r="G13" s="260"/>
      <c r="H13" s="260"/>
      <c r="I13" s="261"/>
      <c r="J13" s="262"/>
      <c r="K13" s="262"/>
    </row>
    <row r="14" spans="2:11" ht="15.75">
      <c r="B14" s="1064" t="s">
        <v>57</v>
      </c>
      <c r="C14" s="260">
        <v>3265.319</v>
      </c>
      <c r="D14" s="260">
        <v>630.70762000000002</v>
      </c>
      <c r="E14" s="260">
        <v>960.50599999999997</v>
      </c>
      <c r="F14" s="260">
        <v>43.008207000000766</v>
      </c>
      <c r="G14" s="260">
        <f>SECT_U.FIS.!E47</f>
        <v>2892.5124129999995</v>
      </c>
      <c r="H14" s="260">
        <f>SECT_U.FIS.!E57</f>
        <v>0</v>
      </c>
      <c r="I14" s="261">
        <f>G14+H14</f>
        <v>2892.5124129999995</v>
      </c>
      <c r="J14" s="262"/>
      <c r="K14" s="262"/>
    </row>
    <row r="15" spans="2:11" ht="15.75">
      <c r="B15" s="1065" t="s">
        <v>179</v>
      </c>
      <c r="C15" s="260"/>
      <c r="D15" s="260"/>
      <c r="E15" s="260"/>
      <c r="F15" s="260"/>
      <c r="G15" s="260"/>
      <c r="H15" s="260"/>
      <c r="I15" s="261"/>
      <c r="J15" s="262"/>
      <c r="K15" s="262"/>
    </row>
    <row r="16" spans="2:11" ht="15.75">
      <c r="B16" s="1064" t="s">
        <v>58</v>
      </c>
      <c r="C16" s="260">
        <v>0</v>
      </c>
      <c r="D16" s="260">
        <v>0</v>
      </c>
      <c r="E16" s="260">
        <v>0</v>
      </c>
      <c r="F16" s="260">
        <v>0</v>
      </c>
      <c r="G16" s="260">
        <v>0</v>
      </c>
      <c r="H16" s="260">
        <v>0</v>
      </c>
      <c r="I16" s="261">
        <f>G16+H16</f>
        <v>0</v>
      </c>
      <c r="J16" s="262"/>
      <c r="K16" s="262"/>
    </row>
    <row r="17" spans="2:11" ht="15.75">
      <c r="B17" s="1065" t="s">
        <v>179</v>
      </c>
      <c r="C17" s="263"/>
      <c r="D17" s="263"/>
      <c r="E17" s="263"/>
      <c r="F17" s="263"/>
      <c r="G17" s="263"/>
      <c r="H17" s="263"/>
      <c r="I17" s="264"/>
      <c r="J17" s="262"/>
      <c r="K17" s="262"/>
    </row>
    <row r="18" spans="2:11" ht="15.75">
      <c r="B18" s="1064" t="s">
        <v>59</v>
      </c>
      <c r="C18" s="260">
        <v>118.79227300000002</v>
      </c>
      <c r="D18" s="260">
        <v>0.98677000000000004</v>
      </c>
      <c r="E18" s="260">
        <v>0</v>
      </c>
      <c r="F18" s="260">
        <v>-12.48868699999997</v>
      </c>
      <c r="G18" s="260">
        <f>SECT_U.FIS.!G47</f>
        <v>132.25772999999998</v>
      </c>
      <c r="H18" s="260">
        <f>SECT_U.FIS.!G57</f>
        <v>1.0000000000000002E-2</v>
      </c>
      <c r="I18" s="261">
        <f>G18+H18</f>
        <v>132.26772999999997</v>
      </c>
      <c r="J18" s="262"/>
      <c r="K18" s="262"/>
    </row>
    <row r="19" spans="2:11" ht="15.75">
      <c r="B19" s="1065" t="s">
        <v>179</v>
      </c>
      <c r="C19" s="260"/>
      <c r="D19" s="260"/>
      <c r="E19" s="260"/>
      <c r="F19" s="260"/>
      <c r="G19" s="260"/>
      <c r="H19" s="260"/>
      <c r="I19" s="261"/>
      <c r="J19" s="262"/>
      <c r="K19" s="262"/>
    </row>
    <row r="20" spans="2:11" ht="15.75">
      <c r="B20" s="1064" t="s">
        <v>60</v>
      </c>
      <c r="C20" s="260">
        <v>542.11597000000006</v>
      </c>
      <c r="D20" s="260">
        <v>619.37436700000001</v>
      </c>
      <c r="E20" s="260">
        <v>164.46649306569091</v>
      </c>
      <c r="F20" s="260">
        <v>-20.450073065690617</v>
      </c>
      <c r="G20" s="260">
        <f>SECT_U.FIS.!H47</f>
        <v>1015.0628206000002</v>
      </c>
      <c r="H20" s="260">
        <f>SECT_U.FIS.!H57</f>
        <v>2.4099384000000006</v>
      </c>
      <c r="I20" s="261">
        <f>G20+H20</f>
        <v>1017.4727590000002</v>
      </c>
      <c r="J20" s="262"/>
      <c r="K20" s="262"/>
    </row>
    <row r="21" spans="2:11" ht="15.75">
      <c r="B21" s="1065" t="s">
        <v>180</v>
      </c>
      <c r="C21" s="260"/>
      <c r="D21" s="260"/>
      <c r="E21" s="260"/>
      <c r="F21" s="260"/>
      <c r="G21" s="260"/>
      <c r="H21" s="260"/>
      <c r="I21" s="261"/>
      <c r="J21" s="262"/>
      <c r="K21" s="262"/>
    </row>
    <row r="22" spans="2:11" ht="15.75">
      <c r="B22" s="1064" t="s">
        <v>61</v>
      </c>
      <c r="C22" s="260">
        <v>8.2907999999999991</v>
      </c>
      <c r="D22" s="260">
        <v>0</v>
      </c>
      <c r="E22" s="260">
        <v>0</v>
      </c>
      <c r="F22" s="260">
        <v>2.311799999999999</v>
      </c>
      <c r="G22" s="260">
        <f>SECT_U.FIS.!I47</f>
        <v>5.979000000000001</v>
      </c>
      <c r="H22" s="260">
        <f>SECT_U.FIS.!I57</f>
        <v>0</v>
      </c>
      <c r="I22" s="261">
        <f>G22+H22</f>
        <v>5.979000000000001</v>
      </c>
      <c r="J22" s="262"/>
      <c r="K22" s="262"/>
    </row>
    <row r="23" spans="2:11" ht="15.75">
      <c r="B23" s="1065" t="s">
        <v>179</v>
      </c>
      <c r="C23" s="260"/>
      <c r="D23" s="260"/>
      <c r="E23" s="260"/>
      <c r="F23" s="260"/>
      <c r="G23" s="260"/>
      <c r="H23" s="260"/>
      <c r="I23" s="261"/>
      <c r="J23" s="262"/>
      <c r="K23" s="262"/>
    </row>
    <row r="24" spans="2:11" ht="15.75">
      <c r="B24" s="1064" t="s">
        <v>62</v>
      </c>
      <c r="C24" s="260">
        <v>802.76869999999997</v>
      </c>
      <c r="D24" s="260">
        <v>40.338400000000007</v>
      </c>
      <c r="E24" s="260">
        <v>0</v>
      </c>
      <c r="F24" s="260">
        <v>133.05265999999995</v>
      </c>
      <c r="G24" s="260">
        <f>SECT_U.FIS.!J47</f>
        <v>710.05444000000011</v>
      </c>
      <c r="H24" s="260">
        <f>SECT_U.FIS.!J57</f>
        <v>0</v>
      </c>
      <c r="I24" s="261">
        <f>G24+H24</f>
        <v>710.05444000000011</v>
      </c>
      <c r="J24" s="262"/>
      <c r="K24" s="262"/>
    </row>
    <row r="25" spans="2:11" ht="15.75">
      <c r="B25" s="1065" t="s">
        <v>179</v>
      </c>
      <c r="C25" s="260"/>
      <c r="D25" s="260"/>
      <c r="E25" s="260"/>
      <c r="F25" s="260"/>
      <c r="G25" s="260"/>
      <c r="H25" s="260"/>
      <c r="I25" s="261"/>
      <c r="J25" s="262"/>
      <c r="K25" s="262"/>
    </row>
    <row r="26" spans="2:11" ht="15.75">
      <c r="B26" s="1064" t="s">
        <v>63</v>
      </c>
      <c r="C26" s="260">
        <v>247.5385</v>
      </c>
      <c r="D26" s="260">
        <v>0</v>
      </c>
      <c r="E26" s="260">
        <v>0</v>
      </c>
      <c r="F26" s="260">
        <v>2.9257981428571611</v>
      </c>
      <c r="G26" s="260">
        <f>SECT_U.FIS.!K47</f>
        <v>244.57921615714287</v>
      </c>
      <c r="H26" s="260">
        <f>SECT_U.FIS.!K57</f>
        <v>3.34857E-2</v>
      </c>
      <c r="I26" s="261">
        <f>G26+H26</f>
        <v>244.61270185714287</v>
      </c>
      <c r="J26" s="262"/>
      <c r="K26" s="262"/>
    </row>
    <row r="27" spans="2:11" ht="15.75">
      <c r="B27" s="1065" t="s">
        <v>179</v>
      </c>
      <c r="C27" s="260"/>
      <c r="D27" s="260"/>
      <c r="E27" s="260"/>
      <c r="F27" s="260"/>
      <c r="G27" s="260"/>
      <c r="H27" s="260"/>
      <c r="I27" s="261"/>
      <c r="J27" s="262"/>
      <c r="K27" s="262"/>
    </row>
    <row r="28" spans="2:11" ht="15.75">
      <c r="B28" s="1064" t="s">
        <v>64</v>
      </c>
      <c r="C28" s="260">
        <v>600.62587863849751</v>
      </c>
      <c r="D28" s="260">
        <v>0</v>
      </c>
      <c r="E28" s="260">
        <v>0</v>
      </c>
      <c r="F28" s="260">
        <v>3.6554089201877105</v>
      </c>
      <c r="G28" s="260">
        <f>SECT_U.FIS.!L47</f>
        <v>576.65489107981216</v>
      </c>
      <c r="H28" s="260">
        <f>SECT_U.FIS.!L57</f>
        <v>20.315578638497648</v>
      </c>
      <c r="I28" s="261">
        <f>G28+H28</f>
        <v>596.9704697183098</v>
      </c>
      <c r="J28" s="262"/>
      <c r="K28" s="262"/>
    </row>
    <row r="29" spans="2:11" ht="15.75">
      <c r="B29" s="1065" t="s">
        <v>179</v>
      </c>
      <c r="C29" s="260"/>
      <c r="D29" s="260"/>
      <c r="E29" s="260"/>
      <c r="F29" s="260"/>
      <c r="G29" s="260"/>
      <c r="H29" s="260"/>
      <c r="I29" s="261"/>
      <c r="J29" s="262"/>
      <c r="K29" s="262"/>
    </row>
    <row r="30" spans="2:11" ht="15.75">
      <c r="B30" s="1064" t="s">
        <v>182</v>
      </c>
      <c r="C30" s="260">
        <v>51207.81601332681</v>
      </c>
      <c r="D30" s="260">
        <v>1903.1587200000001</v>
      </c>
      <c r="E30" s="260">
        <v>0</v>
      </c>
      <c r="F30" s="260">
        <v>4034.3685744531067</v>
      </c>
      <c r="G30" s="260">
        <f>SECT_U.FIS.!M47</f>
        <v>49076.606158873707</v>
      </c>
      <c r="H30" s="260">
        <f>SECT_U.FIS.!M57</f>
        <v>0</v>
      </c>
      <c r="I30" s="261">
        <f>G30+H30</f>
        <v>49076.606158873707</v>
      </c>
      <c r="J30" s="262"/>
      <c r="K30" s="262"/>
    </row>
    <row r="31" spans="2:11" ht="15.75">
      <c r="B31" s="1065" t="s">
        <v>183</v>
      </c>
      <c r="C31" s="260"/>
      <c r="D31" s="260"/>
      <c r="E31" s="260"/>
      <c r="F31" s="260"/>
      <c r="G31" s="260"/>
      <c r="H31" s="260"/>
      <c r="I31" s="261"/>
      <c r="J31" s="262"/>
      <c r="K31" s="262"/>
    </row>
    <row r="32" spans="2:11" ht="15.75">
      <c r="B32" s="1064" t="s">
        <v>184</v>
      </c>
      <c r="C32" s="260">
        <f>I32</f>
        <v>4019.5807704450062</v>
      </c>
      <c r="D32" s="260">
        <v>0</v>
      </c>
      <c r="E32" s="260">
        <v>0</v>
      </c>
      <c r="F32" s="260">
        <v>0</v>
      </c>
      <c r="G32" s="260">
        <f>SECT_U.FIS.!N47</f>
        <v>750.40990934250704</v>
      </c>
      <c r="H32" s="260">
        <f>SECT_U.FIS.!N57</f>
        <v>3269.1708611024992</v>
      </c>
      <c r="I32" s="261">
        <f>G32+H32</f>
        <v>4019.5807704450062</v>
      </c>
      <c r="J32" s="262"/>
      <c r="K32" s="262"/>
    </row>
    <row r="33" spans="2:11" ht="15.75">
      <c r="B33" s="1065" t="s">
        <v>180</v>
      </c>
      <c r="C33" s="260"/>
      <c r="D33" s="260"/>
      <c r="E33" s="260"/>
      <c r="F33" s="260"/>
      <c r="G33" s="260"/>
      <c r="H33" s="260"/>
      <c r="I33" s="261"/>
      <c r="J33" s="262"/>
      <c r="K33" s="262"/>
    </row>
    <row r="34" spans="2:11" ht="15.75">
      <c r="B34" s="1064" t="s">
        <v>66</v>
      </c>
      <c r="C34" s="260">
        <v>752.62635714285716</v>
      </c>
      <c r="D34" s="260">
        <v>674.59826999999996</v>
      </c>
      <c r="E34" s="260">
        <v>37.721828571428567</v>
      </c>
      <c r="F34" s="260">
        <v>15.263928392856769</v>
      </c>
      <c r="G34" s="260">
        <f>SECT_U.FIS.!O47</f>
        <v>285.32909314285729</v>
      </c>
      <c r="H34" s="260">
        <f>SECT_U.FIS.!O57</f>
        <v>1088.9097770357141</v>
      </c>
      <c r="I34" s="261">
        <f>G34+H34</f>
        <v>1374.2388701785715</v>
      </c>
      <c r="J34" s="262"/>
      <c r="K34" s="262"/>
    </row>
    <row r="35" spans="2:11" ht="15.75">
      <c r="B35" s="1065" t="s">
        <v>180</v>
      </c>
      <c r="C35" s="260"/>
      <c r="D35" s="260"/>
      <c r="E35" s="260"/>
      <c r="F35" s="260"/>
      <c r="G35" s="260"/>
      <c r="H35" s="260"/>
      <c r="I35" s="261"/>
      <c r="J35" s="262"/>
      <c r="K35" s="262"/>
    </row>
    <row r="36" spans="2:11" ht="15.75">
      <c r="B36" s="1064" t="s">
        <v>185</v>
      </c>
      <c r="C36" s="260">
        <v>20911.25</v>
      </c>
      <c r="D36" s="260">
        <v>0</v>
      </c>
      <c r="E36" s="260">
        <v>0</v>
      </c>
      <c r="F36" s="260">
        <v>2506.1538461538476</v>
      </c>
      <c r="G36" s="260">
        <f>SECT_U.FIS.!P47</f>
        <v>18405.096153846156</v>
      </c>
      <c r="H36" s="260">
        <f>SECT_U.FIS.!P57</f>
        <v>0</v>
      </c>
      <c r="I36" s="261">
        <f>G36+H36</f>
        <v>18405.096153846156</v>
      </c>
      <c r="J36" s="262"/>
      <c r="K36" s="262"/>
    </row>
    <row r="37" spans="2:11" ht="15.75">
      <c r="B37" s="1065" t="s">
        <v>179</v>
      </c>
      <c r="C37" s="260"/>
      <c r="D37" s="260"/>
      <c r="E37" s="260"/>
      <c r="F37" s="260"/>
      <c r="G37" s="260"/>
      <c r="H37" s="260"/>
      <c r="I37" s="261"/>
      <c r="J37" s="262"/>
      <c r="K37" s="262"/>
    </row>
    <row r="38" spans="2:11" ht="15.75">
      <c r="B38" s="1064" t="s">
        <v>186</v>
      </c>
      <c r="C38" s="260">
        <v>332.4524667738059</v>
      </c>
      <c r="D38" s="260">
        <v>0</v>
      </c>
      <c r="E38" s="260">
        <v>0</v>
      </c>
      <c r="F38" s="260">
        <v>4.8603460075125327</v>
      </c>
      <c r="G38" s="260">
        <f>SECT_U.FIS.!Q47</f>
        <v>327.59212076629331</v>
      </c>
      <c r="H38" s="260">
        <f>SECT_U.FIS.!Q57</f>
        <v>0</v>
      </c>
      <c r="I38" s="261">
        <f>G38+H38</f>
        <v>327.59212076629331</v>
      </c>
      <c r="J38" s="262"/>
      <c r="K38" s="262"/>
    </row>
    <row r="39" spans="2:11" ht="15.75">
      <c r="B39" s="1065" t="s">
        <v>181</v>
      </c>
      <c r="C39" s="260"/>
      <c r="D39" s="260"/>
      <c r="E39" s="260"/>
      <c r="F39" s="260"/>
      <c r="G39" s="260"/>
      <c r="H39" s="260"/>
      <c r="I39" s="261"/>
      <c r="J39" s="262"/>
      <c r="K39" s="262"/>
    </row>
    <row r="40" spans="2:11" ht="15.75">
      <c r="B40" s="1064" t="s">
        <v>69</v>
      </c>
      <c r="C40" s="260">
        <v>1878.8644444444444</v>
      </c>
      <c r="D40" s="260">
        <v>0</v>
      </c>
      <c r="E40" s="260">
        <v>0</v>
      </c>
      <c r="F40" s="260">
        <v>380.46555555555551</v>
      </c>
      <c r="G40" s="260">
        <f>SECT_U.FIS.!R47</f>
        <v>1498.3988888888889</v>
      </c>
      <c r="H40" s="260">
        <f>SECT_U.FIS.!R57</f>
        <v>0</v>
      </c>
      <c r="I40" s="261">
        <f>G40+H40</f>
        <v>1498.3988888888889</v>
      </c>
      <c r="J40" s="262"/>
      <c r="K40" s="262"/>
    </row>
    <row r="41" spans="2:11" ht="15.75">
      <c r="B41" s="1065" t="s">
        <v>195</v>
      </c>
      <c r="C41" s="260"/>
      <c r="D41" s="260"/>
      <c r="E41" s="260"/>
      <c r="F41" s="260"/>
      <c r="G41" s="260"/>
      <c r="H41" s="260"/>
      <c r="I41" s="261"/>
      <c r="J41" s="262"/>
      <c r="K41" s="262"/>
    </row>
    <row r="42" spans="2:11" ht="15.75">
      <c r="B42" s="1064" t="s">
        <v>187</v>
      </c>
      <c r="C42" s="260">
        <v>8588.016503124396</v>
      </c>
      <c r="D42" s="260">
        <v>0</v>
      </c>
      <c r="E42" s="260">
        <v>0</v>
      </c>
      <c r="F42" s="260">
        <v>0</v>
      </c>
      <c r="G42" s="260">
        <f>SECT_U.FIS.!S47</f>
        <v>2213.0426876837391</v>
      </c>
      <c r="H42" s="260">
        <f>SECT_U.FIS.!S57</f>
        <v>6374.9738154406559</v>
      </c>
      <c r="I42" s="261">
        <f>G42+H42</f>
        <v>8588.016503124396</v>
      </c>
      <c r="J42" s="262"/>
      <c r="K42" s="262"/>
    </row>
    <row r="43" spans="2:11" ht="15.75">
      <c r="B43" s="1065" t="s">
        <v>181</v>
      </c>
      <c r="C43" s="260"/>
      <c r="D43" s="260"/>
      <c r="E43" s="260"/>
      <c r="F43" s="260"/>
      <c r="G43" s="260"/>
      <c r="H43" s="260"/>
      <c r="I43" s="261"/>
      <c r="J43" s="262"/>
      <c r="K43" s="262"/>
    </row>
    <row r="44" spans="2:11" ht="15.75">
      <c r="B44" s="1064" t="s">
        <v>22</v>
      </c>
      <c r="C44" s="260">
        <v>2691.96</v>
      </c>
      <c r="D44" s="260">
        <v>0</v>
      </c>
      <c r="E44" s="260">
        <v>2691.96</v>
      </c>
      <c r="F44" s="260">
        <v>0</v>
      </c>
      <c r="G44" s="260">
        <f>SECT_U.FIS.!T47</f>
        <v>0</v>
      </c>
      <c r="H44" s="260">
        <f>SECT_U.FIS.!T57</f>
        <v>0</v>
      </c>
      <c r="I44" s="261">
        <f>G44+H44</f>
        <v>0</v>
      </c>
      <c r="J44" s="262"/>
      <c r="K44" s="262"/>
    </row>
    <row r="45" spans="2:11" ht="15.75">
      <c r="B45" s="1065" t="s">
        <v>180</v>
      </c>
      <c r="C45" s="260"/>
      <c r="D45" s="260"/>
      <c r="E45" s="260"/>
      <c r="F45" s="260"/>
      <c r="G45" s="260"/>
      <c r="H45" s="260"/>
      <c r="I45" s="261"/>
      <c r="J45" s="262"/>
      <c r="K45" s="262"/>
    </row>
    <row r="46" spans="2:11" ht="15.75">
      <c r="B46" s="1064" t="s">
        <v>9</v>
      </c>
      <c r="C46" s="260">
        <v>12317.524135246529</v>
      </c>
      <c r="D46" s="260">
        <v>0</v>
      </c>
      <c r="E46" s="260">
        <v>0</v>
      </c>
      <c r="F46" s="260">
        <v>0</v>
      </c>
      <c r="G46" s="260">
        <f>SECT_U.FIS.!V47</f>
        <v>11027.413542511731</v>
      </c>
      <c r="H46" s="260">
        <f>SECT_U.FIS.!V57</f>
        <v>1290.110592734796</v>
      </c>
      <c r="I46" s="261">
        <f>G46+H46</f>
        <v>12317.524135246527</v>
      </c>
      <c r="J46" s="262"/>
      <c r="K46" s="262"/>
    </row>
    <row r="47" spans="2:11" ht="15.75">
      <c r="B47" s="1065" t="s">
        <v>180</v>
      </c>
      <c r="C47" s="260"/>
      <c r="D47" s="260"/>
      <c r="E47" s="260"/>
      <c r="F47" s="260"/>
      <c r="G47" s="260"/>
      <c r="H47" s="260"/>
      <c r="I47" s="261"/>
      <c r="J47" s="262"/>
      <c r="K47" s="262"/>
    </row>
    <row r="48" spans="2:11" ht="15.75">
      <c r="B48" s="1064" t="s">
        <v>10</v>
      </c>
      <c r="C48" s="260">
        <v>0</v>
      </c>
      <c r="D48" s="260">
        <v>0</v>
      </c>
      <c r="E48" s="260">
        <v>0</v>
      </c>
      <c r="F48" s="260">
        <v>0</v>
      </c>
      <c r="G48" s="260">
        <v>0</v>
      </c>
      <c r="H48" s="260">
        <v>0</v>
      </c>
      <c r="I48" s="261">
        <f>G48+H48</f>
        <v>0</v>
      </c>
      <c r="J48" s="262"/>
      <c r="K48" s="262"/>
    </row>
    <row r="49" spans="2:11" ht="16.5" thickBot="1">
      <c r="B49" s="1066" t="s">
        <v>181</v>
      </c>
      <c r="C49" s="265"/>
      <c r="D49" s="265"/>
      <c r="E49" s="265"/>
      <c r="F49" s="265"/>
      <c r="G49" s="265"/>
      <c r="H49" s="265"/>
      <c r="I49" s="266"/>
      <c r="J49" s="262"/>
      <c r="K49" s="259"/>
    </row>
    <row r="50" spans="2:11">
      <c r="B50" s="273" t="s">
        <v>91</v>
      </c>
      <c r="C50" s="267"/>
      <c r="D50" s="267"/>
      <c r="E50" s="259"/>
      <c r="F50" s="268"/>
      <c r="G50" s="259"/>
      <c r="H50" s="259"/>
      <c r="I50" s="259"/>
      <c r="J50" s="259"/>
      <c r="K50" s="259"/>
    </row>
    <row r="51" spans="2:11">
      <c r="B51" s="273" t="s">
        <v>188</v>
      </c>
      <c r="C51" s="267"/>
      <c r="D51" s="267"/>
      <c r="E51" s="259"/>
      <c r="F51" s="259"/>
      <c r="G51" s="259"/>
      <c r="H51" s="259"/>
      <c r="I51" s="259"/>
      <c r="J51" s="259"/>
      <c r="K51" s="259"/>
    </row>
    <row r="52" spans="2:11">
      <c r="B52" s="267" t="s">
        <v>189</v>
      </c>
      <c r="C52" s="269">
        <v>1038.1351968000001</v>
      </c>
      <c r="D52" s="267" t="s">
        <v>190</v>
      </c>
      <c r="E52" s="259"/>
      <c r="F52" s="259"/>
      <c r="G52" s="259"/>
      <c r="H52" s="259"/>
      <c r="I52" s="262"/>
      <c r="J52" s="259"/>
      <c r="K52" s="259"/>
    </row>
    <row r="53" spans="2:11">
      <c r="B53" s="267" t="s">
        <v>191</v>
      </c>
      <c r="C53" s="269">
        <v>17.466626699999999</v>
      </c>
      <c r="D53" s="267" t="s">
        <v>190</v>
      </c>
      <c r="E53" s="259"/>
      <c r="F53" s="259"/>
      <c r="G53" s="259"/>
      <c r="H53" s="259"/>
      <c r="I53" s="262"/>
      <c r="J53" s="259"/>
      <c r="K53" s="259"/>
    </row>
    <row r="54" spans="2:11">
      <c r="B54" s="267" t="s">
        <v>192</v>
      </c>
      <c r="C54" s="269">
        <v>1238.8732649999999</v>
      </c>
      <c r="D54" s="267" t="s">
        <v>190</v>
      </c>
      <c r="E54" s="259"/>
      <c r="F54" s="259"/>
      <c r="G54" s="259"/>
      <c r="H54" s="259"/>
      <c r="I54" s="262"/>
      <c r="J54" s="259"/>
      <c r="K54" s="259"/>
    </row>
    <row r="55" spans="2:11">
      <c r="B55" s="267" t="s">
        <v>193</v>
      </c>
      <c r="C55" s="270">
        <v>273.36874999999998</v>
      </c>
      <c r="D55" s="267" t="s">
        <v>194</v>
      </c>
      <c r="E55" s="259"/>
      <c r="F55" s="259"/>
      <c r="G55" s="259"/>
      <c r="H55" s="259"/>
      <c r="I55" s="259"/>
      <c r="J55" s="259"/>
      <c r="K55" s="259"/>
    </row>
    <row r="56" spans="2:11">
      <c r="B56" s="267" t="s">
        <v>197</v>
      </c>
      <c r="C56" s="270">
        <v>47.528145969685283</v>
      </c>
      <c r="D56" s="267" t="s">
        <v>196</v>
      </c>
      <c r="E56" s="259"/>
      <c r="F56" s="259"/>
      <c r="G56" s="259"/>
      <c r="H56" s="259"/>
      <c r="I56" s="259"/>
      <c r="J56" s="259"/>
      <c r="K56" s="259"/>
    </row>
    <row r="57" spans="2:11">
      <c r="B57" s="274" t="s">
        <v>14</v>
      </c>
      <c r="C57" s="21"/>
      <c r="D57" s="21"/>
      <c r="E57" s="21"/>
      <c r="F57" s="21"/>
      <c r="G57" s="21"/>
      <c r="H57" s="21"/>
      <c r="I57" s="73"/>
      <c r="J57" s="73"/>
      <c r="K57" s="73"/>
    </row>
    <row r="58" spans="2:11">
      <c r="B58" s="274" t="s">
        <v>777</v>
      </c>
      <c r="C58" s="21"/>
      <c r="D58" s="21"/>
      <c r="E58" s="21"/>
      <c r="F58" s="21"/>
      <c r="G58" s="21"/>
      <c r="H58" s="21"/>
      <c r="I58" s="73"/>
      <c r="J58" s="73"/>
      <c r="K58" s="73"/>
    </row>
    <row r="59" spans="2:11">
      <c r="B59" s="275"/>
      <c r="C59" s="259"/>
      <c r="D59" s="259"/>
      <c r="E59" s="259"/>
      <c r="F59" s="259"/>
      <c r="G59" s="259"/>
      <c r="H59" s="259"/>
      <c r="I59" s="259"/>
      <c r="J59" s="259"/>
      <c r="K59" s="259"/>
    </row>
    <row r="60" spans="2:11">
      <c r="B60" s="259"/>
      <c r="C60" s="259"/>
      <c r="D60" s="259"/>
      <c r="E60" s="259"/>
      <c r="F60" s="259"/>
      <c r="G60" s="259"/>
      <c r="H60" s="259"/>
      <c r="I60" s="259"/>
      <c r="J60" s="259"/>
      <c r="K60" s="259"/>
    </row>
    <row r="61" spans="2:11">
      <c r="B61" s="259"/>
      <c r="C61" s="259"/>
      <c r="D61" s="259"/>
      <c r="E61" s="259"/>
      <c r="F61" s="259"/>
      <c r="G61" s="259"/>
      <c r="H61" s="259"/>
      <c r="I61" s="259"/>
      <c r="J61" s="259"/>
      <c r="K61" s="259"/>
    </row>
    <row r="62" spans="2:11">
      <c r="B62" s="259"/>
      <c r="C62" s="259"/>
      <c r="D62" s="259"/>
      <c r="E62" s="259"/>
      <c r="F62" s="259"/>
      <c r="G62" s="259"/>
      <c r="H62" s="259"/>
      <c r="I62" s="259"/>
      <c r="J62" s="259"/>
      <c r="K62" s="259"/>
    </row>
    <row r="63" spans="2:11">
      <c r="B63" s="22"/>
      <c r="C63" s="22"/>
      <c r="D63" s="22"/>
      <c r="E63" s="22"/>
      <c r="F63" s="22"/>
      <c r="G63" s="22"/>
      <c r="H63" s="22"/>
      <c r="I63" s="22"/>
    </row>
    <row r="64" spans="2:11">
      <c r="B64" s="22"/>
      <c r="C64" s="22"/>
      <c r="D64" s="22"/>
      <c r="E64" s="22"/>
      <c r="F64" s="22"/>
      <c r="G64" s="22"/>
      <c r="H64" s="22"/>
      <c r="I64" s="22"/>
    </row>
    <row r="65" spans="2:9">
      <c r="B65" s="22"/>
      <c r="C65" s="22"/>
      <c r="D65" s="22"/>
      <c r="E65" s="22"/>
      <c r="F65" s="22"/>
      <c r="G65" s="22"/>
      <c r="H65" s="22"/>
      <c r="I65" s="22"/>
    </row>
    <row r="66" spans="2:9" s="22" customFormat="1"/>
    <row r="67" spans="2:9" s="22" customFormat="1"/>
    <row r="68" spans="2:9" s="22" customFormat="1"/>
    <row r="69" spans="2:9" s="22" customFormat="1"/>
    <row r="70" spans="2:9" s="22" customFormat="1"/>
    <row r="71" spans="2:9" s="22" customFormat="1"/>
    <row r="72" spans="2:9" s="22" customFormat="1"/>
    <row r="73" spans="2:9" s="22" customFormat="1"/>
    <row r="74" spans="2:9" s="22" customFormat="1"/>
    <row r="75" spans="2:9" s="22" customFormat="1"/>
    <row r="76" spans="2:9" s="22" customFormat="1"/>
    <row r="77" spans="2:9" s="22" customFormat="1"/>
    <row r="78" spans="2:9" s="22" customFormat="1"/>
    <row r="79" spans="2:9" s="22" customFormat="1"/>
    <row r="80" spans="2:9" s="22" customFormat="1"/>
    <row r="81" spans="3:9" s="22" customFormat="1"/>
    <row r="82" spans="3:9" s="22" customFormat="1"/>
    <row r="83" spans="3:9" s="22" customFormat="1"/>
    <row r="84" spans="3:9" s="22" customFormat="1"/>
    <row r="85" spans="3:9" s="22" customFormat="1"/>
    <row r="86" spans="3:9" s="22" customFormat="1"/>
    <row r="87" spans="3:9" s="22" customFormat="1"/>
    <row r="88" spans="3:9" s="22" customFormat="1"/>
    <row r="89" spans="3:9" s="22" customFormat="1"/>
    <row r="90" spans="3:9" s="22" customFormat="1"/>
    <row r="91" spans="3:9">
      <c r="C91" s="22"/>
      <c r="D91" s="22"/>
      <c r="E91" s="22"/>
      <c r="F91" s="22"/>
      <c r="G91" s="22"/>
      <c r="H91" s="22"/>
      <c r="I91" s="22"/>
    </row>
    <row r="92" spans="3:9">
      <c r="C92" s="22"/>
      <c r="D92" s="22"/>
      <c r="E92" s="22"/>
      <c r="F92" s="22"/>
      <c r="G92" s="22"/>
      <c r="H92" s="22"/>
      <c r="I92" s="22"/>
    </row>
    <row r="93" spans="3:9">
      <c r="C93" s="22"/>
      <c r="D93" s="22"/>
      <c r="E93" s="22"/>
      <c r="F93" s="22"/>
      <c r="G93" s="22"/>
      <c r="H93" s="22"/>
      <c r="I93" s="22"/>
    </row>
    <row r="94" spans="3:9">
      <c r="C94" s="22"/>
      <c r="D94" s="22"/>
      <c r="E94" s="22"/>
      <c r="F94" s="22"/>
      <c r="G94" s="22"/>
      <c r="H94" s="22"/>
      <c r="I94" s="22"/>
    </row>
    <row r="95" spans="3:9">
      <c r="C95" s="22"/>
      <c r="D95" s="22"/>
      <c r="E95" s="22"/>
      <c r="F95" s="22"/>
      <c r="G95" s="22"/>
      <c r="H95" s="22"/>
      <c r="I95" s="22"/>
    </row>
    <row r="96" spans="3:9">
      <c r="C96" s="22"/>
      <c r="D96" s="22"/>
      <c r="E96" s="22"/>
      <c r="F96" s="22"/>
      <c r="G96" s="22"/>
      <c r="H96" s="22"/>
      <c r="I96" s="22"/>
    </row>
    <row r="97" spans="3:9">
      <c r="C97" s="22"/>
      <c r="D97" s="22"/>
      <c r="E97" s="22"/>
      <c r="F97" s="22"/>
      <c r="G97" s="22"/>
      <c r="H97" s="22"/>
      <c r="I97" s="22"/>
    </row>
    <row r="98" spans="3:9">
      <c r="C98" s="22"/>
      <c r="D98" s="22"/>
      <c r="E98" s="22"/>
      <c r="F98" s="22"/>
      <c r="G98" s="22"/>
      <c r="H98" s="22"/>
      <c r="I98" s="22"/>
    </row>
    <row r="99" spans="3:9">
      <c r="C99" s="22"/>
      <c r="D99" s="22"/>
      <c r="E99" s="22"/>
      <c r="F99" s="22"/>
      <c r="G99" s="22"/>
      <c r="H99" s="22"/>
      <c r="I99" s="22"/>
    </row>
    <row r="100" spans="3:9">
      <c r="C100" s="22"/>
      <c r="D100" s="22"/>
      <c r="E100" s="22"/>
      <c r="F100" s="22"/>
      <c r="G100" s="22"/>
      <c r="H100" s="22"/>
      <c r="I100" s="22"/>
    </row>
    <row r="101" spans="3:9">
      <c r="C101" s="22"/>
      <c r="D101" s="22"/>
      <c r="E101" s="22"/>
      <c r="F101" s="22"/>
      <c r="G101" s="22"/>
      <c r="H101" s="22"/>
      <c r="I101" s="22"/>
    </row>
    <row r="102" spans="3:9">
      <c r="C102" s="22"/>
      <c r="D102" s="22"/>
      <c r="E102" s="22"/>
      <c r="F102" s="22"/>
      <c r="G102" s="22"/>
      <c r="H102" s="22"/>
      <c r="I102" s="22"/>
    </row>
    <row r="103" spans="3:9">
      <c r="C103" s="22"/>
      <c r="D103" s="22"/>
      <c r="E103" s="22"/>
      <c r="F103" s="22"/>
      <c r="G103" s="22"/>
      <c r="H103" s="22"/>
      <c r="I103" s="22"/>
    </row>
    <row r="104" spans="3:9">
      <c r="C104" s="22"/>
      <c r="D104" s="22"/>
      <c r="E104" s="22"/>
      <c r="F104" s="22"/>
      <c r="G104" s="22"/>
      <c r="H104" s="22"/>
      <c r="I104" s="22"/>
    </row>
    <row r="105" spans="3:9">
      <c r="C105" s="22"/>
      <c r="D105" s="22"/>
      <c r="E105" s="22"/>
      <c r="F105" s="22"/>
      <c r="G105" s="22"/>
      <c r="H105" s="22"/>
      <c r="I105" s="22"/>
    </row>
    <row r="106" spans="3:9">
      <c r="C106" s="22"/>
      <c r="D106" s="22"/>
      <c r="E106" s="22"/>
      <c r="F106" s="22"/>
      <c r="G106" s="22"/>
      <c r="H106" s="22"/>
      <c r="I106" s="22"/>
    </row>
    <row r="107" spans="3:9">
      <c r="C107" s="22"/>
      <c r="D107" s="22"/>
      <c r="E107" s="22"/>
      <c r="F107" s="22"/>
      <c r="G107" s="22"/>
      <c r="H107" s="22"/>
      <c r="I107" s="22"/>
    </row>
    <row r="108" spans="3:9">
      <c r="C108" s="22"/>
      <c r="D108" s="22"/>
      <c r="E108" s="22"/>
      <c r="F108" s="22"/>
      <c r="G108" s="22"/>
      <c r="H108" s="22"/>
      <c r="I108" s="22"/>
    </row>
    <row r="109" spans="3:9">
      <c r="C109" s="22"/>
      <c r="D109" s="22"/>
      <c r="E109" s="22"/>
      <c r="F109" s="22"/>
      <c r="G109" s="22"/>
      <c r="H109" s="22"/>
      <c r="I109" s="22"/>
    </row>
    <row r="110" spans="3:9">
      <c r="C110" s="22"/>
      <c r="D110" s="22"/>
      <c r="E110" s="22"/>
      <c r="F110" s="22"/>
      <c r="G110" s="22"/>
      <c r="H110" s="22"/>
      <c r="I110" s="22"/>
    </row>
    <row r="111" spans="3:9">
      <c r="C111" s="22"/>
      <c r="D111" s="22"/>
      <c r="E111" s="22"/>
      <c r="F111" s="22"/>
      <c r="G111" s="22"/>
      <c r="H111" s="22"/>
      <c r="I111" s="22"/>
    </row>
    <row r="112" spans="3:9">
      <c r="C112" s="22"/>
      <c r="D112" s="22"/>
      <c r="E112" s="22"/>
      <c r="F112" s="22"/>
      <c r="G112" s="22"/>
      <c r="H112" s="22"/>
      <c r="I112" s="22"/>
    </row>
    <row r="113" spans="3:9">
      <c r="C113" s="22"/>
      <c r="D113" s="22"/>
      <c r="E113" s="22"/>
      <c r="F113" s="22"/>
      <c r="G113" s="22"/>
      <c r="H113" s="22"/>
      <c r="I113" s="22"/>
    </row>
    <row r="114" spans="3:9">
      <c r="C114" s="22"/>
      <c r="D114" s="22"/>
      <c r="E114" s="22"/>
      <c r="F114" s="22"/>
      <c r="G114" s="22"/>
      <c r="H114" s="22"/>
      <c r="I114" s="22"/>
    </row>
    <row r="115" spans="3:9">
      <c r="C115" s="22"/>
      <c r="D115" s="22"/>
      <c r="E115" s="22"/>
      <c r="F115" s="22"/>
      <c r="G115" s="22"/>
      <c r="H115" s="22"/>
      <c r="I115" s="22"/>
    </row>
    <row r="116" spans="3:9">
      <c r="C116" s="22"/>
      <c r="D116" s="22"/>
      <c r="E116" s="22"/>
      <c r="F116" s="22"/>
      <c r="G116" s="22"/>
      <c r="H116" s="22"/>
      <c r="I116" s="22"/>
    </row>
    <row r="117" spans="3:9">
      <c r="C117" s="22"/>
      <c r="D117" s="22"/>
      <c r="E117" s="22"/>
      <c r="F117" s="22"/>
      <c r="G117" s="22"/>
      <c r="H117" s="22"/>
      <c r="I117" s="22"/>
    </row>
    <row r="118" spans="3:9">
      <c r="C118" s="22"/>
      <c r="D118" s="22"/>
      <c r="E118" s="22"/>
      <c r="F118" s="22"/>
      <c r="G118" s="22"/>
      <c r="H118" s="22"/>
      <c r="I118" s="22"/>
    </row>
    <row r="119" spans="3:9">
      <c r="C119" s="22"/>
      <c r="D119" s="22"/>
      <c r="E119" s="22"/>
      <c r="F119" s="22"/>
      <c r="G119" s="22"/>
      <c r="H119" s="22"/>
      <c r="I119" s="22"/>
    </row>
    <row r="120" spans="3:9">
      <c r="C120" s="22"/>
      <c r="D120" s="22"/>
      <c r="E120" s="22"/>
      <c r="F120" s="22"/>
      <c r="G120" s="22"/>
      <c r="H120" s="22"/>
      <c r="I120" s="22"/>
    </row>
    <row r="121" spans="3:9">
      <c r="C121" s="22"/>
      <c r="D121" s="22"/>
      <c r="E121" s="22"/>
      <c r="F121" s="22"/>
      <c r="G121" s="22"/>
      <c r="H121" s="22"/>
      <c r="I121" s="22"/>
    </row>
    <row r="122" spans="3:9">
      <c r="C122" s="22"/>
      <c r="D122" s="22"/>
      <c r="E122" s="22"/>
      <c r="F122" s="22"/>
      <c r="G122" s="22"/>
      <c r="H122" s="22"/>
      <c r="I122" s="22"/>
    </row>
    <row r="123" spans="3:9">
      <c r="C123" s="22"/>
      <c r="D123" s="22"/>
      <c r="E123" s="22"/>
      <c r="F123" s="22"/>
      <c r="G123" s="22"/>
      <c r="H123" s="22"/>
      <c r="I123" s="22"/>
    </row>
    <row r="124" spans="3:9">
      <c r="C124" s="22"/>
      <c r="D124" s="22"/>
      <c r="E124" s="22"/>
      <c r="F124" s="22"/>
      <c r="G124" s="22"/>
      <c r="H124" s="22"/>
      <c r="I124" s="22"/>
    </row>
    <row r="125" spans="3:9">
      <c r="C125" s="22"/>
      <c r="D125" s="22"/>
      <c r="E125" s="22"/>
      <c r="F125" s="22"/>
      <c r="G125" s="22"/>
      <c r="H125" s="22"/>
      <c r="I125" s="22"/>
    </row>
  </sheetData>
  <phoneticPr fontId="0" type="noConversion"/>
  <hyperlinks>
    <hyperlink ref="J3" location="INDICE!A50" display="VOLVER A INDICE"/>
  </hyperlinks>
  <pageMargins left="0.75" right="0.75" top="1" bottom="1" header="0" footer="0"/>
  <pageSetup scale="5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38"/>
  <sheetViews>
    <sheetView workbookViewId="0">
      <pane ySplit="8" topLeftCell="A9" activePane="bottomLeft" state="frozen"/>
      <selection pane="bottomLeft" activeCell="K22" sqref="K22"/>
    </sheetView>
  </sheetViews>
  <sheetFormatPr baseColWidth="10" defaultRowHeight="12.75"/>
  <cols>
    <col min="1" max="1" width="1.28515625" style="898" customWidth="1"/>
    <col min="2" max="2" width="25.140625" style="898" customWidth="1"/>
    <col min="3" max="9" width="11.42578125" style="898"/>
    <col min="10" max="23" width="11.42578125" style="22"/>
    <col min="24" max="16384" width="11.42578125" style="898"/>
  </cols>
  <sheetData>
    <row r="1" spans="2:12" ht="5.25" customHeight="1" thickBot="1"/>
    <row r="2" spans="2:12" ht="15.75" customHeight="1" thickBot="1">
      <c r="B2" s="1067"/>
      <c r="C2" s="1068"/>
      <c r="D2" s="1068"/>
      <c r="E2" s="1068"/>
      <c r="F2" s="1068"/>
      <c r="G2" s="1068"/>
      <c r="H2" s="1068"/>
      <c r="I2" s="1069"/>
      <c r="J2" s="791"/>
      <c r="K2" s="791"/>
      <c r="L2" s="791"/>
    </row>
    <row r="3" spans="2:12">
      <c r="B3" s="248"/>
      <c r="C3" s="249"/>
      <c r="D3" s="249"/>
      <c r="E3" s="168" t="s">
        <v>77</v>
      </c>
      <c r="F3" s="168"/>
      <c r="G3" s="249"/>
      <c r="H3" s="249"/>
      <c r="I3" s="250"/>
      <c r="J3" s="862" t="s">
        <v>683</v>
      </c>
      <c r="K3" s="791"/>
      <c r="L3" s="791"/>
    </row>
    <row r="4" spans="2:12">
      <c r="B4" s="251"/>
      <c r="C4" s="252"/>
      <c r="D4" s="253"/>
      <c r="E4" s="253" t="s">
        <v>198</v>
      </c>
      <c r="F4" s="253"/>
      <c r="G4" s="252"/>
      <c r="H4" s="252"/>
      <c r="I4" s="254"/>
      <c r="J4" s="792"/>
      <c r="K4" s="791"/>
      <c r="L4" s="791"/>
    </row>
    <row r="5" spans="2:12">
      <c r="B5" s="251"/>
      <c r="C5" s="252"/>
      <c r="D5" s="252"/>
      <c r="E5" s="252" t="s">
        <v>781</v>
      </c>
      <c r="F5" s="252"/>
      <c r="G5" s="252"/>
      <c r="H5" s="252"/>
      <c r="I5" s="254"/>
      <c r="J5" s="792"/>
      <c r="K5" s="791"/>
      <c r="L5" s="791"/>
    </row>
    <row r="6" spans="2:12">
      <c r="B6" s="251"/>
      <c r="C6" s="252"/>
      <c r="D6" s="252"/>
      <c r="E6" s="252"/>
      <c r="F6" s="252"/>
      <c r="G6" s="252"/>
      <c r="H6" s="252"/>
      <c r="I6" s="254"/>
      <c r="J6" s="792"/>
      <c r="K6" s="791"/>
      <c r="L6" s="791"/>
    </row>
    <row r="7" spans="2:12">
      <c r="B7" s="255" t="s">
        <v>3</v>
      </c>
      <c r="C7" s="253" t="s">
        <v>79</v>
      </c>
      <c r="D7" s="253" t="s">
        <v>79</v>
      </c>
      <c r="E7" s="253" t="s">
        <v>79</v>
      </c>
      <c r="F7" s="253" t="s">
        <v>746</v>
      </c>
      <c r="G7" s="253" t="s">
        <v>80</v>
      </c>
      <c r="H7" s="253" t="s">
        <v>80</v>
      </c>
      <c r="I7" s="256" t="s">
        <v>81</v>
      </c>
      <c r="J7" s="792"/>
      <c r="K7" s="791"/>
      <c r="L7" s="791"/>
    </row>
    <row r="8" spans="2:12" ht="13.5" thickBot="1">
      <c r="B8" s="1070"/>
      <c r="C8" s="1071" t="s">
        <v>82</v>
      </c>
      <c r="D8" s="1071" t="s">
        <v>83</v>
      </c>
      <c r="E8" s="1071" t="s">
        <v>84</v>
      </c>
      <c r="F8" s="1071" t="s">
        <v>747</v>
      </c>
      <c r="G8" s="1071" t="s">
        <v>85</v>
      </c>
      <c r="H8" s="1071" t="s">
        <v>86</v>
      </c>
      <c r="I8" s="1072" t="s">
        <v>87</v>
      </c>
      <c r="J8" s="791"/>
      <c r="K8" s="791"/>
      <c r="L8" s="791"/>
    </row>
    <row r="9" spans="2:12">
      <c r="B9" s="996"/>
      <c r="C9" s="795"/>
      <c r="D9" s="795"/>
      <c r="E9" s="795"/>
      <c r="F9" s="795"/>
      <c r="G9" s="795"/>
      <c r="H9" s="795"/>
      <c r="I9" s="796"/>
      <c r="J9" s="791"/>
      <c r="K9" s="791"/>
      <c r="L9" s="791"/>
    </row>
    <row r="10" spans="2:12">
      <c r="B10" s="1073" t="s">
        <v>55</v>
      </c>
      <c r="C10" s="797">
        <f>SECT_U.FIS.!D12</f>
        <v>1059.5430646520001</v>
      </c>
      <c r="D10" s="797">
        <f>SECT_U.FIS.!D26</f>
        <v>455.08969939666383</v>
      </c>
      <c r="E10" s="797">
        <f>SECT_U.FIS.!D33</f>
        <v>5.2063786080000005</v>
      </c>
      <c r="F10" s="1235">
        <f>SECT_U.FIS.!D44</f>
        <v>20.927969999999998</v>
      </c>
      <c r="G10" s="1235">
        <f>SUM(C10:F10)</f>
        <v>1540.7671126566638</v>
      </c>
      <c r="H10" s="1235">
        <f>SECT_U.FIS.!D57</f>
        <v>86.847657603336117</v>
      </c>
      <c r="I10" s="1236">
        <f>G10+H10</f>
        <v>1627.6147702599999</v>
      </c>
      <c r="J10" s="793"/>
      <c r="K10" s="794"/>
      <c r="L10" s="791"/>
    </row>
    <row r="11" spans="2:12">
      <c r="B11" s="1074" t="s">
        <v>180</v>
      </c>
      <c r="C11" s="797"/>
      <c r="D11" s="797"/>
      <c r="E11" s="797"/>
      <c r="F11" s="797"/>
      <c r="G11" s="797"/>
      <c r="H11" s="797"/>
      <c r="I11" s="796"/>
      <c r="J11" s="791"/>
      <c r="K11" s="791"/>
      <c r="L11" s="791"/>
    </row>
    <row r="12" spans="2:12">
      <c r="B12" s="1073" t="s">
        <v>56</v>
      </c>
      <c r="C12" s="797">
        <f>SECT_U.FIS.!C12</f>
        <v>3461.6503519999997</v>
      </c>
      <c r="D12" s="797">
        <f>SECT_U.FIS.!C26</f>
        <v>1687.0574564245087</v>
      </c>
      <c r="E12" s="797">
        <f>SECT_U.FIS.!C33</f>
        <v>151.43823999999998</v>
      </c>
      <c r="F12" s="1235">
        <f>SECT_U.FIS.!C44</f>
        <v>2.4990242999999999</v>
      </c>
      <c r="G12" s="1235">
        <f>SUM(C12:F12)</f>
        <v>5302.6450727245092</v>
      </c>
      <c r="H12" s="1235">
        <f>SECT_U.FIS.!C57</f>
        <v>102.90740827549072</v>
      </c>
      <c r="I12" s="1236">
        <f>G12+H12</f>
        <v>5405.5524809999997</v>
      </c>
      <c r="J12" s="793"/>
      <c r="K12" s="794"/>
      <c r="L12" s="791"/>
    </row>
    <row r="13" spans="2:12">
      <c r="B13" s="1074" t="s">
        <v>179</v>
      </c>
      <c r="C13" s="797"/>
      <c r="D13" s="797"/>
      <c r="E13" s="797"/>
      <c r="F13" s="1235"/>
      <c r="G13" s="1235"/>
      <c r="H13" s="1235"/>
      <c r="I13" s="1236"/>
      <c r="J13" s="791"/>
      <c r="K13" s="791"/>
      <c r="L13" s="791"/>
    </row>
    <row r="14" spans="2:12">
      <c r="B14" s="1073" t="s">
        <v>199</v>
      </c>
      <c r="C14" s="797">
        <f>SECT_U.FIS.!E12</f>
        <v>2892.5124129999995</v>
      </c>
      <c r="D14" s="797">
        <f>SECT_U.FIS.!E26</f>
        <v>0</v>
      </c>
      <c r="E14" s="797">
        <f>SECT_U.FIS.!E33</f>
        <v>0</v>
      </c>
      <c r="F14" s="1235">
        <f>SECT_U.FIS.!E44</f>
        <v>0</v>
      </c>
      <c r="G14" s="1235">
        <f>SUM(C14:F14)</f>
        <v>2892.5124129999995</v>
      </c>
      <c r="H14" s="1235">
        <f>SECT_U.FIS.!E57</f>
        <v>0</v>
      </c>
      <c r="I14" s="1236">
        <f>G14+H14</f>
        <v>2892.5124129999995</v>
      </c>
      <c r="J14" s="793"/>
      <c r="K14" s="794"/>
      <c r="L14" s="791"/>
    </row>
    <row r="15" spans="2:12">
      <c r="B15" s="1074" t="s">
        <v>179</v>
      </c>
      <c r="C15" s="797"/>
      <c r="D15" s="797"/>
      <c r="E15" s="797"/>
      <c r="F15" s="1235"/>
      <c r="G15" s="1235"/>
      <c r="H15" s="1235"/>
      <c r="I15" s="1236"/>
      <c r="J15" s="791"/>
      <c r="K15" s="791"/>
      <c r="L15" s="791"/>
    </row>
    <row r="16" spans="2:12">
      <c r="B16" s="1073" t="s">
        <v>200</v>
      </c>
      <c r="C16" s="797">
        <v>0</v>
      </c>
      <c r="D16" s="797">
        <v>0</v>
      </c>
      <c r="E16" s="797">
        <v>0</v>
      </c>
      <c r="F16" s="797">
        <v>0</v>
      </c>
      <c r="G16" s="1235">
        <f>SUM(C16:F16)</f>
        <v>0</v>
      </c>
      <c r="H16" s="1235">
        <v>0</v>
      </c>
      <c r="I16" s="1236">
        <f>G16+H16</f>
        <v>0</v>
      </c>
      <c r="J16" s="793"/>
      <c r="K16" s="794"/>
      <c r="L16" s="791"/>
    </row>
    <row r="17" spans="2:12">
      <c r="B17" s="1074" t="s">
        <v>179</v>
      </c>
      <c r="C17" s="797"/>
      <c r="D17" s="797"/>
      <c r="E17" s="797"/>
      <c r="F17" s="1235"/>
      <c r="G17" s="1235"/>
      <c r="H17" s="1235"/>
      <c r="I17" s="1236"/>
      <c r="J17" s="791"/>
      <c r="K17" s="791"/>
      <c r="L17" s="791"/>
    </row>
    <row r="18" spans="2:12">
      <c r="B18" s="1073" t="s">
        <v>59</v>
      </c>
      <c r="C18" s="797">
        <f>SECT_U.FIS.!G12</f>
        <v>4.9679000000000002</v>
      </c>
      <c r="D18" s="797">
        <f>SECT_U.FIS.!G26</f>
        <v>29.737080000000006</v>
      </c>
      <c r="E18" s="797">
        <f>SECT_U.FIS.!G33</f>
        <v>97.524149999999992</v>
      </c>
      <c r="F18" s="1235">
        <f>SECT_U.FIS.!G44</f>
        <v>2.86E-2</v>
      </c>
      <c r="G18" s="1235">
        <f>SUM(C18:F18)</f>
        <v>132.25773000000001</v>
      </c>
      <c r="H18" s="1235">
        <f>SECT_U.FIS.!G57</f>
        <v>1.0000000000000002E-2</v>
      </c>
      <c r="I18" s="1236">
        <f>G18+H18</f>
        <v>132.26773</v>
      </c>
      <c r="J18" s="793"/>
      <c r="K18" s="794"/>
      <c r="L18" s="791"/>
    </row>
    <row r="19" spans="2:12">
      <c r="B19" s="1074" t="s">
        <v>179</v>
      </c>
      <c r="C19" s="797"/>
      <c r="D19" s="797"/>
      <c r="E19" s="797"/>
      <c r="F19" s="1235"/>
      <c r="G19" s="1235"/>
      <c r="H19" s="1235"/>
      <c r="I19" s="1236"/>
      <c r="J19" s="791"/>
      <c r="K19" s="791"/>
      <c r="L19" s="791"/>
    </row>
    <row r="20" spans="2:12">
      <c r="B20" s="1073" t="s">
        <v>60</v>
      </c>
      <c r="C20" s="797">
        <f>SECT_U.FIS.!H12</f>
        <v>1.5789250000000001</v>
      </c>
      <c r="D20" s="797">
        <f>SECT_U.FIS.!H26</f>
        <v>124.61586460000001</v>
      </c>
      <c r="E20" s="797">
        <f>SECT_U.FIS.!H33</f>
        <v>862.88948300000004</v>
      </c>
      <c r="F20" s="1235">
        <f>SECT_U.FIS.!H44</f>
        <v>25.978548</v>
      </c>
      <c r="G20" s="1235">
        <f>SUM(C20:F20)</f>
        <v>1015.0628206000001</v>
      </c>
      <c r="H20" s="1235">
        <f>SECT_U.FIS.!H57</f>
        <v>2.4099384000000006</v>
      </c>
      <c r="I20" s="1236">
        <f>G20+H20</f>
        <v>1017.4727590000001</v>
      </c>
      <c r="J20" s="793"/>
      <c r="K20" s="794"/>
      <c r="L20" s="791"/>
    </row>
    <row r="21" spans="2:12">
      <c r="B21" s="1074" t="s">
        <v>180</v>
      </c>
      <c r="C21" s="797"/>
      <c r="D21" s="797"/>
      <c r="E21" s="797"/>
      <c r="F21" s="1235"/>
      <c r="G21" s="1235"/>
      <c r="H21" s="1235"/>
      <c r="I21" s="1236"/>
      <c r="J21" s="791"/>
      <c r="K21" s="794"/>
      <c r="L21" s="791"/>
    </row>
    <row r="22" spans="2:12">
      <c r="B22" s="1073" t="s">
        <v>61</v>
      </c>
      <c r="C22" s="797">
        <f>SECT_U.FIS.!I12</f>
        <v>5.979000000000001</v>
      </c>
      <c r="D22" s="797">
        <f>SECT_U.FIS.!I26</f>
        <v>0</v>
      </c>
      <c r="E22" s="797">
        <f>SECT_U.FIS.!I33</f>
        <v>0</v>
      </c>
      <c r="F22" s="1235">
        <f>SECT_U.FIS.!I44</f>
        <v>0</v>
      </c>
      <c r="G22" s="1235">
        <f>SUM(C22:F22)</f>
        <v>5.979000000000001</v>
      </c>
      <c r="H22" s="1235">
        <f>SECT_U.FIS.!I57</f>
        <v>0</v>
      </c>
      <c r="I22" s="1236">
        <f>G22+H22</f>
        <v>5.979000000000001</v>
      </c>
      <c r="J22" s="793"/>
      <c r="K22" s="794"/>
      <c r="L22" s="791"/>
    </row>
    <row r="23" spans="2:12">
      <c r="B23" s="1074" t="s">
        <v>179</v>
      </c>
      <c r="C23" s="797"/>
      <c r="D23" s="797"/>
      <c r="E23" s="797"/>
      <c r="F23" s="1235"/>
      <c r="G23" s="1235"/>
      <c r="H23" s="1235"/>
      <c r="I23" s="1236"/>
      <c r="J23" s="791"/>
      <c r="K23" s="791"/>
      <c r="L23" s="791"/>
    </row>
    <row r="24" spans="2:12">
      <c r="B24" s="1073" t="s">
        <v>62</v>
      </c>
      <c r="C24" s="797">
        <f>SECT_U.FIS.!J12</f>
        <v>710.05444000000011</v>
      </c>
      <c r="D24" s="797">
        <f>SECT_U.FIS.!J26</f>
        <v>0</v>
      </c>
      <c r="E24" s="797">
        <f>SECT_U.FIS.!J33</f>
        <v>0</v>
      </c>
      <c r="F24" s="1235">
        <f>SECT_U.FIS.!J44</f>
        <v>0</v>
      </c>
      <c r="G24" s="1235">
        <f>SUM(C24:F24)</f>
        <v>710.05444000000011</v>
      </c>
      <c r="H24" s="1235">
        <f>SECT_U.FIS.!J57</f>
        <v>0</v>
      </c>
      <c r="I24" s="1236">
        <f>G24+H24</f>
        <v>710.05444000000011</v>
      </c>
      <c r="J24" s="793"/>
      <c r="K24" s="794"/>
      <c r="L24" s="791"/>
    </row>
    <row r="25" spans="2:12">
      <c r="B25" s="1074" t="s">
        <v>179</v>
      </c>
      <c r="C25" s="797"/>
      <c r="D25" s="797"/>
      <c r="E25" s="797"/>
      <c r="F25" s="1235"/>
      <c r="G25" s="1235"/>
      <c r="H25" s="1235"/>
      <c r="I25" s="1236"/>
      <c r="J25" s="791"/>
      <c r="K25" s="791"/>
      <c r="L25" s="791"/>
    </row>
    <row r="26" spans="2:12">
      <c r="B26" s="1073" t="s">
        <v>63</v>
      </c>
      <c r="C26" s="797">
        <f>SECT_U.FIS.!K12</f>
        <v>0</v>
      </c>
      <c r="D26" s="797">
        <f>SECT_U.FIS.!K26</f>
        <v>2.3415333</v>
      </c>
      <c r="E26" s="797">
        <f>SECT_U.FIS.!K33</f>
        <v>7.0680000000000021E-2</v>
      </c>
      <c r="F26" s="1235">
        <f>SECT_U.FIS.!K44</f>
        <v>242.16700285714285</v>
      </c>
      <c r="G26" s="1235">
        <f>SUM(C26:F26)</f>
        <v>244.57921615714284</v>
      </c>
      <c r="H26" s="1235">
        <f>SECT_U.FIS.!K57</f>
        <v>3.34857E-2</v>
      </c>
      <c r="I26" s="1236">
        <f>G26+H26</f>
        <v>244.61270185714284</v>
      </c>
      <c r="J26" s="793"/>
      <c r="K26" s="794"/>
      <c r="L26" s="791"/>
    </row>
    <row r="27" spans="2:12">
      <c r="B27" s="1074" t="s">
        <v>179</v>
      </c>
      <c r="C27" s="797"/>
      <c r="D27" s="797"/>
      <c r="E27" s="797"/>
      <c r="F27" s="1235"/>
      <c r="G27" s="1235"/>
      <c r="H27" s="1235"/>
      <c r="I27" s="1236"/>
      <c r="J27" s="791"/>
      <c r="K27" s="791"/>
      <c r="L27" s="791"/>
    </row>
    <row r="28" spans="2:12">
      <c r="B28" s="1073" t="s">
        <v>64</v>
      </c>
      <c r="C28" s="797">
        <f>SECT_U.FIS.!L12</f>
        <v>0</v>
      </c>
      <c r="D28" s="797">
        <f>SECT_U.FIS.!L26</f>
        <v>1.1212910798122067</v>
      </c>
      <c r="E28" s="797">
        <f>SECT_U.FIS.!L33</f>
        <v>0</v>
      </c>
      <c r="F28" s="1235">
        <f>SECT_U.FIS.!L44</f>
        <v>575.53359999999998</v>
      </c>
      <c r="G28" s="1235">
        <f>SUM(C28:F28)</f>
        <v>576.65489107981216</v>
      </c>
      <c r="H28" s="1235">
        <f>SECT_U.FIS.!L57</f>
        <v>20.315578638497648</v>
      </c>
      <c r="I28" s="1236">
        <f>G28+H28</f>
        <v>596.9704697183098</v>
      </c>
      <c r="J28" s="793"/>
      <c r="K28" s="794"/>
      <c r="L28" s="791"/>
    </row>
    <row r="29" spans="2:12">
      <c r="B29" s="1074" t="s">
        <v>179</v>
      </c>
      <c r="C29" s="797"/>
      <c r="D29" s="797"/>
      <c r="E29" s="797"/>
      <c r="F29" s="1235"/>
      <c r="G29" s="1235"/>
      <c r="H29" s="1235"/>
      <c r="I29" s="1236"/>
      <c r="J29" s="791"/>
      <c r="K29" s="791"/>
      <c r="L29" s="791"/>
    </row>
    <row r="30" spans="2:12">
      <c r="B30" s="1073" t="s">
        <v>18</v>
      </c>
      <c r="C30" s="797">
        <f>SECT_U.FIS.!M12</f>
        <v>232.834881</v>
      </c>
      <c r="D30" s="797">
        <f>SECT_U.FIS.!M26</f>
        <v>32170.630098619513</v>
      </c>
      <c r="E30" s="797">
        <f>SECT_U.FIS.!M33</f>
        <v>14512.034968299207</v>
      </c>
      <c r="F30" s="1235">
        <f>SECT_U.FIS.!M44</f>
        <v>2161.1062109549935</v>
      </c>
      <c r="G30" s="1235">
        <f>SUM(C30:F30)</f>
        <v>49076.606158873714</v>
      </c>
      <c r="H30" s="1235">
        <f>SECT_U.FIS.!M57</f>
        <v>0</v>
      </c>
      <c r="I30" s="1236">
        <f>G30+H30</f>
        <v>49076.606158873714</v>
      </c>
      <c r="J30" s="793"/>
      <c r="K30" s="794"/>
      <c r="L30" s="791"/>
    </row>
    <row r="31" spans="2:12">
      <c r="B31" s="1074" t="s">
        <v>183</v>
      </c>
      <c r="C31" s="797"/>
      <c r="D31" s="797"/>
      <c r="E31" s="797"/>
      <c r="F31" s="1235"/>
      <c r="G31" s="1235"/>
      <c r="H31" s="1235"/>
      <c r="I31" s="1236"/>
      <c r="J31" s="791"/>
      <c r="K31" s="791"/>
      <c r="L31" s="791"/>
    </row>
    <row r="32" spans="2:12">
      <c r="B32" s="1073" t="s">
        <v>7</v>
      </c>
      <c r="C32" s="797">
        <f>SECT_U.FIS.!N12</f>
        <v>5.8999999999999997E-2</v>
      </c>
      <c r="D32" s="797">
        <f>SECT_U.FIS.!N26</f>
        <v>741.45976358239591</v>
      </c>
      <c r="E32" s="797">
        <f>SECT_U.FIS.!N33</f>
        <v>7.9052899743969398</v>
      </c>
      <c r="F32" s="1235">
        <f>SECT_U.FIS.!N44</f>
        <v>0.98585578571428556</v>
      </c>
      <c r="G32" s="1235">
        <f>SUM(C32:F32)</f>
        <v>750.40990934250715</v>
      </c>
      <c r="H32" s="1235">
        <f>SECT_U.FIS.!N57</f>
        <v>3269.1708611024992</v>
      </c>
      <c r="I32" s="1236">
        <f>G32+H32</f>
        <v>4019.5807704450062</v>
      </c>
      <c r="J32" s="793"/>
      <c r="K32" s="794"/>
      <c r="L32" s="791"/>
    </row>
    <row r="33" spans="2:12">
      <c r="B33" s="1074" t="s">
        <v>180</v>
      </c>
      <c r="C33" s="797"/>
      <c r="D33" s="797"/>
      <c r="E33" s="797"/>
      <c r="F33" s="1235"/>
      <c r="G33" s="1235"/>
      <c r="H33" s="1235"/>
      <c r="I33" s="1236"/>
      <c r="J33" s="791"/>
      <c r="K33" s="791"/>
      <c r="L33" s="791"/>
    </row>
    <row r="34" spans="2:12">
      <c r="B34" s="1073" t="s">
        <v>66</v>
      </c>
      <c r="C34" s="797">
        <f>SECT_U.FIS.!O12</f>
        <v>0</v>
      </c>
      <c r="D34" s="797">
        <f>SECT_U.FIS.!O26</f>
        <v>285.32909314285729</v>
      </c>
      <c r="E34" s="797">
        <f>SECT_U.FIS.!O33</f>
        <v>0</v>
      </c>
      <c r="F34" s="1235">
        <f>SECT_U.FIS.!O44</f>
        <v>0</v>
      </c>
      <c r="G34" s="1235">
        <f>SUM(C34:F34)</f>
        <v>285.32909314285729</v>
      </c>
      <c r="H34" s="1235">
        <f>SECT_U.FIS.!O57</f>
        <v>1088.9097770357141</v>
      </c>
      <c r="I34" s="1236">
        <f>G34+H34</f>
        <v>1374.2388701785715</v>
      </c>
      <c r="J34" s="793"/>
      <c r="K34" s="794"/>
      <c r="L34" s="791"/>
    </row>
    <row r="35" spans="2:12">
      <c r="B35" s="1074" t="s">
        <v>180</v>
      </c>
      <c r="C35" s="797"/>
      <c r="D35" s="797"/>
      <c r="E35" s="797"/>
      <c r="F35" s="1235"/>
      <c r="G35" s="1235"/>
      <c r="H35" s="1235"/>
      <c r="I35" s="1236"/>
      <c r="J35" s="791"/>
      <c r="K35" s="791"/>
      <c r="L35" s="791"/>
    </row>
    <row r="36" spans="2:12">
      <c r="B36" s="1073" t="s">
        <v>185</v>
      </c>
      <c r="C36" s="797">
        <f>SECT_U.FIS.!P12</f>
        <v>0</v>
      </c>
      <c r="D36" s="797">
        <f>SECT_U.FIS.!P26</f>
        <v>0</v>
      </c>
      <c r="E36" s="797">
        <f>SECT_U.FIS.!P33</f>
        <v>0</v>
      </c>
      <c r="F36" s="1235">
        <f>SECT_U.FIS.!P44</f>
        <v>18405.096153846156</v>
      </c>
      <c r="G36" s="1235">
        <f>SUM(C36:F36)</f>
        <v>18405.096153846156</v>
      </c>
      <c r="H36" s="1235">
        <f>SECT_U.FIS.!P57</f>
        <v>0</v>
      </c>
      <c r="I36" s="1236">
        <f>G36+H36</f>
        <v>18405.096153846156</v>
      </c>
      <c r="J36" s="793"/>
      <c r="K36" s="794"/>
      <c r="L36" s="791"/>
    </row>
    <row r="37" spans="2:12">
      <c r="B37" s="1074" t="s">
        <v>179</v>
      </c>
      <c r="C37" s="797"/>
      <c r="D37" s="797"/>
      <c r="E37" s="797"/>
      <c r="F37" s="1235"/>
      <c r="G37" s="1235"/>
      <c r="H37" s="1235"/>
      <c r="I37" s="1236"/>
      <c r="J37" s="791"/>
      <c r="K37" s="791"/>
      <c r="L37" s="791"/>
    </row>
    <row r="38" spans="2:12">
      <c r="B38" s="1073" t="s">
        <v>20</v>
      </c>
      <c r="C38" s="797">
        <f>SECT_U.FIS.!Q12</f>
        <v>0</v>
      </c>
      <c r="D38" s="797">
        <f>SECT_U.FIS.!Q26</f>
        <v>207.58471245299998</v>
      </c>
      <c r="E38" s="797">
        <f>SECT_U.FIS.!Q33</f>
        <v>54.148305533373822</v>
      </c>
      <c r="F38" s="1235">
        <f>SECT_U.FIS.!Q44</f>
        <v>65.859102779919539</v>
      </c>
      <c r="G38" s="1235">
        <f>SUM(C38:F38)</f>
        <v>327.59212076629331</v>
      </c>
      <c r="H38" s="1235">
        <f>SECT_U.FIS.!Q57</f>
        <v>0</v>
      </c>
      <c r="I38" s="1236">
        <f>G38+H38</f>
        <v>327.59212076629331</v>
      </c>
      <c r="J38" s="793"/>
      <c r="K38" s="794"/>
      <c r="L38" s="791"/>
    </row>
    <row r="39" spans="2:12">
      <c r="B39" s="1074" t="s">
        <v>181</v>
      </c>
      <c r="C39" s="797"/>
      <c r="D39" s="797"/>
      <c r="E39" s="797"/>
      <c r="F39" s="1235"/>
      <c r="G39" s="1235"/>
      <c r="H39" s="1235"/>
      <c r="I39" s="1236"/>
      <c r="J39" s="791"/>
      <c r="K39" s="791"/>
      <c r="L39" s="791"/>
    </row>
    <row r="40" spans="2:12">
      <c r="B40" s="1073" t="s">
        <v>69</v>
      </c>
      <c r="C40" s="797">
        <f>SECT_U.FIS.!R12</f>
        <v>0</v>
      </c>
      <c r="D40" s="797">
        <f>SECT_U.FIS.!R26</f>
        <v>408.74777777777757</v>
      </c>
      <c r="E40" s="797">
        <f>SECT_U.FIS.!R33</f>
        <v>0</v>
      </c>
      <c r="F40" s="1235">
        <f>SECT_U.FIS.!R44</f>
        <v>1089.6511111111113</v>
      </c>
      <c r="G40" s="1235">
        <f>SUM(C40:F40)</f>
        <v>1498.3988888888889</v>
      </c>
      <c r="H40" s="1235">
        <f>SECT_U.FIS.!R57</f>
        <v>0</v>
      </c>
      <c r="I40" s="1236">
        <f>G40+H40</f>
        <v>1498.3988888888889</v>
      </c>
      <c r="J40" s="793"/>
      <c r="K40" s="794"/>
      <c r="L40" s="791"/>
    </row>
    <row r="41" spans="2:12">
      <c r="B41" s="1074" t="s">
        <v>180</v>
      </c>
      <c r="C41" s="797"/>
      <c r="D41" s="797"/>
      <c r="E41" s="797"/>
      <c r="F41" s="1235"/>
      <c r="G41" s="1235"/>
      <c r="H41" s="1235"/>
      <c r="I41" s="1236"/>
      <c r="J41" s="791"/>
      <c r="K41" s="791"/>
      <c r="L41" s="791"/>
    </row>
    <row r="42" spans="2:12">
      <c r="B42" s="1073" t="s">
        <v>201</v>
      </c>
      <c r="C42" s="797">
        <f>SECT_U.FIS.!S12</f>
        <v>31.455667774476183</v>
      </c>
      <c r="D42" s="797">
        <f>SECT_U.FIS.!S26</f>
        <v>1163.0689112660093</v>
      </c>
      <c r="E42" s="797">
        <f>SECT_U.FIS.!S33</f>
        <v>466.40134140523503</v>
      </c>
      <c r="F42" s="1235">
        <f>SECT_U.FIS.!S44</f>
        <v>552.1167672380185</v>
      </c>
      <c r="G42" s="1235">
        <f>SUM(C42:F42)</f>
        <v>2213.0426876837391</v>
      </c>
      <c r="H42" s="1235">
        <f>SECT_U.FIS.!S57</f>
        <v>6374.9738154406559</v>
      </c>
      <c r="I42" s="1236">
        <f>G42+H42</f>
        <v>8588.016503124396</v>
      </c>
      <c r="J42" s="793"/>
      <c r="K42" s="794"/>
      <c r="L42" s="791"/>
    </row>
    <row r="43" spans="2:12">
      <c r="B43" s="1074" t="s">
        <v>181</v>
      </c>
      <c r="C43" s="797"/>
      <c r="D43" s="797"/>
      <c r="E43" s="797"/>
      <c r="F43" s="1235"/>
      <c r="G43" s="1235"/>
      <c r="H43" s="1235"/>
      <c r="I43" s="1236"/>
      <c r="J43" s="791"/>
      <c r="K43" s="791"/>
      <c r="L43" s="791"/>
    </row>
    <row r="44" spans="2:12">
      <c r="B44" s="1073" t="s">
        <v>22</v>
      </c>
      <c r="C44" s="797">
        <f>SECT_U.FIS.!T12</f>
        <v>0</v>
      </c>
      <c r="D44" s="797">
        <f>SECT_U.FIS.!T26</f>
        <v>0</v>
      </c>
      <c r="E44" s="797">
        <f>SECT_U.FIS.!T33</f>
        <v>0</v>
      </c>
      <c r="F44" s="1235">
        <f>SECT_U.FIS.!T44</f>
        <v>0</v>
      </c>
      <c r="G44" s="1235">
        <f>SUM(C44:F44)</f>
        <v>0</v>
      </c>
      <c r="H44" s="1235">
        <f>SECT_U.FIS.!T57</f>
        <v>0</v>
      </c>
      <c r="I44" s="1236">
        <f>G44+H44</f>
        <v>0</v>
      </c>
      <c r="J44" s="793"/>
      <c r="K44" s="794"/>
      <c r="L44" s="791"/>
    </row>
    <row r="45" spans="2:12">
      <c r="B45" s="1074" t="s">
        <v>180</v>
      </c>
      <c r="C45" s="797"/>
      <c r="D45" s="797"/>
      <c r="E45" s="797"/>
      <c r="F45" s="1235"/>
      <c r="G45" s="1235"/>
      <c r="H45" s="1235"/>
      <c r="I45" s="1236"/>
      <c r="J45" s="791"/>
      <c r="K45" s="791"/>
      <c r="L45" s="791"/>
    </row>
    <row r="46" spans="2:12">
      <c r="B46" s="1073" t="s">
        <v>9</v>
      </c>
      <c r="C46" s="797">
        <f>SECT_U.FIS.!V12</f>
        <v>0</v>
      </c>
      <c r="D46" s="797">
        <f>SECT_U.FIS.!V26</f>
        <v>2741.7770922246505</v>
      </c>
      <c r="E46" s="797">
        <f>SECT_U.FIS.!V33</f>
        <v>8285.6364502870802</v>
      </c>
      <c r="F46" s="1235">
        <f>SECT_U.FIS.!V44</f>
        <v>0</v>
      </c>
      <c r="G46" s="1235">
        <f>SUM(C46:F46)</f>
        <v>11027.413542511731</v>
      </c>
      <c r="H46" s="1235">
        <f>SECT_U.FIS.!V57</f>
        <v>1290.110592734796</v>
      </c>
      <c r="I46" s="1236">
        <f>G46+H46</f>
        <v>12317.524135246527</v>
      </c>
      <c r="J46" s="793"/>
      <c r="K46" s="794"/>
      <c r="L46" s="791"/>
    </row>
    <row r="47" spans="2:12">
      <c r="B47" s="1074" t="s">
        <v>180</v>
      </c>
      <c r="C47" s="797"/>
      <c r="D47" s="797"/>
      <c r="E47" s="797"/>
      <c r="F47" s="1235"/>
      <c r="G47" s="1235"/>
      <c r="H47" s="1235"/>
      <c r="I47" s="1236"/>
      <c r="J47" s="791"/>
      <c r="K47" s="791"/>
      <c r="L47" s="791"/>
    </row>
    <row r="48" spans="2:12">
      <c r="B48" s="1073" t="s">
        <v>10</v>
      </c>
      <c r="C48" s="797">
        <v>0</v>
      </c>
      <c r="D48" s="797">
        <v>0</v>
      </c>
      <c r="E48" s="797">
        <v>0</v>
      </c>
      <c r="F48" s="797">
        <v>0</v>
      </c>
      <c r="G48" s="1235">
        <f>SUM(C48:F48)</f>
        <v>0</v>
      </c>
      <c r="H48" s="1235">
        <v>0</v>
      </c>
      <c r="I48" s="1236">
        <f>G48+H48</f>
        <v>0</v>
      </c>
      <c r="J48" s="793"/>
      <c r="K48" s="791"/>
      <c r="L48" s="791"/>
    </row>
    <row r="49" spans="2:12" ht="13.5" thickBot="1">
      <c r="B49" s="1075" t="s">
        <v>180</v>
      </c>
      <c r="C49" s="798"/>
      <c r="D49" s="798"/>
      <c r="E49" s="798"/>
      <c r="F49" s="798"/>
      <c r="G49" s="798"/>
      <c r="H49" s="798"/>
      <c r="I49" s="799"/>
      <c r="J49" s="794"/>
      <c r="K49" s="791"/>
      <c r="L49" s="791"/>
    </row>
    <row r="50" spans="2:12">
      <c r="B50" s="21" t="s">
        <v>14</v>
      </c>
      <c r="C50" s="21"/>
      <c r="D50" s="21"/>
      <c r="E50" s="21"/>
      <c r="F50" s="21"/>
      <c r="G50" s="21"/>
      <c r="H50" s="21"/>
      <c r="I50" s="21"/>
      <c r="J50" s="73"/>
      <c r="K50" s="73"/>
      <c r="L50" s="73"/>
    </row>
    <row r="51" spans="2:12">
      <c r="B51" s="21" t="s">
        <v>777</v>
      </c>
      <c r="C51" s="21"/>
      <c r="D51" s="21"/>
      <c r="E51" s="21"/>
      <c r="F51" s="21"/>
      <c r="G51" s="21"/>
      <c r="H51" s="21"/>
      <c r="I51" s="21"/>
      <c r="J51" s="73"/>
      <c r="K51" s="73"/>
      <c r="L51" s="73"/>
    </row>
    <row r="52" spans="2:12">
      <c r="B52" s="791"/>
      <c r="C52" s="791"/>
      <c r="D52" s="791"/>
      <c r="E52" s="791"/>
      <c r="F52" s="791"/>
      <c r="G52" s="791"/>
      <c r="H52" s="791"/>
      <c r="I52" s="791"/>
      <c r="J52" s="791"/>
      <c r="K52" s="791"/>
      <c r="L52" s="791"/>
    </row>
    <row r="53" spans="2:12">
      <c r="B53" s="791"/>
      <c r="C53" s="791"/>
      <c r="D53" s="791"/>
      <c r="E53" s="791"/>
      <c r="F53" s="791"/>
      <c r="G53" s="791"/>
      <c r="H53" s="791"/>
      <c r="I53" s="791"/>
      <c r="J53" s="791"/>
      <c r="K53" s="791"/>
      <c r="L53" s="791"/>
    </row>
    <row r="54" spans="2:12">
      <c r="B54" s="791"/>
      <c r="C54" s="791"/>
      <c r="D54" s="791"/>
      <c r="E54" s="791"/>
      <c r="F54" s="791"/>
      <c r="G54" s="791"/>
      <c r="H54" s="791"/>
      <c r="I54" s="791"/>
      <c r="J54" s="791"/>
      <c r="K54" s="791"/>
      <c r="L54" s="791"/>
    </row>
    <row r="55" spans="2:12">
      <c r="B55" s="791"/>
      <c r="C55" s="791"/>
      <c r="D55" s="791"/>
      <c r="E55" s="791"/>
      <c r="F55" s="791"/>
      <c r="G55" s="791"/>
      <c r="H55" s="791"/>
      <c r="I55" s="791"/>
      <c r="J55" s="791"/>
      <c r="K55" s="791"/>
      <c r="L55" s="791"/>
    </row>
    <row r="56" spans="2:12">
      <c r="B56" s="791"/>
      <c r="C56" s="791"/>
      <c r="D56" s="791"/>
      <c r="E56" s="791"/>
      <c r="F56" s="791"/>
      <c r="G56" s="791"/>
      <c r="H56" s="791"/>
      <c r="I56" s="791"/>
      <c r="J56" s="791"/>
      <c r="K56" s="791"/>
      <c r="L56" s="791"/>
    </row>
    <row r="57" spans="2:12">
      <c r="B57" s="22"/>
      <c r="C57" s="22"/>
      <c r="D57" s="22"/>
      <c r="E57" s="22"/>
      <c r="F57" s="22"/>
      <c r="G57" s="22"/>
      <c r="H57" s="22"/>
      <c r="I57" s="22"/>
    </row>
    <row r="58" spans="2:12">
      <c r="B58" s="22"/>
      <c r="C58" s="22"/>
      <c r="D58" s="22"/>
      <c r="E58" s="22"/>
      <c r="F58" s="22"/>
      <c r="G58" s="22"/>
      <c r="H58" s="22"/>
      <c r="I58" s="22"/>
    </row>
    <row r="59" spans="2:12">
      <c r="B59" s="22"/>
      <c r="C59" s="22"/>
      <c r="D59" s="22"/>
      <c r="E59" s="22"/>
      <c r="F59" s="22"/>
      <c r="G59" s="22"/>
      <c r="H59" s="22"/>
      <c r="I59" s="22"/>
    </row>
    <row r="60" spans="2:12">
      <c r="B60" s="22"/>
      <c r="C60" s="22"/>
      <c r="D60" s="22"/>
      <c r="E60" s="22"/>
      <c r="F60" s="22"/>
      <c r="G60" s="22"/>
      <c r="H60" s="22"/>
      <c r="I60" s="22"/>
    </row>
    <row r="61" spans="2:12">
      <c r="B61" s="22"/>
      <c r="C61" s="22"/>
      <c r="D61" s="22"/>
      <c r="E61" s="22"/>
      <c r="F61" s="22"/>
      <c r="G61" s="22"/>
      <c r="H61" s="22"/>
      <c r="I61" s="22"/>
    </row>
    <row r="62" spans="2:12">
      <c r="B62" s="22"/>
      <c r="C62" s="22"/>
      <c r="D62" s="22"/>
      <c r="E62" s="22"/>
      <c r="F62" s="22"/>
      <c r="G62" s="22"/>
      <c r="H62" s="22"/>
      <c r="I62" s="22"/>
    </row>
    <row r="63" spans="2:12">
      <c r="B63" s="22"/>
      <c r="C63" s="22"/>
      <c r="D63" s="22"/>
      <c r="E63" s="22"/>
      <c r="F63" s="22"/>
      <c r="G63" s="22"/>
      <c r="H63" s="22"/>
      <c r="I63" s="22"/>
    </row>
    <row r="64" spans="2:12">
      <c r="B64" s="22"/>
      <c r="C64" s="22"/>
      <c r="D64" s="22"/>
      <c r="E64" s="22"/>
      <c r="F64" s="22"/>
      <c r="G64" s="22"/>
      <c r="H64" s="22"/>
      <c r="I64" s="22"/>
    </row>
    <row r="65" spans="2:9">
      <c r="B65" s="22"/>
      <c r="C65" s="22"/>
      <c r="D65" s="22"/>
      <c r="E65" s="22"/>
      <c r="F65" s="22"/>
      <c r="G65" s="22"/>
      <c r="H65" s="22"/>
      <c r="I65" s="22"/>
    </row>
    <row r="66" spans="2:9" s="22" customFormat="1"/>
    <row r="67" spans="2:9" s="22" customFormat="1"/>
    <row r="68" spans="2:9" s="22" customFormat="1"/>
    <row r="69" spans="2:9" s="22" customFormat="1"/>
    <row r="70" spans="2:9" s="22" customFormat="1"/>
    <row r="71" spans="2:9" s="22" customFormat="1"/>
    <row r="72" spans="2:9" s="22" customFormat="1"/>
    <row r="73" spans="2:9" s="22" customFormat="1"/>
    <row r="74" spans="2:9" s="22" customFormat="1"/>
    <row r="75" spans="2:9" s="22" customFormat="1"/>
    <row r="76" spans="2:9" s="22" customFormat="1"/>
    <row r="77" spans="2:9" s="22" customFormat="1"/>
    <row r="78" spans="2:9" s="22" customFormat="1"/>
    <row r="79" spans="2:9" s="22" customFormat="1"/>
    <row r="80" spans="2:9"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sheetData>
  <phoneticPr fontId="0" type="noConversion"/>
  <hyperlinks>
    <hyperlink ref="J3" location="INDICE!A60" display="VOLVER A INDICE"/>
  </hyperlinks>
  <pageMargins left="0.75" right="0.75" top="1" bottom="1" header="0" footer="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7"/>
  <sheetViews>
    <sheetView workbookViewId="0">
      <selection activeCell="I20" sqref="I20"/>
    </sheetView>
  </sheetViews>
  <sheetFormatPr baseColWidth="10" defaultRowHeight="12.75"/>
  <cols>
    <col min="1" max="1" width="1.5703125" style="898" customWidth="1"/>
    <col min="2" max="2" width="30" style="898" customWidth="1"/>
    <col min="3" max="7" width="11.42578125" style="898"/>
    <col min="8" max="17" width="11.42578125" style="22"/>
    <col min="18" max="16384" width="11.42578125" style="898"/>
  </cols>
  <sheetData>
    <row r="1" spans="2:9" ht="4.5" customHeight="1" thickBot="1"/>
    <row r="2" spans="2:9" ht="15.75" customHeight="1" thickBot="1">
      <c r="B2" s="1076"/>
      <c r="C2" s="1077"/>
      <c r="D2" s="1077"/>
      <c r="E2" s="1077"/>
      <c r="F2" s="1077"/>
      <c r="G2" s="1078"/>
      <c r="H2" s="285"/>
      <c r="I2" s="285"/>
    </row>
    <row r="3" spans="2:9" ht="15.75">
      <c r="B3" s="276" t="s">
        <v>202</v>
      </c>
      <c r="C3" s="277"/>
      <c r="D3" s="168" t="s">
        <v>77</v>
      </c>
      <c r="E3" s="277"/>
      <c r="F3" s="277"/>
      <c r="G3" s="278"/>
      <c r="H3" s="859" t="s">
        <v>683</v>
      </c>
      <c r="I3" s="285"/>
    </row>
    <row r="4" spans="2:9" ht="15.75">
      <c r="B4" s="279"/>
      <c r="C4" s="280"/>
      <c r="D4" s="281" t="s">
        <v>781</v>
      </c>
      <c r="E4" s="280"/>
      <c r="F4" s="280"/>
      <c r="G4" s="282"/>
      <c r="H4" s="285"/>
      <c r="I4" s="285"/>
    </row>
    <row r="5" spans="2:9" ht="15.75">
      <c r="B5" s="279"/>
      <c r="C5" s="280"/>
      <c r="D5" s="280" t="s">
        <v>203</v>
      </c>
      <c r="E5" s="280"/>
      <c r="F5" s="280"/>
      <c r="G5" s="282"/>
      <c r="H5" s="285"/>
      <c r="I5" s="285"/>
    </row>
    <row r="6" spans="2:9" ht="15.75">
      <c r="B6" s="279"/>
      <c r="C6" s="280"/>
      <c r="D6" s="281" t="s">
        <v>590</v>
      </c>
      <c r="E6" s="280"/>
      <c r="F6" s="280"/>
      <c r="G6" s="282"/>
      <c r="H6" s="285"/>
      <c r="I6" s="285"/>
    </row>
    <row r="7" spans="2:9" ht="15.75">
      <c r="B7" s="279"/>
      <c r="C7" s="280"/>
      <c r="D7" s="280"/>
      <c r="E7" s="280"/>
      <c r="F7" s="280"/>
      <c r="G7" s="282"/>
      <c r="H7" s="285"/>
      <c r="I7" s="285"/>
    </row>
    <row r="8" spans="2:9" ht="16.5" thickBot="1">
      <c r="B8" s="1079" t="s">
        <v>3</v>
      </c>
      <c r="C8" s="1080" t="s">
        <v>94</v>
      </c>
      <c r="D8" s="1080" t="s">
        <v>95</v>
      </c>
      <c r="E8" s="1080" t="s">
        <v>96</v>
      </c>
      <c r="F8" s="1080" t="s">
        <v>97</v>
      </c>
      <c r="G8" s="1081" t="s">
        <v>11</v>
      </c>
      <c r="H8" s="285"/>
      <c r="I8" s="285"/>
    </row>
    <row r="9" spans="2:9">
      <c r="B9" s="1082"/>
      <c r="C9" s="283"/>
      <c r="D9" s="283"/>
      <c r="E9" s="283"/>
      <c r="F9" s="283"/>
      <c r="G9" s="284"/>
      <c r="H9" s="285"/>
      <c r="I9" s="285"/>
    </row>
    <row r="10" spans="2:9">
      <c r="B10" s="1083" t="s">
        <v>204</v>
      </c>
      <c r="C10" s="286">
        <f>SECT_U.FIS.!D7</f>
        <v>0.14670847199999998</v>
      </c>
      <c r="D10" s="286">
        <f>SECT_U.FIS.!D8</f>
        <v>2.4499999999999994E-4</v>
      </c>
      <c r="E10" s="286">
        <f>SECT_U.FIS.!D9</f>
        <v>1059.3961111800002</v>
      </c>
      <c r="F10" s="286">
        <f>SECT_U.FIS.!D10</f>
        <v>0</v>
      </c>
      <c r="G10" s="287">
        <f>SUM(C10:F10)</f>
        <v>1059.5430646520001</v>
      </c>
      <c r="H10" s="288"/>
      <c r="I10" s="285"/>
    </row>
    <row r="11" spans="2:9">
      <c r="B11" s="1084" t="s">
        <v>180</v>
      </c>
      <c r="C11" s="286"/>
      <c r="D11" s="286"/>
      <c r="E11" s="286"/>
      <c r="F11" s="286"/>
      <c r="G11" s="287"/>
      <c r="H11" s="285"/>
      <c r="I11" s="285"/>
    </row>
    <row r="12" spans="2:9">
      <c r="B12" s="1083" t="s">
        <v>56</v>
      </c>
      <c r="C12" s="286">
        <f>SECT_U.FIS.!C7</f>
        <v>3039.6379319999996</v>
      </c>
      <c r="D12" s="286">
        <f>SECT_U.FIS.!C8</f>
        <v>20.784100999999996</v>
      </c>
      <c r="E12" s="286">
        <f>SECT_U.FIS.!C9</f>
        <v>401.06033900000006</v>
      </c>
      <c r="F12" s="286">
        <f>SECT_U.FIS.!C10</f>
        <v>0.16798000000000002</v>
      </c>
      <c r="G12" s="287">
        <f>SUM(C12:F12)</f>
        <v>3461.6503520000001</v>
      </c>
      <c r="H12" s="288"/>
      <c r="I12" s="285"/>
    </row>
    <row r="13" spans="2:9">
      <c r="B13" s="1084" t="s">
        <v>179</v>
      </c>
      <c r="C13" s="286"/>
      <c r="D13" s="286"/>
      <c r="E13" s="286"/>
      <c r="F13" s="286"/>
      <c r="G13" s="287"/>
      <c r="H13" s="285"/>
      <c r="I13" s="285"/>
    </row>
    <row r="14" spans="2:9">
      <c r="B14" s="1083" t="s">
        <v>199</v>
      </c>
      <c r="C14" s="286">
        <f>SECT_U.FIS.!E7</f>
        <v>2884.8954129999993</v>
      </c>
      <c r="D14" s="286">
        <f>SECT_U.FIS.!E8</f>
        <v>0</v>
      </c>
      <c r="E14" s="286">
        <f>SECT_U.FIS.!E9</f>
        <v>7.5789999999999988</v>
      </c>
      <c r="F14" s="286">
        <f>SECT_U.FIS.!E10</f>
        <v>3.7999999999999992E-2</v>
      </c>
      <c r="G14" s="287">
        <f>SUM(C14:F14)</f>
        <v>2892.5124129999995</v>
      </c>
      <c r="H14" s="288"/>
      <c r="I14" s="285"/>
    </row>
    <row r="15" spans="2:9">
      <c r="B15" s="1084" t="s">
        <v>179</v>
      </c>
      <c r="C15" s="286"/>
      <c r="D15" s="286"/>
      <c r="E15" s="286"/>
      <c r="F15" s="286"/>
      <c r="G15" s="287"/>
      <c r="H15" s="285"/>
      <c r="I15" s="285"/>
    </row>
    <row r="16" spans="2:9">
      <c r="B16" s="1083" t="s">
        <v>90</v>
      </c>
      <c r="C16" s="286">
        <v>0</v>
      </c>
      <c r="D16" s="286">
        <v>0</v>
      </c>
      <c r="E16" s="286">
        <v>0</v>
      </c>
      <c r="F16" s="286">
        <v>0</v>
      </c>
      <c r="G16" s="287">
        <f>SUM(C16:F16)</f>
        <v>0</v>
      </c>
      <c r="H16" s="288"/>
      <c r="I16" s="285"/>
    </row>
    <row r="17" spans="2:9">
      <c r="B17" s="1084" t="s">
        <v>179</v>
      </c>
      <c r="C17" s="286"/>
      <c r="D17" s="286"/>
      <c r="E17" s="286"/>
      <c r="F17" s="286"/>
      <c r="G17" s="287"/>
      <c r="H17" s="285"/>
      <c r="I17" s="285"/>
    </row>
    <row r="18" spans="2:9">
      <c r="B18" s="1083" t="s">
        <v>205</v>
      </c>
      <c r="C18" s="286">
        <f>SECT_U.FIS.!I7</f>
        <v>2.1000000000000001E-2</v>
      </c>
      <c r="D18" s="286">
        <f>SECT_U.FIS.!I8</f>
        <v>0</v>
      </c>
      <c r="E18" s="286">
        <f>SECT_U.FIS.!I9</f>
        <v>0</v>
      </c>
      <c r="F18" s="286">
        <f>SECT_U.FIS.!I10</f>
        <v>5.9580000000000011</v>
      </c>
      <c r="G18" s="287">
        <f>SUM(C18:F18)</f>
        <v>5.979000000000001</v>
      </c>
      <c r="H18" s="288"/>
      <c r="I18" s="285"/>
    </row>
    <row r="19" spans="2:9">
      <c r="B19" s="1084" t="s">
        <v>179</v>
      </c>
      <c r="C19" s="286"/>
      <c r="D19" s="286"/>
      <c r="E19" s="286"/>
      <c r="F19" s="286"/>
      <c r="G19" s="287"/>
      <c r="H19" s="285"/>
      <c r="I19" s="285"/>
    </row>
    <row r="20" spans="2:9">
      <c r="B20" s="1083" t="s">
        <v>62</v>
      </c>
      <c r="C20" s="286">
        <f>SECT_U.FIS.!J7</f>
        <v>0.05</v>
      </c>
      <c r="D20" s="286">
        <f>SECT_U.FIS.!J8</f>
        <v>0</v>
      </c>
      <c r="E20" s="286">
        <f>SECT_U.FIS.!J9</f>
        <v>0</v>
      </c>
      <c r="F20" s="286">
        <f>SECT_U.FIS.!J10</f>
        <v>710.00444000000016</v>
      </c>
      <c r="G20" s="287">
        <f>SUM(C20:F20)</f>
        <v>710.05444000000011</v>
      </c>
      <c r="H20" s="288"/>
      <c r="I20" s="285"/>
    </row>
    <row r="21" spans="2:9">
      <c r="B21" s="1084" t="s">
        <v>179</v>
      </c>
      <c r="C21" s="286"/>
      <c r="D21" s="286"/>
      <c r="E21" s="286"/>
      <c r="F21" s="286"/>
      <c r="G21" s="287"/>
      <c r="H21" s="285"/>
      <c r="I21" s="285"/>
    </row>
    <row r="22" spans="2:9">
      <c r="B22" s="1217" t="s">
        <v>59</v>
      </c>
      <c r="C22" s="286">
        <f>SECT_U.FIS.!G7</f>
        <v>4.7718999999999996</v>
      </c>
      <c r="D22" s="286">
        <f>SECT_U.FIS.!G8</f>
        <v>0</v>
      </c>
      <c r="E22" s="286">
        <f>SECT_U.FIS.!G9</f>
        <v>0.19600000000000001</v>
      </c>
      <c r="F22" s="286">
        <f>SECT_U.FIS.!G10</f>
        <v>0</v>
      </c>
      <c r="G22" s="287">
        <f>SUM(C22:F22)</f>
        <v>4.9678999999999993</v>
      </c>
      <c r="H22" s="285"/>
      <c r="I22" s="285"/>
    </row>
    <row r="23" spans="2:9">
      <c r="B23" s="1084" t="s">
        <v>179</v>
      </c>
      <c r="C23" s="286"/>
      <c r="D23" s="286"/>
      <c r="E23" s="286"/>
      <c r="F23" s="286"/>
      <c r="G23" s="287"/>
      <c r="H23" s="285"/>
      <c r="I23" s="285"/>
    </row>
    <row r="24" spans="2:9">
      <c r="B24" s="1217" t="s">
        <v>60</v>
      </c>
      <c r="C24" s="286">
        <f>SECT_U.FIS.!H7</f>
        <v>1.5789250000000001</v>
      </c>
      <c r="D24" s="286">
        <f>SECT_U.FIS.!H8</f>
        <v>0</v>
      </c>
      <c r="E24" s="286">
        <f>SECT_U.FIS.!H9</f>
        <v>0</v>
      </c>
      <c r="F24" s="286">
        <f>SECT_U.FIS.!H10</f>
        <v>0</v>
      </c>
      <c r="G24" s="287">
        <f>SUM(C24:F24)</f>
        <v>1.5789250000000001</v>
      </c>
      <c r="H24" s="285"/>
      <c r="I24" s="285"/>
    </row>
    <row r="25" spans="2:9">
      <c r="B25" s="1084" t="s">
        <v>180</v>
      </c>
      <c r="C25" s="286"/>
      <c r="D25" s="286"/>
      <c r="E25" s="286"/>
      <c r="F25" s="286"/>
      <c r="G25" s="287"/>
      <c r="H25" s="285"/>
      <c r="I25" s="285"/>
    </row>
    <row r="26" spans="2:9">
      <c r="B26" s="1083" t="s">
        <v>18</v>
      </c>
      <c r="C26" s="286">
        <f>SECT_U.FIS.!M7</f>
        <v>150.08165399999999</v>
      </c>
      <c r="D26" s="286">
        <f>SECT_U.FIS.!M8</f>
        <v>82.75322700000001</v>
      </c>
      <c r="E26" s="286">
        <f>SECT_U.FIS.!M9</f>
        <v>0</v>
      </c>
      <c r="F26" s="286">
        <f>SECT_U.FIS.!M10</f>
        <v>0</v>
      </c>
      <c r="G26" s="287">
        <f>SUM(C26:F26)</f>
        <v>232.834881</v>
      </c>
      <c r="H26" s="288"/>
      <c r="I26" s="289"/>
    </row>
    <row r="27" spans="2:9">
      <c r="B27" s="1084" t="s">
        <v>183</v>
      </c>
      <c r="C27" s="286"/>
      <c r="D27" s="286"/>
      <c r="E27" s="286"/>
      <c r="F27" s="286"/>
      <c r="G27" s="287"/>
      <c r="H27" s="285"/>
      <c r="I27" s="285"/>
    </row>
    <row r="28" spans="2:9">
      <c r="B28" s="1083" t="s">
        <v>6</v>
      </c>
      <c r="C28" s="286">
        <f>SECT_U.FIS.!S7</f>
        <v>31.455667774476183</v>
      </c>
      <c r="D28" s="286">
        <f>SECT_U.FIS.!S8</f>
        <v>0</v>
      </c>
      <c r="E28" s="286">
        <f>SECT_U.FIS.!S9</f>
        <v>0</v>
      </c>
      <c r="F28" s="286">
        <f>SECT_U.FIS.!S10</f>
        <v>0</v>
      </c>
      <c r="G28" s="287">
        <f>SUM(C28:F28)</f>
        <v>31.455667774476183</v>
      </c>
      <c r="H28" s="288"/>
      <c r="I28" s="285"/>
    </row>
    <row r="29" spans="2:9">
      <c r="B29" s="1084" t="s">
        <v>181</v>
      </c>
      <c r="C29" s="286"/>
      <c r="D29" s="286"/>
      <c r="E29" s="286"/>
      <c r="F29" s="286"/>
      <c r="G29" s="287"/>
      <c r="H29" s="285"/>
      <c r="I29" s="285"/>
    </row>
    <row r="30" spans="2:9">
      <c r="B30" s="1083" t="s">
        <v>7</v>
      </c>
      <c r="C30" s="286">
        <f>SECT_U.FIS.!N7</f>
        <v>0</v>
      </c>
      <c r="D30" s="286">
        <f>SECT_U.FIS.!N8</f>
        <v>5.8999999999999997E-2</v>
      </c>
      <c r="E30" s="286">
        <f>SECT_U.FIS.!N9</f>
        <v>0</v>
      </c>
      <c r="F30" s="286">
        <f>SECT_U.FIS.!N10</f>
        <v>0</v>
      </c>
      <c r="G30" s="287">
        <f>SUM(C30:F30)</f>
        <v>5.8999999999999997E-2</v>
      </c>
      <c r="H30" s="288"/>
      <c r="I30" s="285"/>
    </row>
    <row r="31" spans="2:9">
      <c r="B31" s="1084" t="s">
        <v>180</v>
      </c>
      <c r="C31" s="286"/>
      <c r="D31" s="286"/>
      <c r="E31" s="286"/>
      <c r="F31" s="286"/>
      <c r="G31" s="287"/>
      <c r="H31" s="285"/>
      <c r="I31" s="285"/>
    </row>
    <row r="32" spans="2:9" ht="13.5" thickBot="1">
      <c r="B32" s="1085"/>
      <c r="C32" s="290"/>
      <c r="D32" s="290"/>
      <c r="E32" s="290"/>
      <c r="F32" s="290"/>
      <c r="G32" s="291"/>
      <c r="H32" s="285"/>
      <c r="I32" s="285"/>
    </row>
    <row r="33" spans="2:9">
      <c r="B33" s="21" t="s">
        <v>14</v>
      </c>
      <c r="C33" s="21"/>
      <c r="D33" s="21"/>
      <c r="E33" s="21"/>
      <c r="F33" s="21"/>
      <c r="G33" s="21"/>
      <c r="H33" s="21"/>
      <c r="I33" s="73"/>
    </row>
    <row r="34" spans="2:9">
      <c r="B34" s="21" t="s">
        <v>777</v>
      </c>
      <c r="C34" s="21"/>
      <c r="D34" s="21"/>
      <c r="E34" s="21"/>
      <c r="F34" s="21"/>
      <c r="G34" s="21"/>
      <c r="H34" s="21"/>
      <c r="I34" s="73"/>
    </row>
    <row r="35" spans="2:9">
      <c r="B35" s="285"/>
      <c r="C35" s="285"/>
      <c r="D35" s="285"/>
      <c r="E35" s="285"/>
      <c r="F35" s="285"/>
      <c r="G35" s="285"/>
      <c r="H35" s="285"/>
      <c r="I35" s="285"/>
    </row>
    <row r="36" spans="2:9">
      <c r="B36" s="22"/>
      <c r="C36" s="22"/>
      <c r="D36" s="22"/>
      <c r="E36" s="22"/>
      <c r="F36" s="22"/>
      <c r="G36" s="22"/>
    </row>
    <row r="37" spans="2:9">
      <c r="B37" s="22"/>
      <c r="C37" s="22"/>
      <c r="D37" s="22"/>
      <c r="E37" s="22"/>
      <c r="F37" s="22"/>
      <c r="G37" s="22"/>
    </row>
    <row r="38" spans="2:9" s="22" customFormat="1"/>
    <row r="39" spans="2:9" s="22" customFormat="1"/>
    <row r="40" spans="2:9" s="22" customFormat="1"/>
    <row r="41" spans="2:9" s="22" customFormat="1"/>
    <row r="42" spans="2:9" s="22" customFormat="1"/>
    <row r="43" spans="2:9" s="22" customFormat="1"/>
    <row r="44" spans="2:9" s="22" customFormat="1"/>
    <row r="45" spans="2:9" s="22" customFormat="1"/>
    <row r="46" spans="2:9" s="22" customFormat="1"/>
    <row r="47" spans="2:9" s="22" customFormat="1"/>
    <row r="48" spans="2:9"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pans="3:7" s="22" customFormat="1"/>
    <row r="66" spans="3:7" s="22" customFormat="1"/>
    <row r="67" spans="3:7" s="22" customFormat="1"/>
    <row r="68" spans="3:7" s="22" customFormat="1"/>
    <row r="69" spans="3:7" s="22" customFormat="1"/>
    <row r="70" spans="3:7" s="22" customFormat="1"/>
    <row r="71" spans="3:7" s="22" customFormat="1"/>
    <row r="72" spans="3:7" s="22" customFormat="1"/>
    <row r="73" spans="3:7" s="22" customFormat="1"/>
    <row r="74" spans="3:7" s="22" customFormat="1"/>
    <row r="75" spans="3:7" s="22" customFormat="1"/>
    <row r="76" spans="3:7" s="22" customFormat="1"/>
    <row r="77" spans="3:7" s="22" customFormat="1"/>
    <row r="78" spans="3:7" s="22" customFormat="1"/>
    <row r="79" spans="3:7" s="22" customFormat="1"/>
    <row r="80" spans="3:7">
      <c r="C80" s="22"/>
      <c r="D80" s="22"/>
      <c r="E80" s="22"/>
      <c r="F80" s="22"/>
      <c r="G80" s="22"/>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row r="87" spans="3:7">
      <c r="C87" s="22"/>
      <c r="D87" s="22"/>
      <c r="E87" s="22"/>
      <c r="F87" s="22"/>
      <c r="G87" s="22"/>
    </row>
  </sheetData>
  <phoneticPr fontId="0" type="noConversion"/>
  <hyperlinks>
    <hyperlink ref="H3" location="INDICE!A60" display="VOLVER A INDICE"/>
  </hyperlink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
  <sheetViews>
    <sheetView workbookViewId="0">
      <selection activeCell="K5" sqref="K5"/>
    </sheetView>
  </sheetViews>
  <sheetFormatPr baseColWidth="10" defaultRowHeight="12.75"/>
  <cols>
    <col min="1" max="1" width="2.7109375" style="22" customWidth="1"/>
    <col min="2" max="16384" width="11.42578125" style="22"/>
  </cols>
  <sheetData>
    <row r="6" spans="2:2" ht="15.75">
      <c r="B6" s="892"/>
    </row>
  </sheetData>
  <phoneticPr fontId="0" type="noConversion"/>
  <pageMargins left="0.75" right="0.75" top="1" bottom="1" header="0" footer="0"/>
  <pageSetup paperSize="9" scale="74"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showGridLines="0" zoomScale="85" workbookViewId="0">
      <pane ySplit="8" topLeftCell="A9" activePane="bottomLeft" state="frozen"/>
      <selection pane="bottomLeft" activeCell="K34" sqref="K34"/>
    </sheetView>
  </sheetViews>
  <sheetFormatPr baseColWidth="10" defaultRowHeight="12.75"/>
  <cols>
    <col min="1" max="1" width="1.85546875" style="898" customWidth="1"/>
    <col min="2" max="2" width="27.85546875" customWidth="1"/>
    <col min="14" max="14" width="15.140625" customWidth="1"/>
    <col min="15" max="15" width="11.42578125" style="22"/>
    <col min="16" max="16" width="19.28515625" style="22" customWidth="1"/>
    <col min="17" max="17" width="19.42578125" style="22" customWidth="1"/>
    <col min="18" max="24" width="11.42578125" style="22"/>
    <col min="26" max="26" width="21.5703125" customWidth="1"/>
  </cols>
  <sheetData>
    <row r="1" spans="2:26" ht="5.25" customHeight="1" thickBot="1"/>
    <row r="2" spans="2:26" ht="15.75" customHeight="1" thickBot="1">
      <c r="B2" s="1086"/>
      <c r="C2" s="1087"/>
      <c r="D2" s="1087"/>
      <c r="E2" s="1087"/>
      <c r="F2" s="1087"/>
      <c r="G2" s="1087"/>
      <c r="H2" s="1087"/>
      <c r="I2" s="1087"/>
      <c r="J2" s="1087"/>
      <c r="K2" s="1087"/>
      <c r="L2" s="1087"/>
      <c r="M2" s="1087"/>
      <c r="N2" s="1088"/>
      <c r="O2" s="305"/>
    </row>
    <row r="3" spans="2:26" ht="15.75">
      <c r="B3" s="292"/>
      <c r="C3" s="293"/>
      <c r="D3" s="293"/>
      <c r="E3" s="293"/>
      <c r="F3" s="294"/>
      <c r="G3" s="168" t="s">
        <v>77</v>
      </c>
      <c r="H3" s="293"/>
      <c r="I3" s="293"/>
      <c r="J3" s="293"/>
      <c r="K3" s="293"/>
      <c r="L3" s="293"/>
      <c r="M3" s="293"/>
      <c r="N3" s="295"/>
      <c r="O3" s="304"/>
    </row>
    <row r="4" spans="2:26" ht="15.75">
      <c r="B4" s="296"/>
      <c r="C4" s="297"/>
      <c r="D4" s="297"/>
      <c r="E4" s="297"/>
      <c r="F4" s="298" t="s">
        <v>206</v>
      </c>
      <c r="G4" s="298"/>
      <c r="H4" s="297"/>
      <c r="I4" s="297"/>
      <c r="J4" s="297"/>
      <c r="K4" s="297"/>
      <c r="L4" s="297"/>
      <c r="M4" s="297"/>
      <c r="N4" s="299"/>
      <c r="O4" s="304"/>
    </row>
    <row r="5" spans="2:26" ht="15.75">
      <c r="B5" s="296"/>
      <c r="C5" s="297"/>
      <c r="D5" s="297"/>
      <c r="E5" s="297"/>
      <c r="F5" s="300" t="s">
        <v>784</v>
      </c>
      <c r="G5" s="300"/>
      <c r="H5" s="297"/>
      <c r="I5" s="297"/>
      <c r="J5" s="297"/>
      <c r="K5" s="297"/>
      <c r="L5" s="297"/>
      <c r="M5" s="297"/>
      <c r="N5" s="299"/>
      <c r="O5" s="304"/>
    </row>
    <row r="6" spans="2:26" ht="15.75">
      <c r="B6" s="296"/>
      <c r="C6" s="297"/>
      <c r="D6" s="297"/>
      <c r="E6" s="297"/>
      <c r="F6" s="298" t="s">
        <v>207</v>
      </c>
      <c r="G6" s="297"/>
      <c r="H6" s="297"/>
      <c r="I6" s="297"/>
      <c r="J6" s="297"/>
      <c r="K6" s="297"/>
      <c r="L6" s="297"/>
      <c r="M6" s="297"/>
      <c r="N6" s="299"/>
      <c r="O6" s="859" t="s">
        <v>683</v>
      </c>
    </row>
    <row r="7" spans="2:26" ht="15.75">
      <c r="B7" s="296"/>
      <c r="C7" s="300" t="s">
        <v>99</v>
      </c>
      <c r="D7" s="300" t="s">
        <v>100</v>
      </c>
      <c r="E7" s="300" t="s">
        <v>101</v>
      </c>
      <c r="F7" s="300" t="s">
        <v>102</v>
      </c>
      <c r="G7" s="300" t="s">
        <v>103</v>
      </c>
      <c r="H7" s="300" t="s">
        <v>104</v>
      </c>
      <c r="I7" s="300" t="s">
        <v>105</v>
      </c>
      <c r="J7" s="300" t="s">
        <v>106</v>
      </c>
      <c r="K7" s="300" t="s">
        <v>107</v>
      </c>
      <c r="L7" s="300" t="s">
        <v>108</v>
      </c>
      <c r="M7" s="300" t="s">
        <v>109</v>
      </c>
      <c r="N7" s="301" t="s">
        <v>11</v>
      </c>
      <c r="O7" s="1298"/>
      <c r="P7" s="1299"/>
      <c r="Q7" s="1299"/>
      <c r="R7" s="1299"/>
      <c r="S7" s="1299"/>
      <c r="T7" s="1299"/>
      <c r="U7" s="1299"/>
      <c r="V7" s="1299"/>
      <c r="W7" s="1299"/>
      <c r="X7" s="1299"/>
      <c r="Y7" s="1299"/>
      <c r="Z7" s="1299"/>
    </row>
    <row r="8" spans="2:26" ht="16.5" thickBot="1">
      <c r="B8" s="1089" t="s">
        <v>3</v>
      </c>
      <c r="C8" s="1090"/>
      <c r="D8" s="1090"/>
      <c r="E8" s="1090"/>
      <c r="F8" s="1090" t="s">
        <v>110</v>
      </c>
      <c r="G8" s="1090" t="s">
        <v>208</v>
      </c>
      <c r="H8" s="1090" t="s">
        <v>112</v>
      </c>
      <c r="I8" s="1090"/>
      <c r="J8" s="1090"/>
      <c r="K8" s="1090"/>
      <c r="L8" s="1090" t="s">
        <v>113</v>
      </c>
      <c r="M8" s="1090" t="s">
        <v>113</v>
      </c>
      <c r="N8" s="1091"/>
      <c r="O8" s="1298"/>
      <c r="P8" s="1299"/>
      <c r="Q8" s="1299"/>
      <c r="R8" s="1299"/>
      <c r="S8" s="1299"/>
      <c r="T8" s="1299"/>
      <c r="U8" s="1299"/>
      <c r="V8" s="1299"/>
      <c r="W8" s="1299"/>
      <c r="X8" s="1299"/>
      <c r="Y8" s="1299"/>
      <c r="Z8" s="1299"/>
    </row>
    <row r="9" spans="2:26">
      <c r="B9" s="1092"/>
      <c r="C9" s="306"/>
      <c r="D9" s="306"/>
      <c r="E9" s="306"/>
      <c r="F9" s="306"/>
      <c r="G9" s="306"/>
      <c r="H9" s="306"/>
      <c r="I9" s="306"/>
      <c r="J9" s="306"/>
      <c r="K9" s="306"/>
      <c r="L9" s="306"/>
      <c r="M9" s="306"/>
      <c r="N9" s="307"/>
      <c r="O9" s="1298"/>
      <c r="P9" s="1300"/>
      <c r="Q9" s="1300"/>
      <c r="R9" s="1300"/>
      <c r="S9" s="1300"/>
      <c r="T9" s="1300"/>
      <c r="U9" s="1300"/>
      <c r="V9" s="1300"/>
      <c r="W9" s="1300"/>
      <c r="X9" s="1300"/>
      <c r="Y9" s="1300"/>
      <c r="Z9" s="1300"/>
    </row>
    <row r="10" spans="2:26">
      <c r="B10" s="1093" t="s">
        <v>55</v>
      </c>
      <c r="C10" s="1297">
        <f>SECT_U.FIS.!D14</f>
        <v>85.817044999999993</v>
      </c>
      <c r="D10" s="302">
        <f>SECT_U.FIS.!D15</f>
        <v>3.5749200000000001</v>
      </c>
      <c r="E10" s="302">
        <f>SECT_U.FIS.!D16</f>
        <v>2.8171999999999997</v>
      </c>
      <c r="F10" s="302">
        <f>SECT_U.FIS.!D17</f>
        <v>95.312461246992484</v>
      </c>
      <c r="G10" s="302">
        <f>SECT_U.FIS.!D18</f>
        <v>17.364000000000001</v>
      </c>
      <c r="H10" s="302">
        <f>SECT_U.FIS.!D19</f>
        <v>0</v>
      </c>
      <c r="I10" s="302">
        <f>SECT_U.FIS.!D20</f>
        <v>22.248116727000003</v>
      </c>
      <c r="J10" s="302">
        <f>SECT_U.FIS.!D21</f>
        <v>10.592613630779999</v>
      </c>
      <c r="K10" s="302">
        <f>SECT_U.FIS.!D22</f>
        <v>76.545047479999994</v>
      </c>
      <c r="L10" s="302">
        <f>SECT_U.FIS.!D23</f>
        <v>76.325764311891405</v>
      </c>
      <c r="M10" s="1297">
        <f>SECT_U.FIS.!D24</f>
        <v>64.492531</v>
      </c>
      <c r="N10" s="303">
        <f>SUM(C10:M10)</f>
        <v>455.08969939666389</v>
      </c>
      <c r="O10" s="1301"/>
      <c r="P10" s="1301"/>
      <c r="Q10" s="1301"/>
      <c r="R10" s="1301"/>
      <c r="S10" s="1301"/>
      <c r="T10" s="1301"/>
      <c r="U10" s="1301"/>
      <c r="V10" s="1301"/>
      <c r="W10" s="1301"/>
      <c r="X10" s="1301"/>
      <c r="Y10" s="1301"/>
      <c r="Z10" s="1301"/>
    </row>
    <row r="11" spans="2:26">
      <c r="B11" s="1094" t="s">
        <v>180</v>
      </c>
      <c r="C11" s="302"/>
      <c r="D11" s="302"/>
      <c r="E11" s="302"/>
      <c r="F11" s="302"/>
      <c r="G11" s="302"/>
      <c r="H11" s="302"/>
      <c r="I11" s="302"/>
      <c r="J11" s="302"/>
      <c r="K11" s="302"/>
      <c r="L11" s="302"/>
      <c r="M11" s="302"/>
      <c r="N11" s="303"/>
      <c r="O11" s="1302"/>
      <c r="P11" s="1301"/>
      <c r="Q11" s="1301"/>
      <c r="R11" s="1300"/>
      <c r="S11" s="1300"/>
      <c r="T11" s="1300"/>
      <c r="U11" s="1300"/>
      <c r="V11" s="1300"/>
      <c r="W11" s="1300"/>
      <c r="X11" s="1300"/>
      <c r="Y11" s="1300"/>
      <c r="Z11" s="1300"/>
    </row>
    <row r="12" spans="2:26">
      <c r="B12" s="1093" t="s">
        <v>56</v>
      </c>
      <c r="C12" s="1297">
        <f>SECT_U.FIS.!C14</f>
        <v>513.30563269999993</v>
      </c>
      <c r="D12" s="302">
        <f>SECT_U.FIS.!C15</f>
        <v>40.429334608559991</v>
      </c>
      <c r="E12" s="302">
        <f>SECT_U.FIS.!C16</f>
        <v>4.4829149999999993</v>
      </c>
      <c r="F12" s="302">
        <f>SECT_U.FIS.!C17</f>
        <v>6.9966921699999993</v>
      </c>
      <c r="G12" s="302">
        <f>SECT_U.FIS.!C18</f>
        <v>2.2097333333333329</v>
      </c>
      <c r="H12" s="302">
        <f>SECT_U.FIS.!C19</f>
        <v>0.37490999999999991</v>
      </c>
      <c r="I12" s="302">
        <f>SECT_U.FIS.!C20</f>
        <v>6.0172720000000002</v>
      </c>
      <c r="J12" s="302">
        <f>SECT_U.FIS.!C21</f>
        <v>0</v>
      </c>
      <c r="K12" s="302">
        <f>SECT_U.FIS.!C22</f>
        <v>82.296282026936623</v>
      </c>
      <c r="L12" s="302">
        <f>SECT_U.FIS.!C23</f>
        <v>627.57889028567911</v>
      </c>
      <c r="M12" s="302">
        <f>SECT_U.FIS.!C24</f>
        <v>403.36579429999983</v>
      </c>
      <c r="N12" s="303">
        <f>SUM(C12:M12)</f>
        <v>1687.0574564245089</v>
      </c>
      <c r="O12" s="1301"/>
      <c r="P12" s="1301"/>
      <c r="Q12" s="1301"/>
      <c r="R12" s="1301"/>
      <c r="S12" s="1301"/>
      <c r="T12" s="1301"/>
      <c r="U12" s="1301"/>
      <c r="V12" s="1301"/>
      <c r="W12" s="1301"/>
      <c r="X12" s="1301"/>
      <c r="Y12" s="1301"/>
      <c r="Z12" s="1301"/>
    </row>
    <row r="13" spans="2:26">
      <c r="B13" s="1094" t="s">
        <v>179</v>
      </c>
      <c r="C13" s="302"/>
      <c r="D13" s="302"/>
      <c r="E13" s="302"/>
      <c r="F13" s="302"/>
      <c r="G13" s="302"/>
      <c r="H13" s="302"/>
      <c r="I13" s="302"/>
      <c r="J13" s="302"/>
      <c r="K13" s="302"/>
      <c r="L13" s="302"/>
      <c r="M13" s="302"/>
      <c r="N13" s="303"/>
      <c r="O13" s="1302"/>
      <c r="P13" s="1302"/>
      <c r="Q13" s="1302"/>
      <c r="R13" s="1300"/>
      <c r="S13" s="1300"/>
      <c r="T13" s="1300"/>
      <c r="U13" s="1300"/>
      <c r="V13" s="1300"/>
      <c r="W13" s="1300"/>
      <c r="X13" s="1300"/>
      <c r="Y13" s="1300"/>
      <c r="Z13" s="1300"/>
    </row>
    <row r="14" spans="2:26">
      <c r="B14" s="1093" t="s">
        <v>59</v>
      </c>
      <c r="C14" s="1297">
        <f>SECT_U.FIS.!G14</f>
        <v>8.9783429999999989</v>
      </c>
      <c r="D14" s="302">
        <f>SECT_U.FIS.!G15</f>
        <v>0</v>
      </c>
      <c r="E14" s="302">
        <f>SECT_U.FIS.!G16</f>
        <v>0</v>
      </c>
      <c r="F14" s="302">
        <f>SECT_U.FIS.!G17</f>
        <v>8.7950000000000025E-3</v>
      </c>
      <c r="G14" s="302">
        <f>SECT_U.FIS.!G18</f>
        <v>0.22320000000000004</v>
      </c>
      <c r="H14" s="302">
        <f>SECT_U.FIS.!G19</f>
        <v>0</v>
      </c>
      <c r="I14" s="302">
        <f>SECT_U.FIS.!G20</f>
        <v>0</v>
      </c>
      <c r="J14" s="302">
        <f>SECT_U.FIS.!G21</f>
        <v>0</v>
      </c>
      <c r="K14" s="302">
        <f>SECT_U.FIS.!G22</f>
        <v>0</v>
      </c>
      <c r="L14" s="302">
        <f>SECT_U.FIS.!G23</f>
        <v>16.882205000000006</v>
      </c>
      <c r="M14" s="302">
        <f>SECT_U.FIS.!G24</f>
        <v>3.6445369999999975</v>
      </c>
      <c r="N14" s="303">
        <f>SUM(C14:M14)</f>
        <v>29.737080000000002</v>
      </c>
      <c r="O14" s="1301"/>
      <c r="P14" s="1301"/>
      <c r="Q14" s="1301"/>
      <c r="R14" s="1301"/>
      <c r="S14" s="1301"/>
      <c r="T14" s="1301"/>
      <c r="U14" s="1301"/>
      <c r="V14" s="1301"/>
      <c r="W14" s="1301"/>
      <c r="X14" s="1301"/>
      <c r="Y14" s="1301"/>
      <c r="Z14" s="1301"/>
    </row>
    <row r="15" spans="2:26">
      <c r="B15" s="1094" t="s">
        <v>179</v>
      </c>
      <c r="C15" s="302"/>
      <c r="D15" s="302"/>
      <c r="E15" s="302"/>
      <c r="F15" s="302"/>
      <c r="G15" s="302"/>
      <c r="H15" s="302"/>
      <c r="I15" s="302"/>
      <c r="J15" s="302"/>
      <c r="K15" s="302"/>
      <c r="L15" s="302"/>
      <c r="M15" s="302"/>
      <c r="N15" s="303"/>
      <c r="O15" s="1302"/>
      <c r="P15" s="1302"/>
      <c r="Q15" s="1302"/>
      <c r="R15" s="1300"/>
      <c r="S15" s="1300"/>
      <c r="T15" s="1300"/>
      <c r="U15" s="1300"/>
      <c r="V15" s="1300"/>
      <c r="W15" s="1300"/>
      <c r="X15" s="1300"/>
      <c r="Y15" s="1300"/>
      <c r="Z15" s="1300"/>
    </row>
    <row r="16" spans="2:26">
      <c r="B16" s="1093" t="s">
        <v>60</v>
      </c>
      <c r="C16" s="1297">
        <f>SECT_U.FIS.!H14</f>
        <v>5.6027079999999998</v>
      </c>
      <c r="D16" s="302">
        <f>SECT_U.FIS.!H15</f>
        <v>0.53569285000000011</v>
      </c>
      <c r="E16" s="302">
        <f>SECT_U.FIS.!H16</f>
        <v>0</v>
      </c>
      <c r="F16" s="302">
        <f>SECT_U.FIS.!H17</f>
        <v>2.7372645000000011</v>
      </c>
      <c r="G16" s="302">
        <f>SECT_U.FIS.!H18</f>
        <v>0.36510260000000005</v>
      </c>
      <c r="H16" s="302">
        <f>SECT_U.FIS.!H19</f>
        <v>5.7134000000000011E-2</v>
      </c>
      <c r="I16" s="302">
        <f>SECT_U.FIS.!H20</f>
        <v>0.375</v>
      </c>
      <c r="J16" s="302">
        <f>SECT_U.FIS.!H21</f>
        <v>0.18500000000000003</v>
      </c>
      <c r="K16" s="302">
        <f>SECT_U.FIS.!H22</f>
        <v>1.4020782500000004</v>
      </c>
      <c r="L16" s="302">
        <f>SECT_U.FIS.!H23</f>
        <v>112.96588440000002</v>
      </c>
      <c r="M16" s="302">
        <f>SECT_U.FIS.!H24</f>
        <v>0.39</v>
      </c>
      <c r="N16" s="303">
        <f>SUM(C16:M16)</f>
        <v>124.61586460000002</v>
      </c>
      <c r="O16" s="1301"/>
      <c r="P16" s="1301"/>
      <c r="Q16" s="1301"/>
      <c r="R16" s="1301"/>
      <c r="S16" s="1301"/>
      <c r="T16" s="1301"/>
      <c r="U16" s="1301"/>
      <c r="V16" s="1301"/>
      <c r="W16" s="1301"/>
      <c r="X16" s="1301"/>
      <c r="Y16" s="1301"/>
      <c r="Z16" s="1301"/>
    </row>
    <row r="17" spans="2:26">
      <c r="B17" s="1094" t="s">
        <v>180</v>
      </c>
      <c r="C17" s="302"/>
      <c r="D17" s="302"/>
      <c r="E17" s="302"/>
      <c r="F17" s="302"/>
      <c r="G17" s="302"/>
      <c r="H17" s="302"/>
      <c r="I17" s="302"/>
      <c r="J17" s="302"/>
      <c r="K17" s="302"/>
      <c r="L17" s="302"/>
      <c r="M17" s="302"/>
      <c r="N17" s="303"/>
      <c r="O17" s="1302"/>
      <c r="P17" s="1302"/>
      <c r="Q17" s="1302"/>
      <c r="R17" s="1300"/>
      <c r="S17" s="1300"/>
      <c r="T17" s="1300"/>
      <c r="U17" s="1300"/>
      <c r="V17" s="1300"/>
      <c r="W17" s="1300"/>
      <c r="X17" s="1300"/>
      <c r="Y17" s="1300"/>
      <c r="Z17" s="1300"/>
    </row>
    <row r="18" spans="2:26">
      <c r="B18" s="1093" t="s">
        <v>63</v>
      </c>
      <c r="C18" s="1297">
        <f>SECT_U.FIS.!K14</f>
        <v>2.0176253000000002</v>
      </c>
      <c r="D18" s="302">
        <f>SECT_U.FIS.!K15</f>
        <v>0</v>
      </c>
      <c r="E18" s="302">
        <f>SECT_U.FIS.!K16</f>
        <v>0</v>
      </c>
      <c r="F18" s="302">
        <f>SECT_U.FIS.!K17</f>
        <v>2E-3</v>
      </c>
      <c r="G18" s="302">
        <f>SECT_U.FIS.!K18</f>
        <v>0</v>
      </c>
      <c r="H18" s="1297">
        <f>SECT_U.FIS.!K19</f>
        <v>0</v>
      </c>
      <c r="I18" s="302">
        <f>SECT_U.FIS.!K20</f>
        <v>0</v>
      </c>
      <c r="J18" s="302">
        <f>SECT_U.FIS.!K21</f>
        <v>0</v>
      </c>
      <c r="K18" s="302">
        <f>SECT_U.FIS.!K22</f>
        <v>0</v>
      </c>
      <c r="L18" s="302">
        <f>SECT_U.FIS.!K23</f>
        <v>1.0499999999999999E-2</v>
      </c>
      <c r="M18" s="302">
        <f>SECT_U.FIS.!K24</f>
        <v>0.31140800000000007</v>
      </c>
      <c r="N18" s="303">
        <f>SUM(C18:M18)</f>
        <v>2.3415333</v>
      </c>
      <c r="O18" s="1301"/>
      <c r="P18" s="1301"/>
      <c r="Q18" s="1301"/>
      <c r="R18" s="1301"/>
      <c r="S18" s="1301"/>
      <c r="T18" s="1301"/>
      <c r="U18" s="1301"/>
      <c r="V18" s="1301"/>
      <c r="W18" s="1301"/>
      <c r="X18" s="1301"/>
      <c r="Y18" s="1301"/>
      <c r="Z18" s="1301"/>
    </row>
    <row r="19" spans="2:26">
      <c r="B19" s="1094" t="s">
        <v>179</v>
      </c>
      <c r="C19" s="302"/>
      <c r="D19" s="302"/>
      <c r="E19" s="302"/>
      <c r="F19" s="302"/>
      <c r="G19" s="302"/>
      <c r="H19" s="302"/>
      <c r="I19" s="302"/>
      <c r="J19" s="302"/>
      <c r="K19" s="302"/>
      <c r="L19" s="302"/>
      <c r="M19" s="302"/>
      <c r="N19" s="303"/>
      <c r="O19" s="1302"/>
      <c r="P19" s="1302"/>
      <c r="Q19" s="1302"/>
      <c r="R19" s="1300"/>
      <c r="S19" s="1300"/>
      <c r="T19" s="1300"/>
      <c r="U19" s="1300"/>
      <c r="V19" s="1300"/>
      <c r="W19" s="1300"/>
      <c r="X19" s="1300"/>
      <c r="Y19" s="1300"/>
      <c r="Z19" s="1300"/>
    </row>
    <row r="20" spans="2:26">
      <c r="B20" s="1093" t="s">
        <v>64</v>
      </c>
      <c r="C20" s="1297">
        <f>SECT_U.FIS.!L14</f>
        <v>0</v>
      </c>
      <c r="D20" s="302">
        <f>SECT_U.FIS.!L15</f>
        <v>0</v>
      </c>
      <c r="E20" s="302">
        <f>SECT_U.FIS.!L16</f>
        <v>0</v>
      </c>
      <c r="F20" s="302">
        <f>SECT_U.FIS.!L17</f>
        <v>0</v>
      </c>
      <c r="G20" s="302">
        <f>SECT_U.FIS.!L18</f>
        <v>0</v>
      </c>
      <c r="H20" s="302">
        <f>SECT_U.FIS.!L19</f>
        <v>1.1212910798122067</v>
      </c>
      <c r="I20" s="302">
        <f>SECT_U.FIS.!L20</f>
        <v>0</v>
      </c>
      <c r="J20" s="302">
        <f>SECT_U.FIS.!L21</f>
        <v>0</v>
      </c>
      <c r="K20" s="302">
        <f>SECT_U.FIS.!L22</f>
        <v>0</v>
      </c>
      <c r="L20" s="302">
        <f>SECT_U.FIS.!L23</f>
        <v>0</v>
      </c>
      <c r="M20" s="302">
        <f>SECT_U.FIS.!L24</f>
        <v>0</v>
      </c>
      <c r="N20" s="303">
        <f>SUM(C20:M20)</f>
        <v>1.1212910798122067</v>
      </c>
      <c r="O20" s="1301"/>
      <c r="P20" s="1301"/>
      <c r="Q20" s="1301"/>
      <c r="R20" s="1301"/>
      <c r="S20" s="1301"/>
      <c r="T20" s="1301"/>
      <c r="U20" s="1301"/>
      <c r="V20" s="1301"/>
      <c r="W20" s="1301"/>
      <c r="X20" s="1301"/>
      <c r="Y20" s="1301"/>
      <c r="Z20" s="1301"/>
    </row>
    <row r="21" spans="2:26">
      <c r="B21" s="1094" t="s">
        <v>179</v>
      </c>
      <c r="C21" s="302"/>
      <c r="D21" s="302"/>
      <c r="E21" s="302"/>
      <c r="F21" s="302"/>
      <c r="G21" s="302"/>
      <c r="H21" s="302"/>
      <c r="I21" s="302"/>
      <c r="J21" s="302"/>
      <c r="K21" s="302"/>
      <c r="L21" s="302"/>
      <c r="M21" s="302"/>
      <c r="N21" s="303"/>
      <c r="O21" s="1302"/>
      <c r="P21" s="1302"/>
      <c r="Q21" s="1302"/>
      <c r="R21" s="1300"/>
      <c r="S21" s="1300"/>
      <c r="T21" s="1300"/>
      <c r="U21" s="1300"/>
      <c r="V21" s="1300"/>
      <c r="W21" s="1300"/>
      <c r="X21" s="1300"/>
      <c r="Y21" s="1300"/>
      <c r="Z21" s="1300"/>
    </row>
    <row r="22" spans="2:26">
      <c r="B22" s="1093" t="s">
        <v>18</v>
      </c>
      <c r="C22" s="1297">
        <f>SECT_U.FIS.!M14</f>
        <v>15697.866186262178</v>
      </c>
      <c r="D22" s="302">
        <f>SECT_U.FIS.!M15</f>
        <v>374.27803336500011</v>
      </c>
      <c r="E22" s="302">
        <f>SECT_U.FIS.!M16</f>
        <v>363.12824800000016</v>
      </c>
      <c r="F22" s="302">
        <f>SECT_U.FIS.!M17</f>
        <v>4042.4569947188284</v>
      </c>
      <c r="G22" s="302">
        <f>SECT_U.FIS.!M18</f>
        <v>581.52285399999982</v>
      </c>
      <c r="H22" s="302">
        <f>SECT_U.FIS.!M19</f>
        <v>634.48765399799436</v>
      </c>
      <c r="I22" s="1297">
        <f>SECT_U.FIS.!M20</f>
        <v>480.91421547574572</v>
      </c>
      <c r="J22" s="302">
        <f>SECT_U.FIS.!M21</f>
        <v>94.869251000000034</v>
      </c>
      <c r="K22" s="302">
        <f>SECT_U.FIS.!M22</f>
        <v>135.474109</v>
      </c>
      <c r="L22" s="302">
        <f>SECT_U.FIS.!M23</f>
        <v>8203.5676671651418</v>
      </c>
      <c r="M22" s="302">
        <f>SECT_U.FIS.!M24</f>
        <v>1562.0648856346254</v>
      </c>
      <c r="N22" s="303">
        <f>SUM(C22:M22)</f>
        <v>32170.630098619517</v>
      </c>
      <c r="O22" s="1301"/>
      <c r="P22" s="1301"/>
      <c r="Q22" s="1301"/>
      <c r="R22" s="1301"/>
      <c r="S22" s="1301"/>
      <c r="T22" s="1301"/>
      <c r="U22" s="1301"/>
      <c r="V22" s="1301"/>
      <c r="W22" s="1301"/>
      <c r="X22" s="1301"/>
      <c r="Y22" s="1301"/>
      <c r="Z22" s="1301"/>
    </row>
    <row r="23" spans="2:26">
      <c r="B23" s="1094" t="s">
        <v>183</v>
      </c>
      <c r="C23" s="302"/>
      <c r="D23" s="302"/>
      <c r="E23" s="302"/>
      <c r="F23" s="302"/>
      <c r="G23" s="302"/>
      <c r="H23" s="302"/>
      <c r="I23" s="302"/>
      <c r="J23" s="302"/>
      <c r="K23" s="302"/>
      <c r="L23" s="302"/>
      <c r="M23" s="302"/>
      <c r="N23" s="303"/>
      <c r="O23" s="1302"/>
      <c r="P23" s="1302"/>
      <c r="Q23" s="1302"/>
      <c r="R23" s="1300"/>
      <c r="S23" s="1300"/>
      <c r="T23" s="1300"/>
      <c r="U23" s="1300"/>
      <c r="V23" s="1300"/>
      <c r="W23" s="1300"/>
      <c r="X23" s="1300"/>
      <c r="Y23" s="1300"/>
      <c r="Z23" s="1300"/>
    </row>
    <row r="24" spans="2:26">
      <c r="B24" s="1093" t="s">
        <v>7</v>
      </c>
      <c r="C24" s="1297">
        <f>SECT_U.FIS.!N14</f>
        <v>3.7283309999999998</v>
      </c>
      <c r="D24" s="302">
        <f>SECT_U.FIS.!N15</f>
        <v>0</v>
      </c>
      <c r="E24" s="302">
        <f>SECT_U.FIS.!N16</f>
        <v>85.675999999999988</v>
      </c>
      <c r="F24" s="302">
        <f>SECT_U.FIS.!N17</f>
        <v>0</v>
      </c>
      <c r="G24" s="302">
        <f>SECT_U.FIS.!N18</f>
        <v>4.9000000000000002E-2</v>
      </c>
      <c r="H24" s="302">
        <f>SECT_U.FIS.!N19</f>
        <v>0</v>
      </c>
      <c r="I24" s="302">
        <f>SECT_U.FIS.!N20</f>
        <v>245.94643828627716</v>
      </c>
      <c r="J24" s="302">
        <f>SECT_U.FIS.!N21</f>
        <v>117.51743534672258</v>
      </c>
      <c r="K24" s="302">
        <f>SECT_U.FIS.!N22</f>
        <v>37.297748822738491</v>
      </c>
      <c r="L24" s="302">
        <f>SECT_U.FIS.!N23</f>
        <v>238.09001167522911</v>
      </c>
      <c r="M24" s="1297">
        <f>SECT_U.FIS.!N24</f>
        <v>13.154798451428569</v>
      </c>
      <c r="N24" s="303">
        <f>SUM(C24:M24)</f>
        <v>741.45976358239579</v>
      </c>
      <c r="O24" s="1301"/>
      <c r="P24" s="1301"/>
      <c r="Q24" s="1301"/>
      <c r="R24" s="1301"/>
      <c r="S24" s="1301"/>
      <c r="T24" s="1301"/>
      <c r="U24" s="1301"/>
      <c r="V24" s="1301"/>
      <c r="W24" s="1301"/>
      <c r="X24" s="1301"/>
      <c r="Y24" s="1301"/>
      <c r="Z24" s="1301"/>
    </row>
    <row r="25" spans="2:26">
      <c r="B25" s="1094" t="s">
        <v>180</v>
      </c>
      <c r="C25" s="302"/>
      <c r="D25" s="302"/>
      <c r="E25" s="302"/>
      <c r="F25" s="302"/>
      <c r="G25" s="302"/>
      <c r="H25" s="302"/>
      <c r="I25" s="302"/>
      <c r="J25" s="302"/>
      <c r="K25" s="302"/>
      <c r="L25" s="302"/>
      <c r="M25" s="302"/>
      <c r="N25" s="303"/>
      <c r="O25" s="1302"/>
      <c r="P25" s="1302"/>
      <c r="Q25" s="1302"/>
      <c r="R25" s="1300"/>
      <c r="S25" s="1300"/>
      <c r="T25" s="1300"/>
      <c r="U25" s="1300"/>
      <c r="V25" s="1300"/>
      <c r="W25" s="1300"/>
      <c r="X25" s="1300"/>
      <c r="Y25" s="1300"/>
      <c r="Z25" s="1300"/>
    </row>
    <row r="26" spans="2:26">
      <c r="B26" s="1093" t="s">
        <v>66</v>
      </c>
      <c r="C26" s="1297">
        <f>SECT_U.FIS.!O14</f>
        <v>12.007300000000001</v>
      </c>
      <c r="D26" s="302">
        <f>SECT_U.FIS.!O15</f>
        <v>0</v>
      </c>
      <c r="E26" s="302">
        <f>SECT_U.FIS.!O16</f>
        <v>0</v>
      </c>
      <c r="F26" s="302">
        <f>SECT_U.FIS.!O17</f>
        <v>0</v>
      </c>
      <c r="G26" s="302">
        <f>SECT_U.FIS.!O18</f>
        <v>221.69242857142868</v>
      </c>
      <c r="H26" s="302">
        <f>SECT_U.FIS.!O19</f>
        <v>0</v>
      </c>
      <c r="I26" s="302">
        <f>SECT_U.FIS.!O20</f>
        <v>45.051999999999992</v>
      </c>
      <c r="J26" s="302">
        <f>SECT_U.FIS.!O21</f>
        <v>5.0606960000000001</v>
      </c>
      <c r="K26" s="302">
        <f>SECT_U.FIS.!O22</f>
        <v>0</v>
      </c>
      <c r="L26" s="302">
        <f>SECT_U.FIS.!O23</f>
        <v>1.5166685714285715</v>
      </c>
      <c r="M26" s="302">
        <f>SECT_U.FIS.!O24</f>
        <v>0</v>
      </c>
      <c r="N26" s="303">
        <f>SUM(C26:M26)</f>
        <v>285.32909314285723</v>
      </c>
      <c r="O26" s="1301"/>
      <c r="P26" s="1301"/>
      <c r="Q26" s="1301"/>
      <c r="R26" s="1301"/>
      <c r="S26" s="1301"/>
      <c r="T26" s="1301"/>
      <c r="U26" s="1301"/>
      <c r="V26" s="1301"/>
      <c r="W26" s="1301"/>
      <c r="X26" s="1301"/>
      <c r="Y26" s="1301"/>
      <c r="Z26" s="1301"/>
    </row>
    <row r="27" spans="2:26">
      <c r="B27" s="1094" t="s">
        <v>180</v>
      </c>
      <c r="C27" s="302"/>
      <c r="D27" s="302"/>
      <c r="E27" s="302"/>
      <c r="F27" s="302"/>
      <c r="G27" s="302"/>
      <c r="H27" s="302"/>
      <c r="I27" s="302"/>
      <c r="J27" s="302"/>
      <c r="K27" s="302"/>
      <c r="L27" s="302"/>
      <c r="M27" s="302"/>
      <c r="N27" s="303"/>
      <c r="O27" s="1302"/>
      <c r="P27" s="1302"/>
      <c r="Q27" s="1302"/>
      <c r="R27" s="1300"/>
      <c r="S27" s="1300"/>
      <c r="T27" s="1300"/>
      <c r="U27" s="1300"/>
      <c r="V27" s="1300"/>
      <c r="W27" s="1300"/>
      <c r="X27" s="1300"/>
      <c r="Y27" s="1300"/>
      <c r="Z27" s="1300"/>
    </row>
    <row r="28" spans="2:26">
      <c r="B28" s="1093" t="s">
        <v>185</v>
      </c>
      <c r="C28" s="1297">
        <f>SECT_U.FIS.!P14</f>
        <v>0</v>
      </c>
      <c r="D28" s="302">
        <f>SECT_U.FIS.!P15</f>
        <v>0</v>
      </c>
      <c r="E28" s="302">
        <f>SECT_U.FIS.!P16</f>
        <v>0</v>
      </c>
      <c r="F28" s="302">
        <f>SECT_U.FIS.!P17</f>
        <v>0</v>
      </c>
      <c r="G28" s="302">
        <f>SECT_U.FIS.!P18</f>
        <v>0</v>
      </c>
      <c r="H28" s="302">
        <f>SECT_U.FIS.!P19</f>
        <v>0</v>
      </c>
      <c r="I28" s="302">
        <f>SECT_U.FIS.!P20</f>
        <v>0</v>
      </c>
      <c r="J28" s="302">
        <f>SECT_U.FIS.!P21</f>
        <v>0</v>
      </c>
      <c r="K28" s="302">
        <f>SECT_U.FIS.!P22</f>
        <v>0</v>
      </c>
      <c r="L28" s="302">
        <f>SECT_U.FIS.!P23</f>
        <v>0</v>
      </c>
      <c r="M28" s="302">
        <f>SECT_U.FIS.!P24</f>
        <v>0</v>
      </c>
      <c r="N28" s="303">
        <f>SUM(C28:M28)</f>
        <v>0</v>
      </c>
      <c r="O28" s="1301"/>
      <c r="P28" s="1301"/>
      <c r="Q28" s="1301"/>
      <c r="R28" s="1301"/>
      <c r="S28" s="1301"/>
      <c r="T28" s="1301"/>
      <c r="U28" s="1301"/>
      <c r="V28" s="1301"/>
      <c r="W28" s="1301"/>
      <c r="X28" s="1301"/>
      <c r="Y28" s="1301"/>
      <c r="Z28" s="1301"/>
    </row>
    <row r="29" spans="2:26">
      <c r="B29" s="1094" t="s">
        <v>179</v>
      </c>
      <c r="C29" s="302"/>
      <c r="D29" s="302"/>
      <c r="E29" s="302"/>
      <c r="F29" s="302"/>
      <c r="G29" s="302"/>
      <c r="H29" s="302"/>
      <c r="I29" s="302"/>
      <c r="J29" s="302"/>
      <c r="K29" s="302"/>
      <c r="L29" s="302"/>
      <c r="M29" s="302"/>
      <c r="N29" s="303"/>
      <c r="O29" s="1302"/>
      <c r="P29" s="1302"/>
      <c r="Q29" s="1302"/>
      <c r="R29" s="1300"/>
      <c r="S29" s="1300"/>
      <c r="T29" s="1300"/>
      <c r="U29" s="1300"/>
      <c r="V29" s="1300"/>
      <c r="W29" s="1300"/>
      <c r="X29" s="1300"/>
      <c r="Y29" s="1300"/>
      <c r="Z29" s="1300"/>
    </row>
    <row r="30" spans="2:26">
      <c r="B30" s="1093" t="s">
        <v>20</v>
      </c>
      <c r="C30" s="1297">
        <f>SECT_U.FIS.!Q14</f>
        <v>1.8579999999999998E-3</v>
      </c>
      <c r="D30" s="302">
        <f>SECT_U.FIS.!Q15</f>
        <v>0</v>
      </c>
      <c r="E30" s="302">
        <f>SECT_U.FIS.!Q16</f>
        <v>0</v>
      </c>
      <c r="F30" s="302">
        <f>SECT_U.FIS.!Q17</f>
        <v>0</v>
      </c>
      <c r="G30" s="302">
        <f>SECT_U.FIS.!Q18</f>
        <v>207.58274999999998</v>
      </c>
      <c r="H30" s="302">
        <f>SECT_U.FIS.!Q19</f>
        <v>0</v>
      </c>
      <c r="I30" s="302">
        <f>SECT_U.FIS.!Q20</f>
        <v>0</v>
      </c>
      <c r="J30" s="302">
        <f>SECT_U.FIS.!Q21</f>
        <v>0</v>
      </c>
      <c r="K30" s="302">
        <f>SECT_U.FIS.!Q22</f>
        <v>1.0445300000000002E-4</v>
      </c>
      <c r="L30" s="302">
        <f>SECT_U.FIS.!Q23</f>
        <v>0</v>
      </c>
      <c r="M30" s="302">
        <f>SECT_U.FIS.!Q24</f>
        <v>0</v>
      </c>
      <c r="N30" s="303">
        <f>SUM(C30:M30)</f>
        <v>207.58471245299998</v>
      </c>
      <c r="O30" s="1301"/>
      <c r="P30" s="1301"/>
      <c r="Q30" s="1301"/>
      <c r="R30" s="1301"/>
      <c r="S30" s="1301"/>
      <c r="T30" s="1301"/>
      <c r="U30" s="1301"/>
      <c r="V30" s="1301"/>
      <c r="W30" s="1301"/>
      <c r="X30" s="1301"/>
      <c r="Y30" s="1301"/>
      <c r="Z30" s="1301"/>
    </row>
    <row r="31" spans="2:26">
      <c r="B31" s="1094" t="s">
        <v>181</v>
      </c>
      <c r="C31" s="302"/>
      <c r="D31" s="302"/>
      <c r="E31" s="302"/>
      <c r="F31" s="302"/>
      <c r="G31" s="302"/>
      <c r="H31" s="302"/>
      <c r="I31" s="302"/>
      <c r="J31" s="302"/>
      <c r="K31" s="302"/>
      <c r="L31" s="302"/>
      <c r="M31" s="302"/>
      <c r="N31" s="303"/>
      <c r="O31" s="1302"/>
      <c r="P31" s="1302"/>
      <c r="Q31" s="1302"/>
      <c r="R31" s="1300"/>
      <c r="S31" s="1300"/>
      <c r="T31" s="1300"/>
      <c r="U31" s="1300"/>
      <c r="V31" s="1300"/>
      <c r="W31" s="1300"/>
      <c r="X31" s="1300"/>
      <c r="Y31" s="1300"/>
      <c r="Z31" s="1300"/>
    </row>
    <row r="32" spans="2:26">
      <c r="B32" s="1093" t="s">
        <v>69</v>
      </c>
      <c r="C32" s="1297">
        <f>SECT_U.FIS.!R14</f>
        <v>0</v>
      </c>
      <c r="D32" s="302">
        <f>SECT_U.FIS.!R15</f>
        <v>0</v>
      </c>
      <c r="E32" s="302">
        <f>SECT_U.FIS.!R16</f>
        <v>0</v>
      </c>
      <c r="F32" s="302">
        <f>SECT_U.FIS.!R17</f>
        <v>0</v>
      </c>
      <c r="G32" s="302">
        <f>SECT_U.FIS.!R18</f>
        <v>408.74777777777757</v>
      </c>
      <c r="H32" s="302">
        <f>SECT_U.FIS.!R19</f>
        <v>0</v>
      </c>
      <c r="I32" s="302">
        <f>SECT_U.FIS.!R20</f>
        <v>0</v>
      </c>
      <c r="J32" s="302">
        <f>SECT_U.FIS.!R21</f>
        <v>0</v>
      </c>
      <c r="K32" s="302">
        <f>SECT_U.FIS.!R22</f>
        <v>0</v>
      </c>
      <c r="L32" s="302">
        <f>SECT_U.FIS.!R23</f>
        <v>0</v>
      </c>
      <c r="M32" s="302">
        <f>SECT_U.FIS.!R24</f>
        <v>0</v>
      </c>
      <c r="N32" s="303">
        <f>SUM(C32:M32)</f>
        <v>408.74777777777757</v>
      </c>
      <c r="O32" s="1301"/>
      <c r="P32" s="1301"/>
      <c r="Q32" s="1301"/>
      <c r="R32" s="1301"/>
      <c r="S32" s="1301"/>
      <c r="T32" s="1301"/>
      <c r="U32" s="1301"/>
      <c r="V32" s="1301"/>
      <c r="W32" s="1301"/>
      <c r="X32" s="1301"/>
      <c r="Y32" s="1301"/>
      <c r="Z32" s="1301"/>
    </row>
    <row r="33" spans="2:26">
      <c r="B33" s="1094" t="s">
        <v>180</v>
      </c>
      <c r="C33" s="302"/>
      <c r="D33" s="302"/>
      <c r="E33" s="302"/>
      <c r="F33" s="302"/>
      <c r="G33" s="302"/>
      <c r="H33" s="302"/>
      <c r="I33" s="302"/>
      <c r="J33" s="302"/>
      <c r="K33" s="302"/>
      <c r="L33" s="302"/>
      <c r="M33" s="302"/>
      <c r="N33" s="303"/>
      <c r="O33" s="1302"/>
      <c r="P33" s="1302"/>
      <c r="Q33" s="1302"/>
      <c r="R33" s="1300"/>
      <c r="S33" s="1300"/>
      <c r="T33" s="1300"/>
      <c r="U33" s="1300"/>
      <c r="V33" s="1300"/>
      <c r="W33" s="1300"/>
      <c r="X33" s="1300"/>
      <c r="Y33" s="1300"/>
      <c r="Z33" s="1300"/>
    </row>
    <row r="34" spans="2:26">
      <c r="B34" s="1093" t="s">
        <v>201</v>
      </c>
      <c r="C34" s="1297">
        <f>SECT_U.FIS.!S14</f>
        <v>154.32720852383932</v>
      </c>
      <c r="D34" s="302">
        <f>SECT_U.FIS.!S15</f>
        <v>87.791039999999981</v>
      </c>
      <c r="E34" s="302">
        <f>SECT_U.FIS.!S16</f>
        <v>1.5570379999999999</v>
      </c>
      <c r="F34" s="302">
        <f>SECT_U.FIS.!S17</f>
        <v>157.05653937875155</v>
      </c>
      <c r="G34" s="302">
        <f>SECT_U.FIS.!S18</f>
        <v>31.523999999999997</v>
      </c>
      <c r="H34" s="302">
        <f>SECT_U.FIS.!S19</f>
        <v>18.938454999999994</v>
      </c>
      <c r="I34" s="302">
        <f>SECT_U.FIS.!S20</f>
        <v>42.254927865727126</v>
      </c>
      <c r="J34" s="1297">
        <f>SECT_U.FIS.!S21</f>
        <v>0</v>
      </c>
      <c r="K34" s="302">
        <f>SECT_U.FIS.!S22</f>
        <v>52.220000000000013</v>
      </c>
      <c r="L34" s="302">
        <f>SECT_U.FIS.!S23</f>
        <v>609.61240260769137</v>
      </c>
      <c r="M34" s="302">
        <f>SECT_U.FIS.!S24</f>
        <v>7.7872998899999999</v>
      </c>
      <c r="N34" s="303">
        <f>SUM(C34:M34)</f>
        <v>1163.0689112660093</v>
      </c>
      <c r="O34" s="1301"/>
      <c r="P34" s="1301"/>
      <c r="Q34" s="1301"/>
      <c r="R34" s="1301"/>
      <c r="S34" s="1301"/>
      <c r="T34" s="1301"/>
      <c r="U34" s="1301"/>
      <c r="V34" s="1301"/>
      <c r="W34" s="1301"/>
      <c r="X34" s="1301"/>
      <c r="Y34" s="1301"/>
      <c r="Z34" s="1301"/>
    </row>
    <row r="35" spans="2:26">
      <c r="B35" s="1094" t="s">
        <v>181</v>
      </c>
      <c r="C35" s="302"/>
      <c r="D35" s="302"/>
      <c r="E35" s="302"/>
      <c r="F35" s="302"/>
      <c r="G35" s="302"/>
      <c r="H35" s="302"/>
      <c r="I35" s="302"/>
      <c r="J35" s="302"/>
      <c r="K35" s="302"/>
      <c r="L35" s="302"/>
      <c r="M35" s="302"/>
      <c r="N35" s="303"/>
      <c r="O35" s="1302"/>
      <c r="P35" s="1302"/>
      <c r="Q35" s="1302"/>
      <c r="R35" s="1300"/>
      <c r="S35" s="1300"/>
      <c r="T35" s="1300"/>
      <c r="U35" s="1300"/>
      <c r="V35" s="1300"/>
      <c r="W35" s="1300"/>
      <c r="X35" s="1300"/>
      <c r="Y35" s="1300"/>
      <c r="Z35" s="1300"/>
    </row>
    <row r="36" spans="2:26">
      <c r="B36" s="1093" t="s">
        <v>22</v>
      </c>
      <c r="C36" s="1297">
        <f>SECT_U.FIS.!T14</f>
        <v>0</v>
      </c>
      <c r="D36" s="302">
        <f>SECT_U.FIS.!T15</f>
        <v>0</v>
      </c>
      <c r="E36" s="302">
        <f>SECT_U.FIS.!T16</f>
        <v>0</v>
      </c>
      <c r="F36" s="302">
        <f>SECT_U.FIS.!T17</f>
        <v>0</v>
      </c>
      <c r="G36" s="302">
        <f>SECT_U.FIS.!T18</f>
        <v>0</v>
      </c>
      <c r="H36" s="302">
        <f>SECT_U.FIS.!T19</f>
        <v>0</v>
      </c>
      <c r="I36" s="302">
        <f>SECT_U.FIS.!T20</f>
        <v>0</v>
      </c>
      <c r="J36" s="302">
        <f>SECT_U.FIS.!T21</f>
        <v>0</v>
      </c>
      <c r="K36" s="302">
        <f>SECT_U.FIS.!T22</f>
        <v>0</v>
      </c>
      <c r="L36" s="302">
        <f>SECT_U.FIS.!T23</f>
        <v>0</v>
      </c>
      <c r="M36" s="302">
        <f>SECT_U.FIS.!T24</f>
        <v>0</v>
      </c>
      <c r="N36" s="303">
        <f>SUM(C36:M36)</f>
        <v>0</v>
      </c>
      <c r="O36" s="1301"/>
      <c r="P36" s="1301"/>
      <c r="Q36" s="1301"/>
      <c r="R36" s="1301"/>
      <c r="S36" s="1301"/>
      <c r="T36" s="1301"/>
      <c r="U36" s="1301"/>
      <c r="V36" s="1301"/>
      <c r="W36" s="1301"/>
      <c r="X36" s="1301"/>
      <c r="Y36" s="1301"/>
      <c r="Z36" s="1301"/>
    </row>
    <row r="37" spans="2:26">
      <c r="B37" s="1094" t="s">
        <v>180</v>
      </c>
      <c r="C37" s="308"/>
      <c r="D37" s="308"/>
      <c r="E37" s="308"/>
      <c r="F37" s="308"/>
      <c r="G37" s="308"/>
      <c r="H37" s="308"/>
      <c r="I37" s="308"/>
      <c r="J37" s="308"/>
      <c r="K37" s="308"/>
      <c r="L37" s="308"/>
      <c r="M37" s="308"/>
      <c r="N37" s="309"/>
      <c r="O37" s="1300"/>
      <c r="P37" s="1300"/>
      <c r="Q37" s="1300"/>
      <c r="R37" s="1300"/>
      <c r="S37" s="1300"/>
      <c r="T37" s="1300"/>
      <c r="U37" s="1300"/>
      <c r="V37" s="1300"/>
      <c r="W37" s="1300"/>
      <c r="X37" s="1300"/>
      <c r="Y37" s="1300"/>
      <c r="Z37" s="1300"/>
    </row>
    <row r="38" spans="2:26">
      <c r="B38" s="1093" t="s">
        <v>9</v>
      </c>
      <c r="C38" s="1297">
        <f>SECT_U.FIS.!V14</f>
        <v>0</v>
      </c>
      <c r="D38" s="302">
        <f>SECT_U.FIS.!V15</f>
        <v>0</v>
      </c>
      <c r="E38" s="302">
        <f>SECT_U.FIS.!V16</f>
        <v>0</v>
      </c>
      <c r="F38" s="302">
        <f>SECT_U.FIS.!V17</f>
        <v>1630.4735627695702</v>
      </c>
      <c r="G38" s="302">
        <f>SECT_U.FIS.!V18</f>
        <v>6.5549999999999997E-2</v>
      </c>
      <c r="H38" s="302">
        <f>SECT_U.FIS.!V19</f>
        <v>0</v>
      </c>
      <c r="I38" s="302">
        <f>SECT_U.FIS.!V20</f>
        <v>14.135999999999999</v>
      </c>
      <c r="J38" s="302">
        <f>SECT_U.FIS.!V21</f>
        <v>0</v>
      </c>
      <c r="K38" s="302">
        <f>SECT_U.FIS.!V22</f>
        <v>0</v>
      </c>
      <c r="L38" s="302">
        <f>SECT_U.FIS.!V23</f>
        <v>1097.1019794550803</v>
      </c>
      <c r="M38" s="302">
        <f>SECT_U.FIS.!V24</f>
        <v>0</v>
      </c>
      <c r="N38" s="303">
        <f>SUM(C38:M38)</f>
        <v>2741.7770922246505</v>
      </c>
      <c r="O38" s="1301"/>
      <c r="P38" s="1301"/>
      <c r="Q38" s="1301"/>
      <c r="R38" s="1301"/>
      <c r="S38" s="1301"/>
      <c r="T38" s="1301"/>
      <c r="U38" s="1301"/>
      <c r="V38" s="1301"/>
      <c r="W38" s="1301"/>
      <c r="X38" s="1301"/>
      <c r="Y38" s="1301"/>
      <c r="Z38" s="1301"/>
    </row>
    <row r="39" spans="2:26" ht="13.5" thickBot="1">
      <c r="B39" s="1095" t="s">
        <v>180</v>
      </c>
      <c r="C39" s="310"/>
      <c r="D39" s="310"/>
      <c r="E39" s="310"/>
      <c r="F39" s="310"/>
      <c r="G39" s="310"/>
      <c r="H39" s="310"/>
      <c r="I39" s="310"/>
      <c r="J39" s="310"/>
      <c r="K39" s="310"/>
      <c r="L39" s="310"/>
      <c r="M39" s="310"/>
      <c r="N39" s="311"/>
      <c r="O39" s="1298"/>
      <c r="P39" s="1300"/>
      <c r="Q39" s="1300"/>
      <c r="R39" s="1300"/>
      <c r="S39" s="1300"/>
      <c r="T39" s="1300"/>
      <c r="U39" s="1300"/>
      <c r="V39" s="1300"/>
      <c r="W39" s="1300"/>
      <c r="X39" s="1300"/>
      <c r="Y39" s="1300"/>
      <c r="Z39" s="1300"/>
    </row>
    <row r="40" spans="2:26">
      <c r="B40" s="21" t="s">
        <v>14</v>
      </c>
      <c r="C40" s="21"/>
      <c r="D40" s="21"/>
      <c r="E40" s="21"/>
      <c r="F40" s="21"/>
      <c r="G40" s="21"/>
      <c r="H40" s="21"/>
      <c r="I40" s="73"/>
      <c r="J40" s="73"/>
      <c r="K40" s="73"/>
      <c r="L40" s="73"/>
      <c r="M40" s="73"/>
      <c r="N40" s="73"/>
      <c r="O40" s="1303"/>
      <c r="P40" s="1300"/>
      <c r="Q40" s="1300"/>
      <c r="R40" s="1300"/>
      <c r="S40" s="1300"/>
      <c r="T40" s="1300"/>
      <c r="U40" s="1300"/>
      <c r="V40" s="1300"/>
      <c r="W40" s="1300"/>
      <c r="X40" s="1300"/>
      <c r="Y40" s="1300"/>
      <c r="Z40" s="1300"/>
    </row>
    <row r="41" spans="2:26">
      <c r="B41" s="21" t="s">
        <v>777</v>
      </c>
      <c r="C41" s="21"/>
      <c r="D41" s="21"/>
      <c r="E41" s="21"/>
      <c r="F41" s="21"/>
      <c r="G41" s="21"/>
      <c r="H41" s="21"/>
      <c r="I41" s="73"/>
      <c r="J41" s="863" t="s">
        <v>683</v>
      </c>
      <c r="K41" s="73"/>
      <c r="L41" s="73"/>
      <c r="M41" s="73"/>
      <c r="N41" s="73"/>
      <c r="O41" s="1303"/>
      <c r="P41" s="1300"/>
      <c r="Q41" s="1300"/>
      <c r="R41" s="1300"/>
      <c r="S41" s="1300"/>
      <c r="T41" s="1300"/>
      <c r="U41" s="1300"/>
      <c r="V41" s="1300"/>
      <c r="W41" s="1300"/>
      <c r="X41" s="1300"/>
      <c r="Y41" s="1300"/>
      <c r="Z41" s="1300"/>
    </row>
    <row r="42" spans="2:26">
      <c r="B42" s="305"/>
      <c r="C42" s="305"/>
      <c r="D42" s="305"/>
      <c r="E42" s="305"/>
      <c r="F42" s="305"/>
      <c r="G42" s="305"/>
      <c r="H42" s="305"/>
      <c r="I42" s="305"/>
      <c r="J42" s="305"/>
      <c r="K42" s="305"/>
      <c r="L42" s="305"/>
      <c r="M42" s="305"/>
      <c r="N42" s="305"/>
      <c r="O42" s="1304"/>
      <c r="P42" s="1305"/>
      <c r="Q42" s="1306"/>
      <c r="R42" s="1306"/>
      <c r="S42" s="1306"/>
      <c r="T42" s="1306"/>
      <c r="U42" s="1306"/>
      <c r="V42" s="1306"/>
      <c r="W42" s="1306"/>
      <c r="X42" s="1306"/>
      <c r="Y42" s="1306"/>
      <c r="Z42" s="1306"/>
    </row>
    <row r="43" spans="2:26">
      <c r="B43" s="305"/>
      <c r="C43" s="305"/>
      <c r="D43" s="305"/>
      <c r="E43" s="305"/>
      <c r="F43" s="305"/>
      <c r="G43" s="305"/>
      <c r="H43" s="305"/>
      <c r="I43" s="305"/>
      <c r="J43" s="305"/>
      <c r="K43" s="305"/>
      <c r="L43" s="305"/>
      <c r="M43" s="305"/>
      <c r="N43" s="305"/>
      <c r="O43" s="1304"/>
      <c r="P43" s="1306"/>
      <c r="Q43" s="1306"/>
      <c r="R43" s="1306"/>
      <c r="S43" s="1306"/>
      <c r="T43" s="1306"/>
      <c r="U43" s="1306"/>
      <c r="V43" s="1306"/>
      <c r="W43" s="1306"/>
      <c r="X43" s="1306"/>
      <c r="Y43" s="1306"/>
      <c r="Z43" s="1306"/>
    </row>
    <row r="44" spans="2:26">
      <c r="B44" s="305"/>
      <c r="C44" s="305"/>
      <c r="D44" s="305"/>
      <c r="E44" s="305"/>
      <c r="F44" s="305"/>
      <c r="G44" s="305"/>
      <c r="H44" s="305"/>
      <c r="I44" s="305"/>
      <c r="J44" s="305"/>
      <c r="K44" s="305"/>
      <c r="L44" s="305"/>
      <c r="M44" s="305"/>
      <c r="N44" s="305"/>
      <c r="O44" s="1304"/>
      <c r="P44" s="1306"/>
      <c r="Q44" s="1306"/>
      <c r="R44" s="1306"/>
      <c r="S44" s="1306"/>
      <c r="T44" s="1306"/>
      <c r="U44" s="1306"/>
      <c r="V44" s="1306"/>
      <c r="W44" s="1306"/>
      <c r="X44" s="1306"/>
      <c r="Y44" s="1306"/>
      <c r="Z44" s="1306"/>
    </row>
    <row r="45" spans="2:26">
      <c r="B45" s="305"/>
      <c r="C45" s="305"/>
      <c r="D45" s="305"/>
      <c r="E45" s="305"/>
      <c r="F45" s="305"/>
      <c r="G45" s="305"/>
      <c r="H45" s="305"/>
      <c r="I45" s="305"/>
      <c r="J45" s="305"/>
      <c r="K45" s="305"/>
      <c r="L45" s="305"/>
      <c r="M45" s="305"/>
      <c r="N45" s="305"/>
      <c r="O45" s="1304"/>
      <c r="P45" s="1306"/>
      <c r="Q45" s="1306"/>
      <c r="R45" s="1306"/>
      <c r="S45" s="1306"/>
      <c r="T45" s="1306"/>
      <c r="U45" s="1306"/>
      <c r="V45" s="1306"/>
      <c r="W45" s="1306"/>
      <c r="X45" s="1306"/>
      <c r="Y45" s="1306"/>
      <c r="Z45" s="1306"/>
    </row>
    <row r="46" spans="2:26">
      <c r="B46" s="305"/>
      <c r="C46" s="305"/>
      <c r="D46" s="305"/>
      <c r="E46" s="305"/>
      <c r="F46" s="305"/>
      <c r="G46" s="305"/>
      <c r="H46" s="305"/>
      <c r="I46" s="305"/>
      <c r="J46" s="305"/>
      <c r="K46" s="305"/>
      <c r="L46" s="305"/>
      <c r="M46" s="305"/>
      <c r="N46" s="305"/>
      <c r="O46" s="1304"/>
      <c r="P46" s="1306"/>
      <c r="Q46" s="1306"/>
      <c r="R46" s="1306"/>
      <c r="S46" s="1306"/>
      <c r="T46" s="1306"/>
      <c r="U46" s="1306"/>
      <c r="V46" s="1306"/>
      <c r="W46" s="1306"/>
      <c r="X46" s="1306"/>
      <c r="Y46" s="1306"/>
      <c r="Z46" s="1306"/>
    </row>
    <row r="47" spans="2:26">
      <c r="B47" s="305"/>
      <c r="C47" s="305"/>
      <c r="D47" s="305"/>
      <c r="E47" s="305"/>
      <c r="F47" s="305"/>
      <c r="G47" s="305"/>
      <c r="H47" s="305"/>
      <c r="I47" s="305"/>
      <c r="J47" s="305"/>
      <c r="K47" s="305"/>
      <c r="L47" s="305"/>
      <c r="M47" s="305"/>
      <c r="N47" s="305"/>
      <c r="O47" s="1304"/>
      <c r="P47" s="1306"/>
      <c r="Q47" s="1306"/>
      <c r="R47" s="1306"/>
      <c r="S47" s="1306"/>
      <c r="T47" s="1306"/>
      <c r="U47" s="1306"/>
      <c r="V47" s="1306"/>
      <c r="W47" s="1306"/>
      <c r="X47" s="1306"/>
      <c r="Y47" s="1306"/>
      <c r="Z47" s="1306"/>
    </row>
    <row r="48" spans="2:26">
      <c r="B48" s="305"/>
      <c r="C48" s="305"/>
      <c r="D48" s="305"/>
      <c r="E48" s="305"/>
      <c r="F48" s="305"/>
      <c r="G48" s="305"/>
      <c r="H48" s="305"/>
      <c r="I48" s="305"/>
      <c r="J48" s="305"/>
      <c r="K48" s="305"/>
      <c r="L48" s="305"/>
      <c r="M48" s="305"/>
      <c r="N48" s="305"/>
      <c r="O48" s="1304"/>
      <c r="P48" s="1306"/>
      <c r="Q48" s="1306"/>
      <c r="R48" s="1306"/>
      <c r="S48" s="1306"/>
      <c r="T48" s="1306"/>
      <c r="U48" s="1306"/>
      <c r="V48" s="1306"/>
      <c r="W48" s="1306"/>
      <c r="X48" s="1306"/>
      <c r="Y48" s="1306"/>
      <c r="Z48" s="1306"/>
    </row>
    <row r="49" spans="2:26">
      <c r="B49" s="305"/>
      <c r="C49" s="305"/>
      <c r="D49" s="305"/>
      <c r="E49" s="305"/>
      <c r="F49" s="305"/>
      <c r="G49" s="305"/>
      <c r="H49" s="305"/>
      <c r="I49" s="305"/>
      <c r="J49" s="305"/>
      <c r="K49" s="305"/>
      <c r="L49" s="305"/>
      <c r="M49" s="305"/>
      <c r="N49" s="305"/>
      <c r="O49" s="1304"/>
      <c r="P49" s="1306"/>
      <c r="Q49" s="1306"/>
      <c r="R49" s="1306"/>
      <c r="S49" s="1306"/>
      <c r="T49" s="1306"/>
      <c r="U49" s="1306"/>
      <c r="V49" s="1306"/>
      <c r="W49" s="1306"/>
      <c r="X49" s="1306"/>
      <c r="Y49" s="1306"/>
      <c r="Z49" s="1306"/>
    </row>
    <row r="50" spans="2:26">
      <c r="B50" s="305"/>
      <c r="C50" s="305"/>
      <c r="D50" s="305"/>
      <c r="E50" s="305"/>
      <c r="F50" s="305"/>
      <c r="G50" s="305"/>
      <c r="H50" s="305"/>
      <c r="I50" s="305"/>
      <c r="J50" s="305"/>
      <c r="K50" s="305"/>
      <c r="L50" s="305"/>
      <c r="M50" s="305"/>
      <c r="N50" s="305"/>
      <c r="O50" s="1304"/>
      <c r="P50" s="1306"/>
      <c r="Q50" s="1306"/>
      <c r="R50" s="1306"/>
      <c r="S50" s="1306"/>
      <c r="T50" s="1306"/>
      <c r="U50" s="1306"/>
      <c r="V50" s="1306"/>
      <c r="W50" s="1306"/>
      <c r="X50" s="1306"/>
      <c r="Y50" s="1306"/>
      <c r="Z50" s="1306"/>
    </row>
    <row r="51" spans="2:26">
      <c r="B51" s="305"/>
      <c r="C51" s="305"/>
      <c r="D51" s="305"/>
      <c r="E51" s="305"/>
      <c r="F51" s="305"/>
      <c r="G51" s="305"/>
      <c r="H51" s="305"/>
      <c r="I51" s="305"/>
      <c r="J51" s="305"/>
      <c r="K51" s="305"/>
      <c r="L51" s="305"/>
      <c r="M51" s="305"/>
      <c r="N51" s="305"/>
      <c r="O51" s="1304"/>
      <c r="P51" s="1306"/>
      <c r="Q51" s="1306"/>
      <c r="R51" s="1306"/>
      <c r="S51" s="1306"/>
      <c r="T51" s="1306"/>
      <c r="U51" s="1306"/>
      <c r="V51" s="1306"/>
      <c r="W51" s="1306"/>
      <c r="X51" s="1306"/>
      <c r="Y51" s="1306"/>
      <c r="Z51" s="1306"/>
    </row>
    <row r="52" spans="2:26">
      <c r="B52" s="305"/>
      <c r="C52" s="305"/>
      <c r="D52" s="305"/>
      <c r="E52" s="305"/>
      <c r="F52" s="305"/>
      <c r="G52" s="305"/>
      <c r="H52" s="305"/>
      <c r="I52" s="305"/>
      <c r="J52" s="305"/>
      <c r="K52" s="305"/>
      <c r="L52" s="305"/>
      <c r="M52" s="305"/>
      <c r="N52" s="305"/>
      <c r="O52" s="1304"/>
      <c r="P52" s="1306"/>
      <c r="Q52" s="1306"/>
      <c r="R52" s="1306"/>
      <c r="S52" s="1306"/>
      <c r="T52" s="1306"/>
      <c r="U52" s="1306"/>
      <c r="V52" s="1306"/>
      <c r="W52" s="1306"/>
      <c r="X52" s="1306"/>
      <c r="Y52" s="1306"/>
      <c r="Z52" s="1306"/>
    </row>
    <row r="53" spans="2:26">
      <c r="B53" s="305"/>
      <c r="C53" s="305"/>
      <c r="D53" s="305"/>
      <c r="E53" s="305"/>
      <c r="F53" s="305"/>
      <c r="G53" s="305"/>
      <c r="H53" s="305"/>
      <c r="I53" s="305"/>
      <c r="J53" s="305"/>
      <c r="K53" s="305"/>
      <c r="L53" s="305"/>
      <c r="M53" s="305"/>
      <c r="N53" s="305"/>
      <c r="O53" s="1304"/>
      <c r="P53" s="1306"/>
      <c r="Q53" s="1306"/>
      <c r="R53" s="1306"/>
      <c r="S53" s="1306"/>
      <c r="T53" s="1306"/>
      <c r="U53" s="1306"/>
      <c r="V53" s="1306"/>
      <c r="W53" s="1306"/>
      <c r="X53" s="1306"/>
      <c r="Y53" s="1306"/>
      <c r="Z53" s="1306"/>
    </row>
    <row r="54" spans="2:26">
      <c r="B54" s="305"/>
      <c r="C54" s="305"/>
      <c r="D54" s="305"/>
      <c r="E54" s="305"/>
      <c r="F54" s="305"/>
      <c r="G54" s="305"/>
      <c r="H54" s="305"/>
      <c r="I54" s="305"/>
      <c r="J54" s="305"/>
      <c r="K54" s="305"/>
      <c r="L54" s="305"/>
      <c r="M54" s="305"/>
      <c r="N54" s="305"/>
      <c r="O54" s="1304"/>
      <c r="P54" s="1306"/>
      <c r="Q54" s="1306"/>
      <c r="R54" s="1306"/>
      <c r="S54" s="1306"/>
      <c r="T54" s="1306"/>
      <c r="U54" s="1306"/>
      <c r="V54" s="1306"/>
      <c r="W54" s="1306"/>
      <c r="X54" s="1306"/>
      <c r="Y54" s="1306"/>
      <c r="Z54" s="1306"/>
    </row>
    <row r="55" spans="2:26">
      <c r="B55" s="305"/>
      <c r="C55" s="305"/>
      <c r="D55" s="305"/>
      <c r="E55" s="305"/>
      <c r="F55" s="305"/>
      <c r="G55" s="305"/>
      <c r="H55" s="305"/>
      <c r="I55" s="305"/>
      <c r="J55" s="305"/>
      <c r="K55" s="305"/>
      <c r="L55" s="305"/>
      <c r="M55" s="305"/>
      <c r="N55" s="305"/>
      <c r="O55" s="1304"/>
      <c r="P55" s="1306"/>
      <c r="Q55" s="1306"/>
      <c r="R55" s="1306"/>
      <c r="S55" s="1306"/>
      <c r="T55" s="1306"/>
      <c r="U55" s="1306"/>
      <c r="V55" s="1306"/>
      <c r="W55" s="1306"/>
      <c r="X55" s="1306"/>
      <c r="Y55" s="1306"/>
      <c r="Z55" s="1306"/>
    </row>
    <row r="56" spans="2:26">
      <c r="B56" s="305"/>
      <c r="C56" s="305"/>
      <c r="D56" s="305"/>
      <c r="E56" s="305"/>
      <c r="F56" s="305"/>
      <c r="G56" s="305"/>
      <c r="H56" s="305"/>
      <c r="I56" s="305"/>
      <c r="J56" s="305"/>
      <c r="K56" s="305"/>
      <c r="L56" s="305"/>
      <c r="M56" s="305"/>
      <c r="N56" s="305"/>
      <c r="O56" s="1304"/>
      <c r="P56" s="1306"/>
      <c r="Q56" s="1306"/>
      <c r="R56" s="1306"/>
      <c r="S56" s="1306"/>
      <c r="T56" s="1306"/>
      <c r="U56" s="1306"/>
      <c r="V56" s="1306"/>
      <c r="W56" s="1306"/>
      <c r="X56" s="1306"/>
      <c r="Y56" s="1306"/>
      <c r="Z56" s="1306"/>
    </row>
    <row r="57" spans="2:26">
      <c r="B57" s="305"/>
      <c r="C57" s="305"/>
      <c r="D57" s="305"/>
      <c r="E57" s="305"/>
      <c r="F57" s="305"/>
      <c r="G57" s="305"/>
      <c r="H57" s="305"/>
      <c r="I57" s="305"/>
      <c r="J57" s="305"/>
      <c r="K57" s="305"/>
      <c r="L57" s="305"/>
      <c r="M57" s="305"/>
      <c r="N57" s="305"/>
      <c r="O57" s="1304"/>
      <c r="P57" s="1306"/>
      <c r="Q57" s="1306"/>
      <c r="R57" s="1306"/>
      <c r="S57" s="1306"/>
      <c r="T57" s="1306"/>
      <c r="U57" s="1306"/>
      <c r="V57" s="1306"/>
      <c r="W57" s="1306"/>
      <c r="X57" s="1306"/>
      <c r="Y57" s="1306"/>
      <c r="Z57" s="1306"/>
    </row>
    <row r="58" spans="2:26">
      <c r="B58" s="305"/>
      <c r="C58" s="305"/>
      <c r="D58" s="305"/>
      <c r="E58" s="305"/>
      <c r="F58" s="305"/>
      <c r="G58" s="305"/>
      <c r="H58" s="305"/>
      <c r="I58" s="305"/>
      <c r="J58" s="305"/>
      <c r="K58" s="305"/>
      <c r="L58" s="305"/>
      <c r="M58" s="305"/>
      <c r="N58" s="305"/>
      <c r="O58" s="1304"/>
      <c r="P58" s="1306"/>
      <c r="Q58" s="1306"/>
      <c r="R58" s="1306"/>
      <c r="S58" s="1306"/>
      <c r="T58" s="1306"/>
      <c r="U58" s="1306"/>
      <c r="V58" s="1306"/>
      <c r="W58" s="1306"/>
      <c r="X58" s="1306"/>
      <c r="Y58" s="1306"/>
      <c r="Z58" s="1306"/>
    </row>
    <row r="59" spans="2:26">
      <c r="B59" s="305"/>
      <c r="C59" s="305"/>
      <c r="D59" s="305"/>
      <c r="E59" s="305"/>
      <c r="F59" s="305"/>
      <c r="G59" s="305"/>
      <c r="H59" s="305"/>
      <c r="I59" s="305"/>
      <c r="J59" s="305"/>
      <c r="K59" s="305"/>
      <c r="L59" s="305"/>
      <c r="M59" s="305"/>
      <c r="N59" s="305"/>
      <c r="O59" s="1304"/>
      <c r="P59" s="1306"/>
      <c r="Q59" s="1306"/>
      <c r="R59" s="1306"/>
      <c r="S59" s="1306"/>
      <c r="T59" s="1306"/>
      <c r="U59" s="1306"/>
      <c r="V59" s="1306"/>
      <c r="W59" s="1306"/>
      <c r="X59" s="1306"/>
      <c r="Y59" s="1306"/>
      <c r="Z59" s="1306"/>
    </row>
    <row r="60" spans="2:26">
      <c r="B60" s="22"/>
      <c r="C60" s="22"/>
      <c r="D60" s="22"/>
      <c r="E60" s="22"/>
      <c r="F60" s="22"/>
      <c r="G60" s="22"/>
      <c r="H60" s="22"/>
      <c r="I60" s="22"/>
      <c r="J60" s="22"/>
      <c r="K60" s="22"/>
      <c r="L60" s="22"/>
      <c r="M60" s="22"/>
      <c r="N60" s="22"/>
      <c r="O60" s="1300"/>
      <c r="P60" s="1306"/>
      <c r="Q60" s="1306"/>
      <c r="R60" s="1306"/>
      <c r="S60" s="1306"/>
      <c r="T60" s="1306"/>
      <c r="U60" s="1306"/>
      <c r="V60" s="1306"/>
      <c r="W60" s="1306"/>
      <c r="X60" s="1306"/>
      <c r="Y60" s="1306"/>
      <c r="Z60" s="1306"/>
    </row>
    <row r="61" spans="2:26">
      <c r="B61" s="22"/>
      <c r="C61" s="22"/>
      <c r="D61" s="22"/>
      <c r="E61" s="22"/>
      <c r="F61" s="22"/>
      <c r="G61" s="22"/>
      <c r="H61" s="22"/>
      <c r="I61" s="22"/>
      <c r="J61" s="22"/>
      <c r="K61" s="22"/>
      <c r="L61" s="22"/>
      <c r="M61" s="22"/>
      <c r="N61" s="22"/>
      <c r="O61" s="1300"/>
      <c r="P61" s="1306"/>
      <c r="Q61" s="1306"/>
      <c r="R61" s="1306"/>
      <c r="S61" s="1306"/>
      <c r="T61" s="1306"/>
      <c r="U61" s="1306"/>
      <c r="V61" s="1306"/>
      <c r="W61" s="1306"/>
      <c r="X61" s="1306"/>
      <c r="Y61" s="1306"/>
      <c r="Z61" s="1306"/>
    </row>
    <row r="62" spans="2:26">
      <c r="B62" s="22"/>
      <c r="C62" s="22"/>
      <c r="D62" s="22"/>
      <c r="E62" s="22"/>
      <c r="F62" s="22"/>
      <c r="G62" s="22"/>
      <c r="H62" s="22"/>
      <c r="I62" s="22"/>
      <c r="J62" s="22"/>
      <c r="K62" s="22"/>
      <c r="L62" s="22"/>
      <c r="M62" s="22"/>
      <c r="N62" s="22"/>
      <c r="O62" s="1300"/>
      <c r="P62" s="1306"/>
      <c r="Q62" s="1306"/>
      <c r="R62" s="1306"/>
      <c r="S62" s="1306"/>
      <c r="T62" s="1306"/>
      <c r="U62" s="1306"/>
      <c r="V62" s="1306"/>
      <c r="W62" s="1306"/>
      <c r="X62" s="1306"/>
      <c r="Y62" s="1306"/>
      <c r="Z62" s="1306"/>
    </row>
    <row r="63" spans="2:26">
      <c r="O63" s="1300"/>
      <c r="P63" s="1306"/>
      <c r="Q63" s="1306"/>
      <c r="R63" s="1306"/>
      <c r="S63" s="1306"/>
      <c r="T63" s="1306"/>
      <c r="U63" s="1306"/>
      <c r="V63" s="1306"/>
      <c r="W63" s="1306"/>
      <c r="X63" s="1306"/>
      <c r="Y63" s="1306"/>
      <c r="Z63" s="1306"/>
    </row>
    <row r="64" spans="2:26">
      <c r="O64" s="1300"/>
      <c r="P64" s="1306"/>
      <c r="Q64" s="1306"/>
      <c r="R64" s="1306"/>
      <c r="S64" s="1306"/>
      <c r="T64" s="1306"/>
      <c r="U64" s="1306"/>
      <c r="V64" s="1306"/>
      <c r="W64" s="1306"/>
      <c r="X64" s="1306"/>
      <c r="Y64" s="1306"/>
      <c r="Z64" s="1306"/>
    </row>
    <row r="65" spans="15:26">
      <c r="O65" s="1300"/>
      <c r="P65" s="1306"/>
      <c r="Q65" s="1306"/>
      <c r="R65" s="1306"/>
      <c r="S65" s="1306"/>
      <c r="T65" s="1306"/>
      <c r="U65" s="1306"/>
      <c r="V65" s="1306"/>
      <c r="W65" s="1306"/>
      <c r="X65" s="1306"/>
      <c r="Y65" s="1306"/>
      <c r="Z65" s="1306"/>
    </row>
    <row r="66" spans="15:26">
      <c r="O66" s="1300"/>
      <c r="P66" s="1306"/>
      <c r="Q66" s="1306"/>
      <c r="R66" s="1306"/>
      <c r="S66" s="1306"/>
      <c r="T66" s="1306"/>
      <c r="U66" s="1306"/>
      <c r="V66" s="1306"/>
      <c r="W66" s="1306"/>
      <c r="X66" s="1306"/>
      <c r="Y66" s="1306"/>
      <c r="Z66" s="1306"/>
    </row>
    <row r="67" spans="15:26">
      <c r="O67" s="1300"/>
      <c r="P67" s="1306"/>
      <c r="Q67" s="1306"/>
      <c r="R67" s="1306"/>
      <c r="S67" s="1306"/>
      <c r="T67" s="1306"/>
      <c r="U67" s="1306"/>
      <c r="V67" s="1306"/>
      <c r="W67" s="1306"/>
      <c r="X67" s="1306"/>
      <c r="Y67" s="1306"/>
      <c r="Z67" s="1306"/>
    </row>
    <row r="68" spans="15:26">
      <c r="O68" s="1300"/>
      <c r="P68" s="1306"/>
      <c r="Q68" s="1306"/>
      <c r="R68" s="1306"/>
      <c r="S68" s="1306"/>
      <c r="T68" s="1306"/>
      <c r="U68" s="1306"/>
      <c r="V68" s="1306"/>
      <c r="W68" s="1306"/>
      <c r="X68" s="1306"/>
      <c r="Y68" s="1306"/>
      <c r="Z68" s="1306"/>
    </row>
    <row r="69" spans="15:26">
      <c r="O69" s="1300"/>
      <c r="P69" s="1306"/>
      <c r="Q69" s="1306"/>
      <c r="R69" s="1306"/>
      <c r="S69" s="1306"/>
      <c r="T69" s="1306"/>
      <c r="U69" s="1306"/>
      <c r="V69" s="1306"/>
      <c r="W69" s="1306"/>
      <c r="X69" s="1306"/>
      <c r="Y69" s="1306"/>
      <c r="Z69" s="1306"/>
    </row>
    <row r="70" spans="15:26">
      <c r="O70" s="1300"/>
      <c r="P70" s="1306"/>
      <c r="Q70" s="1306"/>
      <c r="R70" s="1306"/>
      <c r="S70" s="1306"/>
      <c r="T70" s="1306"/>
      <c r="U70" s="1306"/>
      <c r="V70" s="1306"/>
      <c r="W70" s="1306"/>
      <c r="X70" s="1306"/>
      <c r="Y70" s="1306"/>
      <c r="Z70" s="1306"/>
    </row>
  </sheetData>
  <phoneticPr fontId="0" type="noConversion"/>
  <hyperlinks>
    <hyperlink ref="J41" location="INDICE!A60" display="VOLVER A INDICE"/>
    <hyperlink ref="O6" location="INDICE!A60" display="VOLVER A INDICE"/>
  </hyperlinks>
  <pageMargins left="0.75" right="0.75" top="1" bottom="1" header="0" footer="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6"/>
  <sheetViews>
    <sheetView workbookViewId="0">
      <selection activeCell="H22" sqref="H22"/>
    </sheetView>
  </sheetViews>
  <sheetFormatPr baseColWidth="10" defaultRowHeight="12.75"/>
  <cols>
    <col min="1" max="1" width="1.42578125" style="898" customWidth="1"/>
    <col min="2" max="2" width="30" style="898" customWidth="1"/>
    <col min="3" max="3" width="13.85546875" style="898" customWidth="1"/>
    <col min="4" max="6" width="11.42578125" style="898"/>
    <col min="7" max="17" width="11.42578125" style="22"/>
    <col min="18" max="16384" width="11.42578125" style="898"/>
  </cols>
  <sheetData>
    <row r="1" spans="2:9" ht="6.75" customHeight="1" thickBot="1"/>
    <row r="2" spans="2:9" ht="15.75" customHeight="1" thickBot="1">
      <c r="B2" s="1096"/>
      <c r="C2" s="1097"/>
      <c r="D2" s="1097"/>
      <c r="E2" s="1097"/>
      <c r="F2" s="1098"/>
      <c r="G2" s="325"/>
      <c r="H2" s="325"/>
      <c r="I2" s="325"/>
    </row>
    <row r="3" spans="2:9" ht="15.75">
      <c r="B3" s="312"/>
      <c r="C3" s="168" t="s">
        <v>77</v>
      </c>
      <c r="D3" s="313"/>
      <c r="E3" s="313"/>
      <c r="F3" s="314"/>
      <c r="G3" s="859" t="s">
        <v>683</v>
      </c>
      <c r="H3" s="325"/>
      <c r="I3" s="325"/>
    </row>
    <row r="4" spans="2:9" ht="15.75">
      <c r="B4" s="315"/>
      <c r="C4" s="316" t="s">
        <v>781</v>
      </c>
      <c r="D4" s="317"/>
      <c r="E4" s="318"/>
      <c r="F4" s="319"/>
      <c r="G4" s="325"/>
      <c r="H4" s="325"/>
      <c r="I4" s="325"/>
    </row>
    <row r="5" spans="2:9" ht="15.75">
      <c r="B5" s="315"/>
      <c r="C5" s="318" t="s">
        <v>591</v>
      </c>
      <c r="D5" s="318"/>
      <c r="E5" s="318"/>
      <c r="F5" s="319"/>
      <c r="G5" s="325"/>
      <c r="H5" s="325"/>
      <c r="I5" s="325"/>
    </row>
    <row r="6" spans="2:9" ht="15.75">
      <c r="B6" s="315"/>
      <c r="C6" s="318" t="s">
        <v>769</v>
      </c>
      <c r="D6" s="318"/>
      <c r="E6" s="318"/>
      <c r="F6" s="319"/>
      <c r="G6" s="325"/>
      <c r="H6" s="325"/>
      <c r="I6" s="325"/>
    </row>
    <row r="7" spans="2:9" ht="15.75">
      <c r="B7" s="315"/>
      <c r="C7" s="316" t="s">
        <v>770</v>
      </c>
      <c r="D7" s="318"/>
      <c r="E7" s="318"/>
      <c r="F7" s="319"/>
      <c r="G7" s="325"/>
      <c r="H7" s="325"/>
      <c r="I7" s="325"/>
    </row>
    <row r="8" spans="2:9" ht="15.75">
      <c r="B8" s="315"/>
      <c r="C8" s="318"/>
      <c r="D8" s="318"/>
      <c r="E8" s="318"/>
      <c r="F8" s="319"/>
      <c r="G8" s="325"/>
      <c r="H8" s="325"/>
      <c r="I8" s="325"/>
    </row>
    <row r="9" spans="2:9" ht="15.75">
      <c r="B9" s="320" t="s">
        <v>3</v>
      </c>
      <c r="C9" s="321" t="s">
        <v>121</v>
      </c>
      <c r="D9" s="321" t="s">
        <v>122</v>
      </c>
      <c r="E9" s="321" t="s">
        <v>123</v>
      </c>
      <c r="F9" s="322" t="s">
        <v>11</v>
      </c>
      <c r="G9" s="325"/>
      <c r="H9" s="325"/>
      <c r="I9" s="325"/>
    </row>
    <row r="10" spans="2:9" ht="13.5" thickBot="1">
      <c r="B10" s="1099"/>
      <c r="C10" s="1100"/>
      <c r="D10" s="1100"/>
      <c r="E10" s="1100"/>
      <c r="F10" s="1101"/>
      <c r="G10" s="325"/>
      <c r="H10" s="325"/>
      <c r="I10" s="325"/>
    </row>
    <row r="11" spans="2:9">
      <c r="B11" s="996"/>
      <c r="C11" s="323"/>
      <c r="D11" s="323"/>
      <c r="E11" s="323"/>
      <c r="F11" s="324"/>
      <c r="G11" s="325"/>
      <c r="H11" s="325"/>
      <c r="I11" s="325"/>
    </row>
    <row r="12" spans="2:9">
      <c r="B12" s="1102" t="s">
        <v>124</v>
      </c>
      <c r="C12" s="326">
        <f>SECT_U.FIS.!D29</f>
        <v>1.9639709999999999</v>
      </c>
      <c r="D12" s="326">
        <f>SECT_U.FIS.!D30</f>
        <v>3.1524886080000001</v>
      </c>
      <c r="E12" s="326">
        <f>SECT_U.FIS.!D31</f>
        <v>8.9918999999999999E-2</v>
      </c>
      <c r="F12" s="327">
        <f>SUM(C12:E12)</f>
        <v>5.2063786079999996</v>
      </c>
      <c r="G12" s="328"/>
      <c r="H12" s="328"/>
      <c r="I12" s="325"/>
    </row>
    <row r="13" spans="2:9">
      <c r="B13" s="1103" t="s">
        <v>180</v>
      </c>
      <c r="C13" s="326"/>
      <c r="D13" s="326"/>
      <c r="E13" s="326"/>
      <c r="F13" s="327"/>
      <c r="G13" s="325"/>
      <c r="H13" s="328"/>
      <c r="I13" s="325"/>
    </row>
    <row r="14" spans="2:9">
      <c r="B14" s="1102" t="s">
        <v>125</v>
      </c>
      <c r="C14" s="326">
        <f>SECT_U.FIS.!C29</f>
        <v>132.07471999999996</v>
      </c>
      <c r="D14" s="326">
        <f>SECT_U.FIS.!C30</f>
        <v>6.9880000000000004</v>
      </c>
      <c r="E14" s="326">
        <f>SECT_U.FIS.!C31</f>
        <v>12.375519999999996</v>
      </c>
      <c r="F14" s="327">
        <f>SUM(C14:E14)</f>
        <v>151.43823999999995</v>
      </c>
      <c r="G14" s="328"/>
      <c r="H14" s="328"/>
      <c r="I14" s="325"/>
    </row>
    <row r="15" spans="2:9">
      <c r="B15" s="1103" t="s">
        <v>179</v>
      </c>
      <c r="C15" s="326"/>
      <c r="D15" s="326"/>
      <c r="E15" s="326"/>
      <c r="F15" s="327"/>
      <c r="G15" s="325"/>
      <c r="H15" s="328"/>
      <c r="I15" s="325"/>
    </row>
    <row r="16" spans="2:9">
      <c r="B16" s="1102" t="s">
        <v>59</v>
      </c>
      <c r="C16" s="326">
        <f>SECT_U.FIS.!G29</f>
        <v>7.8209999999999988</v>
      </c>
      <c r="D16" s="326">
        <f>SECT_U.FIS.!G30</f>
        <v>0.53700000000000014</v>
      </c>
      <c r="E16" s="326">
        <f>SECT_U.FIS.!G31</f>
        <v>89.166149999999988</v>
      </c>
      <c r="F16" s="327">
        <f>SUM(C16:E16)</f>
        <v>97.524149999999992</v>
      </c>
      <c r="G16" s="328"/>
      <c r="H16" s="328"/>
      <c r="I16" s="325"/>
    </row>
    <row r="17" spans="2:9">
      <c r="B17" s="1103" t="s">
        <v>179</v>
      </c>
      <c r="C17" s="326"/>
      <c r="D17" s="326"/>
      <c r="E17" s="326"/>
      <c r="F17" s="327"/>
      <c r="G17" s="325"/>
      <c r="H17" s="328"/>
      <c r="I17" s="325"/>
    </row>
    <row r="18" spans="2:9">
      <c r="B18" s="1217" t="s">
        <v>63</v>
      </c>
      <c r="C18" s="326">
        <f>SECT_U.FIS.!K29</f>
        <v>0</v>
      </c>
      <c r="D18" s="326">
        <f>SECT_U.FIS.!K30</f>
        <v>7.0680000000000021E-2</v>
      </c>
      <c r="E18" s="326">
        <f>SECT_U.FIS.!K31</f>
        <v>0</v>
      </c>
      <c r="F18" s="327">
        <f>SUM(C18:E18)</f>
        <v>7.0680000000000021E-2</v>
      </c>
      <c r="G18" s="325"/>
      <c r="H18" s="328"/>
      <c r="I18" s="325"/>
    </row>
    <row r="19" spans="2:9">
      <c r="B19" s="1103" t="s">
        <v>179</v>
      </c>
      <c r="C19" s="326"/>
      <c r="D19" s="326"/>
      <c r="E19" s="326"/>
      <c r="F19" s="327"/>
      <c r="G19" s="325"/>
      <c r="H19" s="328"/>
      <c r="I19" s="325"/>
    </row>
    <row r="20" spans="2:9">
      <c r="B20" s="1102" t="s">
        <v>60</v>
      </c>
      <c r="C20" s="326">
        <f>SECT_U.FIS.!H29</f>
        <v>87.87181200000002</v>
      </c>
      <c r="D20" s="326">
        <f>SECT_U.FIS.!H30</f>
        <v>17.274410000000003</v>
      </c>
      <c r="E20" s="326">
        <f>SECT_U.FIS.!H31</f>
        <v>757.74326100000008</v>
      </c>
      <c r="F20" s="327">
        <f>SUM(C20:E20)</f>
        <v>862.88948300000015</v>
      </c>
      <c r="G20" s="328"/>
      <c r="H20" s="328"/>
      <c r="I20" s="325"/>
    </row>
    <row r="21" spans="2:9">
      <c r="B21" s="1103" t="s">
        <v>180</v>
      </c>
      <c r="C21" s="326"/>
      <c r="D21" s="326"/>
      <c r="E21" s="326"/>
      <c r="F21" s="327"/>
      <c r="G21" s="325"/>
      <c r="H21" s="328"/>
      <c r="I21" s="325"/>
    </row>
    <row r="22" spans="2:9">
      <c r="B22" s="1102" t="s">
        <v>18</v>
      </c>
      <c r="C22" s="326">
        <f>SECT_U.FIS.!M29</f>
        <v>4969.6725368445923</v>
      </c>
      <c r="D22" s="326">
        <f>SECT_U.FIS.!M30</f>
        <v>1708.4714313043876</v>
      </c>
      <c r="E22" s="326">
        <f>SECT_U.FIS.!M31</f>
        <v>7833.8910001502272</v>
      </c>
      <c r="F22" s="327">
        <f>SUM(C22:E22)</f>
        <v>14512.034968299207</v>
      </c>
      <c r="G22" s="328"/>
      <c r="H22" s="328"/>
      <c r="I22" s="325"/>
    </row>
    <row r="23" spans="2:9">
      <c r="B23" s="1103" t="s">
        <v>183</v>
      </c>
      <c r="C23" s="326"/>
      <c r="D23" s="326"/>
      <c r="E23" s="326"/>
      <c r="F23" s="327"/>
      <c r="G23" s="325"/>
      <c r="H23" s="328"/>
      <c r="I23" s="325"/>
    </row>
    <row r="24" spans="2:9">
      <c r="B24" s="1102" t="s">
        <v>7</v>
      </c>
      <c r="C24" s="326">
        <f>SECT_U.FIS.!N29</f>
        <v>0</v>
      </c>
      <c r="D24" s="326">
        <f>SECT_U.FIS.!N30</f>
        <v>7.7276689743969396</v>
      </c>
      <c r="E24" s="326">
        <f>SECT_U.FIS.!N31</f>
        <v>0.177621</v>
      </c>
      <c r="F24" s="327">
        <f>SUM(C24:E24)</f>
        <v>7.9052899743969398</v>
      </c>
      <c r="G24" s="328"/>
      <c r="H24" s="328"/>
      <c r="I24" s="325"/>
    </row>
    <row r="25" spans="2:9">
      <c r="B25" s="1103" t="s">
        <v>180</v>
      </c>
      <c r="C25" s="326"/>
      <c r="D25" s="326"/>
      <c r="E25" s="326"/>
      <c r="F25" s="327"/>
      <c r="G25" s="325"/>
      <c r="H25" s="328"/>
      <c r="I25" s="325"/>
    </row>
    <row r="26" spans="2:9">
      <c r="B26" s="1102" t="s">
        <v>20</v>
      </c>
      <c r="C26" s="326">
        <f>SECT_U.FIS.!Q29</f>
        <v>25.051135846858067</v>
      </c>
      <c r="D26" s="326">
        <f>SECT_U.FIS.!Q30</f>
        <v>1.3187160609999999</v>
      </c>
      <c r="E26" s="326">
        <f>SECT_U.FIS.!Q31</f>
        <v>27.778453625515755</v>
      </c>
      <c r="F26" s="327">
        <f>SUM(C26:E26)</f>
        <v>54.148305533373822</v>
      </c>
      <c r="G26" s="328"/>
      <c r="H26" s="328"/>
      <c r="I26" s="325"/>
    </row>
    <row r="27" spans="2:9">
      <c r="B27" s="1103" t="s">
        <v>181</v>
      </c>
      <c r="C27" s="326"/>
      <c r="D27" s="326"/>
      <c r="E27" s="326"/>
      <c r="F27" s="327"/>
      <c r="G27" s="325"/>
      <c r="H27" s="328"/>
      <c r="I27" s="325"/>
    </row>
    <row r="28" spans="2:9">
      <c r="B28" s="1102" t="s">
        <v>6</v>
      </c>
      <c r="C28" s="326">
        <f>SECT_U.FIS.!S29</f>
        <v>67.440689449799507</v>
      </c>
      <c r="D28" s="326">
        <f>SECT_U.FIS.!S30</f>
        <v>30.829251000000003</v>
      </c>
      <c r="E28" s="326">
        <f>SECT_U.FIS.!S31</f>
        <v>368.13140095543554</v>
      </c>
      <c r="F28" s="327">
        <f>SUM(C28:E28)</f>
        <v>466.40134140523503</v>
      </c>
      <c r="G28" s="328"/>
      <c r="H28" s="328"/>
      <c r="I28" s="325"/>
    </row>
    <row r="29" spans="2:9">
      <c r="B29" s="1103" t="s">
        <v>181</v>
      </c>
      <c r="C29" s="326"/>
      <c r="D29" s="326"/>
      <c r="E29" s="326"/>
      <c r="F29" s="327"/>
      <c r="G29" s="325"/>
      <c r="H29" s="328"/>
      <c r="I29" s="325"/>
    </row>
    <row r="30" spans="2:9">
      <c r="B30" s="1102" t="s">
        <v>9</v>
      </c>
      <c r="C30" s="326">
        <f>SECT_U.FIS.!V29</f>
        <v>0</v>
      </c>
      <c r="D30" s="326">
        <f>SECT_U.FIS.!V30</f>
        <v>22.089171974522294</v>
      </c>
      <c r="E30" s="326">
        <f>SECT_U.FIS.!V31</f>
        <v>8263.5472783125588</v>
      </c>
      <c r="F30" s="327">
        <f>SUM(C30:E30)</f>
        <v>8285.636450287082</v>
      </c>
      <c r="G30" s="328"/>
      <c r="H30" s="328"/>
      <c r="I30" s="325"/>
    </row>
    <row r="31" spans="2:9">
      <c r="B31" s="1103" t="s">
        <v>180</v>
      </c>
      <c r="C31" s="326"/>
      <c r="D31" s="326"/>
      <c r="E31" s="326"/>
      <c r="F31" s="327"/>
      <c r="G31" s="325"/>
      <c r="H31" s="325"/>
      <c r="I31" s="325"/>
    </row>
    <row r="32" spans="2:9" ht="13.5" thickBot="1">
      <c r="B32" s="1104"/>
      <c r="C32" s="329"/>
      <c r="D32" s="329"/>
      <c r="E32" s="329"/>
      <c r="F32" s="330"/>
      <c r="G32" s="325"/>
      <c r="H32" s="325"/>
      <c r="I32" s="325"/>
    </row>
    <row r="33" spans="2:9">
      <c r="B33" s="21" t="s">
        <v>14</v>
      </c>
      <c r="C33" s="21"/>
      <c r="D33" s="21"/>
      <c r="E33" s="21"/>
      <c r="F33" s="21"/>
      <c r="G33" s="21"/>
      <c r="H33" s="21"/>
      <c r="I33" s="73"/>
    </row>
    <row r="34" spans="2:9">
      <c r="B34" s="21" t="s">
        <v>778</v>
      </c>
      <c r="C34" s="21"/>
      <c r="D34" s="21"/>
      <c r="E34" s="21"/>
      <c r="F34" s="21"/>
      <c r="G34" s="21"/>
      <c r="H34" s="21"/>
      <c r="I34" s="73"/>
    </row>
    <row r="35" spans="2:9">
      <c r="B35" s="325"/>
      <c r="C35" s="325"/>
      <c r="D35" s="325"/>
      <c r="E35" s="325"/>
      <c r="F35" s="325"/>
      <c r="G35" s="325"/>
      <c r="H35" s="325"/>
      <c r="I35" s="325"/>
    </row>
    <row r="36" spans="2:9">
      <c r="B36" s="325"/>
      <c r="C36" s="325"/>
      <c r="D36" s="325"/>
      <c r="E36" s="325"/>
      <c r="F36" s="325"/>
      <c r="G36" s="325"/>
      <c r="H36" s="325"/>
      <c r="I36" s="325"/>
    </row>
    <row r="37" spans="2:9">
      <c r="B37" s="22"/>
      <c r="C37" s="22"/>
      <c r="D37" s="22"/>
      <c r="E37" s="22"/>
      <c r="F37" s="22"/>
    </row>
    <row r="38" spans="2:9">
      <c r="B38" s="22"/>
      <c r="C38" s="22"/>
      <c r="D38" s="22"/>
      <c r="E38" s="22"/>
      <c r="F38" s="22"/>
    </row>
    <row r="39" spans="2:9">
      <c r="B39" s="22"/>
      <c r="C39" s="22"/>
      <c r="D39" s="22"/>
      <c r="E39" s="22"/>
      <c r="F39" s="22"/>
    </row>
    <row r="40" spans="2:9">
      <c r="B40" s="22"/>
      <c r="C40" s="22"/>
      <c r="D40" s="22"/>
      <c r="E40" s="22"/>
      <c r="F40" s="22"/>
    </row>
    <row r="41" spans="2:9">
      <c r="B41" s="22"/>
      <c r="C41" s="22"/>
      <c r="D41" s="22"/>
      <c r="E41" s="22"/>
      <c r="F41" s="22"/>
    </row>
    <row r="42" spans="2:9">
      <c r="B42" s="22"/>
      <c r="C42" s="22"/>
      <c r="D42" s="22"/>
      <c r="E42" s="22"/>
      <c r="F42" s="22"/>
    </row>
    <row r="43" spans="2:9">
      <c r="B43" s="22"/>
      <c r="C43" s="22"/>
      <c r="D43" s="22"/>
      <c r="E43" s="22"/>
      <c r="F43" s="22"/>
    </row>
    <row r="44" spans="2:9">
      <c r="B44" s="22"/>
      <c r="C44" s="22"/>
      <c r="D44" s="22"/>
      <c r="E44" s="22"/>
      <c r="F44" s="22"/>
    </row>
    <row r="45" spans="2:9">
      <c r="B45" s="22"/>
      <c r="C45" s="22"/>
      <c r="D45" s="22"/>
      <c r="E45" s="22"/>
      <c r="F45" s="22"/>
    </row>
    <row r="46" spans="2:9">
      <c r="B46" s="22"/>
      <c r="C46" s="22"/>
      <c r="D46" s="22"/>
      <c r="E46" s="22"/>
      <c r="F46" s="22"/>
    </row>
    <row r="47" spans="2:9">
      <c r="B47" s="22"/>
      <c r="C47" s="22"/>
      <c r="D47" s="22"/>
      <c r="E47" s="22"/>
      <c r="F47" s="22"/>
    </row>
    <row r="48" spans="2:9">
      <c r="B48" s="22"/>
      <c r="C48" s="22"/>
      <c r="D48" s="22"/>
      <c r="E48" s="22"/>
      <c r="F48" s="22"/>
    </row>
    <row r="49" spans="2:6">
      <c r="B49" s="22"/>
      <c r="C49" s="22"/>
      <c r="D49" s="22"/>
      <c r="E49" s="22"/>
      <c r="F49" s="22"/>
    </row>
    <row r="50" spans="2:6">
      <c r="B50" s="22"/>
      <c r="C50" s="22"/>
      <c r="D50" s="22"/>
      <c r="E50" s="22"/>
      <c r="F50" s="22"/>
    </row>
    <row r="51" spans="2:6">
      <c r="B51" s="22"/>
      <c r="C51" s="22"/>
      <c r="D51" s="22"/>
      <c r="E51" s="22"/>
      <c r="F51" s="22"/>
    </row>
    <row r="52" spans="2:6" s="22" customFormat="1"/>
    <row r="53" spans="2:6" s="22" customFormat="1"/>
    <row r="54" spans="2:6" s="22" customFormat="1"/>
    <row r="55" spans="2:6" s="22" customFormat="1"/>
    <row r="56" spans="2:6" s="22" customFormat="1"/>
    <row r="57" spans="2:6" s="22" customFormat="1"/>
    <row r="58" spans="2:6" s="22" customFormat="1"/>
    <row r="59" spans="2:6" s="22" customFormat="1"/>
    <row r="60" spans="2:6" s="22" customFormat="1"/>
    <row r="61" spans="2:6" s="22" customFormat="1"/>
    <row r="62" spans="2:6" s="22" customFormat="1"/>
    <row r="63" spans="2:6" s="22" customFormat="1"/>
    <row r="64" spans="2:6"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sheetData>
  <phoneticPr fontId="0" type="noConversion"/>
  <hyperlinks>
    <hyperlink ref="G3" location="INDICE!A60" display="VOLVER A INDICE"/>
  </hyperlinks>
  <pageMargins left="0.75" right="0.75" top="1" bottom="1" header="0" footer="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3"/>
  <sheetViews>
    <sheetView showGridLines="0" workbookViewId="0">
      <selection activeCell="J9" sqref="J9"/>
    </sheetView>
  </sheetViews>
  <sheetFormatPr baseColWidth="10" defaultRowHeight="12.75"/>
  <cols>
    <col min="1" max="1" width="2.85546875" customWidth="1"/>
    <col min="2" max="2" width="31.28515625" customWidth="1"/>
    <col min="3" max="3" width="15.7109375" customWidth="1"/>
    <col min="4" max="4" width="13.7109375" customWidth="1"/>
  </cols>
  <sheetData>
    <row r="1" spans="2:9" ht="7.5" customHeight="1" thickBot="1"/>
    <row r="2" spans="2:9" ht="13.5" thickBot="1">
      <c r="B2" s="1105"/>
      <c r="C2" s="1106"/>
      <c r="D2" s="1106"/>
      <c r="E2" s="1106"/>
      <c r="F2" s="1106"/>
      <c r="G2" s="1106"/>
      <c r="H2" s="1107"/>
    </row>
    <row r="3" spans="2:9" ht="15.75">
      <c r="B3" s="332"/>
      <c r="C3" s="333"/>
      <c r="D3" s="168" t="s">
        <v>77</v>
      </c>
      <c r="E3" s="333"/>
      <c r="F3" s="333"/>
      <c r="G3" s="333"/>
      <c r="H3" s="334"/>
    </row>
    <row r="4" spans="2:9" ht="15.75">
      <c r="B4" s="336"/>
      <c r="C4" s="337"/>
      <c r="D4" s="338" t="s">
        <v>785</v>
      </c>
      <c r="E4" s="337"/>
      <c r="F4" s="337"/>
      <c r="G4" s="337"/>
      <c r="H4" s="339"/>
    </row>
    <row r="5" spans="2:9" ht="15.75">
      <c r="B5" s="336"/>
      <c r="C5" s="337"/>
      <c r="D5" s="337" t="s">
        <v>592</v>
      </c>
      <c r="E5" s="337"/>
      <c r="F5" s="337"/>
      <c r="G5" s="337"/>
      <c r="H5" s="339"/>
      <c r="I5" s="1239" t="s">
        <v>683</v>
      </c>
    </row>
    <row r="6" spans="2:9" ht="15.75">
      <c r="B6" s="336"/>
      <c r="C6" s="337"/>
      <c r="D6" s="340" t="s">
        <v>750</v>
      </c>
      <c r="E6" s="337"/>
      <c r="F6" s="337"/>
      <c r="G6" s="337"/>
      <c r="H6" s="339"/>
    </row>
    <row r="7" spans="2:9" ht="15.75">
      <c r="B7" s="336"/>
      <c r="C7" s="337"/>
      <c r="D7" s="337"/>
      <c r="E7" s="337"/>
      <c r="F7" s="337"/>
      <c r="G7" s="337"/>
      <c r="H7" s="339"/>
    </row>
    <row r="8" spans="2:9" ht="15.75">
      <c r="B8" s="336"/>
      <c r="C8" s="340"/>
      <c r="D8" s="340"/>
      <c r="E8" s="340"/>
      <c r="F8" s="340"/>
      <c r="G8" s="340"/>
      <c r="H8" s="341"/>
    </row>
    <row r="9" spans="2:9" ht="15.75">
      <c r="B9" s="336" t="s">
        <v>3</v>
      </c>
      <c r="C9" s="178" t="s">
        <v>805</v>
      </c>
      <c r="D9" s="178" t="s">
        <v>806</v>
      </c>
      <c r="E9" s="178" t="s">
        <v>127</v>
      </c>
      <c r="F9" s="178" t="s">
        <v>128</v>
      </c>
      <c r="G9" s="178" t="s">
        <v>6</v>
      </c>
      <c r="H9" s="179" t="s">
        <v>11</v>
      </c>
    </row>
    <row r="10" spans="2:9" ht="16.5" thickBot="1">
      <c r="B10" s="1108"/>
      <c r="C10" s="1032"/>
      <c r="D10" s="1032"/>
      <c r="E10" s="1032" t="s">
        <v>6</v>
      </c>
      <c r="F10" s="1032" t="s">
        <v>807</v>
      </c>
      <c r="G10" s="1032" t="s">
        <v>808</v>
      </c>
      <c r="H10" s="1033"/>
    </row>
    <row r="11" spans="2:9">
      <c r="B11" s="1109"/>
      <c r="C11" s="342"/>
      <c r="D11" s="342"/>
      <c r="E11" s="342"/>
      <c r="F11" s="342"/>
      <c r="G11" s="343"/>
      <c r="H11" s="344"/>
    </row>
    <row r="12" spans="2:9">
      <c r="B12" s="1073" t="s">
        <v>55</v>
      </c>
      <c r="C12" s="326">
        <f>SECT_U.FIS.!D36+SECT_U.FIS.!D37</f>
        <v>0</v>
      </c>
      <c r="D12" s="326">
        <f>SECT_U.FIS.!D38+SECT_U.FIS.!D39</f>
        <v>0</v>
      </c>
      <c r="E12" s="326">
        <f>SECT_U.FIS.!D40</f>
        <v>20.927969999999998</v>
      </c>
      <c r="F12" s="326">
        <f>SECT_U.FIS.!D41</f>
        <v>0</v>
      </c>
      <c r="G12" s="326">
        <f>SECT_U.FIS.!D42</f>
        <v>0</v>
      </c>
      <c r="H12" s="327">
        <f>SUM(C12:G12)</f>
        <v>20.927969999999998</v>
      </c>
    </row>
    <row r="13" spans="2:9">
      <c r="B13" s="1074" t="s">
        <v>211</v>
      </c>
      <c r="C13" s="326"/>
      <c r="D13" s="326"/>
      <c r="E13" s="326"/>
      <c r="F13" s="326"/>
      <c r="G13" s="326"/>
      <c r="H13" s="327"/>
    </row>
    <row r="14" spans="2:9">
      <c r="B14" s="1073" t="s">
        <v>56</v>
      </c>
      <c r="C14" s="326">
        <f>SECT_U.FIS.!C36+SECT_U.FIS.!C37</f>
        <v>0</v>
      </c>
      <c r="D14" s="326">
        <f>SECT_U.FIS.!C38+SECT_U.FIS.!C39</f>
        <v>0.43546000000000001</v>
      </c>
      <c r="E14" s="326">
        <f>SECT_U.FIS.!C40</f>
        <v>1.9855642999999998</v>
      </c>
      <c r="F14" s="326">
        <f>SECT_U.FIS.!C41</f>
        <v>7.7999999999999986E-2</v>
      </c>
      <c r="G14" s="326">
        <f>SECT_U.FIS.!C42</f>
        <v>0</v>
      </c>
      <c r="H14" s="327">
        <f>SUM(C14:G14)</f>
        <v>2.4990242999999999</v>
      </c>
    </row>
    <row r="15" spans="2:9">
      <c r="B15" s="1074" t="s">
        <v>179</v>
      </c>
      <c r="C15" s="326"/>
      <c r="D15" s="326"/>
      <c r="E15" s="326"/>
      <c r="F15" s="326"/>
      <c r="G15" s="326"/>
      <c r="H15" s="327"/>
    </row>
    <row r="16" spans="2:9">
      <c r="B16" s="1073" t="s">
        <v>199</v>
      </c>
      <c r="C16" s="326">
        <f>SECT_U.FIS.!E36+SECT_U.FIS.!E37</f>
        <v>0</v>
      </c>
      <c r="D16" s="326">
        <f>SECT_U.FIS.!E38+SECT_U.FIS.!E39</f>
        <v>0</v>
      </c>
      <c r="E16" s="326">
        <f>SECT_U.FIS.!E40</f>
        <v>0</v>
      </c>
      <c r="F16" s="326">
        <f>SECT_U.FIS.!E41</f>
        <v>0</v>
      </c>
      <c r="G16" s="326">
        <f>SECT_U.FIS.!E42</f>
        <v>0</v>
      </c>
      <c r="H16" s="327">
        <f>SUM(C16:G16)</f>
        <v>0</v>
      </c>
    </row>
    <row r="17" spans="2:8">
      <c r="B17" s="1074" t="s">
        <v>179</v>
      </c>
      <c r="C17" s="326"/>
      <c r="D17" s="326"/>
      <c r="E17" s="326"/>
      <c r="F17" s="326"/>
      <c r="G17" s="326"/>
      <c r="H17" s="327"/>
    </row>
    <row r="18" spans="2:8">
      <c r="B18" s="1073" t="s">
        <v>60</v>
      </c>
      <c r="C18" s="326">
        <f>SECT_U.FIS.!H36+SECT_U.FIS.!H37</f>
        <v>0</v>
      </c>
      <c r="D18" s="326">
        <f>SECT_U.FIS.!H38+SECT_U.FIS.!H39</f>
        <v>1.978548</v>
      </c>
      <c r="E18" s="326">
        <f>SECT_U.FIS.!H40</f>
        <v>24</v>
      </c>
      <c r="F18" s="326">
        <f>SECT_U.FIS.!H41</f>
        <v>0</v>
      </c>
      <c r="G18" s="326">
        <f>SECT_U.FIS.!H42</f>
        <v>0</v>
      </c>
      <c r="H18" s="327">
        <f>SUM(C18:G18)</f>
        <v>25.978548</v>
      </c>
    </row>
    <row r="19" spans="2:8">
      <c r="B19" s="1074" t="s">
        <v>180</v>
      </c>
      <c r="C19" s="326"/>
      <c r="D19" s="326"/>
      <c r="E19" s="326"/>
      <c r="F19" s="326"/>
      <c r="G19" s="326"/>
      <c r="H19" s="327"/>
    </row>
    <row r="20" spans="2:8">
      <c r="B20" s="1073" t="s">
        <v>63</v>
      </c>
      <c r="C20" s="326">
        <f>SECT_U.FIS.!K36+SECT_U.FIS.!K37</f>
        <v>0</v>
      </c>
      <c r="D20" s="326">
        <f>SECT_U.FIS.!K38+SECT_U.FIS.!K39</f>
        <v>0</v>
      </c>
      <c r="E20" s="326">
        <f>SECT_U.FIS.!K40</f>
        <v>242.16700285714285</v>
      </c>
      <c r="F20" s="326">
        <f>SECT_U.FIS.!K41</f>
        <v>0</v>
      </c>
      <c r="G20" s="326">
        <f>SECT_U.FIS.!K42</f>
        <v>0</v>
      </c>
      <c r="H20" s="327">
        <f>SUM(C20:G20)</f>
        <v>242.16700285714285</v>
      </c>
    </row>
    <row r="21" spans="2:8">
      <c r="B21" s="1074" t="s">
        <v>179</v>
      </c>
      <c r="C21" s="326"/>
      <c r="D21" s="326"/>
      <c r="E21" s="326"/>
      <c r="F21" s="326"/>
      <c r="G21" s="326"/>
      <c r="H21" s="327"/>
    </row>
    <row r="22" spans="2:8">
      <c r="B22" s="1073" t="s">
        <v>64</v>
      </c>
      <c r="C22" s="326">
        <f>SECT_U.FIS.!L36+SECT_U.FIS.!L37</f>
        <v>0</v>
      </c>
      <c r="D22" s="326">
        <f>SECT_U.FIS.!L38+SECT_U.FIS.!L39</f>
        <v>0</v>
      </c>
      <c r="E22" s="326">
        <f>SECT_U.FIS.!L40</f>
        <v>575.53359999999998</v>
      </c>
      <c r="F22" s="326">
        <f>SECT_U.FIS.!L41</f>
        <v>0</v>
      </c>
      <c r="G22" s="326">
        <f>SECT_U.FIS.!L42</f>
        <v>0</v>
      </c>
      <c r="H22" s="327">
        <f>SUM(C22:G22)</f>
        <v>575.53359999999998</v>
      </c>
    </row>
    <row r="23" spans="2:8">
      <c r="B23" s="1074" t="s">
        <v>179</v>
      </c>
      <c r="C23" s="326"/>
      <c r="D23" s="326"/>
      <c r="E23" s="326"/>
      <c r="F23" s="326"/>
      <c r="G23" s="326"/>
      <c r="H23" s="327"/>
    </row>
    <row r="24" spans="2:8">
      <c r="B24" s="1073" t="s">
        <v>18</v>
      </c>
      <c r="C24" s="326">
        <f>SECT_U.FIS.!M36+SECT_U.FIS.!M37</f>
        <v>1530.8383262849936</v>
      </c>
      <c r="D24" s="326">
        <f>SECT_U.FIS.!M38+SECT_U.FIS.!M39</f>
        <v>7.3297200000000009</v>
      </c>
      <c r="E24" s="326">
        <f>SECT_U.FIS.!M40</f>
        <v>485.62210399999992</v>
      </c>
      <c r="F24" s="326">
        <f>SECT_U.FIS.!M41</f>
        <v>2.07106067</v>
      </c>
      <c r="G24" s="326">
        <f>SECT_U.FIS.!M42</f>
        <v>135.245</v>
      </c>
      <c r="H24" s="327">
        <f>SUM(C24:G24)</f>
        <v>2161.1062109549935</v>
      </c>
    </row>
    <row r="25" spans="2:8">
      <c r="B25" s="1074" t="s">
        <v>183</v>
      </c>
      <c r="C25" s="326"/>
      <c r="D25" s="326"/>
      <c r="E25" s="326"/>
      <c r="F25" s="326"/>
      <c r="G25" s="326"/>
      <c r="H25" s="327"/>
    </row>
    <row r="26" spans="2:8">
      <c r="B26" s="1073" t="s">
        <v>7</v>
      </c>
      <c r="C26" s="326">
        <f>SECT_U.FIS.!N36+SECT_U.FIS.!N37</f>
        <v>0</v>
      </c>
      <c r="D26" s="326">
        <f>SECT_U.FIS.!N38+SECT_U.FIS.!N39</f>
        <v>0</v>
      </c>
      <c r="E26" s="326">
        <f>SECT_U.FIS.!N40</f>
        <v>0</v>
      </c>
      <c r="F26" s="326">
        <f>SECT_U.FIS.!N41</f>
        <v>0.98585578571428556</v>
      </c>
      <c r="G26" s="326">
        <f>SECT_U.FIS.!N42</f>
        <v>0</v>
      </c>
      <c r="H26" s="327">
        <f>SUM(C26:G26)</f>
        <v>0.98585578571428556</v>
      </c>
    </row>
    <row r="27" spans="2:8">
      <c r="B27" s="1074" t="s">
        <v>180</v>
      </c>
      <c r="C27" s="326"/>
      <c r="D27" s="326"/>
      <c r="E27" s="326"/>
      <c r="F27" s="326"/>
      <c r="G27" s="326"/>
      <c r="H27" s="327"/>
    </row>
    <row r="28" spans="2:8">
      <c r="B28" s="1073" t="s">
        <v>185</v>
      </c>
      <c r="C28" s="326">
        <f>SECT_U.FIS.!P36+SECT_U.FIS.!P37</f>
        <v>0</v>
      </c>
      <c r="D28" s="326">
        <f>SECT_U.FIS.!P38+SECT_U.FIS.!P39</f>
        <v>18405.096153846156</v>
      </c>
      <c r="E28" s="326">
        <f>SECT_U.FIS.!P40</f>
        <v>0</v>
      </c>
      <c r="F28" s="326">
        <f>SECT_U.FIS.!P41</f>
        <v>0</v>
      </c>
      <c r="G28" s="326">
        <f>SECT_U.FIS.!P42</f>
        <v>0</v>
      </c>
      <c r="H28" s="327">
        <f>SUM(C28:G28)</f>
        <v>18405.096153846156</v>
      </c>
    </row>
    <row r="29" spans="2:8">
      <c r="B29" s="1074" t="s">
        <v>179</v>
      </c>
      <c r="C29" s="326"/>
      <c r="D29" s="326"/>
      <c r="E29" s="326"/>
      <c r="F29" s="326"/>
      <c r="G29" s="326"/>
      <c r="H29" s="327"/>
    </row>
    <row r="30" spans="2:8">
      <c r="B30" s="1073" t="s">
        <v>20</v>
      </c>
      <c r="C30" s="326">
        <f>SECT_U.FIS.!Q36+SECT_U.FIS.!Q37</f>
        <v>0</v>
      </c>
      <c r="D30" s="326">
        <f>SECT_U.FIS.!Q38+SECT_U.FIS.!Q39</f>
        <v>65.697000000000003</v>
      </c>
      <c r="E30" s="326">
        <f>SECT_U.FIS.!Q40</f>
        <v>0.16209478091952606</v>
      </c>
      <c r="F30" s="326">
        <f>SECT_U.FIS.!Q41</f>
        <v>7.9990000000000008E-6</v>
      </c>
      <c r="G30" s="326">
        <f>SECT_U.FIS.!Q42</f>
        <v>0</v>
      </c>
      <c r="H30" s="327">
        <f>SUM(C30:G30)</f>
        <v>65.859102779919539</v>
      </c>
    </row>
    <row r="31" spans="2:8">
      <c r="B31" s="1074" t="s">
        <v>181</v>
      </c>
      <c r="C31" s="326"/>
      <c r="D31" s="326"/>
      <c r="E31" s="326"/>
      <c r="F31" s="326"/>
      <c r="G31" s="326"/>
      <c r="H31" s="327"/>
    </row>
    <row r="32" spans="2:8">
      <c r="B32" s="1073" t="s">
        <v>69</v>
      </c>
      <c r="C32" s="326">
        <f>SECT_U.FIS.!R36+SECT_U.FIS.!R37</f>
        <v>0</v>
      </c>
      <c r="D32" s="326">
        <f>SECT_U.FIS.!R38+SECT_U.FIS.!R39</f>
        <v>1089.6511111111113</v>
      </c>
      <c r="E32" s="326">
        <f>SECT_U.FIS.!R40</f>
        <v>0</v>
      </c>
      <c r="F32" s="326">
        <f>SECT_U.FIS.!R41</f>
        <v>0</v>
      </c>
      <c r="G32" s="326">
        <f>SECT_U.FIS.!R42</f>
        <v>0</v>
      </c>
      <c r="H32" s="327">
        <f>SUM(C32:G32)</f>
        <v>1089.6511111111113</v>
      </c>
    </row>
    <row r="33" spans="2:8">
      <c r="B33" s="1074" t="s">
        <v>180</v>
      </c>
      <c r="C33" s="326"/>
      <c r="D33" s="326"/>
      <c r="E33" s="326"/>
      <c r="F33" s="326"/>
      <c r="G33" s="326"/>
      <c r="H33" s="327"/>
    </row>
    <row r="34" spans="2:8">
      <c r="B34" s="1073" t="s">
        <v>201</v>
      </c>
      <c r="C34" s="326">
        <f>SECT_U.FIS.!S36+SECT_U.FIS.!S37</f>
        <v>0</v>
      </c>
      <c r="D34" s="326">
        <f>SECT_U.FIS.!S38+SECT_U.FIS.!S39</f>
        <v>2.0239609999999999</v>
      </c>
      <c r="E34" s="326">
        <f>SECT_U.FIS.!S40</f>
        <v>550.09280623801851</v>
      </c>
      <c r="F34" s="326">
        <f>SECT_U.FIS.!S41</f>
        <v>0</v>
      </c>
      <c r="G34" s="326">
        <f>SECT_U.FIS.!S42</f>
        <v>0</v>
      </c>
      <c r="H34" s="327">
        <f>SUM(C34:G34)</f>
        <v>552.1167672380185</v>
      </c>
    </row>
    <row r="35" spans="2:8">
      <c r="B35" s="1074" t="s">
        <v>181</v>
      </c>
      <c r="C35" s="326"/>
      <c r="D35" s="326"/>
      <c r="E35" s="326"/>
      <c r="F35" s="326"/>
      <c r="G35" s="326"/>
      <c r="H35" s="327"/>
    </row>
    <row r="36" spans="2:8">
      <c r="B36" s="1073" t="s">
        <v>22</v>
      </c>
      <c r="C36" s="326">
        <f>SECT_U.FIS.!T36+SECT_U.FIS.!T37</f>
        <v>0</v>
      </c>
      <c r="D36" s="326">
        <f>SECT_U.FIS.!T38+SECT_U.FIS.!T39</f>
        <v>0</v>
      </c>
      <c r="E36" s="326">
        <f>SECT_U.FIS.!T40</f>
        <v>0</v>
      </c>
      <c r="F36" s="326">
        <f>SECT_U.FIS.!T41</f>
        <v>0</v>
      </c>
      <c r="G36" s="326">
        <f>SECT_U.FIS.!T42</f>
        <v>0</v>
      </c>
      <c r="H36" s="327">
        <f>SUM(C36:G36)</f>
        <v>0</v>
      </c>
    </row>
    <row r="37" spans="2:8" ht="13.5" thickBot="1">
      <c r="B37" s="1075" t="s">
        <v>180</v>
      </c>
      <c r="C37" s="346"/>
      <c r="D37" s="346"/>
      <c r="E37" s="346"/>
      <c r="F37" s="346"/>
      <c r="G37" s="346"/>
      <c r="H37" s="347"/>
    </row>
    <row r="38" spans="2:8" s="1228" customFormat="1">
      <c r="B38" s="1285" t="s">
        <v>801</v>
      </c>
      <c r="C38" s="1307"/>
      <c r="D38" s="1307"/>
      <c r="E38" s="1307"/>
      <c r="F38" s="1307"/>
      <c r="G38" s="1307"/>
      <c r="H38" s="1307"/>
    </row>
    <row r="39" spans="2:8" s="1228" customFormat="1">
      <c r="B39" s="1285" t="s">
        <v>802</v>
      </c>
      <c r="C39" s="1307"/>
      <c r="D39" s="1307"/>
      <c r="E39" s="1307"/>
      <c r="F39" s="1307"/>
      <c r="G39" s="1307"/>
      <c r="H39" s="1307"/>
    </row>
    <row r="40" spans="2:8" s="1228" customFormat="1">
      <c r="B40" s="1285" t="s">
        <v>803</v>
      </c>
      <c r="C40" s="1307"/>
      <c r="D40" s="1307"/>
      <c r="E40" s="1307"/>
      <c r="F40" s="1307"/>
      <c r="G40" s="1307"/>
      <c r="H40" s="1307"/>
    </row>
    <row r="41" spans="2:8" s="1228" customFormat="1">
      <c r="B41" s="1285" t="s">
        <v>804</v>
      </c>
      <c r="C41" s="1307"/>
      <c r="D41" s="1307"/>
      <c r="E41" s="1307"/>
      <c r="F41" s="1307"/>
      <c r="G41" s="1307"/>
      <c r="H41" s="1307"/>
    </row>
    <row r="42" spans="2:8">
      <c r="B42" s="21" t="s">
        <v>14</v>
      </c>
      <c r="C42" s="21"/>
      <c r="D42" s="21"/>
      <c r="E42" s="21"/>
      <c r="F42" s="21"/>
      <c r="G42" s="21"/>
      <c r="H42" s="21"/>
    </row>
    <row r="43" spans="2:8">
      <c r="B43" s="21" t="s">
        <v>777</v>
      </c>
      <c r="C43" s="21"/>
      <c r="D43" s="21"/>
      <c r="E43" s="21"/>
      <c r="F43" s="21"/>
      <c r="G43" s="21"/>
      <c r="H43" s="21"/>
    </row>
  </sheetData>
  <phoneticPr fontId="91" type="noConversion"/>
  <hyperlinks>
    <hyperlink ref="I5" location="INDICE!A60" display="VOLVER A INDICE"/>
  </hyperlinks>
  <pageMargins left="0.75" right="0.75" top="1" bottom="1" header="0" footer="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7"/>
  <sheetViews>
    <sheetView workbookViewId="0">
      <selection activeCell="H26" sqref="H11:H26"/>
    </sheetView>
  </sheetViews>
  <sheetFormatPr baseColWidth="10" defaultRowHeight="12.75"/>
  <cols>
    <col min="1" max="1" width="1.85546875" style="898" customWidth="1"/>
    <col min="2" max="2" width="30.140625" style="898" customWidth="1"/>
    <col min="3" max="3" width="15.42578125" style="898" customWidth="1"/>
    <col min="4" max="4" width="13.5703125" style="898" customWidth="1"/>
    <col min="5" max="5" width="12.7109375" style="898" customWidth="1"/>
    <col min="6" max="6" width="11.7109375" style="898" customWidth="1"/>
    <col min="7" max="9" width="11.42578125" style="898"/>
    <col min="10" max="14" width="11.42578125" style="22"/>
    <col min="15" max="16384" width="11.42578125" style="898"/>
  </cols>
  <sheetData>
    <row r="1" spans="2:9" ht="6" customHeight="1" thickBot="1"/>
    <row r="2" spans="2:9" ht="13.5" thickBot="1">
      <c r="B2" s="1105"/>
      <c r="C2" s="1106"/>
      <c r="D2" s="1106"/>
      <c r="E2" s="1106"/>
      <c r="F2" s="1106"/>
      <c r="G2" s="1106"/>
      <c r="H2" s="1107"/>
      <c r="I2" s="331"/>
    </row>
    <row r="3" spans="2:9" ht="15.75">
      <c r="B3" s="332"/>
      <c r="C3" s="333"/>
      <c r="D3" s="168" t="s">
        <v>77</v>
      </c>
      <c r="E3" s="333"/>
      <c r="F3" s="333"/>
      <c r="G3" s="333"/>
      <c r="H3" s="334"/>
      <c r="I3" s="859" t="s">
        <v>683</v>
      </c>
    </row>
    <row r="4" spans="2:9" ht="15.75">
      <c r="B4" s="336"/>
      <c r="C4" s="337"/>
      <c r="D4" s="338" t="s">
        <v>785</v>
      </c>
      <c r="E4" s="337"/>
      <c r="F4" s="337"/>
      <c r="G4" s="337"/>
      <c r="H4" s="339"/>
      <c r="I4" s="335"/>
    </row>
    <row r="5" spans="2:9" ht="15.75">
      <c r="B5" s="336"/>
      <c r="C5" s="337"/>
      <c r="D5" s="337" t="s">
        <v>592</v>
      </c>
      <c r="E5" s="337"/>
      <c r="F5" s="337"/>
      <c r="G5" s="337"/>
      <c r="H5" s="339"/>
      <c r="I5" s="335"/>
    </row>
    <row r="6" spans="2:9" ht="15.75">
      <c r="B6" s="336"/>
      <c r="C6" s="337"/>
      <c r="D6" s="340" t="s">
        <v>209</v>
      </c>
      <c r="E6" s="337"/>
      <c r="F6" s="337"/>
      <c r="G6" s="337"/>
      <c r="H6" s="339"/>
      <c r="I6" s="335"/>
    </row>
    <row r="7" spans="2:9" ht="15.75">
      <c r="B7" s="336"/>
      <c r="C7" s="337"/>
      <c r="D7" s="337"/>
      <c r="E7" s="337"/>
      <c r="F7" s="337"/>
      <c r="G7" s="337"/>
      <c r="H7" s="339"/>
      <c r="I7" s="335"/>
    </row>
    <row r="8" spans="2:9" ht="15.75">
      <c r="B8" s="336"/>
      <c r="C8" s="340"/>
      <c r="D8" s="340"/>
      <c r="E8" s="340"/>
      <c r="F8" s="340"/>
      <c r="G8" s="340"/>
      <c r="H8" s="341"/>
      <c r="I8" s="335"/>
    </row>
    <row r="9" spans="2:9" ht="15.75">
      <c r="B9" s="336" t="s">
        <v>3</v>
      </c>
      <c r="C9" s="178" t="s">
        <v>805</v>
      </c>
      <c r="D9" s="178" t="s">
        <v>806</v>
      </c>
      <c r="E9" s="178" t="s">
        <v>127</v>
      </c>
      <c r="F9" s="178" t="s">
        <v>128</v>
      </c>
      <c r="G9" s="178" t="s">
        <v>6</v>
      </c>
      <c r="H9" s="179" t="s">
        <v>11</v>
      </c>
      <c r="I9" s="335"/>
    </row>
    <row r="10" spans="2:9" ht="16.5" thickBot="1">
      <c r="B10" s="1108"/>
      <c r="C10" s="1032"/>
      <c r="D10" s="1032"/>
      <c r="E10" s="1032" t="s">
        <v>6</v>
      </c>
      <c r="F10" s="1032" t="s">
        <v>807</v>
      </c>
      <c r="G10" s="1032" t="s">
        <v>808</v>
      </c>
      <c r="H10" s="1033"/>
      <c r="I10" s="335"/>
    </row>
    <row r="11" spans="2:9">
      <c r="B11" s="1109"/>
      <c r="C11" s="342"/>
      <c r="D11" s="342"/>
      <c r="E11" s="342"/>
      <c r="F11" s="342"/>
      <c r="G11" s="343"/>
      <c r="H11" s="344"/>
      <c r="I11" s="331"/>
    </row>
    <row r="12" spans="2:9">
      <c r="B12" s="1110" t="s">
        <v>55</v>
      </c>
      <c r="C12" s="1278">
        <f>SECT_U.FIS.!D49+SECT_U.FIS.!D50</f>
        <v>86.847657603336103</v>
      </c>
      <c r="D12" s="1279">
        <f>SECT_U.FIS.!D51+SECT_U.FIS.!D52</f>
        <v>0</v>
      </c>
      <c r="E12" s="1279">
        <f>SECT_U.FIS.!D53</f>
        <v>0</v>
      </c>
      <c r="F12" s="1279">
        <f>SECT_U.FIS.!D54</f>
        <v>0</v>
      </c>
      <c r="G12" s="1279">
        <f>SECT_U.FIS.!D55</f>
        <v>0</v>
      </c>
      <c r="H12" s="1280">
        <f>SUM(C12:G12)</f>
        <v>86.847657603336103</v>
      </c>
      <c r="I12" s="345"/>
    </row>
    <row r="13" spans="2:9">
      <c r="B13" s="1111" t="s">
        <v>211</v>
      </c>
      <c r="C13" s="1278"/>
      <c r="D13" s="1278"/>
      <c r="E13" s="1278"/>
      <c r="F13" s="1278"/>
      <c r="G13" s="1278"/>
      <c r="H13" s="1281"/>
      <c r="I13" s="345"/>
    </row>
    <row r="14" spans="2:9">
      <c r="B14" s="1110" t="s">
        <v>56</v>
      </c>
      <c r="C14" s="1278">
        <f>SECT_U.FIS.!C49+SECT_U.FIS.!C50</f>
        <v>102.90740827549072</v>
      </c>
      <c r="D14" s="1279">
        <f>SECT_U.FIS.!C51+SECT_U.FIS.!C52</f>
        <v>0</v>
      </c>
      <c r="E14" s="1279">
        <f>SECT_U.FIS.!C53</f>
        <v>0</v>
      </c>
      <c r="F14" s="1279">
        <f>SECT_U.FIS.!C54</f>
        <v>0</v>
      </c>
      <c r="G14" s="1279">
        <f>SECT_U.FIS.!C55</f>
        <v>0</v>
      </c>
      <c r="H14" s="1280">
        <f>SUM(C14:G14)</f>
        <v>102.90740827549072</v>
      </c>
      <c r="I14" s="345"/>
    </row>
    <row r="15" spans="2:9">
      <c r="B15" s="1111" t="s">
        <v>179</v>
      </c>
      <c r="C15" s="1278"/>
      <c r="D15" s="1279"/>
      <c r="E15" s="1279"/>
      <c r="F15" s="1279"/>
      <c r="G15" s="1279"/>
      <c r="H15" s="1280"/>
      <c r="I15" s="345"/>
    </row>
    <row r="16" spans="2:9">
      <c r="B16" s="1110" t="s">
        <v>60</v>
      </c>
      <c r="C16" s="1278">
        <f>SECT_U.FIS.!H49+SECT_U.FIS.!H50</f>
        <v>0.12328040000000001</v>
      </c>
      <c r="D16" s="1279">
        <f>SECT_U.FIS.!H51+SECT_U.FIS.!H52</f>
        <v>2.2866580000000005</v>
      </c>
      <c r="E16" s="1279">
        <f>SECT_U.FIS.!H53</f>
        <v>0</v>
      </c>
      <c r="F16" s="1279">
        <f>SECT_U.FIS.!H54</f>
        <v>0</v>
      </c>
      <c r="G16" s="1279">
        <f>SECT_U.FIS.!H55</f>
        <v>0</v>
      </c>
      <c r="H16" s="1280">
        <f>SUM(C16:G16)</f>
        <v>2.4099384000000006</v>
      </c>
      <c r="I16" s="345"/>
    </row>
    <row r="17" spans="2:9">
      <c r="B17" s="1111" t="s">
        <v>211</v>
      </c>
      <c r="C17" s="1278"/>
      <c r="D17" s="1279"/>
      <c r="E17" s="1279"/>
      <c r="F17" s="1279"/>
      <c r="G17" s="1279"/>
      <c r="H17" s="1280"/>
      <c r="I17" s="345"/>
    </row>
    <row r="18" spans="2:9">
      <c r="B18" s="1110" t="s">
        <v>212</v>
      </c>
      <c r="C18" s="1278">
        <f>SECT_U.FIS.!L49+SECT_U.FIS.!L50</f>
        <v>20.315578638497648</v>
      </c>
      <c r="D18" s="1279">
        <f>SECT_U.FIS.!L51+SECT_U.FIS.!L52</f>
        <v>0</v>
      </c>
      <c r="E18" s="1279">
        <f>SECT_U.FIS.!L53</f>
        <v>0</v>
      </c>
      <c r="F18" s="1279">
        <f>SECT_U.FIS.!L54</f>
        <v>0</v>
      </c>
      <c r="G18" s="1279">
        <f>SECT_U.FIS.!L55</f>
        <v>0</v>
      </c>
      <c r="H18" s="1280">
        <f>SUM(C18:G18)</f>
        <v>20.315578638497648</v>
      </c>
      <c r="I18" s="345"/>
    </row>
    <row r="19" spans="2:9">
      <c r="B19" s="1111" t="s">
        <v>179</v>
      </c>
      <c r="C19" s="1278"/>
      <c r="D19" s="1279"/>
      <c r="E19" s="1279"/>
      <c r="F19" s="1279"/>
      <c r="G19" s="1279"/>
      <c r="H19" s="1280"/>
      <c r="I19" s="345"/>
    </row>
    <row r="20" spans="2:9">
      <c r="B20" s="1110" t="s">
        <v>7</v>
      </c>
      <c r="C20" s="1278">
        <f>SECT_U.FIS.!N49+SECT_U.FIS.!N50</f>
        <v>2543.0570325310705</v>
      </c>
      <c r="D20" s="1279">
        <f>SECT_U.FIS.!N51+SECT_U.FIS.!N52</f>
        <v>726.11382857142871</v>
      </c>
      <c r="E20" s="1279">
        <f>SECT_U.FIS.!N53</f>
        <v>0</v>
      </c>
      <c r="F20" s="1279">
        <f>SECT_U.FIS.!N54</f>
        <v>0</v>
      </c>
      <c r="G20" s="1279">
        <f>SECT_U.FIS.!N55</f>
        <v>0</v>
      </c>
      <c r="H20" s="1280">
        <f>SUM(C20:G20)</f>
        <v>3269.1708611024992</v>
      </c>
      <c r="I20" s="345"/>
    </row>
    <row r="21" spans="2:9">
      <c r="B21" s="1111" t="s">
        <v>211</v>
      </c>
      <c r="C21" s="1278"/>
      <c r="D21" s="1279"/>
      <c r="E21" s="1279"/>
      <c r="F21" s="1279"/>
      <c r="G21" s="1279"/>
      <c r="H21" s="1280"/>
      <c r="I21" s="345"/>
    </row>
    <row r="22" spans="2:9">
      <c r="B22" s="1110" t="s">
        <v>115</v>
      </c>
      <c r="C22" s="1278">
        <f>SECT_U.FIS.!O49+SECT_U.FIS.!O50</f>
        <v>798.42385075000004</v>
      </c>
      <c r="D22" s="1279">
        <f>SECT_U.FIS.!O51+SECT_U.FIS.!O52</f>
        <v>290.48471428571423</v>
      </c>
      <c r="E22" s="1279">
        <f>SECT_U.FIS.!O53</f>
        <v>0</v>
      </c>
      <c r="F22" s="1279">
        <f>SECT_U.FIS.!O54</f>
        <v>1.212E-3</v>
      </c>
      <c r="G22" s="1279">
        <f>SECT_U.FIS.!O55</f>
        <v>0</v>
      </c>
      <c r="H22" s="1280">
        <f>SUM(C22:G22)</f>
        <v>1088.9097770357141</v>
      </c>
      <c r="I22" s="345"/>
    </row>
    <row r="23" spans="2:9">
      <c r="B23" s="1111" t="s">
        <v>211</v>
      </c>
      <c r="C23" s="1278"/>
      <c r="D23" s="1279"/>
      <c r="E23" s="1279"/>
      <c r="F23" s="1279"/>
      <c r="G23" s="1279"/>
      <c r="H23" s="1280"/>
      <c r="I23" s="345"/>
    </row>
    <row r="24" spans="2:9">
      <c r="B24" s="1110" t="s">
        <v>6</v>
      </c>
      <c r="C24" s="1278">
        <f>SECT_U.FIS.!S49+SECT_U.FIS.!S50</f>
        <v>3453.2336314754798</v>
      </c>
      <c r="D24" s="1279">
        <f>SECT_U.FIS.!S51+SECT_U.FIS.!S52</f>
        <v>29.643591999999995</v>
      </c>
      <c r="E24" s="1279">
        <f>SECT_U.FIS.!S53</f>
        <v>238.68464101666751</v>
      </c>
      <c r="F24" s="1279">
        <f>SECT_U.FIS.!S54</f>
        <v>0</v>
      </c>
      <c r="G24" s="1279">
        <f>SECT_U.FIS.!S55</f>
        <v>2653.411950948509</v>
      </c>
      <c r="H24" s="1280">
        <f>SUM(C24:G24)</f>
        <v>6374.9738154406568</v>
      </c>
      <c r="I24" s="345"/>
    </row>
    <row r="25" spans="2:9">
      <c r="B25" s="1111" t="s">
        <v>213</v>
      </c>
      <c r="C25" s="1278"/>
      <c r="D25" s="1279"/>
      <c r="E25" s="1279"/>
      <c r="F25" s="1279"/>
      <c r="G25" s="1279"/>
      <c r="H25" s="1280"/>
      <c r="I25" s="331"/>
    </row>
    <row r="26" spans="2:9">
      <c r="B26" s="1110" t="s">
        <v>23</v>
      </c>
      <c r="C26" s="1278">
        <f>SECT_U.FIS.!V49+SECT_U.FIS.!V50</f>
        <v>1290.110592734796</v>
      </c>
      <c r="D26" s="1279">
        <f>SECT_U.FIS.!V51+SECT_U.FIS.!V52</f>
        <v>0</v>
      </c>
      <c r="E26" s="1279">
        <f>SECT_U.FIS.!V53</f>
        <v>0</v>
      </c>
      <c r="F26" s="1279">
        <f>SECT_U.FIS.!V54</f>
        <v>0</v>
      </c>
      <c r="G26" s="1279">
        <f>SECT_U.FIS.!V55</f>
        <v>0</v>
      </c>
      <c r="H26" s="1280">
        <f>SUM(C26:G26)</f>
        <v>1290.110592734796</v>
      </c>
      <c r="I26" s="345"/>
    </row>
    <row r="27" spans="2:9" ht="13.5" thickBot="1">
      <c r="B27" s="1112" t="s">
        <v>211</v>
      </c>
      <c r="C27" s="346"/>
      <c r="D27" s="346"/>
      <c r="E27" s="346"/>
      <c r="F27" s="346"/>
      <c r="G27" s="346"/>
      <c r="H27" s="347"/>
      <c r="I27" s="331"/>
    </row>
    <row r="28" spans="2:9">
      <c r="B28" s="21" t="s">
        <v>14</v>
      </c>
      <c r="C28" s="21"/>
      <c r="D28" s="21"/>
      <c r="E28" s="21"/>
      <c r="F28" s="21"/>
      <c r="G28" s="21"/>
      <c r="H28" s="21"/>
      <c r="I28" s="73"/>
    </row>
    <row r="29" spans="2:9">
      <c r="B29" s="21" t="s">
        <v>777</v>
      </c>
      <c r="C29" s="21"/>
      <c r="D29" s="21"/>
      <c r="E29" s="21"/>
      <c r="F29" s="21"/>
      <c r="G29" s="21"/>
      <c r="H29" s="21"/>
      <c r="I29" s="73"/>
    </row>
    <row r="30" spans="2:9">
      <c r="B30" s="335"/>
      <c r="C30" s="331"/>
      <c r="D30" s="331"/>
      <c r="E30" s="331"/>
      <c r="F30" s="331"/>
      <c r="G30" s="331"/>
      <c r="H30" s="331"/>
      <c r="I30" s="331"/>
    </row>
    <row r="31" spans="2:9">
      <c r="B31" s="335"/>
      <c r="C31" s="331"/>
      <c r="D31" s="331"/>
      <c r="E31" s="331"/>
      <c r="F31" s="331"/>
      <c r="G31" s="331"/>
      <c r="H31" s="331"/>
      <c r="I31" s="331"/>
    </row>
    <row r="32" spans="2:9">
      <c r="B32" s="22"/>
      <c r="C32" s="22"/>
      <c r="D32" s="22"/>
      <c r="E32" s="22"/>
      <c r="F32" s="22"/>
      <c r="G32" s="22"/>
      <c r="H32" s="22"/>
      <c r="I32" s="22"/>
    </row>
    <row r="33" spans="2:9">
      <c r="B33" s="22"/>
      <c r="C33" s="22"/>
      <c r="D33" s="22"/>
      <c r="E33" s="22"/>
      <c r="F33" s="22"/>
      <c r="G33" s="22"/>
      <c r="H33" s="22"/>
      <c r="I33" s="22"/>
    </row>
    <row r="34" spans="2:9">
      <c r="B34" s="22"/>
      <c r="C34" s="22"/>
      <c r="D34" s="22"/>
      <c r="E34" s="22"/>
      <c r="F34" s="22"/>
      <c r="G34" s="22"/>
      <c r="H34" s="22"/>
      <c r="I34" s="22"/>
    </row>
    <row r="35" spans="2:9">
      <c r="B35" s="22"/>
      <c r="C35" s="22"/>
      <c r="D35" s="22"/>
      <c r="E35" s="22"/>
      <c r="F35" s="22"/>
      <c r="G35" s="22"/>
      <c r="H35" s="22"/>
      <c r="I35" s="22"/>
    </row>
    <row r="36" spans="2:9">
      <c r="B36" s="22"/>
      <c r="C36" s="22"/>
      <c r="D36" s="22"/>
      <c r="E36" s="22"/>
      <c r="F36" s="22"/>
      <c r="G36" s="22"/>
      <c r="H36" s="22"/>
      <c r="I36" s="22"/>
    </row>
    <row r="37" spans="2:9">
      <c r="B37" s="22"/>
      <c r="C37" s="22"/>
      <c r="D37" s="22"/>
      <c r="E37" s="22"/>
      <c r="F37" s="22"/>
      <c r="G37" s="22"/>
      <c r="H37" s="22"/>
      <c r="I37" s="22"/>
    </row>
    <row r="38" spans="2:9">
      <c r="B38" s="22"/>
      <c r="C38" s="22"/>
      <c r="D38" s="22"/>
      <c r="E38" s="22"/>
      <c r="F38" s="22"/>
      <c r="G38" s="22"/>
      <c r="H38" s="22"/>
      <c r="I38" s="22"/>
    </row>
    <row r="39" spans="2:9">
      <c r="B39" s="22"/>
      <c r="C39" s="22"/>
      <c r="D39" s="22"/>
      <c r="E39" s="22"/>
      <c r="F39" s="22"/>
      <c r="G39" s="22"/>
      <c r="H39" s="22"/>
      <c r="I39" s="22"/>
    </row>
    <row r="40" spans="2:9" s="22" customFormat="1"/>
    <row r="41" spans="2:9" s="22" customFormat="1"/>
    <row r="42" spans="2:9" s="22" customFormat="1"/>
    <row r="43" spans="2:9" s="22" customFormat="1"/>
    <row r="44" spans="2:9" s="22" customFormat="1"/>
    <row r="45" spans="2:9" s="22" customFormat="1"/>
    <row r="46" spans="2:9" s="22" customFormat="1"/>
    <row r="47" spans="2:9" s="22" customFormat="1"/>
  </sheetData>
  <phoneticPr fontId="0" type="noConversion"/>
  <hyperlinks>
    <hyperlink ref="I3" location="INDICE!A60" display="VOLVER A INDICE"/>
  </hyperlinks>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0"/>
  <sheetViews>
    <sheetView workbookViewId="0">
      <selection activeCell="F20" sqref="F20"/>
    </sheetView>
  </sheetViews>
  <sheetFormatPr baseColWidth="10" defaultRowHeight="12.75"/>
  <cols>
    <col min="1" max="1" width="1.7109375" style="898" customWidth="1"/>
    <col min="2" max="2" width="11.42578125" style="898"/>
    <col min="3" max="3" width="15.28515625" style="898" customWidth="1"/>
    <col min="4" max="4" width="20.140625" style="898" customWidth="1"/>
    <col min="5" max="11" width="11.42578125" style="898"/>
    <col min="12" max="17" width="11.42578125" style="22"/>
    <col min="18" max="16384" width="11.42578125" style="898"/>
  </cols>
  <sheetData>
    <row r="1" spans="2:11" ht="6.75" customHeight="1" thickBot="1"/>
    <row r="2" spans="2:11" ht="13.5" thickBot="1">
      <c r="B2" s="1113"/>
      <c r="C2" s="1114"/>
      <c r="D2" s="1115"/>
      <c r="E2" s="348"/>
      <c r="F2" s="348"/>
      <c r="G2" s="348"/>
      <c r="H2" s="348"/>
      <c r="I2" s="22"/>
      <c r="J2" s="22"/>
      <c r="K2" s="22"/>
    </row>
    <row r="3" spans="2:11" ht="15.75">
      <c r="B3" s="349" t="s">
        <v>214</v>
      </c>
      <c r="C3" s="350"/>
      <c r="D3" s="351"/>
      <c r="E3" s="859" t="s">
        <v>683</v>
      </c>
      <c r="F3" s="348"/>
      <c r="G3" s="348"/>
      <c r="H3" s="348"/>
      <c r="I3" s="22"/>
      <c r="J3" s="22"/>
      <c r="K3" s="22"/>
    </row>
    <row r="4" spans="2:11" ht="15.75">
      <c r="B4" s="352" t="s">
        <v>215</v>
      </c>
      <c r="C4" s="353"/>
      <c r="D4" s="354"/>
      <c r="E4" s="348"/>
      <c r="F4" s="348"/>
      <c r="G4" s="348"/>
      <c r="H4" s="348"/>
      <c r="I4" s="22"/>
      <c r="J4" s="22"/>
      <c r="K4" s="22"/>
    </row>
    <row r="5" spans="2:11" ht="15.75">
      <c r="B5" s="352" t="s">
        <v>216</v>
      </c>
      <c r="C5" s="353"/>
      <c r="D5" s="354"/>
      <c r="E5" s="348"/>
      <c r="F5" s="348"/>
      <c r="G5" s="348"/>
      <c r="H5" s="348"/>
      <c r="I5" s="22"/>
      <c r="J5" s="22"/>
      <c r="K5" s="22"/>
    </row>
    <row r="6" spans="2:11" ht="15.75">
      <c r="B6" s="355"/>
      <c r="C6" s="353">
        <v>2004</v>
      </c>
      <c r="D6" s="354"/>
      <c r="E6" s="348"/>
      <c r="F6" s="348"/>
      <c r="G6" s="348"/>
      <c r="H6" s="348"/>
      <c r="I6" s="22"/>
      <c r="J6" s="22"/>
      <c r="K6" s="22"/>
    </row>
    <row r="7" spans="2:11" ht="15.75">
      <c r="B7" s="352"/>
      <c r="C7" s="353"/>
      <c r="D7" s="354"/>
      <c r="E7" s="348"/>
      <c r="F7" s="348"/>
      <c r="G7" s="348"/>
      <c r="H7" s="348"/>
      <c r="I7" s="22"/>
      <c r="J7" s="22"/>
      <c r="K7" s="22"/>
    </row>
    <row r="8" spans="2:11" ht="15.75">
      <c r="B8" s="352"/>
      <c r="C8" s="353"/>
      <c r="D8" s="356" t="s">
        <v>25</v>
      </c>
      <c r="E8" s="348"/>
      <c r="F8" s="348"/>
      <c r="G8" s="348"/>
      <c r="H8" s="348"/>
      <c r="I8" s="22"/>
      <c r="J8" s="22"/>
      <c r="K8" s="22"/>
    </row>
    <row r="9" spans="2:11" ht="16.5" thickBot="1">
      <c r="B9" s="1116" t="s">
        <v>132</v>
      </c>
      <c r="C9" s="1117"/>
      <c r="D9" s="1118" t="s">
        <v>30</v>
      </c>
      <c r="E9" s="348"/>
      <c r="F9" s="348"/>
      <c r="G9" s="348"/>
      <c r="H9" s="348"/>
      <c r="I9" s="22"/>
      <c r="J9" s="22"/>
      <c r="K9" s="22"/>
    </row>
    <row r="10" spans="2:11">
      <c r="B10" s="1119"/>
      <c r="C10" s="1120"/>
      <c r="D10" s="357"/>
      <c r="E10" s="348"/>
      <c r="F10" s="348"/>
      <c r="G10" s="348"/>
      <c r="H10" s="348"/>
      <c r="I10" s="22"/>
      <c r="J10" s="22"/>
      <c r="K10" s="22"/>
    </row>
    <row r="11" spans="2:11">
      <c r="B11" s="358" t="s">
        <v>134</v>
      </c>
      <c r="C11" s="1121"/>
      <c r="D11" s="359">
        <v>1.5878999999999996</v>
      </c>
      <c r="E11" s="348"/>
      <c r="F11" s="348"/>
      <c r="G11" s="348"/>
      <c r="H11" s="348"/>
      <c r="I11" s="22"/>
      <c r="J11" s="22"/>
      <c r="K11" s="22"/>
    </row>
    <row r="12" spans="2:11">
      <c r="B12" s="358"/>
      <c r="C12" s="1121"/>
      <c r="D12" s="359"/>
      <c r="E12" s="348"/>
      <c r="F12" s="348"/>
      <c r="G12" s="348"/>
      <c r="H12" s="348"/>
      <c r="I12" s="22"/>
      <c r="J12" s="22"/>
      <c r="K12" s="22"/>
    </row>
    <row r="13" spans="2:11">
      <c r="B13" s="360" t="s">
        <v>135</v>
      </c>
      <c r="C13" s="1122"/>
      <c r="D13" s="359">
        <v>32.186700000000002</v>
      </c>
      <c r="E13" s="348"/>
      <c r="F13" s="348"/>
      <c r="G13" s="348"/>
      <c r="H13" s="348"/>
      <c r="I13" s="22"/>
      <c r="J13" s="22"/>
      <c r="K13" s="22"/>
    </row>
    <row r="14" spans="2:11">
      <c r="B14" s="360"/>
      <c r="C14" s="1122"/>
      <c r="D14" s="359"/>
      <c r="E14" s="348"/>
      <c r="F14" s="348"/>
      <c r="G14" s="348"/>
      <c r="H14" s="348"/>
      <c r="I14" s="22"/>
      <c r="J14" s="22"/>
      <c r="K14" s="22"/>
    </row>
    <row r="15" spans="2:11">
      <c r="B15" s="360" t="s">
        <v>136</v>
      </c>
      <c r="C15" s="1122"/>
      <c r="D15" s="359">
        <v>15.1884</v>
      </c>
      <c r="E15" s="348"/>
      <c r="F15" s="348"/>
      <c r="G15" s="348"/>
      <c r="H15" s="348"/>
      <c r="I15" s="22"/>
      <c r="J15" s="22"/>
      <c r="K15" s="22"/>
    </row>
    <row r="16" spans="2:11">
      <c r="B16" s="360"/>
      <c r="C16" s="1122"/>
      <c r="D16" s="359"/>
      <c r="E16" s="348"/>
      <c r="F16" s="348"/>
      <c r="G16" s="348"/>
      <c r="H16" s="348"/>
      <c r="I16" s="22"/>
      <c r="J16" s="22"/>
      <c r="K16" s="22"/>
    </row>
    <row r="17" spans="2:11">
      <c r="B17" s="360" t="s">
        <v>137</v>
      </c>
      <c r="C17" s="1122"/>
      <c r="D17" s="359">
        <v>0</v>
      </c>
      <c r="E17" s="348"/>
      <c r="F17" s="348"/>
      <c r="G17" s="348"/>
      <c r="H17" s="348"/>
      <c r="I17" s="22"/>
      <c r="J17" s="22"/>
      <c r="K17" s="22"/>
    </row>
    <row r="18" spans="2:11">
      <c r="B18" s="360"/>
      <c r="C18" s="1122"/>
      <c r="D18" s="359"/>
      <c r="E18" s="348"/>
      <c r="F18" s="348"/>
      <c r="G18" s="348"/>
      <c r="H18" s="348"/>
      <c r="I18" s="22"/>
      <c r="J18" s="22"/>
      <c r="K18" s="22"/>
    </row>
    <row r="19" spans="2:11">
      <c r="B19" s="360" t="s">
        <v>138</v>
      </c>
      <c r="C19" s="1122"/>
      <c r="D19" s="359">
        <v>61.417200000000008</v>
      </c>
      <c r="E19" s="348"/>
      <c r="F19" s="348"/>
      <c r="G19" s="348"/>
      <c r="H19" s="348"/>
      <c r="I19" s="22"/>
      <c r="J19" s="22"/>
      <c r="K19" s="22"/>
    </row>
    <row r="20" spans="2:11">
      <c r="B20" s="360"/>
      <c r="C20" s="1122"/>
      <c r="D20" s="359"/>
      <c r="E20" s="348"/>
      <c r="F20" s="348"/>
      <c r="G20" s="348"/>
      <c r="H20" s="348"/>
      <c r="I20" s="22"/>
      <c r="J20" s="22"/>
      <c r="K20" s="22"/>
    </row>
    <row r="21" spans="2:11">
      <c r="B21" s="360" t="s">
        <v>139</v>
      </c>
      <c r="C21" s="1122"/>
      <c r="D21" s="359">
        <v>140.04689999999999</v>
      </c>
      <c r="E21" s="348"/>
      <c r="F21" s="348"/>
      <c r="G21" s="348"/>
      <c r="H21" s="348"/>
      <c r="I21" s="22"/>
      <c r="J21" s="22"/>
      <c r="K21" s="22"/>
    </row>
    <row r="22" spans="2:11">
      <c r="B22" s="360"/>
      <c r="C22" s="1122"/>
      <c r="D22" s="359"/>
      <c r="E22" s="348"/>
      <c r="F22" s="348"/>
      <c r="G22" s="348"/>
      <c r="H22" s="348"/>
      <c r="I22" s="22"/>
      <c r="J22" s="22"/>
      <c r="K22" s="22"/>
    </row>
    <row r="23" spans="2:11">
      <c r="B23" s="360" t="s">
        <v>140</v>
      </c>
      <c r="C23" s="1122"/>
      <c r="D23" s="359">
        <v>134.35550000000001</v>
      </c>
      <c r="E23" s="348"/>
      <c r="F23" s="348"/>
      <c r="G23" s="348"/>
      <c r="H23" s="348"/>
      <c r="I23" s="22"/>
      <c r="J23" s="22"/>
      <c r="K23" s="22"/>
    </row>
    <row r="24" spans="2:11">
      <c r="B24" s="360"/>
      <c r="C24" s="1122"/>
      <c r="D24" s="361"/>
      <c r="E24" s="348"/>
      <c r="F24" s="348"/>
      <c r="G24" s="348"/>
      <c r="H24" s="348"/>
      <c r="I24" s="22"/>
      <c r="J24" s="22"/>
      <c r="K24" s="22"/>
    </row>
    <row r="25" spans="2:11">
      <c r="B25" s="362" t="s">
        <v>87</v>
      </c>
      <c r="C25" s="1123"/>
      <c r="D25" s="363">
        <f>SUM(D11:D23)</f>
        <v>384.7826</v>
      </c>
      <c r="E25" s="348"/>
      <c r="F25" s="348"/>
      <c r="G25" s="348"/>
      <c r="H25" s="348"/>
      <c r="I25" s="22"/>
      <c r="J25" s="22"/>
      <c r="K25" s="22"/>
    </row>
    <row r="26" spans="2:11" ht="13.5" thickBot="1">
      <c r="B26" s="364"/>
      <c r="C26" s="1124"/>
      <c r="D26" s="365"/>
      <c r="E26" s="348"/>
      <c r="F26" s="348"/>
      <c r="G26" s="348"/>
      <c r="H26" s="348"/>
      <c r="I26" s="22"/>
      <c r="J26" s="22"/>
      <c r="K26" s="22"/>
    </row>
    <row r="27" spans="2:11">
      <c r="B27" s="21" t="s">
        <v>14</v>
      </c>
      <c r="C27" s="21"/>
      <c r="D27" s="21"/>
      <c r="E27" s="21"/>
      <c r="F27" s="21"/>
      <c r="G27" s="21"/>
      <c r="H27" s="21"/>
      <c r="I27" s="22"/>
      <c r="J27" s="22"/>
      <c r="K27" s="22"/>
    </row>
    <row r="28" spans="2:11">
      <c r="B28" s="21" t="s">
        <v>777</v>
      </c>
      <c r="C28" s="21"/>
      <c r="D28" s="21"/>
      <c r="E28" s="21"/>
      <c r="F28" s="21"/>
      <c r="G28" s="21"/>
      <c r="H28" s="21"/>
      <c r="I28" s="22"/>
      <c r="J28" s="22"/>
      <c r="K28" s="22"/>
    </row>
    <row r="29" spans="2:11">
      <c r="B29" s="348"/>
      <c r="C29" s="366"/>
      <c r="D29" s="348"/>
      <c r="E29" s="348"/>
      <c r="F29" s="348"/>
      <c r="G29" s="348"/>
      <c r="H29" s="348"/>
      <c r="I29" s="22"/>
      <c r="J29" s="22"/>
      <c r="K29" s="22"/>
    </row>
    <row r="30" spans="2:11">
      <c r="B30" s="348"/>
      <c r="C30" s="366"/>
      <c r="D30" s="348"/>
      <c r="E30" s="348"/>
      <c r="F30" s="348"/>
      <c r="G30" s="348"/>
      <c r="H30" s="348"/>
      <c r="I30" s="22"/>
      <c r="J30" s="22"/>
      <c r="K30" s="22"/>
    </row>
    <row r="31" spans="2:11">
      <c r="B31" s="22"/>
      <c r="C31" s="22"/>
      <c r="D31" s="22"/>
      <c r="E31" s="22"/>
      <c r="F31" s="22"/>
      <c r="G31" s="22"/>
      <c r="H31" s="22"/>
      <c r="I31" s="22"/>
      <c r="J31" s="22"/>
      <c r="K31" s="22"/>
    </row>
    <row r="32" spans="2:11">
      <c r="B32" s="22"/>
      <c r="C32" s="22"/>
      <c r="D32" s="22"/>
      <c r="E32" s="22"/>
      <c r="F32" s="22"/>
      <c r="G32" s="22"/>
      <c r="H32" s="22"/>
      <c r="I32" s="22"/>
      <c r="J32" s="22"/>
      <c r="K32" s="22"/>
    </row>
    <row r="33" spans="2:11">
      <c r="B33" s="22"/>
      <c r="C33" s="22"/>
      <c r="D33" s="22"/>
      <c r="E33" s="22"/>
      <c r="F33" s="22"/>
      <c r="G33" s="22"/>
      <c r="H33" s="22"/>
      <c r="I33" s="22"/>
      <c r="J33" s="22"/>
      <c r="K33" s="22"/>
    </row>
    <row r="34" spans="2:11">
      <c r="B34" s="22"/>
      <c r="C34" s="22"/>
      <c r="D34" s="22"/>
      <c r="E34" s="22"/>
      <c r="F34" s="22"/>
      <c r="G34" s="22"/>
      <c r="H34" s="22"/>
      <c r="I34" s="22"/>
      <c r="J34" s="22"/>
      <c r="K34" s="22"/>
    </row>
    <row r="35" spans="2:11">
      <c r="B35" s="22"/>
      <c r="C35" s="22"/>
      <c r="D35" s="22"/>
      <c r="E35" s="22"/>
      <c r="F35" s="22"/>
      <c r="G35" s="22"/>
      <c r="H35" s="22"/>
      <c r="I35" s="22"/>
      <c r="J35" s="22"/>
      <c r="K35" s="22"/>
    </row>
    <row r="36" spans="2:11">
      <c r="B36" s="22"/>
      <c r="C36" s="22"/>
      <c r="D36" s="22"/>
      <c r="E36" s="22"/>
      <c r="F36" s="22"/>
      <c r="G36" s="22"/>
      <c r="H36" s="22"/>
      <c r="I36" s="22"/>
      <c r="J36" s="22"/>
      <c r="K36" s="22"/>
    </row>
    <row r="37" spans="2:11">
      <c r="B37" s="22"/>
      <c r="C37" s="22"/>
      <c r="D37" s="22"/>
      <c r="E37" s="22"/>
      <c r="F37" s="22"/>
      <c r="G37" s="22"/>
      <c r="H37" s="22"/>
      <c r="I37" s="22"/>
      <c r="J37" s="22"/>
      <c r="K37" s="22"/>
    </row>
    <row r="38" spans="2:11">
      <c r="B38" s="22"/>
      <c r="C38" s="22"/>
      <c r="D38" s="22"/>
      <c r="E38" s="22"/>
      <c r="F38" s="22"/>
      <c r="G38" s="22"/>
      <c r="H38" s="22"/>
      <c r="I38" s="22"/>
      <c r="J38" s="22"/>
      <c r="K38" s="22"/>
    </row>
    <row r="39" spans="2:11">
      <c r="B39" s="22"/>
      <c r="C39" s="22"/>
      <c r="D39" s="22"/>
      <c r="E39" s="22"/>
      <c r="F39" s="22"/>
      <c r="G39" s="22"/>
      <c r="H39" s="22"/>
      <c r="I39" s="22"/>
      <c r="J39" s="22"/>
      <c r="K39" s="22"/>
    </row>
    <row r="40" spans="2:11">
      <c r="B40" s="22"/>
      <c r="C40" s="22"/>
      <c r="D40" s="22"/>
      <c r="E40" s="22"/>
      <c r="F40" s="22"/>
      <c r="G40" s="22"/>
      <c r="H40" s="22"/>
      <c r="I40" s="22"/>
      <c r="J40" s="22"/>
      <c r="K40" s="22"/>
    </row>
    <row r="41" spans="2:11">
      <c r="B41" s="22"/>
      <c r="C41" s="22"/>
      <c r="D41" s="22"/>
      <c r="E41" s="22"/>
      <c r="F41" s="22"/>
      <c r="G41" s="22"/>
      <c r="H41" s="22"/>
      <c r="I41" s="22"/>
      <c r="J41" s="22"/>
      <c r="K41" s="22"/>
    </row>
    <row r="42" spans="2:11">
      <c r="B42" s="22"/>
      <c r="C42" s="22"/>
      <c r="D42" s="22"/>
      <c r="E42" s="22"/>
      <c r="F42" s="22"/>
      <c r="G42" s="22"/>
      <c r="H42" s="22"/>
      <c r="I42" s="22"/>
      <c r="J42" s="22"/>
      <c r="K42" s="22"/>
    </row>
    <row r="43" spans="2:11">
      <c r="B43" s="22"/>
      <c r="C43" s="22"/>
      <c r="D43" s="22"/>
      <c r="E43" s="22"/>
      <c r="F43" s="22"/>
      <c r="G43" s="22"/>
      <c r="H43" s="22"/>
      <c r="I43" s="22"/>
      <c r="J43" s="22"/>
      <c r="K43" s="22"/>
    </row>
    <row r="44" spans="2:11">
      <c r="B44" s="22"/>
      <c r="C44" s="22"/>
      <c r="D44" s="22"/>
      <c r="E44" s="22"/>
      <c r="F44" s="22"/>
      <c r="G44" s="22"/>
      <c r="H44" s="22"/>
      <c r="I44" s="22"/>
      <c r="J44" s="22"/>
      <c r="K44" s="22"/>
    </row>
    <row r="45" spans="2:11">
      <c r="B45" s="22"/>
      <c r="C45" s="22"/>
      <c r="D45" s="22"/>
      <c r="E45" s="22"/>
      <c r="F45" s="22"/>
      <c r="G45" s="22"/>
      <c r="H45" s="22"/>
      <c r="I45" s="22"/>
      <c r="J45" s="22"/>
      <c r="K45" s="22"/>
    </row>
    <row r="46" spans="2:11">
      <c r="B46" s="22"/>
      <c r="C46" s="22"/>
      <c r="D46" s="22"/>
      <c r="E46" s="22"/>
      <c r="F46" s="22"/>
      <c r="G46" s="22"/>
      <c r="H46" s="22"/>
      <c r="I46" s="22"/>
      <c r="J46" s="22"/>
      <c r="K46" s="22"/>
    </row>
    <row r="47" spans="2:11">
      <c r="B47" s="22"/>
      <c r="C47" s="22"/>
      <c r="D47" s="22"/>
      <c r="E47" s="22"/>
      <c r="F47" s="22"/>
      <c r="G47" s="22"/>
      <c r="H47" s="22"/>
      <c r="I47" s="22"/>
      <c r="J47" s="22"/>
      <c r="K47" s="22"/>
    </row>
    <row r="48" spans="2:11">
      <c r="B48" s="22"/>
      <c r="C48" s="22"/>
      <c r="D48" s="22"/>
      <c r="E48" s="22"/>
      <c r="F48" s="22"/>
      <c r="G48" s="22"/>
      <c r="H48" s="22"/>
      <c r="I48" s="22"/>
      <c r="J48" s="22"/>
      <c r="K48" s="22"/>
    </row>
    <row r="49" spans="2:11">
      <c r="B49" s="22"/>
      <c r="C49" s="22"/>
      <c r="D49" s="22"/>
      <c r="E49" s="22"/>
      <c r="F49" s="22"/>
      <c r="G49" s="22"/>
      <c r="H49" s="22"/>
      <c r="I49" s="22"/>
      <c r="J49" s="22"/>
      <c r="K49" s="22"/>
    </row>
    <row r="50" spans="2:11">
      <c r="B50" s="22"/>
      <c r="C50" s="22"/>
      <c r="D50" s="22"/>
      <c r="E50" s="22"/>
      <c r="F50" s="22"/>
      <c r="G50" s="22"/>
      <c r="H50" s="22"/>
      <c r="I50" s="22"/>
      <c r="J50" s="22"/>
      <c r="K50" s="22"/>
    </row>
    <row r="51" spans="2:11">
      <c r="B51" s="22"/>
      <c r="C51" s="22"/>
      <c r="D51" s="22"/>
      <c r="E51" s="22"/>
      <c r="F51" s="22"/>
      <c r="G51" s="22"/>
      <c r="H51" s="22"/>
      <c r="I51" s="22"/>
      <c r="J51" s="22"/>
      <c r="K51" s="22"/>
    </row>
    <row r="52" spans="2:11">
      <c r="B52" s="22"/>
      <c r="C52" s="22"/>
      <c r="D52" s="22"/>
      <c r="E52" s="22"/>
      <c r="F52" s="22"/>
      <c r="G52" s="22"/>
      <c r="H52" s="22"/>
      <c r="I52" s="22"/>
      <c r="J52" s="22"/>
      <c r="K52" s="22"/>
    </row>
    <row r="53" spans="2:11">
      <c r="B53" s="22"/>
      <c r="C53" s="22"/>
      <c r="D53" s="22"/>
      <c r="E53" s="22"/>
      <c r="F53" s="22"/>
      <c r="G53" s="22"/>
      <c r="H53" s="22"/>
      <c r="I53" s="22"/>
      <c r="J53" s="22"/>
      <c r="K53" s="22"/>
    </row>
    <row r="54" spans="2:11">
      <c r="B54" s="22"/>
      <c r="C54" s="22"/>
      <c r="D54" s="22"/>
      <c r="E54" s="22"/>
      <c r="F54" s="22"/>
      <c r="G54" s="22"/>
      <c r="H54" s="22"/>
      <c r="I54" s="22"/>
      <c r="J54" s="22"/>
      <c r="K54" s="22"/>
    </row>
    <row r="55" spans="2:11">
      <c r="B55" s="22"/>
      <c r="C55" s="22"/>
      <c r="D55" s="22"/>
      <c r="E55" s="22"/>
      <c r="F55" s="22"/>
      <c r="G55" s="22"/>
      <c r="H55" s="22"/>
      <c r="I55" s="22"/>
      <c r="J55" s="22"/>
      <c r="K55" s="22"/>
    </row>
    <row r="56" spans="2:11">
      <c r="B56" s="22"/>
      <c r="C56" s="22"/>
      <c r="D56" s="22"/>
      <c r="E56" s="22"/>
      <c r="F56" s="22"/>
      <c r="G56" s="22"/>
      <c r="H56" s="22"/>
      <c r="I56" s="22"/>
      <c r="J56" s="22"/>
      <c r="K56" s="22"/>
    </row>
    <row r="57" spans="2:11">
      <c r="B57" s="22"/>
      <c r="C57" s="22"/>
      <c r="D57" s="22"/>
      <c r="E57" s="22"/>
      <c r="F57" s="22"/>
      <c r="G57" s="22"/>
      <c r="H57" s="22"/>
      <c r="I57" s="22"/>
      <c r="J57" s="22"/>
      <c r="K57" s="22"/>
    </row>
    <row r="58" spans="2:11">
      <c r="B58" s="22"/>
      <c r="C58" s="22"/>
      <c r="D58" s="22"/>
      <c r="E58" s="22"/>
      <c r="F58" s="22"/>
      <c r="G58" s="22"/>
      <c r="H58" s="22"/>
      <c r="I58" s="22"/>
      <c r="J58" s="22"/>
      <c r="K58" s="22"/>
    </row>
    <row r="59" spans="2:11">
      <c r="B59" s="22"/>
      <c r="C59" s="22"/>
      <c r="D59" s="22"/>
      <c r="E59" s="22"/>
      <c r="F59" s="22"/>
      <c r="G59" s="22"/>
      <c r="H59" s="22"/>
      <c r="I59" s="22"/>
      <c r="J59" s="22"/>
      <c r="K59" s="22"/>
    </row>
    <row r="60" spans="2:11">
      <c r="B60" s="22"/>
      <c r="C60" s="22"/>
      <c r="D60" s="22"/>
      <c r="E60" s="22"/>
      <c r="F60" s="22"/>
      <c r="G60" s="22"/>
      <c r="H60" s="22"/>
      <c r="I60" s="22"/>
      <c r="J60" s="22"/>
      <c r="K60" s="22"/>
    </row>
    <row r="61" spans="2:11">
      <c r="B61" s="22"/>
      <c r="C61" s="22"/>
      <c r="D61" s="22"/>
      <c r="E61" s="22"/>
      <c r="F61" s="22"/>
      <c r="G61" s="22"/>
      <c r="H61" s="22"/>
      <c r="I61" s="22"/>
      <c r="J61" s="22"/>
      <c r="K61" s="22"/>
    </row>
    <row r="62" spans="2:11">
      <c r="B62" s="22"/>
      <c r="C62" s="22"/>
      <c r="D62" s="22"/>
      <c r="E62" s="22"/>
      <c r="F62" s="22"/>
      <c r="G62" s="22"/>
      <c r="H62" s="22"/>
      <c r="I62" s="22"/>
      <c r="J62" s="22"/>
      <c r="K62" s="22"/>
    </row>
    <row r="63" spans="2:11">
      <c r="B63" s="22"/>
      <c r="C63" s="22"/>
      <c r="D63" s="22"/>
      <c r="E63" s="22"/>
      <c r="F63" s="22"/>
      <c r="G63" s="22"/>
      <c r="H63" s="22"/>
      <c r="I63" s="22"/>
      <c r="J63" s="22"/>
      <c r="K63" s="22"/>
    </row>
    <row r="64" spans="2:11">
      <c r="B64" s="22"/>
      <c r="C64" s="22"/>
      <c r="D64" s="22"/>
      <c r="E64" s="22"/>
      <c r="F64" s="22"/>
      <c r="G64" s="22"/>
      <c r="H64" s="22"/>
      <c r="I64" s="22"/>
      <c r="J64" s="22"/>
      <c r="K64" s="22"/>
    </row>
    <row r="65" spans="2:11">
      <c r="B65" s="22"/>
      <c r="C65" s="22"/>
      <c r="D65" s="22"/>
      <c r="E65" s="22"/>
      <c r="F65" s="22"/>
      <c r="G65" s="22"/>
      <c r="H65" s="22"/>
      <c r="I65" s="22"/>
      <c r="J65" s="22"/>
      <c r="K65" s="22"/>
    </row>
    <row r="66" spans="2:11" s="22" customFormat="1"/>
    <row r="67" spans="2:11" s="22" customFormat="1"/>
    <row r="68" spans="2:11" s="22" customFormat="1"/>
    <row r="69" spans="2:11" s="22" customFormat="1"/>
    <row r="70" spans="2:11" s="22" customFormat="1"/>
  </sheetData>
  <phoneticPr fontId="0" type="noConversion"/>
  <hyperlinks>
    <hyperlink ref="E3" location="INDICE!A60" display="VOLVER A INDICE"/>
  </hyperlinks>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88"/>
  <sheetViews>
    <sheetView topLeftCell="A25" zoomScale="85" workbookViewId="0">
      <selection activeCell="B53" sqref="B53:F53"/>
    </sheetView>
  </sheetViews>
  <sheetFormatPr baseColWidth="10" defaultRowHeight="12.75"/>
  <cols>
    <col min="1" max="1" width="2.28515625" style="898" customWidth="1"/>
    <col min="2" max="2" width="28.42578125" style="898" customWidth="1"/>
    <col min="3" max="14" width="9.5703125" style="898" customWidth="1"/>
    <col min="15" max="16" width="9.5703125" style="22" customWidth="1"/>
    <col min="17" max="25" width="11.42578125" style="22"/>
    <col min="26" max="16384" width="11.42578125" style="898"/>
  </cols>
  <sheetData>
    <row r="1" spans="2:14">
      <c r="B1" s="628" t="s">
        <v>818</v>
      </c>
      <c r="C1" s="22"/>
      <c r="D1" s="22"/>
      <c r="E1" s="22"/>
      <c r="F1" s="22"/>
      <c r="G1" s="22"/>
      <c r="H1" s="859" t="s">
        <v>683</v>
      </c>
      <c r="I1" s="22"/>
      <c r="J1" s="22"/>
      <c r="K1" s="22"/>
      <c r="L1" s="22"/>
      <c r="M1" s="22"/>
      <c r="N1" s="22"/>
    </row>
    <row r="2" spans="2:14" ht="18">
      <c r="B2" s="1322" t="s">
        <v>425</v>
      </c>
      <c r="C2" s="1322"/>
      <c r="D2" s="1322"/>
      <c r="E2" s="1322"/>
      <c r="F2" s="1322"/>
      <c r="G2" s="22"/>
      <c r="H2" s="22"/>
      <c r="I2" s="22"/>
      <c r="J2" s="22"/>
      <c r="K2" s="22"/>
      <c r="L2" s="22"/>
      <c r="M2" s="22"/>
      <c r="N2" s="22"/>
    </row>
    <row r="3" spans="2:14" ht="16.5" thickBot="1">
      <c r="B3" s="1323" t="s">
        <v>426</v>
      </c>
      <c r="C3" s="1323"/>
      <c r="D3" s="1323"/>
      <c r="E3" s="1323"/>
      <c r="F3" s="1323"/>
      <c r="G3" s="22"/>
      <c r="H3" s="22"/>
      <c r="I3" s="22"/>
      <c r="J3" s="22"/>
      <c r="K3" s="22"/>
      <c r="L3" s="22"/>
      <c r="M3" s="22"/>
      <c r="N3" s="22"/>
    </row>
    <row r="4" spans="2:14" ht="16.5" thickBot="1">
      <c r="B4" s="1178"/>
      <c r="C4" s="1179"/>
      <c r="D4" s="1179"/>
      <c r="E4" s="1179"/>
      <c r="F4" s="1179"/>
      <c r="G4" s="1180"/>
      <c r="H4" s="1180"/>
      <c r="I4" s="1180"/>
      <c r="J4" s="1180"/>
      <c r="K4" s="1181"/>
      <c r="M4" s="22"/>
      <c r="N4" s="22"/>
    </row>
    <row r="5" spans="2:14">
      <c r="B5" s="536"/>
      <c r="C5" s="537">
        <v>1978</v>
      </c>
      <c r="D5" s="538">
        <v>1988</v>
      </c>
      <c r="E5" s="538">
        <v>1998</v>
      </c>
      <c r="F5" s="479">
        <v>1999</v>
      </c>
      <c r="G5" s="480">
        <v>2000</v>
      </c>
      <c r="H5" s="480">
        <v>2001</v>
      </c>
      <c r="I5" s="480">
        <v>2002</v>
      </c>
      <c r="J5" s="481">
        <v>2003</v>
      </c>
      <c r="K5" s="481">
        <v>2004</v>
      </c>
      <c r="M5" s="22"/>
      <c r="N5" s="22"/>
    </row>
    <row r="6" spans="2:14">
      <c r="B6" s="539" t="s">
        <v>427</v>
      </c>
      <c r="C6" s="482">
        <v>0.470076043090982</v>
      </c>
      <c r="D6" s="483">
        <v>0.37514013607074959</v>
      </c>
      <c r="E6" s="483">
        <v>0.46</v>
      </c>
      <c r="F6" s="484">
        <v>0.45</v>
      </c>
      <c r="G6" s="485">
        <v>0.41</v>
      </c>
      <c r="H6" s="485">
        <v>0.37</v>
      </c>
      <c r="I6" s="485">
        <v>0.39</v>
      </c>
      <c r="J6" s="486">
        <v>0.38</v>
      </c>
      <c r="K6" s="486">
        <f>CUADRO3B!H49</f>
        <v>0.3789698411743081</v>
      </c>
      <c r="M6" s="22"/>
      <c r="N6" s="22"/>
    </row>
    <row r="7" spans="2:14">
      <c r="B7" s="540" t="s">
        <v>428</v>
      </c>
      <c r="C7" s="487">
        <v>9.3341216754073919E-2</v>
      </c>
      <c r="D7" s="488">
        <v>9.374367908398E-2</v>
      </c>
      <c r="E7" s="488">
        <v>7.0000000000000007E-2</v>
      </c>
      <c r="F7" s="489">
        <v>0.13</v>
      </c>
      <c r="G7" s="490">
        <v>0.15</v>
      </c>
      <c r="H7" s="490">
        <v>0.19</v>
      </c>
      <c r="I7" s="490">
        <v>0.18</v>
      </c>
      <c r="J7" s="491">
        <v>0.2</v>
      </c>
      <c r="K7" s="491">
        <f>CUADRO3B!H50</f>
        <v>0.20505043896718239</v>
      </c>
      <c r="M7" s="22"/>
      <c r="N7" s="22"/>
    </row>
    <row r="8" spans="2:14">
      <c r="B8" s="540" t="s">
        <v>227</v>
      </c>
      <c r="C8" s="487">
        <v>9.9086063870191393E-2</v>
      </c>
      <c r="D8" s="488">
        <v>0.12845558632465301</v>
      </c>
      <c r="E8" s="488">
        <v>0.16</v>
      </c>
      <c r="F8" s="489">
        <v>0.15</v>
      </c>
      <c r="G8" s="490">
        <v>0.11</v>
      </c>
      <c r="H8" s="490">
        <v>0.09</v>
      </c>
      <c r="I8" s="490">
        <v>0.08</v>
      </c>
      <c r="J8" s="491">
        <v>0.09</v>
      </c>
      <c r="K8" s="491">
        <f>CUADRO3B!H51</f>
        <v>0.10068330234050628</v>
      </c>
      <c r="M8" s="22"/>
      <c r="N8" s="22"/>
    </row>
    <row r="9" spans="2:14">
      <c r="B9" s="540" t="s">
        <v>429</v>
      </c>
      <c r="C9" s="487">
        <v>0.17975279972289931</v>
      </c>
      <c r="D9" s="488">
        <v>0.22206785936088999</v>
      </c>
      <c r="E9" s="488">
        <v>0.16</v>
      </c>
      <c r="F9" s="489">
        <v>0.12</v>
      </c>
      <c r="G9" s="490">
        <v>0.18</v>
      </c>
      <c r="H9" s="490">
        <v>0.2</v>
      </c>
      <c r="I9" s="490">
        <v>0.21</v>
      </c>
      <c r="J9" s="491">
        <v>0.2</v>
      </c>
      <c r="K9" s="491">
        <f>CUADRO3B!H52</f>
        <v>0.18212983290586712</v>
      </c>
      <c r="M9" s="22"/>
      <c r="N9" s="22"/>
    </row>
    <row r="10" spans="2:14" ht="13.5" thickBot="1">
      <c r="B10" s="540" t="s">
        <v>430</v>
      </c>
      <c r="C10" s="492">
        <v>0.15905948874300771</v>
      </c>
      <c r="D10" s="493">
        <v>0.17996205033530982</v>
      </c>
      <c r="E10" s="493">
        <v>0.15</v>
      </c>
      <c r="F10" s="494">
        <v>0.15412567696659363</v>
      </c>
      <c r="G10" s="495">
        <v>0.15</v>
      </c>
      <c r="H10" s="495">
        <v>0.15</v>
      </c>
      <c r="I10" s="495">
        <v>0.14000000000000001</v>
      </c>
      <c r="J10" s="496">
        <v>0.13</v>
      </c>
      <c r="K10" s="496">
        <f>CUADRO3B!H53</f>
        <v>0.13316658461213621</v>
      </c>
      <c r="M10" s="22"/>
      <c r="N10" s="22"/>
    </row>
    <row r="11" spans="2:14">
      <c r="B11" s="541" t="s">
        <v>431</v>
      </c>
      <c r="C11" s="497">
        <v>105074</v>
      </c>
      <c r="D11" s="498">
        <v>142342</v>
      </c>
      <c r="E11" s="498">
        <v>258126</v>
      </c>
      <c r="F11" s="499">
        <v>274847</v>
      </c>
      <c r="G11" s="500">
        <v>286293</v>
      </c>
      <c r="H11" s="500">
        <v>287338</v>
      </c>
      <c r="I11" s="500">
        <v>301841</v>
      </c>
      <c r="J11" s="501">
        <v>303312</v>
      </c>
      <c r="K11" s="501">
        <f>CUADRO3B!G55</f>
        <v>323739.88263594679</v>
      </c>
      <c r="M11" s="22"/>
      <c r="N11" s="22"/>
    </row>
    <row r="12" spans="2:14" ht="13.5" thickBot="1">
      <c r="B12" s="542" t="s">
        <v>432</v>
      </c>
      <c r="C12" s="502">
        <v>100</v>
      </c>
      <c r="D12" s="503">
        <v>135.47</v>
      </c>
      <c r="E12" s="503">
        <v>245.66</v>
      </c>
      <c r="F12" s="504">
        <v>261.58</v>
      </c>
      <c r="G12" s="505">
        <v>272.47000000000003</v>
      </c>
      <c r="H12" s="505">
        <v>273.45999999999998</v>
      </c>
      <c r="I12" s="505">
        <v>287.27</v>
      </c>
      <c r="J12" s="506">
        <v>288.67</v>
      </c>
      <c r="K12" s="506">
        <f>100*K11/C11</f>
        <v>308.10655598525494</v>
      </c>
      <c r="M12" s="22"/>
      <c r="N12" s="22"/>
    </row>
    <row r="13" spans="2:14" ht="13.5" thickBot="1">
      <c r="B13" s="543" t="s">
        <v>433</v>
      </c>
      <c r="C13" s="544"/>
      <c r="D13" s="545">
        <v>3.0800000000000001E-2</v>
      </c>
      <c r="E13" s="545">
        <v>6.0544618984837102E-2</v>
      </c>
      <c r="F13" s="546">
        <v>6.4699999999999994E-2</v>
      </c>
      <c r="G13" s="547">
        <v>5.3100000000000001E-2</v>
      </c>
      <c r="H13" s="547">
        <v>3.6400000000000002E-2</v>
      </c>
      <c r="I13" s="547">
        <v>3.9899999999999998E-2</v>
      </c>
      <c r="J13" s="548">
        <v>3.2800000000000003E-2</v>
      </c>
      <c r="K13" s="548">
        <f>EXP(LN(K11/E11)/6)-1</f>
        <v>3.8470288624344207E-2</v>
      </c>
      <c r="M13" s="22"/>
      <c r="N13" s="22"/>
    </row>
    <row r="14" spans="2:14">
      <c r="B14" s="22" t="s">
        <v>434</v>
      </c>
      <c r="C14" s="22"/>
      <c r="D14" s="22"/>
      <c r="E14" s="22"/>
      <c r="F14" s="22"/>
      <c r="G14" s="22"/>
      <c r="H14" s="22"/>
      <c r="I14" s="22"/>
      <c r="J14" s="22"/>
      <c r="K14" s="22"/>
      <c r="L14" s="22"/>
      <c r="M14" s="22"/>
      <c r="N14" s="22"/>
    </row>
    <row r="15" spans="2:14">
      <c r="B15" s="22" t="s">
        <v>435</v>
      </c>
      <c r="C15" s="22"/>
      <c r="D15" s="22"/>
      <c r="E15" s="22"/>
      <c r="F15" s="22"/>
      <c r="G15" s="22"/>
      <c r="H15" s="22"/>
      <c r="I15" s="22"/>
      <c r="J15" s="22"/>
      <c r="K15" s="308"/>
      <c r="L15" s="22"/>
      <c r="M15" s="22"/>
      <c r="N15" s="22"/>
    </row>
    <row r="16" spans="2:14">
      <c r="B16" s="22" t="s">
        <v>436</v>
      </c>
      <c r="C16" s="22"/>
      <c r="D16" s="22"/>
      <c r="E16" s="22"/>
      <c r="F16" s="22"/>
      <c r="G16" s="22"/>
      <c r="H16" s="22"/>
      <c r="I16" s="22"/>
      <c r="J16" s="22"/>
      <c r="K16" s="629"/>
      <c r="L16" s="22"/>
      <c r="M16" s="22"/>
      <c r="N16" s="22"/>
    </row>
    <row r="17" spans="2:14">
      <c r="B17" s="22" t="s">
        <v>437</v>
      </c>
      <c r="C17" s="22"/>
      <c r="D17" s="22"/>
      <c r="E17" s="22"/>
      <c r="F17" s="22"/>
      <c r="G17" s="22"/>
      <c r="H17" s="22"/>
      <c r="I17" s="308"/>
      <c r="J17" s="308"/>
      <c r="K17" s="308"/>
      <c r="L17" s="22"/>
      <c r="M17" s="22"/>
      <c r="N17" s="22"/>
    </row>
    <row r="18" spans="2:14">
      <c r="B18" s="22" t="s">
        <v>438</v>
      </c>
      <c r="C18" s="22"/>
      <c r="D18" s="22"/>
      <c r="E18" s="22"/>
      <c r="F18" s="22"/>
      <c r="G18" s="22"/>
      <c r="H18" s="22"/>
      <c r="I18" s="630"/>
      <c r="J18" s="630"/>
      <c r="K18" s="308"/>
      <c r="L18" s="22"/>
      <c r="M18" s="22"/>
      <c r="N18" s="22"/>
    </row>
    <row r="19" spans="2:14">
      <c r="B19" s="22"/>
      <c r="C19" s="631"/>
      <c r="D19" s="631"/>
      <c r="E19" s="631"/>
      <c r="F19" s="631"/>
      <c r="G19" s="631"/>
      <c r="H19" s="631"/>
      <c r="I19" s="632"/>
      <c r="J19" s="632"/>
      <c r="K19" s="308"/>
      <c r="L19" s="22"/>
      <c r="M19" s="22"/>
      <c r="N19" s="22"/>
    </row>
    <row r="20" spans="2:14">
      <c r="B20" s="628" t="s">
        <v>819</v>
      </c>
      <c r="C20" s="22"/>
      <c r="D20" s="22"/>
      <c r="E20" s="22"/>
      <c r="F20" s="22"/>
      <c r="G20" s="472"/>
      <c r="H20" s="22"/>
      <c r="I20" s="308"/>
      <c r="J20" s="308"/>
      <c r="K20" s="308"/>
      <c r="L20" s="22"/>
      <c r="M20" s="22"/>
      <c r="N20" s="22"/>
    </row>
    <row r="21" spans="2:14" ht="18">
      <c r="B21" s="1322" t="s">
        <v>439</v>
      </c>
      <c r="C21" s="1322"/>
      <c r="D21" s="1322"/>
      <c r="E21" s="1322"/>
      <c r="F21" s="1322"/>
      <c r="G21" s="22"/>
      <c r="H21" s="22"/>
      <c r="I21" s="22"/>
      <c r="J21" s="22"/>
      <c r="K21" s="22"/>
      <c r="L21" s="22"/>
      <c r="M21" s="22"/>
      <c r="N21" s="22"/>
    </row>
    <row r="22" spans="2:14" ht="16.5" thickBot="1">
      <c r="B22" s="1324" t="s">
        <v>440</v>
      </c>
      <c r="C22" s="1324"/>
      <c r="D22" s="1324"/>
      <c r="E22" s="1324"/>
      <c r="F22" s="1324"/>
      <c r="G22" s="22"/>
      <c r="H22" s="22"/>
      <c r="I22" s="22"/>
      <c r="J22" s="22"/>
      <c r="K22" s="22"/>
      <c r="L22" s="22"/>
      <c r="M22" s="22"/>
      <c r="N22" s="22"/>
    </row>
    <row r="23" spans="2:14" ht="16.5" thickBot="1">
      <c r="B23" s="1178"/>
      <c r="C23" s="1179"/>
      <c r="D23" s="1179"/>
      <c r="E23" s="1179"/>
      <c r="F23" s="1179"/>
      <c r="G23" s="1180"/>
      <c r="H23" s="1180"/>
      <c r="I23" s="1180"/>
      <c r="J23" s="1180"/>
      <c r="K23" s="1181"/>
      <c r="M23" s="22"/>
      <c r="N23" s="22"/>
    </row>
    <row r="24" spans="2:14">
      <c r="B24" s="1182"/>
      <c r="C24" s="1183">
        <v>1978</v>
      </c>
      <c r="D24" s="1184">
        <v>1988</v>
      </c>
      <c r="E24" s="1184">
        <v>1998</v>
      </c>
      <c r="F24" s="1185">
        <v>1999</v>
      </c>
      <c r="G24" s="1186">
        <v>2000</v>
      </c>
      <c r="H24" s="1186">
        <v>2001</v>
      </c>
      <c r="I24" s="1186">
        <v>2002</v>
      </c>
      <c r="J24" s="1187">
        <v>2003</v>
      </c>
      <c r="K24" s="1187">
        <v>2004</v>
      </c>
      <c r="M24" s="22"/>
      <c r="N24" s="22"/>
    </row>
    <row r="25" spans="2:14">
      <c r="B25" s="539" t="s">
        <v>441</v>
      </c>
      <c r="C25" s="507">
        <v>0.54400000000000004</v>
      </c>
      <c r="D25" s="508">
        <v>0.45400000000000001</v>
      </c>
      <c r="E25" s="508">
        <v>0.436</v>
      </c>
      <c r="F25" s="509">
        <v>0.41</v>
      </c>
      <c r="G25" s="510">
        <v>0.39100000000000001</v>
      </c>
      <c r="H25" s="510">
        <v>0.379</v>
      </c>
      <c r="I25" s="510">
        <v>0.375</v>
      </c>
      <c r="J25" s="511">
        <v>0.36599999999999999</v>
      </c>
      <c r="K25" s="511">
        <f>CUADRO5!I9/CUADRO5!I50</f>
        <v>0.35744758715704694</v>
      </c>
      <c r="M25" s="22"/>
      <c r="N25" s="22"/>
    </row>
    <row r="26" spans="2:14">
      <c r="B26" s="540" t="s">
        <v>428</v>
      </c>
      <c r="C26" s="512">
        <v>7.8E-2</v>
      </c>
      <c r="D26" s="513">
        <v>9.4E-2</v>
      </c>
      <c r="E26" s="513">
        <v>0.13800000000000001</v>
      </c>
      <c r="F26" s="514">
        <v>0.17</v>
      </c>
      <c r="G26" s="515">
        <v>0.216</v>
      </c>
      <c r="H26" s="515">
        <v>0.24399999999999999</v>
      </c>
      <c r="I26" s="515">
        <v>0.24099999999999999</v>
      </c>
      <c r="J26" s="516">
        <v>0.25600000000000001</v>
      </c>
      <c r="K26" s="516">
        <f>(CUADRO5!I38+CUADRO5!I40+CUADRO5!I42)/CUADRO5!I50</f>
        <v>0.2583351121403441</v>
      </c>
      <c r="M26" s="22"/>
      <c r="N26" s="22"/>
    </row>
    <row r="27" spans="2:14">
      <c r="B27" s="540" t="s">
        <v>442</v>
      </c>
      <c r="C27" s="512">
        <v>0.125</v>
      </c>
      <c r="D27" s="513">
        <v>0.159</v>
      </c>
      <c r="E27" s="513">
        <v>0.17</v>
      </c>
      <c r="F27" s="514">
        <v>0.16700000000000001</v>
      </c>
      <c r="G27" s="515">
        <v>0.13</v>
      </c>
      <c r="H27" s="515">
        <v>0.106</v>
      </c>
      <c r="I27" s="515">
        <v>0.109</v>
      </c>
      <c r="J27" s="516">
        <v>0.109</v>
      </c>
      <c r="K27" s="516">
        <f>(CUADRO5!I32+CUADRO5!I34+CUADRO5!I36)/CUADRO5!I50</f>
        <v>0.11828412463945853</v>
      </c>
      <c r="M27" s="22"/>
      <c r="N27" s="22"/>
    </row>
    <row r="28" spans="2:14">
      <c r="B28" s="540" t="s">
        <v>443</v>
      </c>
      <c r="C28" s="512">
        <v>8.2000000000000003E-2</v>
      </c>
      <c r="D28" s="513">
        <v>9.8000000000000004E-2</v>
      </c>
      <c r="E28" s="513">
        <v>0.106</v>
      </c>
      <c r="F28" s="514">
        <v>0.109</v>
      </c>
      <c r="G28" s="515">
        <v>0.114</v>
      </c>
      <c r="H28" s="515">
        <v>0.122</v>
      </c>
      <c r="I28" s="515">
        <v>0.126</v>
      </c>
      <c r="J28" s="516">
        <v>0.13200000000000001</v>
      </c>
      <c r="K28" s="516">
        <f>CUADRO5!I30/CUADRO5!I50</f>
        <v>0.13155544236248884</v>
      </c>
      <c r="M28" s="22"/>
      <c r="N28" s="22"/>
    </row>
    <row r="29" spans="2:14" ht="13.5" thickBot="1">
      <c r="B29" s="540" t="s">
        <v>430</v>
      </c>
      <c r="C29" s="517">
        <v>0.17100000000000001</v>
      </c>
      <c r="D29" s="518">
        <v>0.19500000000000001</v>
      </c>
      <c r="E29" s="518">
        <v>0.15</v>
      </c>
      <c r="F29" s="519">
        <v>0.14399999999999999</v>
      </c>
      <c r="G29" s="520">
        <v>0.14899999999999999</v>
      </c>
      <c r="H29" s="520">
        <v>0.14899999999999999</v>
      </c>
      <c r="I29" s="520">
        <v>0.14899999999999999</v>
      </c>
      <c r="J29" s="521">
        <v>0.13700000000000001</v>
      </c>
      <c r="K29" s="521">
        <f>CUADRO5!I46/CUADRO5!I50</f>
        <v>0.13437773370066153</v>
      </c>
      <c r="M29" s="22"/>
      <c r="N29" s="22"/>
    </row>
    <row r="30" spans="2:14">
      <c r="B30" s="541" t="s">
        <v>284</v>
      </c>
      <c r="C30" s="522">
        <v>96965</v>
      </c>
      <c r="D30" s="523">
        <v>127857</v>
      </c>
      <c r="E30" s="523">
        <v>264754</v>
      </c>
      <c r="F30" s="499">
        <v>286266</v>
      </c>
      <c r="G30" s="500">
        <v>288481</v>
      </c>
      <c r="H30" s="500">
        <v>287550</v>
      </c>
      <c r="I30" s="500">
        <v>292454</v>
      </c>
      <c r="J30" s="501">
        <v>298566</v>
      </c>
      <c r="K30" s="501">
        <f>CUADRO5!I50</f>
        <v>320822.00887088344</v>
      </c>
      <c r="M30" s="1228"/>
      <c r="N30" s="22"/>
    </row>
    <row r="31" spans="2:14" ht="13.5" thickBot="1">
      <c r="B31" s="542" t="s">
        <v>432</v>
      </c>
      <c r="C31" s="524">
        <v>100</v>
      </c>
      <c r="D31" s="525">
        <v>131.86027804133494</v>
      </c>
      <c r="E31" s="525">
        <v>273.04360381172393</v>
      </c>
      <c r="F31" s="526">
        <v>295.22899999999998</v>
      </c>
      <c r="G31" s="527">
        <v>297.51</v>
      </c>
      <c r="H31" s="527">
        <v>296.55</v>
      </c>
      <c r="I31" s="527">
        <v>301.61</v>
      </c>
      <c r="J31" s="528">
        <v>307.91000000000003</v>
      </c>
      <c r="K31" s="528">
        <f>100*K30/C30</f>
        <v>330.86372285967457</v>
      </c>
      <c r="M31" s="22"/>
      <c r="N31" s="22"/>
    </row>
    <row r="32" spans="2:14" ht="13.5" thickBot="1">
      <c r="B32" s="543" t="s">
        <v>444</v>
      </c>
      <c r="C32" s="544"/>
      <c r="D32" s="545">
        <v>2.8043280325314113E-2</v>
      </c>
      <c r="E32" s="545">
        <v>7.5503435561546706E-2</v>
      </c>
      <c r="F32" s="546">
        <v>8.1250000000000003E-2</v>
      </c>
      <c r="G32" s="547">
        <v>4.3799999999999999E-2</v>
      </c>
      <c r="H32" s="547">
        <v>2.7900000000000001E-2</v>
      </c>
      <c r="I32" s="547">
        <v>2.52E-2</v>
      </c>
      <c r="J32" s="548">
        <v>2.4299999999999999E-2</v>
      </c>
      <c r="K32" s="548">
        <f>EXP(LN(K30/E30)/6)-1</f>
        <v>3.2532199318530797E-2</v>
      </c>
      <c r="M32" s="22"/>
      <c r="N32" s="22"/>
    </row>
    <row r="33" spans="2:14">
      <c r="B33" s="22" t="s">
        <v>445</v>
      </c>
      <c r="C33" s="22"/>
      <c r="D33" s="22"/>
      <c r="E33" s="22"/>
      <c r="F33" s="22"/>
      <c r="G33" s="22"/>
      <c r="H33" s="22"/>
      <c r="I33" s="22"/>
      <c r="J33" s="22"/>
      <c r="K33" s="22"/>
      <c r="L33" s="22"/>
      <c r="M33" s="22"/>
      <c r="N33" s="22"/>
    </row>
    <row r="34" spans="2:14">
      <c r="B34" s="22" t="s">
        <v>446</v>
      </c>
      <c r="C34" s="22"/>
      <c r="D34" s="22"/>
      <c r="E34" s="22"/>
      <c r="F34" s="22"/>
      <c r="G34" s="22"/>
      <c r="H34" s="22"/>
      <c r="I34" s="22"/>
      <c r="J34" s="22"/>
      <c r="K34" s="22"/>
      <c r="L34" s="22"/>
      <c r="M34" s="22"/>
      <c r="N34" s="22"/>
    </row>
    <row r="35" spans="2:14">
      <c r="B35" s="22" t="s">
        <v>767</v>
      </c>
      <c r="C35" s="22"/>
      <c r="D35" s="22"/>
      <c r="E35" s="22"/>
      <c r="F35" s="22"/>
      <c r="G35" s="22"/>
      <c r="H35" s="22"/>
      <c r="I35" s="22"/>
      <c r="J35" s="22"/>
      <c r="K35" s="22"/>
      <c r="L35" s="22"/>
      <c r="M35" s="22"/>
      <c r="N35" s="22"/>
    </row>
    <row r="36" spans="2:14">
      <c r="B36" s="22" t="s">
        <v>768</v>
      </c>
      <c r="C36" s="22"/>
      <c r="D36" s="22"/>
      <c r="E36" s="22"/>
      <c r="F36" s="22"/>
      <c r="G36" s="22"/>
      <c r="H36" s="22"/>
      <c r="I36" s="22"/>
      <c r="J36" s="22"/>
      <c r="K36" s="22"/>
      <c r="L36" s="22"/>
      <c r="M36" s="22"/>
      <c r="N36" s="22"/>
    </row>
    <row r="37" spans="2:14">
      <c r="B37" s="22" t="s">
        <v>438</v>
      </c>
      <c r="C37" s="22"/>
      <c r="D37" s="22"/>
      <c r="E37" s="22"/>
      <c r="F37" s="22"/>
      <c r="G37" s="22"/>
      <c r="H37" s="22"/>
      <c r="I37" s="22"/>
      <c r="J37" s="22"/>
      <c r="K37" s="22"/>
      <c r="L37" s="22"/>
      <c r="M37" s="22"/>
      <c r="N37" s="22"/>
    </row>
    <row r="38" spans="2:14">
      <c r="B38" s="22"/>
      <c r="C38" s="633"/>
      <c r="D38" s="633"/>
      <c r="E38" s="633"/>
      <c r="F38" s="633"/>
      <c r="G38" s="633"/>
      <c r="H38" s="633"/>
      <c r="I38" s="633"/>
      <c r="J38" s="633"/>
      <c r="K38" s="22"/>
      <c r="L38" s="22"/>
      <c r="M38" s="22"/>
      <c r="N38" s="22"/>
    </row>
    <row r="39" spans="2:14">
      <c r="B39" s="628" t="s">
        <v>820</v>
      </c>
      <c r="C39" s="22"/>
      <c r="D39" s="22"/>
      <c r="E39" s="22"/>
      <c r="F39" s="22"/>
      <c r="G39" s="22"/>
      <c r="H39" s="22"/>
      <c r="I39" s="22"/>
      <c r="J39" s="22"/>
      <c r="K39" s="22"/>
      <c r="L39" s="22"/>
      <c r="M39" s="22"/>
      <c r="N39" s="22"/>
    </row>
    <row r="40" spans="2:14" ht="18">
      <c r="B40" s="1322" t="s">
        <v>447</v>
      </c>
      <c r="C40" s="1322"/>
      <c r="D40" s="1322"/>
      <c r="E40" s="1322"/>
      <c r="F40" s="1322"/>
      <c r="G40" s="22"/>
      <c r="H40" s="22"/>
      <c r="I40" s="22"/>
      <c r="J40" s="22"/>
      <c r="K40" s="22"/>
      <c r="L40" s="22"/>
      <c r="M40" s="22"/>
      <c r="N40" s="22"/>
    </row>
    <row r="41" spans="2:14" ht="16.5" thickBot="1">
      <c r="B41" s="1323" t="s">
        <v>448</v>
      </c>
      <c r="C41" s="1323"/>
      <c r="D41" s="1323"/>
      <c r="E41" s="1323"/>
      <c r="F41" s="1323"/>
      <c r="G41" s="22"/>
      <c r="H41" s="22"/>
      <c r="I41" s="22"/>
      <c r="J41" s="22"/>
      <c r="K41" s="22"/>
      <c r="L41" s="22"/>
      <c r="M41" s="22"/>
      <c r="N41" s="22"/>
    </row>
    <row r="42" spans="2:14" ht="16.5" thickBot="1">
      <c r="B42" s="1191"/>
      <c r="C42" s="1192"/>
      <c r="D42" s="1192"/>
      <c r="E42" s="1192"/>
      <c r="F42" s="1192"/>
      <c r="G42" s="1193"/>
      <c r="H42" s="1193"/>
      <c r="I42" s="1193"/>
      <c r="J42" s="1193"/>
      <c r="K42" s="1193"/>
      <c r="L42" s="1193"/>
      <c r="M42" s="1194"/>
      <c r="N42" s="1195"/>
    </row>
    <row r="43" spans="2:14">
      <c r="B43" s="1188" t="s">
        <v>449</v>
      </c>
      <c r="C43" s="1189">
        <v>1999</v>
      </c>
      <c r="D43" s="1189"/>
      <c r="E43" s="1189">
        <v>2000</v>
      </c>
      <c r="F43" s="1189"/>
      <c r="G43" s="1189">
        <v>2001</v>
      </c>
      <c r="H43" s="1189"/>
      <c r="I43" s="1189">
        <v>2002</v>
      </c>
      <c r="J43" s="1189"/>
      <c r="K43" s="1189">
        <v>2003</v>
      </c>
      <c r="L43" s="1189"/>
      <c r="M43" s="1189">
        <v>2004</v>
      </c>
      <c r="N43" s="1190"/>
    </row>
    <row r="44" spans="2:14">
      <c r="B44" s="661" t="s">
        <v>82</v>
      </c>
      <c r="C44" s="529">
        <v>66988</v>
      </c>
      <c r="D44" s="530">
        <v>0.26500000000000001</v>
      </c>
      <c r="E44" s="529">
        <v>69835</v>
      </c>
      <c r="F44" s="530">
        <v>0.27610000000000001</v>
      </c>
      <c r="G44" s="529">
        <v>67320</v>
      </c>
      <c r="H44" s="530">
        <v>0.27</v>
      </c>
      <c r="I44" s="529">
        <v>68996</v>
      </c>
      <c r="J44" s="530">
        <v>0.2646</v>
      </c>
      <c r="K44" s="529">
        <v>70365</v>
      </c>
      <c r="L44" s="530">
        <v>0.26800000000000002</v>
      </c>
      <c r="M44" s="529">
        <f>CUADRO5!C50</f>
        <v>73459.315952227378</v>
      </c>
      <c r="N44" s="662">
        <f>M44/$M$48</f>
        <v>0.25772670480207505</v>
      </c>
    </row>
    <row r="45" spans="2:14">
      <c r="B45" s="661" t="s">
        <v>450</v>
      </c>
      <c r="C45" s="529">
        <v>68838</v>
      </c>
      <c r="D45" s="530">
        <v>0.27300000000000002</v>
      </c>
      <c r="E45" s="529">
        <v>74210</v>
      </c>
      <c r="F45" s="530">
        <v>0.29339999999999999</v>
      </c>
      <c r="G45" s="529">
        <v>75289</v>
      </c>
      <c r="H45" s="530">
        <v>0.30199999999999999</v>
      </c>
      <c r="I45" s="529">
        <v>75672</v>
      </c>
      <c r="J45" s="530">
        <v>0.29020000000000001</v>
      </c>
      <c r="K45" s="529">
        <v>75584</v>
      </c>
      <c r="L45" s="530">
        <v>0.28699999999999998</v>
      </c>
      <c r="M45" s="529">
        <f>CUADRO5!D50</f>
        <v>78536.906260316391</v>
      </c>
      <c r="N45" s="662">
        <f>M45/$M$48</f>
        <v>0.27554106369550357</v>
      </c>
    </row>
    <row r="46" spans="2:14">
      <c r="B46" s="661" t="s">
        <v>451</v>
      </c>
      <c r="C46" s="529">
        <v>52669</v>
      </c>
      <c r="D46" s="530">
        <v>0.20899999999999999</v>
      </c>
      <c r="E46" s="529">
        <v>54257</v>
      </c>
      <c r="F46" s="530">
        <v>0.2145</v>
      </c>
      <c r="G46" s="529">
        <v>56282</v>
      </c>
      <c r="H46" s="530">
        <v>0.22600000000000001</v>
      </c>
      <c r="I46" s="529">
        <v>56190</v>
      </c>
      <c r="J46" s="530">
        <v>0.215</v>
      </c>
      <c r="K46" s="529">
        <v>56172</v>
      </c>
      <c r="L46" s="530">
        <v>0.214</v>
      </c>
      <c r="M46" s="529">
        <f>CUADRO5!E50</f>
        <v>58868.26968253668</v>
      </c>
      <c r="N46" s="662">
        <f>M46/$M$48</f>
        <v>0.20653507272715144</v>
      </c>
    </row>
    <row r="47" spans="2:14">
      <c r="B47" s="661" t="s">
        <v>452</v>
      </c>
      <c r="C47" s="529">
        <v>63843</v>
      </c>
      <c r="D47" s="530">
        <v>0.253</v>
      </c>
      <c r="E47" s="529">
        <v>54666</v>
      </c>
      <c r="F47" s="530">
        <v>0.21609999999999999</v>
      </c>
      <c r="G47" s="529">
        <v>50526</v>
      </c>
      <c r="H47" s="530">
        <v>0.20200000000000001</v>
      </c>
      <c r="I47" s="529">
        <v>59883</v>
      </c>
      <c r="J47" s="530">
        <v>0.22969999999999999</v>
      </c>
      <c r="K47" s="529">
        <v>60825</v>
      </c>
      <c r="L47" s="530">
        <v>0.23100000000000001</v>
      </c>
      <c r="M47" s="529">
        <f>CUADRO1!D23+CUADRO4!D53-CUADRO4!E53-CUADRO5!C50-CUADRO5!D50-CUADRO5!E50</f>
        <v>74163.464399326505</v>
      </c>
      <c r="N47" s="662">
        <f>M47/$M$48</f>
        <v>0.26019715877526994</v>
      </c>
    </row>
    <row r="48" spans="2:14" ht="13.5" thickBot="1">
      <c r="B48" s="543" t="s">
        <v>87</v>
      </c>
      <c r="C48" s="663">
        <v>252338</v>
      </c>
      <c r="D48" s="664"/>
      <c r="E48" s="664">
        <v>252968</v>
      </c>
      <c r="F48" s="664"/>
      <c r="G48" s="665">
        <v>249417</v>
      </c>
      <c r="H48" s="665"/>
      <c r="I48" s="665">
        <v>260741</v>
      </c>
      <c r="J48" s="665"/>
      <c r="K48" s="665">
        <v>262946</v>
      </c>
      <c r="L48" s="665"/>
      <c r="M48" s="665">
        <f>SUM(M44:M47)</f>
        <v>285027.95629440696</v>
      </c>
      <c r="N48" s="666"/>
    </row>
    <row r="49" spans="2:14">
      <c r="B49" s="22" t="s">
        <v>453</v>
      </c>
      <c r="C49" s="22"/>
      <c r="D49" s="531"/>
      <c r="E49" s="70"/>
      <c r="F49" s="531"/>
      <c r="G49" s="22"/>
      <c r="H49" s="531"/>
      <c r="I49" s="22"/>
      <c r="J49" s="531"/>
      <c r="K49" s="22"/>
      <c r="L49" s="531"/>
      <c r="M49" s="22"/>
      <c r="N49" s="22"/>
    </row>
    <row r="50" spans="2:14">
      <c r="B50" s="22" t="s">
        <v>751</v>
      </c>
      <c r="C50" s="22"/>
      <c r="D50" s="22"/>
      <c r="E50" s="22"/>
      <c r="F50" s="22"/>
      <c r="G50" s="22"/>
      <c r="H50" s="22"/>
      <c r="I50" s="70"/>
      <c r="J50" s="22"/>
      <c r="K50" s="22"/>
      <c r="L50" s="22"/>
      <c r="M50" s="22"/>
      <c r="N50" s="22"/>
    </row>
    <row r="51" spans="2:14">
      <c r="B51" s="22"/>
      <c r="C51" s="70"/>
      <c r="D51" s="22"/>
      <c r="E51" s="70"/>
      <c r="F51" s="22"/>
      <c r="G51" s="70"/>
      <c r="H51" s="22"/>
      <c r="I51" s="70"/>
      <c r="J51" s="22"/>
      <c r="K51" s="70"/>
      <c r="L51" s="22"/>
      <c r="M51" s="22"/>
      <c r="N51" s="22"/>
    </row>
    <row r="52" spans="2:14">
      <c r="B52" s="628" t="s">
        <v>821</v>
      </c>
      <c r="C52" s="22"/>
      <c r="D52" s="22"/>
      <c r="E52" s="22"/>
      <c r="F52" s="22"/>
      <c r="G52" s="22"/>
      <c r="H52" s="22"/>
      <c r="I52" s="22"/>
      <c r="J52" s="22"/>
      <c r="K52" s="22"/>
      <c r="L52" s="22"/>
      <c r="M52" s="22"/>
      <c r="N52" s="22"/>
    </row>
    <row r="53" spans="2:14" ht="18">
      <c r="B53" s="1322" t="s">
        <v>454</v>
      </c>
      <c r="C53" s="1322"/>
      <c r="D53" s="1322"/>
      <c r="E53" s="1322"/>
      <c r="F53" s="1322"/>
      <c r="G53" s="22"/>
      <c r="H53" s="22"/>
      <c r="I53" s="22"/>
      <c r="J53" s="22"/>
      <c r="K53" s="22"/>
      <c r="L53" s="22"/>
      <c r="M53" s="22"/>
      <c r="N53" s="22"/>
    </row>
    <row r="54" spans="2:14" ht="16.5" thickBot="1">
      <c r="B54" s="1323" t="s">
        <v>455</v>
      </c>
      <c r="C54" s="1323"/>
      <c r="D54" s="1323"/>
      <c r="E54" s="1323"/>
      <c r="F54" s="1323"/>
      <c r="G54" s="22"/>
      <c r="H54" s="22"/>
      <c r="I54" s="22"/>
      <c r="J54" s="22"/>
      <c r="K54" s="22"/>
      <c r="L54" s="22"/>
      <c r="M54" s="22"/>
      <c r="N54" s="22"/>
    </row>
    <row r="55" spans="2:14" ht="16.5" thickBot="1">
      <c r="B55" s="1178"/>
      <c r="C55" s="1179"/>
      <c r="D55" s="1179"/>
      <c r="E55" s="1179"/>
      <c r="F55" s="1179"/>
      <c r="G55" s="1180"/>
      <c r="H55" s="1180"/>
      <c r="I55" s="1180"/>
      <c r="J55" s="1180"/>
      <c r="K55" s="1180"/>
      <c r="L55" s="1180"/>
      <c r="M55" s="1180"/>
      <c r="N55" s="1181"/>
    </row>
    <row r="56" spans="2:14">
      <c r="B56" s="1182" t="s">
        <v>456</v>
      </c>
      <c r="C56" s="1184">
        <v>1999</v>
      </c>
      <c r="D56" s="1199"/>
      <c r="E56" s="1184">
        <v>2000</v>
      </c>
      <c r="F56" s="1199"/>
      <c r="G56" s="1184">
        <v>2001</v>
      </c>
      <c r="H56" s="1199"/>
      <c r="I56" s="1184">
        <v>2002</v>
      </c>
      <c r="J56" s="1199"/>
      <c r="K56" s="1184">
        <v>2003</v>
      </c>
      <c r="L56" s="1199"/>
      <c r="M56" s="1184">
        <v>2004</v>
      </c>
      <c r="N56" s="1200"/>
    </row>
    <row r="57" spans="2:14">
      <c r="B57" s="539" t="s">
        <v>457</v>
      </c>
      <c r="C57" s="532">
        <v>83900</v>
      </c>
      <c r="D57" s="533">
        <v>0.31</v>
      </c>
      <c r="E57" s="532">
        <v>91719</v>
      </c>
      <c r="F57" s="533">
        <v>0.32</v>
      </c>
      <c r="G57" s="532">
        <v>98107</v>
      </c>
      <c r="H57" s="533">
        <v>0.34</v>
      </c>
      <c r="I57" s="532">
        <v>103063</v>
      </c>
      <c r="J57" s="533">
        <v>0.34</v>
      </c>
      <c r="K57" s="532">
        <v>90410</v>
      </c>
      <c r="L57" s="533">
        <v>0.3</v>
      </c>
      <c r="M57" s="1196">
        <f>CUADRO3B!C77</f>
        <v>89179.792011981364</v>
      </c>
      <c r="N57" s="667">
        <f>M57/M59</f>
        <v>0.27546742553269576</v>
      </c>
    </row>
    <row r="58" spans="2:14">
      <c r="B58" s="540" t="s">
        <v>458</v>
      </c>
      <c r="C58" s="534">
        <v>190947</v>
      </c>
      <c r="D58" s="535">
        <v>0.69</v>
      </c>
      <c r="E58" s="534">
        <v>194574</v>
      </c>
      <c r="F58" s="535">
        <v>0.68</v>
      </c>
      <c r="G58" s="534">
        <v>189231</v>
      </c>
      <c r="H58" s="535">
        <v>0.66</v>
      </c>
      <c r="I58" s="534">
        <v>198778</v>
      </c>
      <c r="J58" s="535">
        <v>0.66</v>
      </c>
      <c r="K58" s="534">
        <v>212902</v>
      </c>
      <c r="L58" s="535">
        <v>0.7</v>
      </c>
      <c r="M58" s="1197">
        <f>CUADRO3B!D77</f>
        <v>234560.09062396549</v>
      </c>
      <c r="N58" s="668">
        <f>M58/M59</f>
        <v>0.72453257446730424</v>
      </c>
    </row>
    <row r="59" spans="2:14" ht="13.5" thickBot="1">
      <c r="B59" s="650" t="s">
        <v>459</v>
      </c>
      <c r="C59" s="669">
        <v>274847</v>
      </c>
      <c r="D59" s="670"/>
      <c r="E59" s="669">
        <v>286293</v>
      </c>
      <c r="F59" s="670"/>
      <c r="G59" s="669">
        <f>G57+G58</f>
        <v>287338</v>
      </c>
      <c r="H59" s="670"/>
      <c r="I59" s="669">
        <v>301841</v>
      </c>
      <c r="J59" s="670"/>
      <c r="K59" s="669">
        <v>303312</v>
      </c>
      <c r="L59" s="670"/>
      <c r="M59" s="1198">
        <f>CUADRO3B!E77</f>
        <v>323739.88263594685</v>
      </c>
      <c r="N59" s="671"/>
    </row>
    <row r="60" spans="2:14">
      <c r="B60" s="22" t="s">
        <v>460</v>
      </c>
      <c r="C60" s="22"/>
      <c r="D60" s="22"/>
      <c r="E60" s="70"/>
      <c r="F60" s="22"/>
      <c r="G60" s="22"/>
      <c r="H60" s="22"/>
      <c r="I60" s="22"/>
      <c r="J60" s="22"/>
      <c r="K60" s="22"/>
      <c r="L60" s="22"/>
      <c r="M60" s="22"/>
      <c r="N60" s="22"/>
    </row>
    <row r="61" spans="2:14">
      <c r="B61" s="22" t="s">
        <v>461</v>
      </c>
      <c r="C61" s="22"/>
      <c r="D61" s="22"/>
      <c r="E61" s="22"/>
      <c r="F61" s="22"/>
      <c r="G61" s="22"/>
      <c r="H61" s="22"/>
      <c r="I61" s="22"/>
      <c r="J61" s="22"/>
      <c r="K61" s="22"/>
      <c r="L61" s="22"/>
      <c r="M61" s="22"/>
      <c r="N61" s="22"/>
    </row>
    <row r="62" spans="2:14">
      <c r="B62" s="22"/>
      <c r="C62" s="22"/>
      <c r="D62" s="22"/>
      <c r="E62" s="22"/>
      <c r="F62" s="22"/>
      <c r="G62" s="22"/>
      <c r="H62" s="22"/>
      <c r="I62" s="22"/>
      <c r="J62" s="22"/>
      <c r="K62" s="22"/>
      <c r="L62" s="22"/>
      <c r="M62" s="22"/>
      <c r="N62" s="22"/>
    </row>
    <row r="63" spans="2:14">
      <c r="B63" s="22"/>
      <c r="C63" s="22"/>
      <c r="D63" s="22"/>
      <c r="E63" s="22"/>
      <c r="F63" s="22"/>
      <c r="G63" s="22"/>
      <c r="H63" s="22"/>
      <c r="I63" s="22"/>
      <c r="J63" s="22"/>
      <c r="K63" s="22"/>
      <c r="L63" s="22"/>
      <c r="M63" s="22"/>
      <c r="N63" s="22"/>
    </row>
    <row r="64" spans="2:14">
      <c r="B64" s="22"/>
      <c r="C64" s="22"/>
      <c r="D64" s="22"/>
      <c r="E64" s="22"/>
      <c r="F64" s="22"/>
      <c r="G64" s="22"/>
      <c r="H64" s="22"/>
      <c r="I64" s="22"/>
      <c r="J64" s="22"/>
      <c r="K64" s="22"/>
      <c r="L64" s="22"/>
      <c r="M64" s="22"/>
      <c r="N64" s="22"/>
    </row>
    <row r="65" spans="2:14">
      <c r="B65" s="22"/>
      <c r="C65" s="22"/>
      <c r="D65" s="22"/>
      <c r="E65" s="22"/>
      <c r="F65" s="22"/>
      <c r="G65" s="22"/>
      <c r="H65" s="22"/>
      <c r="I65" s="22"/>
      <c r="J65" s="22"/>
      <c r="K65" s="22"/>
      <c r="L65" s="22"/>
      <c r="M65" s="22"/>
      <c r="N65" s="22"/>
    </row>
    <row r="66" spans="2:14">
      <c r="B66" s="22"/>
      <c r="C66" s="22"/>
      <c r="D66" s="22"/>
      <c r="E66" s="22"/>
      <c r="F66" s="22"/>
      <c r="G66" s="22"/>
      <c r="H66" s="22"/>
      <c r="I66" s="22"/>
      <c r="J66" s="22"/>
      <c r="K66" s="22"/>
      <c r="L66" s="22"/>
      <c r="M66" s="22"/>
      <c r="N66" s="22"/>
    </row>
    <row r="67" spans="2:14" s="22" customFormat="1"/>
    <row r="68" spans="2:14" s="22" customFormat="1"/>
    <row r="69" spans="2:14" s="22" customFormat="1"/>
    <row r="70" spans="2:14" s="22" customFormat="1"/>
    <row r="71" spans="2:14" s="22" customFormat="1"/>
    <row r="72" spans="2:14" s="22" customFormat="1"/>
    <row r="73" spans="2:14" s="22" customFormat="1"/>
    <row r="74" spans="2:14" s="22" customFormat="1"/>
    <row r="75" spans="2:14" s="22" customFormat="1"/>
    <row r="76" spans="2:14" s="22" customFormat="1"/>
    <row r="77" spans="2:14" s="22" customFormat="1"/>
    <row r="78" spans="2:14" s="22" customFormat="1"/>
    <row r="79" spans="2:14" s="22" customFormat="1"/>
    <row r="80" spans="2:14" s="22" customFormat="1"/>
    <row r="81" s="22" customFormat="1"/>
    <row r="82" s="22" customFormat="1"/>
    <row r="83" s="22" customFormat="1"/>
    <row r="84" s="22" customFormat="1"/>
    <row r="85" s="22" customFormat="1"/>
    <row r="86" s="22" customFormat="1"/>
    <row r="87" s="22" customFormat="1"/>
    <row r="88" s="22" customFormat="1"/>
  </sheetData>
  <mergeCells count="8">
    <mergeCell ref="B53:F53"/>
    <mergeCell ref="B54:F54"/>
    <mergeCell ref="B2:F2"/>
    <mergeCell ref="B3:F3"/>
    <mergeCell ref="B21:F21"/>
    <mergeCell ref="B22:F22"/>
    <mergeCell ref="B40:F40"/>
    <mergeCell ref="B41:F41"/>
  </mergeCells>
  <phoneticPr fontId="0" type="noConversion"/>
  <hyperlinks>
    <hyperlink ref="H1" location="INDICE!A60" display="VOLVER A INDICE"/>
  </hyperlinks>
  <pageMargins left="0.75" right="0.75" top="1" bottom="1" header="0" footer="0"/>
  <pageSetup scale="72"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K87"/>
  <sheetViews>
    <sheetView zoomScale="86" workbookViewId="0">
      <selection activeCell="B38" sqref="B38:I38"/>
    </sheetView>
  </sheetViews>
  <sheetFormatPr baseColWidth="10" defaultRowHeight="12.75"/>
  <cols>
    <col min="1" max="1" width="2.85546875" style="898" customWidth="1"/>
    <col min="2" max="2" width="21" style="898" customWidth="1"/>
    <col min="3" max="4" width="9.5703125" style="898" customWidth="1"/>
    <col min="5" max="5" width="22.7109375" style="898" customWidth="1"/>
    <col min="6" max="16" width="9.5703125" style="898" customWidth="1"/>
    <col min="17" max="20" width="11.42578125" style="898"/>
    <col min="21" max="37" width="11.42578125" style="22"/>
    <col min="38" max="16384" width="11.42578125" style="898"/>
  </cols>
  <sheetData>
    <row r="1" spans="2:20" ht="15">
      <c r="B1" s="628" t="s">
        <v>822</v>
      </c>
      <c r="C1" s="22"/>
      <c r="D1" s="22"/>
      <c r="E1" s="22"/>
      <c r="F1" s="22"/>
      <c r="G1" s="641"/>
      <c r="H1" s="308"/>
      <c r="I1" s="308"/>
      <c r="J1" s="308"/>
      <c r="K1" s="308"/>
      <c r="L1" s="22"/>
      <c r="M1" s="22"/>
      <c r="N1" s="22"/>
      <c r="O1" s="22"/>
      <c r="P1" s="22"/>
      <c r="Q1" s="22"/>
      <c r="R1" s="22"/>
      <c r="S1" s="22"/>
      <c r="T1" s="22"/>
    </row>
    <row r="2" spans="2:20">
      <c r="B2" s="22"/>
      <c r="C2" s="22"/>
      <c r="D2" s="22"/>
      <c r="E2" s="22"/>
      <c r="F2" s="22"/>
      <c r="G2" s="22"/>
      <c r="H2" s="862" t="s">
        <v>683</v>
      </c>
      <c r="I2" s="308"/>
      <c r="J2" s="308"/>
      <c r="K2" s="308"/>
      <c r="L2" s="22"/>
      <c r="M2" s="22"/>
      <c r="N2" s="22"/>
      <c r="O2" s="22"/>
      <c r="P2" s="22"/>
      <c r="Q2" s="22"/>
      <c r="R2" s="22"/>
      <c r="S2" s="22"/>
      <c r="T2" s="22"/>
    </row>
    <row r="3" spans="2:20" ht="18.75" thickBot="1">
      <c r="B3" s="642" t="s">
        <v>786</v>
      </c>
      <c r="C3" s="22"/>
      <c r="D3" s="22"/>
      <c r="E3" s="22"/>
      <c r="F3" s="22"/>
      <c r="G3" s="22"/>
      <c r="H3" s="635"/>
      <c r="I3" s="636"/>
      <c r="J3" s="636"/>
      <c r="K3" s="308"/>
      <c r="L3" s="22"/>
      <c r="M3" s="22"/>
      <c r="N3" s="22"/>
      <c r="O3" s="22"/>
      <c r="P3" s="22"/>
      <c r="Q3" s="22"/>
      <c r="R3" s="22"/>
      <c r="S3" s="22"/>
      <c r="T3" s="22"/>
    </row>
    <row r="4" spans="2:20" ht="13.5" thickBot="1">
      <c r="B4" s="643"/>
      <c r="C4" s="644"/>
      <c r="D4" s="644"/>
      <c r="E4" s="644"/>
      <c r="F4" s="645"/>
      <c r="G4" s="22"/>
      <c r="H4" s="634"/>
      <c r="I4" s="634"/>
      <c r="J4" s="634"/>
      <c r="K4" s="308"/>
      <c r="L4" s="22"/>
      <c r="M4" s="22"/>
      <c r="N4" s="22"/>
      <c r="O4" s="22"/>
      <c r="P4" s="22"/>
      <c r="Q4" s="22"/>
      <c r="R4" s="22"/>
      <c r="S4" s="22"/>
      <c r="T4" s="22"/>
    </row>
    <row r="5" spans="2:20" ht="13.5" thickTop="1">
      <c r="B5" s="646" t="s">
        <v>79</v>
      </c>
      <c r="C5" s="594" t="s">
        <v>483</v>
      </c>
      <c r="D5" s="595" t="s">
        <v>484</v>
      </c>
      <c r="E5" s="594" t="s">
        <v>485</v>
      </c>
      <c r="F5" s="647" t="s">
        <v>486</v>
      </c>
      <c r="G5" s="22"/>
      <c r="H5" s="637"/>
      <c r="I5" s="638"/>
      <c r="J5" s="638"/>
      <c r="K5" s="308"/>
      <c r="L5" s="22"/>
      <c r="M5" s="22"/>
      <c r="N5" s="22"/>
      <c r="O5" s="22"/>
      <c r="P5" s="22"/>
      <c r="Q5" s="22"/>
      <c r="R5" s="22"/>
      <c r="S5" s="22"/>
      <c r="T5" s="22"/>
    </row>
    <row r="6" spans="2:20">
      <c r="B6" s="539" t="s">
        <v>487</v>
      </c>
      <c r="C6" s="596">
        <v>11561.363000000001</v>
      </c>
      <c r="D6" s="597">
        <f>C6/C8</f>
        <v>0.92581278140469603</v>
      </c>
      <c r="E6" s="596">
        <v>48970.2</v>
      </c>
      <c r="F6" s="648">
        <f>E6/E8</f>
        <v>0.92651332633419381</v>
      </c>
      <c r="G6" s="22"/>
      <c r="H6" s="639"/>
      <c r="I6" s="638"/>
      <c r="J6" s="638"/>
      <c r="K6" s="308"/>
      <c r="L6" s="22"/>
      <c r="M6" s="22"/>
      <c r="N6" s="22"/>
      <c r="O6" s="22"/>
      <c r="P6" s="22"/>
      <c r="Q6" s="22"/>
      <c r="R6" s="22"/>
      <c r="S6" s="22"/>
      <c r="T6" s="22"/>
    </row>
    <row r="7" spans="2:20">
      <c r="B7" s="540" t="s">
        <v>364</v>
      </c>
      <c r="C7" s="598">
        <v>926.43499999999995</v>
      </c>
      <c r="D7" s="599">
        <f>C7/C8</f>
        <v>7.4187218595303986E-2</v>
      </c>
      <c r="E7" s="598">
        <v>3884.0856407188148</v>
      </c>
      <c r="F7" s="649">
        <f>E7/E8</f>
        <v>7.3486673665806301E-2</v>
      </c>
      <c r="G7" s="22"/>
      <c r="H7" s="639"/>
      <c r="I7" s="638"/>
      <c r="J7" s="638"/>
      <c r="K7" s="308"/>
      <c r="L7" s="22"/>
      <c r="M7" s="22"/>
      <c r="N7" s="22"/>
      <c r="O7" s="22"/>
      <c r="P7" s="22"/>
      <c r="Q7" s="22"/>
      <c r="R7" s="22"/>
      <c r="S7" s="22"/>
      <c r="T7" s="22"/>
    </row>
    <row r="8" spans="2:20" ht="13.5" thickBot="1">
      <c r="B8" s="650" t="s">
        <v>87</v>
      </c>
      <c r="C8" s="651">
        <f>C6+C7</f>
        <v>12487.798000000001</v>
      </c>
      <c r="D8" s="652"/>
      <c r="E8" s="651">
        <f>E6+E7</f>
        <v>52854.285640718808</v>
      </c>
      <c r="F8" s="653"/>
      <c r="G8" s="22"/>
      <c r="H8" s="639"/>
      <c r="I8" s="638"/>
      <c r="J8" s="638"/>
      <c r="K8" s="308"/>
      <c r="L8" s="22"/>
      <c r="M8" s="22"/>
      <c r="N8" s="22"/>
      <c r="O8" s="22"/>
      <c r="P8" s="22"/>
      <c r="Q8" s="22"/>
      <c r="R8" s="22"/>
      <c r="S8" s="22"/>
      <c r="T8" s="22"/>
    </row>
    <row r="9" spans="2:20">
      <c r="B9" s="22"/>
      <c r="C9" s="22"/>
      <c r="D9" s="22"/>
      <c r="E9" s="70"/>
      <c r="F9" s="22"/>
      <c r="G9" s="22"/>
      <c r="H9" s="639"/>
      <c r="I9" s="638"/>
      <c r="J9" s="638"/>
      <c r="K9" s="308"/>
      <c r="L9" s="22"/>
      <c r="M9" s="22"/>
      <c r="N9" s="22"/>
      <c r="O9" s="22"/>
      <c r="P9" s="22"/>
      <c r="Q9" s="22"/>
      <c r="R9" s="22"/>
      <c r="S9" s="22"/>
      <c r="T9" s="22"/>
    </row>
    <row r="10" spans="2:20">
      <c r="B10" s="628" t="s">
        <v>823</v>
      </c>
      <c r="C10" s="22"/>
      <c r="D10" s="22"/>
      <c r="E10" s="22"/>
      <c r="F10" s="22"/>
      <c r="G10" s="22"/>
      <c r="H10" s="639"/>
      <c r="I10" s="638"/>
      <c r="J10" s="638"/>
      <c r="K10" s="308"/>
      <c r="L10" s="22"/>
      <c r="M10" s="22"/>
      <c r="N10" s="22"/>
      <c r="O10" s="22"/>
      <c r="P10" s="22"/>
      <c r="Q10" s="22"/>
      <c r="R10" s="22"/>
      <c r="S10" s="22"/>
      <c r="T10" s="22"/>
    </row>
    <row r="11" spans="2:20" ht="18.75" thickBot="1">
      <c r="B11" s="642" t="s">
        <v>787</v>
      </c>
      <c r="C11" s="22"/>
      <c r="D11" s="22"/>
      <c r="E11" s="22"/>
      <c r="F11" s="22"/>
      <c r="G11" s="22"/>
      <c r="H11" s="639"/>
      <c r="I11" s="638"/>
      <c r="J11" s="638"/>
      <c r="K11" s="308"/>
      <c r="L11" s="22"/>
      <c r="M11" s="22"/>
      <c r="N11" s="22"/>
      <c r="O11" s="22"/>
      <c r="P11" s="22"/>
      <c r="Q11" s="22"/>
      <c r="R11" s="22"/>
      <c r="S11" s="22"/>
      <c r="T11" s="22"/>
    </row>
    <row r="12" spans="2:20">
      <c r="B12" s="600"/>
      <c r="C12" s="601"/>
      <c r="D12" s="602"/>
      <c r="E12" s="603"/>
      <c r="F12" s="604"/>
      <c r="G12" s="22"/>
      <c r="H12" s="639"/>
      <c r="I12" s="638"/>
      <c r="J12" s="638"/>
      <c r="K12" s="308"/>
      <c r="L12" s="22"/>
      <c r="M12" s="22"/>
      <c r="N12" s="22"/>
      <c r="O12" s="22"/>
      <c r="P12" s="22"/>
      <c r="Q12" s="22"/>
      <c r="R12" s="22"/>
      <c r="S12" s="22"/>
      <c r="T12" s="22"/>
    </row>
    <row r="13" spans="2:20" ht="25.5">
      <c r="B13" s="605" t="s">
        <v>488</v>
      </c>
      <c r="C13" s="606" t="s">
        <v>489</v>
      </c>
      <c r="D13" s="607" t="s">
        <v>489</v>
      </c>
      <c r="E13" s="608" t="s">
        <v>485</v>
      </c>
      <c r="F13" s="609" t="s">
        <v>485</v>
      </c>
      <c r="G13" s="22"/>
      <c r="H13" s="639"/>
      <c r="I13" s="638"/>
      <c r="J13" s="638"/>
      <c r="K13" s="308"/>
      <c r="L13" s="22"/>
      <c r="M13" s="22"/>
      <c r="N13" s="22"/>
      <c r="O13" s="22"/>
      <c r="P13" s="22"/>
      <c r="Q13" s="22"/>
      <c r="R13" s="22"/>
      <c r="S13" s="22"/>
      <c r="T13" s="22"/>
    </row>
    <row r="14" spans="2:20" ht="25.5">
      <c r="B14" s="610" t="s">
        <v>490</v>
      </c>
      <c r="C14" s="611" t="s">
        <v>491</v>
      </c>
      <c r="D14" s="612" t="s">
        <v>492</v>
      </c>
      <c r="E14" s="613" t="s">
        <v>493</v>
      </c>
      <c r="F14" s="614" t="s">
        <v>494</v>
      </c>
      <c r="G14" s="22"/>
      <c r="H14" s="639"/>
      <c r="I14" s="638"/>
      <c r="J14" s="638"/>
      <c r="K14" s="308"/>
      <c r="L14" s="22"/>
      <c r="M14" s="22"/>
      <c r="N14" s="22"/>
      <c r="O14" s="22"/>
      <c r="P14" s="22"/>
      <c r="Q14" s="22"/>
      <c r="R14" s="22"/>
      <c r="S14" s="22"/>
      <c r="T14" s="22"/>
    </row>
    <row r="15" spans="2:20">
      <c r="B15" s="615" t="s">
        <v>390</v>
      </c>
      <c r="C15" s="616">
        <v>3595.7950000000001</v>
      </c>
      <c r="D15" s="617">
        <f>C15/$C$20</f>
        <v>0.28794468007890583</v>
      </c>
      <c r="E15" s="618">
        <v>12330</v>
      </c>
      <c r="F15" s="619">
        <f>E15/$E$20</f>
        <v>0.23328288048038617</v>
      </c>
      <c r="G15" s="531"/>
      <c r="H15" s="639"/>
      <c r="I15" s="638"/>
      <c r="J15" s="638"/>
      <c r="K15" s="308"/>
      <c r="L15" s="22"/>
      <c r="M15" s="22"/>
      <c r="N15" s="22"/>
      <c r="O15" s="22"/>
      <c r="P15" s="22"/>
      <c r="Q15" s="22"/>
      <c r="R15" s="22"/>
      <c r="S15" s="22"/>
      <c r="T15" s="22"/>
    </row>
    <row r="16" spans="2:20">
      <c r="B16" s="615" t="s">
        <v>391</v>
      </c>
      <c r="C16" s="616">
        <v>7867.4</v>
      </c>
      <c r="D16" s="617">
        <f>C16/$C$20</f>
        <v>0.63000698762103613</v>
      </c>
      <c r="E16" s="618">
        <v>36344</v>
      </c>
      <c r="F16" s="619">
        <f>E16/$E$20</f>
        <v>0.68762635913861758</v>
      </c>
      <c r="G16" s="531"/>
      <c r="H16" s="639"/>
      <c r="I16" s="638"/>
      <c r="J16" s="638"/>
      <c r="K16" s="308"/>
      <c r="L16" s="22"/>
      <c r="M16" s="22"/>
      <c r="N16" s="22"/>
      <c r="O16" s="22"/>
      <c r="P16" s="22"/>
      <c r="Q16" s="22"/>
      <c r="R16" s="22"/>
      <c r="S16" s="22"/>
      <c r="T16" s="22"/>
    </row>
    <row r="17" spans="2:20">
      <c r="B17" s="615" t="s">
        <v>422</v>
      </c>
      <c r="C17" s="616">
        <v>33.463000000000001</v>
      </c>
      <c r="D17" s="617">
        <f>C17/$C$20</f>
        <v>2.6796557727791566E-3</v>
      </c>
      <c r="E17" s="620">
        <v>96.9</v>
      </c>
      <c r="F17" s="619">
        <f>E17/$E$20</f>
        <v>1.8333423453811371E-3</v>
      </c>
      <c r="G17" s="531"/>
      <c r="H17" s="639"/>
      <c r="I17" s="638"/>
      <c r="J17" s="638"/>
      <c r="K17" s="308"/>
      <c r="L17" s="22"/>
      <c r="M17" s="22"/>
      <c r="N17" s="22"/>
      <c r="O17" s="22"/>
      <c r="P17" s="22"/>
      <c r="Q17" s="22"/>
      <c r="R17" s="22"/>
      <c r="S17" s="22"/>
      <c r="T17" s="22"/>
    </row>
    <row r="18" spans="2:20">
      <c r="B18" s="615" t="s">
        <v>395</v>
      </c>
      <c r="C18" s="616">
        <v>64.704999999999998</v>
      </c>
      <c r="D18" s="617">
        <f>C18/$C$20</f>
        <v>5.181457931974877E-3</v>
      </c>
      <c r="E18" s="620">
        <v>199.3</v>
      </c>
      <c r="F18" s="619">
        <f>E18/$E$20</f>
        <v>3.7707443698086754E-3</v>
      </c>
      <c r="G18" s="531"/>
      <c r="H18" s="639"/>
      <c r="I18" s="638"/>
      <c r="J18" s="638"/>
      <c r="K18" s="308"/>
      <c r="L18" s="22"/>
      <c r="M18" s="22"/>
      <c r="N18" s="22"/>
      <c r="O18" s="22"/>
      <c r="P18" s="22"/>
      <c r="Q18" s="22"/>
      <c r="R18" s="22"/>
      <c r="S18" s="22"/>
      <c r="T18" s="22"/>
    </row>
    <row r="19" spans="2:20">
      <c r="B19" s="621" t="s">
        <v>338</v>
      </c>
      <c r="C19" s="622">
        <v>926.43499999999995</v>
      </c>
      <c r="D19" s="617">
        <f>C19/$C$20</f>
        <v>7.4187218595304E-2</v>
      </c>
      <c r="E19" s="623">
        <v>3884.0856407188148</v>
      </c>
      <c r="F19" s="619">
        <f>E19/$E$20</f>
        <v>7.3486673665806274E-2</v>
      </c>
      <c r="G19" s="531"/>
      <c r="H19" s="639"/>
      <c r="I19" s="638"/>
      <c r="J19" s="638"/>
      <c r="K19" s="308"/>
      <c r="L19" s="22"/>
      <c r="M19" s="22"/>
      <c r="N19" s="22"/>
      <c r="O19" s="22"/>
      <c r="P19" s="22"/>
      <c r="Q19" s="22"/>
      <c r="R19" s="22"/>
      <c r="S19" s="22"/>
      <c r="T19" s="22"/>
    </row>
    <row r="20" spans="2:20" ht="13.5" thickBot="1">
      <c r="B20" s="624" t="s">
        <v>11</v>
      </c>
      <c r="C20" s="625">
        <f>C15+C16+C17+C18+C19</f>
        <v>12487.797999999999</v>
      </c>
      <c r="D20" s="626">
        <v>1</v>
      </c>
      <c r="E20" s="625">
        <f>E15+E16+E17+E18+E19</f>
        <v>52854.285640718823</v>
      </c>
      <c r="F20" s="627">
        <v>1</v>
      </c>
      <c r="G20" s="531"/>
      <c r="H20" s="308"/>
      <c r="I20" s="640"/>
      <c r="J20" s="308"/>
      <c r="K20" s="308"/>
      <c r="L20" s="22"/>
      <c r="M20" s="22"/>
      <c r="N20" s="22"/>
      <c r="O20" s="22"/>
      <c r="P20" s="22"/>
      <c r="Q20" s="22"/>
      <c r="R20" s="22"/>
      <c r="S20" s="22"/>
      <c r="T20" s="22"/>
    </row>
    <row r="21" spans="2:20" ht="13.5" thickBot="1">
      <c r="B21" s="654"/>
      <c r="C21" s="655"/>
      <c r="D21" s="656"/>
      <c r="E21" s="657"/>
      <c r="F21" s="658"/>
      <c r="G21" s="22"/>
      <c r="H21" s="308"/>
      <c r="I21" s="308"/>
      <c r="J21" s="308"/>
      <c r="K21" s="308"/>
      <c r="L21" s="22"/>
      <c r="M21" s="22"/>
      <c r="N21" s="22"/>
      <c r="O21" s="22"/>
      <c r="P21" s="22"/>
      <c r="Q21" s="22"/>
      <c r="R21" s="22"/>
      <c r="S21" s="22"/>
      <c r="T21" s="22"/>
    </row>
    <row r="22" spans="2:20">
      <c r="B22" s="22"/>
      <c r="C22" s="70"/>
      <c r="D22" s="22"/>
      <c r="E22" s="70"/>
      <c r="F22" s="22"/>
      <c r="G22" s="22"/>
      <c r="H22" s="22"/>
      <c r="I22" s="22"/>
      <c r="J22" s="22"/>
      <c r="K22" s="22"/>
      <c r="L22" s="22"/>
      <c r="M22" s="22"/>
      <c r="N22" s="22"/>
      <c r="O22" s="22"/>
      <c r="P22" s="22"/>
      <c r="Q22" s="22"/>
      <c r="R22" s="22"/>
      <c r="S22" s="22"/>
      <c r="T22" s="22"/>
    </row>
    <row r="23" spans="2:20">
      <c r="B23" s="628" t="s">
        <v>824</v>
      </c>
      <c r="C23" s="22"/>
      <c r="D23" s="22"/>
      <c r="E23" s="22"/>
      <c r="F23" s="22"/>
      <c r="G23" s="22"/>
      <c r="H23" s="22"/>
      <c r="I23" s="22"/>
      <c r="J23" s="22"/>
      <c r="K23" s="22"/>
      <c r="L23" s="22"/>
      <c r="M23" s="22"/>
      <c r="N23" s="22"/>
      <c r="O23" s="22"/>
      <c r="P23" s="22"/>
      <c r="Q23" s="22"/>
      <c r="R23" s="22"/>
      <c r="S23" s="22"/>
      <c r="T23" s="22"/>
    </row>
    <row r="24" spans="2:20" ht="18">
      <c r="B24" s="1325" t="s">
        <v>495</v>
      </c>
      <c r="C24" s="1325"/>
      <c r="D24" s="1325"/>
      <c r="E24" s="1325"/>
      <c r="F24" s="1325"/>
      <c r="G24" s="1325"/>
      <c r="H24" s="1325"/>
      <c r="I24" s="1325"/>
      <c r="J24" s="1325"/>
      <c r="K24" s="1325"/>
      <c r="L24" s="1325"/>
      <c r="M24" s="22"/>
      <c r="N24" s="22"/>
      <c r="O24" s="22"/>
      <c r="P24" s="22"/>
      <c r="Q24" s="22"/>
      <c r="R24" s="22"/>
      <c r="S24" s="22"/>
      <c r="T24" s="22"/>
    </row>
    <row r="25" spans="2:20" ht="16.5" thickBot="1">
      <c r="B25" s="1323" t="s">
        <v>196</v>
      </c>
      <c r="C25" s="1323"/>
      <c r="D25" s="1323"/>
      <c r="E25" s="1323"/>
      <c r="F25" s="1323"/>
      <c r="G25" s="22"/>
      <c r="H25" s="22"/>
      <c r="I25" s="22"/>
      <c r="J25" s="22"/>
      <c r="K25" s="22"/>
      <c r="L25" s="22"/>
      <c r="M25" s="22"/>
      <c r="N25" s="22"/>
      <c r="O25" s="22"/>
      <c r="P25" s="22"/>
      <c r="Q25" s="22"/>
      <c r="R25" s="22"/>
      <c r="S25" s="22"/>
      <c r="T25" s="22"/>
    </row>
    <row r="26" spans="2:20" ht="16.5" thickBot="1">
      <c r="B26" s="1178"/>
      <c r="C26" s="1179"/>
      <c r="D26" s="1179"/>
      <c r="E26" s="1179"/>
      <c r="F26" s="1179"/>
      <c r="G26" s="1180"/>
      <c r="H26" s="1180"/>
      <c r="I26" s="1180"/>
      <c r="J26" s="1180"/>
      <c r="K26" s="1180"/>
      <c r="L26" s="1180"/>
      <c r="M26" s="1180"/>
      <c r="N26" s="1181"/>
      <c r="Q26" s="22"/>
      <c r="R26" s="22"/>
      <c r="S26" s="22"/>
      <c r="T26" s="22"/>
    </row>
    <row r="27" spans="2:20">
      <c r="B27" s="1182" t="s">
        <v>496</v>
      </c>
      <c r="C27" s="1184">
        <v>1999</v>
      </c>
      <c r="D27" s="1199"/>
      <c r="E27" s="1184">
        <v>2000</v>
      </c>
      <c r="F27" s="1199"/>
      <c r="G27" s="1184">
        <v>2001</v>
      </c>
      <c r="H27" s="1199"/>
      <c r="I27" s="1184">
        <v>2002</v>
      </c>
      <c r="J27" s="1199"/>
      <c r="K27" s="1184">
        <v>2003</v>
      </c>
      <c r="L27" s="1199"/>
      <c r="M27" s="1184">
        <v>2004</v>
      </c>
      <c r="N27" s="1200"/>
      <c r="Q27" s="22"/>
      <c r="R27" s="22"/>
      <c r="S27" s="22"/>
      <c r="T27" s="22"/>
    </row>
    <row r="28" spans="2:20">
      <c r="B28" s="539" t="s">
        <v>497</v>
      </c>
      <c r="C28" s="596">
        <v>13577</v>
      </c>
      <c r="D28" s="597">
        <v>0.35366901977128867</v>
      </c>
      <c r="E28" s="596">
        <v>19081</v>
      </c>
      <c r="F28" s="597">
        <v>0.46236793641562468</v>
      </c>
      <c r="G28" s="596">
        <v>21680</v>
      </c>
      <c r="H28" s="597">
        <v>0.49365849215565727</v>
      </c>
      <c r="I28" s="596">
        <v>23187</v>
      </c>
      <c r="J28" s="597">
        <v>0.50979486841237387</v>
      </c>
      <c r="K28" s="596">
        <v>22603</v>
      </c>
      <c r="L28" s="597">
        <v>0.46300000000000002</v>
      </c>
      <c r="M28" s="1201">
        <v>20969.338340000002</v>
      </c>
      <c r="N28" s="648">
        <f>M28/$M$33</f>
        <v>0.42820609962793699</v>
      </c>
      <c r="Q28" s="22"/>
      <c r="R28" s="22"/>
      <c r="S28" s="22"/>
      <c r="T28" s="22"/>
    </row>
    <row r="29" spans="2:20">
      <c r="B29" s="540" t="s">
        <v>498</v>
      </c>
      <c r="C29" s="598">
        <v>6698</v>
      </c>
      <c r="D29" s="599">
        <v>0.17447706374221783</v>
      </c>
      <c r="E29" s="598">
        <v>9771</v>
      </c>
      <c r="F29" s="599">
        <v>0.23676940971212562</v>
      </c>
      <c r="G29" s="598">
        <v>12504</v>
      </c>
      <c r="H29" s="599">
        <v>0.28471890156431451</v>
      </c>
      <c r="I29" s="598">
        <v>12529</v>
      </c>
      <c r="J29" s="599">
        <v>0.27546555856034122</v>
      </c>
      <c r="K29" s="598">
        <v>15961</v>
      </c>
      <c r="L29" s="599">
        <v>0.32700000000000001</v>
      </c>
      <c r="M29" s="1202">
        <v>17683.138361000001</v>
      </c>
      <c r="N29" s="649">
        <f>M29/$M$33</f>
        <v>0.36109998245871977</v>
      </c>
      <c r="Q29" s="22"/>
      <c r="R29" s="22"/>
      <c r="S29" s="22"/>
      <c r="T29" s="22"/>
    </row>
    <row r="30" spans="2:20">
      <c r="B30" s="540" t="s">
        <v>227</v>
      </c>
      <c r="C30" s="598">
        <v>13260</v>
      </c>
      <c r="D30" s="599">
        <v>0.34541144598713175</v>
      </c>
      <c r="E30" s="598">
        <v>9354</v>
      </c>
      <c r="F30" s="599">
        <v>0.22666472811863914</v>
      </c>
      <c r="G30" s="598">
        <v>6228</v>
      </c>
      <c r="H30" s="599">
        <v>0.14181296536648677</v>
      </c>
      <c r="I30" s="598">
        <v>6925</v>
      </c>
      <c r="J30" s="599">
        <v>0.15225468856495833</v>
      </c>
      <c r="K30" s="598">
        <v>6581</v>
      </c>
      <c r="L30" s="599">
        <v>0.13500000000000001</v>
      </c>
      <c r="M30" s="1202">
        <v>8894.8492200000001</v>
      </c>
      <c r="N30" s="649">
        <f>M30/$M$33</f>
        <v>0.18163800066162686</v>
      </c>
      <c r="Q30" s="22"/>
      <c r="R30" s="22"/>
      <c r="S30" s="22"/>
      <c r="T30" s="22"/>
    </row>
    <row r="31" spans="2:20">
      <c r="B31" s="540" t="s">
        <v>499</v>
      </c>
      <c r="C31" s="598">
        <v>3399</v>
      </c>
      <c r="D31" s="599">
        <v>8.8540988303941234E-2</v>
      </c>
      <c r="E31" s="598">
        <v>1687</v>
      </c>
      <c r="F31" s="599">
        <v>4.087913153048367E-2</v>
      </c>
      <c r="G31" s="598">
        <v>1822</v>
      </c>
      <c r="H31" s="599">
        <v>4.1487351139649797E-2</v>
      </c>
      <c r="I31" s="598">
        <v>1062</v>
      </c>
      <c r="J31" s="599">
        <v>2.4E-2</v>
      </c>
      <c r="K31" s="598">
        <v>1940</v>
      </c>
      <c r="L31" s="599">
        <v>0.04</v>
      </c>
      <c r="M31" s="1202">
        <v>159.74271499999998</v>
      </c>
      <c r="N31" s="649">
        <f>M31/$M$33</f>
        <v>3.2620392606115549E-3</v>
      </c>
      <c r="Q31" s="22"/>
      <c r="R31" s="22"/>
      <c r="S31" s="22"/>
      <c r="T31" s="22"/>
    </row>
    <row r="32" spans="2:20">
      <c r="B32" s="540" t="s">
        <v>246</v>
      </c>
      <c r="C32" s="598">
        <v>1450</v>
      </c>
      <c r="D32" s="599">
        <v>3.7901482195420562E-2</v>
      </c>
      <c r="E32" s="598">
        <v>1375</v>
      </c>
      <c r="F32" s="599">
        <v>3.3076475719685958E-2</v>
      </c>
      <c r="G32" s="598">
        <v>1683</v>
      </c>
      <c r="H32" s="599">
        <v>3.8322289773891662E-2</v>
      </c>
      <c r="I32" s="598">
        <v>1781</v>
      </c>
      <c r="J32" s="599">
        <v>3.913550117626366E-2</v>
      </c>
      <c r="K32" s="598">
        <v>1695</v>
      </c>
      <c r="L32" s="599">
        <v>3.5000000000000003E-2</v>
      </c>
      <c r="M32" s="1202">
        <v>1263.1313639999921</v>
      </c>
      <c r="N32" s="649">
        <f>M32/$M$33</f>
        <v>2.5793877991104632E-2</v>
      </c>
      <c r="Q32" s="22"/>
      <c r="R32" s="22"/>
      <c r="S32" s="22"/>
      <c r="T32" s="22"/>
    </row>
    <row r="33" spans="2:20" ht="13.5" thickBot="1">
      <c r="B33" s="650" t="s">
        <v>87</v>
      </c>
      <c r="C33" s="651">
        <v>38384</v>
      </c>
      <c r="D33" s="659"/>
      <c r="E33" s="651">
        <v>41268</v>
      </c>
      <c r="F33" s="659">
        <v>0.99975768149655919</v>
      </c>
      <c r="G33" s="651">
        <v>43917</v>
      </c>
      <c r="H33" s="652"/>
      <c r="I33" s="651">
        <v>45484</v>
      </c>
      <c r="J33" s="652"/>
      <c r="K33" s="651">
        <v>48780</v>
      </c>
      <c r="L33" s="652"/>
      <c r="M33" s="1203">
        <f>SUM(M28:M32)</f>
        <v>48970.200000000004</v>
      </c>
      <c r="N33" s="653"/>
      <c r="Q33" s="22"/>
      <c r="R33" s="22"/>
      <c r="S33" s="22"/>
      <c r="T33" s="22"/>
    </row>
    <row r="34" spans="2:20">
      <c r="B34" s="628" t="s">
        <v>500</v>
      </c>
      <c r="C34" s="22"/>
      <c r="D34" s="22"/>
      <c r="E34" s="70"/>
      <c r="F34" s="22"/>
      <c r="G34" s="70"/>
      <c r="H34" s="22"/>
      <c r="I34" s="22"/>
      <c r="J34" s="22"/>
      <c r="K34" s="22"/>
      <c r="L34" s="22"/>
      <c r="M34" s="22"/>
      <c r="N34" s="22"/>
      <c r="O34" s="22"/>
      <c r="P34" s="22"/>
      <c r="Q34" s="22"/>
      <c r="R34" s="22"/>
      <c r="S34" s="22"/>
      <c r="T34" s="22"/>
    </row>
    <row r="35" spans="2:20">
      <c r="B35" s="22"/>
      <c r="C35" s="70"/>
      <c r="D35" s="531"/>
      <c r="E35" s="70"/>
      <c r="F35" s="531"/>
      <c r="G35" s="70"/>
      <c r="H35" s="531"/>
      <c r="I35" s="70"/>
      <c r="J35" s="531"/>
      <c r="K35" s="70"/>
      <c r="L35" s="531"/>
      <c r="M35" s="22"/>
      <c r="N35" s="22"/>
      <c r="O35" s="22"/>
      <c r="P35" s="22"/>
      <c r="Q35" s="22"/>
      <c r="R35" s="22"/>
      <c r="S35" s="22"/>
      <c r="T35" s="22"/>
    </row>
    <row r="36" spans="2:20">
      <c r="B36" s="22"/>
      <c r="C36" s="22"/>
      <c r="D36" s="22"/>
      <c r="E36" s="22"/>
      <c r="F36" s="22"/>
      <c r="G36" s="22"/>
      <c r="H36" s="22"/>
      <c r="I36" s="22"/>
      <c r="J36" s="22"/>
      <c r="K36" s="22"/>
      <c r="L36" s="22"/>
      <c r="M36" s="22"/>
      <c r="N36" s="22"/>
      <c r="O36" s="22"/>
      <c r="P36" s="22"/>
      <c r="Q36" s="22"/>
      <c r="R36" s="22"/>
      <c r="S36" s="22"/>
      <c r="T36" s="22"/>
    </row>
    <row r="37" spans="2:20">
      <c r="B37" s="628" t="s">
        <v>825</v>
      </c>
      <c r="C37" s="22"/>
      <c r="D37" s="22"/>
      <c r="E37" s="22"/>
      <c r="F37" s="22"/>
      <c r="G37" s="22"/>
      <c r="H37" s="22"/>
      <c r="I37" s="22"/>
      <c r="J37" s="22"/>
      <c r="K37" s="22"/>
      <c r="L37" s="22"/>
      <c r="M37" s="22"/>
      <c r="N37" s="22"/>
      <c r="O37" s="22"/>
      <c r="P37" s="22"/>
      <c r="Q37" s="22"/>
      <c r="R37" s="22"/>
      <c r="S37" s="22"/>
      <c r="T37" s="22"/>
    </row>
    <row r="38" spans="2:20" ht="18">
      <c r="B38" s="1326" t="s">
        <v>501</v>
      </c>
      <c r="C38" s="1326"/>
      <c r="D38" s="1326"/>
      <c r="E38" s="1326"/>
      <c r="F38" s="1326"/>
      <c r="G38" s="1326"/>
      <c r="H38" s="1326"/>
      <c r="I38" s="1326"/>
      <c r="J38" s="22"/>
      <c r="K38" s="22"/>
      <c r="L38" s="22"/>
      <c r="M38" s="22"/>
      <c r="N38" s="22"/>
      <c r="O38" s="22"/>
      <c r="P38" s="22"/>
      <c r="Q38" s="22"/>
      <c r="R38" s="22"/>
      <c r="S38" s="22"/>
      <c r="T38" s="22"/>
    </row>
    <row r="39" spans="2:20" ht="16.5" thickBot="1">
      <c r="B39" s="1323" t="s">
        <v>502</v>
      </c>
      <c r="C39" s="1323"/>
      <c r="D39" s="1323"/>
      <c r="E39" s="1323"/>
      <c r="F39" s="1323"/>
      <c r="G39" s="22"/>
      <c r="H39" s="22"/>
      <c r="I39" s="22"/>
      <c r="J39" s="22"/>
      <c r="K39" s="22"/>
      <c r="L39" s="22"/>
      <c r="M39" s="22"/>
      <c r="N39" s="22"/>
      <c r="O39" s="22"/>
      <c r="P39" s="22"/>
      <c r="Q39" s="22"/>
      <c r="R39" s="22"/>
      <c r="S39" s="22"/>
      <c r="T39" s="22"/>
    </row>
    <row r="40" spans="2:20" ht="16.5" thickBot="1">
      <c r="B40" s="1178"/>
      <c r="C40" s="1179"/>
      <c r="D40" s="1179"/>
      <c r="E40" s="1179"/>
      <c r="F40" s="1179"/>
      <c r="G40" s="1180"/>
      <c r="H40" s="1180"/>
      <c r="I40" s="1180"/>
      <c r="J40" s="1180"/>
      <c r="K40" s="1180"/>
      <c r="L40" s="1180"/>
      <c r="M40" s="1180"/>
      <c r="N40" s="1181"/>
      <c r="Q40" s="22"/>
      <c r="R40" s="22"/>
      <c r="S40" s="22"/>
      <c r="T40" s="22"/>
    </row>
    <row r="41" spans="2:20">
      <c r="B41" s="1182" t="s">
        <v>496</v>
      </c>
      <c r="C41" s="1184">
        <v>1999</v>
      </c>
      <c r="D41" s="1199"/>
      <c r="E41" s="1184">
        <v>2000</v>
      </c>
      <c r="F41" s="1199"/>
      <c r="G41" s="1184">
        <v>2001</v>
      </c>
      <c r="H41" s="1199"/>
      <c r="I41" s="1184">
        <v>2002</v>
      </c>
      <c r="J41" s="1199"/>
      <c r="K41" s="1184">
        <v>2003</v>
      </c>
      <c r="L41" s="1199"/>
      <c r="M41" s="1184">
        <v>2004</v>
      </c>
      <c r="N41" s="1200"/>
      <c r="Q41" s="22"/>
      <c r="R41" s="22"/>
      <c r="S41" s="22"/>
      <c r="T41" s="22"/>
    </row>
    <row r="42" spans="2:20">
      <c r="B42" s="539" t="s">
        <v>497</v>
      </c>
      <c r="C42" s="596">
        <v>4012</v>
      </c>
      <c r="D42" s="597">
        <v>0.4</v>
      </c>
      <c r="E42" s="596">
        <v>4128</v>
      </c>
      <c r="F42" s="597">
        <v>0.39799460084843813</v>
      </c>
      <c r="G42" s="596">
        <v>4124</v>
      </c>
      <c r="H42" s="597">
        <v>0.37793255131964809</v>
      </c>
      <c r="I42" s="596">
        <v>4157</v>
      </c>
      <c r="J42" s="597">
        <v>0.373</v>
      </c>
      <c r="K42" s="596">
        <v>4167</v>
      </c>
      <c r="L42" s="597">
        <v>0.36399999999999999</v>
      </c>
      <c r="M42" s="1201">
        <v>4725.6720000000005</v>
      </c>
      <c r="N42" s="648">
        <f>M42/$M$47</f>
        <v>0.40874696175528791</v>
      </c>
      <c r="Q42" s="22"/>
      <c r="R42" s="22"/>
      <c r="S42" s="22"/>
      <c r="T42" s="22"/>
    </row>
    <row r="43" spans="2:20">
      <c r="B43" s="540" t="s">
        <v>498</v>
      </c>
      <c r="C43" s="598">
        <v>2299</v>
      </c>
      <c r="D43" s="599">
        <v>0.22900000000000001</v>
      </c>
      <c r="E43" s="598">
        <v>2638</v>
      </c>
      <c r="F43" s="599">
        <v>0.25433860393366758</v>
      </c>
      <c r="G43" s="598">
        <v>3126</v>
      </c>
      <c r="H43" s="599">
        <v>0.28699999999999998</v>
      </c>
      <c r="I43" s="598">
        <v>3441</v>
      </c>
      <c r="J43" s="599">
        <v>0.309</v>
      </c>
      <c r="K43" s="598">
        <v>3708</v>
      </c>
      <c r="L43" s="599">
        <v>0.32300000000000001</v>
      </c>
      <c r="M43" s="1202">
        <v>3915.9550000000004</v>
      </c>
      <c r="N43" s="649">
        <f>M43/$M$47</f>
        <v>0.33871049633161771</v>
      </c>
      <c r="Q43" s="22"/>
      <c r="R43" s="22"/>
      <c r="S43" s="22"/>
      <c r="T43" s="22"/>
    </row>
    <row r="44" spans="2:20">
      <c r="B44" s="540" t="s">
        <v>227</v>
      </c>
      <c r="C44" s="598">
        <v>2260</v>
      </c>
      <c r="D44" s="599">
        <v>0.22600000000000001</v>
      </c>
      <c r="E44" s="598">
        <v>2225</v>
      </c>
      <c r="F44" s="599">
        <v>0.21451986116467411</v>
      </c>
      <c r="G44" s="598">
        <v>2264</v>
      </c>
      <c r="H44" s="599">
        <v>0.20799999999999999</v>
      </c>
      <c r="I44" s="598">
        <v>2253</v>
      </c>
      <c r="J44" s="599">
        <v>0.20200000000000001</v>
      </c>
      <c r="K44" s="598">
        <v>2258</v>
      </c>
      <c r="L44" s="599">
        <v>0.19700000000000001</v>
      </c>
      <c r="M44" s="1202">
        <v>2143.34</v>
      </c>
      <c r="N44" s="649">
        <f>M44/$M$47</f>
        <v>0.18538817611729691</v>
      </c>
      <c r="Q44" s="22"/>
      <c r="R44" s="22"/>
      <c r="S44" s="22"/>
      <c r="T44" s="22"/>
    </row>
    <row r="45" spans="2:20">
      <c r="B45" s="540" t="s">
        <v>499</v>
      </c>
      <c r="C45" s="598">
        <f>1238</f>
        <v>1238</v>
      </c>
      <c r="D45" s="599">
        <v>0.124</v>
      </c>
      <c r="E45" s="598">
        <f>1168</f>
        <v>1168</v>
      </c>
      <c r="F45" s="599">
        <v>0.11280370227535673</v>
      </c>
      <c r="G45" s="598">
        <f>1015</f>
        <v>1015</v>
      </c>
      <c r="H45" s="599">
        <v>9.2999999999999999E-2</v>
      </c>
      <c r="I45" s="598">
        <f>996</f>
        <v>996</v>
      </c>
      <c r="J45" s="599">
        <v>0.09</v>
      </c>
      <c r="K45" s="598">
        <f>1003</f>
        <v>1003</v>
      </c>
      <c r="L45" s="599">
        <v>8.7999999999999995E-2</v>
      </c>
      <c r="M45" s="1202">
        <v>553.51600000000008</v>
      </c>
      <c r="N45" s="649">
        <f>M45/$M$47</f>
        <v>4.7876361982579399E-2</v>
      </c>
      <c r="Q45" s="22"/>
      <c r="R45" s="22"/>
      <c r="S45" s="22"/>
      <c r="T45" s="22"/>
    </row>
    <row r="46" spans="2:20">
      <c r="B46" s="540" t="s">
        <v>246</v>
      </c>
      <c r="C46" s="598">
        <v>211</v>
      </c>
      <c r="D46" s="599">
        <v>2.1000000000000001E-2</v>
      </c>
      <c r="E46" s="598">
        <v>211</v>
      </c>
      <c r="F46" s="599">
        <v>2.0343231777863478E-2</v>
      </c>
      <c r="G46" s="598">
        <v>375</v>
      </c>
      <c r="H46" s="599">
        <v>3.4365835777126097E-2</v>
      </c>
      <c r="I46" s="598">
        <v>289</v>
      </c>
      <c r="J46" s="599">
        <v>2.5999999999999999E-2</v>
      </c>
      <c r="K46" s="598">
        <v>318</v>
      </c>
      <c r="L46" s="599">
        <v>2.8000000000000001E-2</v>
      </c>
      <c r="M46" s="1202">
        <v>222.88</v>
      </c>
      <c r="N46" s="649">
        <f>M46/$M$47</f>
        <v>1.9278003813218217E-2</v>
      </c>
      <c r="Q46" s="22"/>
      <c r="R46" s="22"/>
      <c r="S46" s="22"/>
      <c r="T46" s="22"/>
    </row>
    <row r="47" spans="2:20" ht="13.5" thickBot="1">
      <c r="B47" s="650" t="s">
        <v>87</v>
      </c>
      <c r="C47" s="651">
        <v>10020</v>
      </c>
      <c r="D47" s="652"/>
      <c r="E47" s="651">
        <v>10370</v>
      </c>
      <c r="F47" s="652"/>
      <c r="G47" s="651">
        <v>10904</v>
      </c>
      <c r="H47" s="659"/>
      <c r="I47" s="651">
        <v>11136</v>
      </c>
      <c r="J47" s="659"/>
      <c r="K47" s="651">
        <v>11454</v>
      </c>
      <c r="L47" s="659"/>
      <c r="M47" s="1203">
        <f>SUM(M42:M46)</f>
        <v>11561.362999999999</v>
      </c>
      <c r="N47" s="660"/>
      <c r="Q47" s="22"/>
      <c r="R47" s="22"/>
      <c r="S47" s="22"/>
      <c r="T47" s="22"/>
    </row>
    <row r="48" spans="2:20">
      <c r="B48" s="628" t="s">
        <v>788</v>
      </c>
      <c r="C48" s="22"/>
      <c r="D48" s="22"/>
      <c r="E48" s="22"/>
      <c r="F48" s="22"/>
      <c r="G48" s="22"/>
      <c r="H48" s="22"/>
      <c r="I48" s="22"/>
      <c r="J48" s="22"/>
      <c r="K48" s="70"/>
      <c r="L48" s="22"/>
      <c r="M48" s="531"/>
      <c r="N48" s="22"/>
      <c r="O48" s="22"/>
      <c r="P48" s="22"/>
      <c r="Q48" s="22"/>
      <c r="R48" s="22"/>
      <c r="S48" s="22"/>
      <c r="T48" s="22"/>
    </row>
    <row r="49" spans="2:12" s="22" customFormat="1">
      <c r="B49" s="628" t="s">
        <v>503</v>
      </c>
    </row>
    <row r="50" spans="2:12" s="22" customFormat="1">
      <c r="C50" s="70"/>
      <c r="D50" s="70"/>
      <c r="E50" s="70"/>
      <c r="F50" s="70"/>
      <c r="G50" s="70"/>
      <c r="H50" s="70"/>
      <c r="I50" s="70"/>
      <c r="J50" s="70"/>
      <c r="K50" s="70"/>
      <c r="L50" s="70"/>
    </row>
    <row r="51" spans="2:12" s="22" customFormat="1"/>
    <row r="52" spans="2:12" s="22" customFormat="1"/>
    <row r="53" spans="2:12" s="22" customFormat="1"/>
    <row r="54" spans="2:12" s="22" customFormat="1"/>
    <row r="55" spans="2:12" s="22" customFormat="1"/>
    <row r="56" spans="2:12" s="22" customFormat="1"/>
    <row r="57" spans="2:12" s="22" customFormat="1"/>
    <row r="58" spans="2:12" s="22" customFormat="1"/>
    <row r="59" spans="2:12" s="22" customFormat="1"/>
    <row r="60" spans="2:12" s="22" customFormat="1"/>
    <row r="61" spans="2:12" s="22" customFormat="1"/>
    <row r="62" spans="2:12" s="22" customFormat="1"/>
    <row r="63" spans="2:12" s="22" customFormat="1"/>
    <row r="64" spans="2:12"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sheetData>
  <mergeCells count="4">
    <mergeCell ref="B39:F39"/>
    <mergeCell ref="B25:F25"/>
    <mergeCell ref="B24:L24"/>
    <mergeCell ref="B38:I38"/>
  </mergeCells>
  <phoneticPr fontId="0" type="noConversion"/>
  <hyperlinks>
    <hyperlink ref="H2" location="INDICE!A60" display="VOLVER A INDICE"/>
  </hyperlinks>
  <pageMargins left="0.75" right="0.75" top="1" bottom="1" header="0" footer="0"/>
  <pageSetup scale="55"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
  <sheetViews>
    <sheetView showGridLines="0" zoomScale="70" workbookViewId="0">
      <pane xSplit="2" ySplit="5" topLeftCell="C6" activePane="bottomRight" state="frozen"/>
      <selection pane="topRight" activeCell="C1" sqref="C1"/>
      <selection pane="bottomLeft" activeCell="A6" sqref="A6"/>
      <selection pane="bottomRight" activeCell="D1" sqref="D1"/>
    </sheetView>
  </sheetViews>
  <sheetFormatPr baseColWidth="10" defaultRowHeight="12.75"/>
  <cols>
    <col min="1" max="1" width="20.42578125" customWidth="1"/>
    <col min="2" max="2" width="30.42578125" customWidth="1"/>
    <col min="3" max="3" width="12.85546875" customWidth="1"/>
    <col min="4" max="4" width="12" customWidth="1"/>
    <col min="12" max="12" width="11.42578125" style="1228"/>
    <col min="13" max="13" width="14.28515625" customWidth="1"/>
  </cols>
  <sheetData>
    <row r="1" spans="1:24" ht="15.75">
      <c r="A1" s="367" t="s">
        <v>789</v>
      </c>
      <c r="B1" s="368"/>
      <c r="C1" s="369"/>
      <c r="D1" s="864" t="s">
        <v>683</v>
      </c>
      <c r="E1" s="369"/>
      <c r="F1" s="369"/>
      <c r="G1" s="369"/>
      <c r="H1" s="370"/>
      <c r="I1" s="370"/>
      <c r="J1" s="371" t="s">
        <v>217</v>
      </c>
      <c r="K1" s="370"/>
      <c r="L1" s="1224"/>
      <c r="M1" s="369"/>
      <c r="N1" s="369"/>
      <c r="O1" s="369"/>
      <c r="P1" s="369"/>
      <c r="Q1" s="369"/>
      <c r="R1" s="369"/>
      <c r="S1" s="369"/>
      <c r="T1" s="369"/>
      <c r="U1" s="369"/>
      <c r="V1" s="369"/>
      <c r="W1" s="369"/>
      <c r="X1" s="369"/>
    </row>
    <row r="2" spans="1:24">
      <c r="A2" s="368"/>
      <c r="B2" s="368"/>
      <c r="C2" s="369"/>
      <c r="D2" s="369"/>
      <c r="E2" s="369"/>
      <c r="F2" s="369"/>
      <c r="G2" s="369"/>
      <c r="H2" s="369"/>
      <c r="I2" s="369"/>
      <c r="J2" s="369"/>
      <c r="K2" s="369"/>
      <c r="L2" s="381"/>
      <c r="M2" s="369"/>
      <c r="N2" s="369"/>
      <c r="O2" s="369"/>
      <c r="P2" s="369"/>
      <c r="Q2" s="369"/>
      <c r="R2" s="369"/>
      <c r="S2" s="369"/>
      <c r="T2" s="369"/>
      <c r="U2" s="369"/>
      <c r="V2" s="369"/>
      <c r="W2" s="369"/>
      <c r="X2" s="369"/>
    </row>
    <row r="3" spans="1:24">
      <c r="A3" s="372"/>
      <c r="B3" s="372"/>
      <c r="C3" s="373" t="s">
        <v>218</v>
      </c>
      <c r="D3" s="373" t="s">
        <v>219</v>
      </c>
      <c r="E3" s="373" t="s">
        <v>220</v>
      </c>
      <c r="F3" s="373" t="s">
        <v>220</v>
      </c>
      <c r="G3" s="373" t="s">
        <v>221</v>
      </c>
      <c r="H3" s="374" t="s">
        <v>222</v>
      </c>
      <c r="I3" s="373" t="s">
        <v>220</v>
      </c>
      <c r="J3" s="373" t="s">
        <v>221</v>
      </c>
      <c r="K3" s="373" t="s">
        <v>223</v>
      </c>
      <c r="L3" s="1225" t="s">
        <v>224</v>
      </c>
      <c r="M3" s="373" t="s">
        <v>225</v>
      </c>
      <c r="N3" s="373" t="s">
        <v>226</v>
      </c>
      <c r="O3" s="374" t="s">
        <v>227</v>
      </c>
      <c r="P3" s="374" t="s">
        <v>285</v>
      </c>
      <c r="Q3" s="374" t="s">
        <v>241</v>
      </c>
      <c r="R3" s="374" t="s">
        <v>222</v>
      </c>
      <c r="S3" s="374" t="s">
        <v>224</v>
      </c>
      <c r="T3" s="374" t="s">
        <v>222</v>
      </c>
      <c r="U3" s="373" t="s">
        <v>228</v>
      </c>
      <c r="V3" s="374" t="s">
        <v>229</v>
      </c>
      <c r="W3" s="374" t="s">
        <v>230</v>
      </c>
      <c r="X3" s="374" t="s">
        <v>87</v>
      </c>
    </row>
    <row r="4" spans="1:24">
      <c r="A4" s="375" t="s">
        <v>231</v>
      </c>
      <c r="B4" s="375"/>
      <c r="C4" s="376" t="s">
        <v>232</v>
      </c>
      <c r="D4" s="377" t="s">
        <v>233</v>
      </c>
      <c r="E4" s="376" t="s">
        <v>234</v>
      </c>
      <c r="F4" s="376" t="s">
        <v>235</v>
      </c>
      <c r="G4" s="376"/>
      <c r="H4" s="376" t="s">
        <v>236</v>
      </c>
      <c r="I4" s="376" t="s">
        <v>237</v>
      </c>
      <c r="J4" s="376" t="s">
        <v>237</v>
      </c>
      <c r="K4" s="376"/>
      <c r="L4" s="1226" t="s">
        <v>238</v>
      </c>
      <c r="M4" s="377" t="s">
        <v>239</v>
      </c>
      <c r="N4" s="376" t="s">
        <v>240</v>
      </c>
      <c r="O4" s="376"/>
      <c r="P4" s="376"/>
      <c r="Q4" s="376"/>
      <c r="R4" s="376" t="s">
        <v>242</v>
      </c>
      <c r="S4" s="377" t="s">
        <v>243</v>
      </c>
      <c r="T4" s="376" t="s">
        <v>244</v>
      </c>
      <c r="U4" s="376" t="s">
        <v>245</v>
      </c>
      <c r="V4" s="376"/>
      <c r="W4" s="376" t="s">
        <v>246</v>
      </c>
      <c r="X4" s="376" t="s">
        <v>247</v>
      </c>
    </row>
    <row r="5" spans="1:24">
      <c r="A5" s="378"/>
      <c r="B5" s="378"/>
      <c r="C5" s="379"/>
      <c r="D5" s="379"/>
      <c r="E5" s="379"/>
      <c r="F5" s="379"/>
      <c r="G5" s="379"/>
      <c r="H5" s="379"/>
      <c r="I5" s="379"/>
      <c r="J5" s="379"/>
      <c r="K5" s="379"/>
      <c r="L5" s="1227"/>
      <c r="M5" s="379" t="s">
        <v>244</v>
      </c>
      <c r="N5" s="379"/>
      <c r="O5" s="379"/>
      <c r="P5" s="379"/>
      <c r="Q5" s="379"/>
      <c r="R5" s="379"/>
      <c r="S5" s="379"/>
      <c r="T5" s="379"/>
      <c r="U5" s="379"/>
      <c r="V5" s="379"/>
      <c r="W5" s="379"/>
      <c r="X5" s="379"/>
    </row>
    <row r="6" spans="1:24">
      <c r="A6" s="380"/>
      <c r="B6" s="380"/>
      <c r="C6" s="369"/>
      <c r="D6" s="369"/>
      <c r="E6" s="369"/>
      <c r="F6" s="369"/>
      <c r="G6" s="369"/>
      <c r="H6" s="369"/>
      <c r="I6" s="369"/>
      <c r="J6" s="369"/>
      <c r="K6" s="369"/>
      <c r="L6" s="381"/>
      <c r="M6" s="369"/>
      <c r="N6" s="369"/>
      <c r="O6" s="369"/>
      <c r="P6" s="369"/>
      <c r="Q6" s="369"/>
      <c r="R6" s="369"/>
      <c r="S6" s="369"/>
      <c r="T6" s="369"/>
      <c r="U6" s="369"/>
      <c r="V6" s="369"/>
      <c r="W6" s="369"/>
      <c r="X6" s="381"/>
    </row>
    <row r="7" spans="1:24">
      <c r="A7" s="382" t="s">
        <v>248</v>
      </c>
      <c r="B7" s="380" t="s">
        <v>249</v>
      </c>
      <c r="C7" s="1213">
        <v>27830.924905391999</v>
      </c>
      <c r="D7" s="1213">
        <v>1.5404389559999998</v>
      </c>
      <c r="E7" s="1213">
        <v>23586.904896687996</v>
      </c>
      <c r="F7" s="1213">
        <v>0</v>
      </c>
      <c r="G7" s="1213">
        <v>42.9041529</v>
      </c>
      <c r="H7" s="1213">
        <v>19.104992500000002</v>
      </c>
      <c r="I7" s="1213">
        <v>0.16757999999999998</v>
      </c>
      <c r="J7" s="1213">
        <v>0.44955000000000006</v>
      </c>
      <c r="K7" s="1213">
        <v>0</v>
      </c>
      <c r="L7" s="1223">
        <v>0</v>
      </c>
      <c r="M7" s="1214">
        <f>SUM(C7:L7)</f>
        <v>51481.996516435996</v>
      </c>
      <c r="N7" s="1213">
        <v>129.07022243999998</v>
      </c>
      <c r="O7" s="1213">
        <v>0</v>
      </c>
      <c r="P7" s="1213">
        <v>0</v>
      </c>
      <c r="Q7" s="1213">
        <v>0</v>
      </c>
      <c r="R7" s="1213">
        <v>0</v>
      </c>
      <c r="S7" s="1213">
        <v>0</v>
      </c>
      <c r="T7" s="1213">
        <v>293.82739268138204</v>
      </c>
      <c r="U7" s="1213">
        <v>0</v>
      </c>
      <c r="V7" s="1213">
        <v>0</v>
      </c>
      <c r="W7" s="1213">
        <v>0</v>
      </c>
      <c r="X7" s="1215">
        <f>SUM(M7:W7)</f>
        <v>51904.894131557383</v>
      </c>
    </row>
    <row r="8" spans="1:24">
      <c r="A8" s="380"/>
      <c r="B8" s="380" t="s">
        <v>251</v>
      </c>
      <c r="C8" s="1213">
        <v>190.29922875599996</v>
      </c>
      <c r="D8" s="1213">
        <v>2.5724999999999997E-3</v>
      </c>
      <c r="E8" s="1213">
        <v>0</v>
      </c>
      <c r="F8" s="1213">
        <v>0</v>
      </c>
      <c r="G8" s="1213">
        <v>0</v>
      </c>
      <c r="H8" s="1213">
        <v>0</v>
      </c>
      <c r="I8" s="1213">
        <v>0</v>
      </c>
      <c r="J8" s="1213">
        <v>0</v>
      </c>
      <c r="K8" s="1213">
        <v>0</v>
      </c>
      <c r="L8" s="1223">
        <v>0</v>
      </c>
      <c r="M8" s="1214">
        <f>SUM(C8:L8)</f>
        <v>190.30180125599998</v>
      </c>
      <c r="N8" s="1213">
        <v>71.16777522000001</v>
      </c>
      <c r="O8" s="1213">
        <v>0.41299999999999998</v>
      </c>
      <c r="P8" s="1213">
        <v>0</v>
      </c>
      <c r="Q8" s="1213">
        <v>0</v>
      </c>
      <c r="R8" s="1213">
        <v>0</v>
      </c>
      <c r="S8" s="1213">
        <v>0</v>
      </c>
      <c r="T8" s="1213">
        <v>0</v>
      </c>
      <c r="U8" s="1213">
        <v>0</v>
      </c>
      <c r="V8" s="1213">
        <v>0</v>
      </c>
      <c r="W8" s="1213">
        <v>0</v>
      </c>
      <c r="X8" s="1215">
        <f>SUM(M8:W8)</f>
        <v>261.882576476</v>
      </c>
    </row>
    <row r="9" spans="1:24">
      <c r="A9" s="380"/>
      <c r="B9" s="380" t="s">
        <v>252</v>
      </c>
      <c r="C9" s="1213">
        <v>3672.1084638840007</v>
      </c>
      <c r="D9" s="1213">
        <v>11123.659167390002</v>
      </c>
      <c r="E9" s="1213">
        <v>61.965903999999995</v>
      </c>
      <c r="F9" s="1213">
        <v>0</v>
      </c>
      <c r="G9" s="1213">
        <v>1.7622360000000001</v>
      </c>
      <c r="H9" s="1213">
        <v>0</v>
      </c>
      <c r="I9" s="1213">
        <v>0</v>
      </c>
      <c r="J9" s="1213">
        <v>0</v>
      </c>
      <c r="K9" s="1213">
        <v>0</v>
      </c>
      <c r="L9" s="1223">
        <v>0</v>
      </c>
      <c r="M9" s="1214">
        <f>SUM(C9:L9)</f>
        <v>14859.495771274003</v>
      </c>
      <c r="N9" s="1213">
        <v>0</v>
      </c>
      <c r="O9" s="1213">
        <v>0</v>
      </c>
      <c r="P9" s="1213">
        <v>0</v>
      </c>
      <c r="Q9" s="1213">
        <v>0</v>
      </c>
      <c r="R9" s="1213">
        <v>0</v>
      </c>
      <c r="S9" s="1213">
        <v>0</v>
      </c>
      <c r="T9" s="1213">
        <v>0</v>
      </c>
      <c r="U9" s="1213">
        <v>0</v>
      </c>
      <c r="V9" s="1213">
        <v>0</v>
      </c>
      <c r="W9" s="1213">
        <v>0</v>
      </c>
      <c r="X9" s="1215">
        <f>SUM(M9:W9)</f>
        <v>14859.495771274003</v>
      </c>
    </row>
    <row r="10" spans="1:24">
      <c r="A10" s="380"/>
      <c r="B10" s="380" t="s">
        <v>253</v>
      </c>
      <c r="C10" s="1213">
        <v>1.5380248800000003</v>
      </c>
      <c r="D10" s="1213">
        <v>0</v>
      </c>
      <c r="E10" s="1213">
        <v>0.31068799999999996</v>
      </c>
      <c r="F10" s="1213">
        <v>0</v>
      </c>
      <c r="G10" s="1213">
        <v>0</v>
      </c>
      <c r="H10" s="1213">
        <v>0</v>
      </c>
      <c r="I10" s="1213">
        <v>47.544840000000001</v>
      </c>
      <c r="J10" s="1213">
        <v>6383.6499200400012</v>
      </c>
      <c r="K10" s="1213">
        <v>0</v>
      </c>
      <c r="L10" s="1223">
        <v>0</v>
      </c>
      <c r="M10" s="1214">
        <f>SUM(C10:L10)</f>
        <v>6433.0434729200015</v>
      </c>
      <c r="N10" s="1213">
        <v>0</v>
      </c>
      <c r="O10" s="1213">
        <v>0</v>
      </c>
      <c r="P10" s="1213">
        <v>0</v>
      </c>
      <c r="Q10" s="1213">
        <v>0</v>
      </c>
      <c r="R10" s="1213">
        <v>0</v>
      </c>
      <c r="S10" s="1213">
        <v>0</v>
      </c>
      <c r="T10" s="1213">
        <v>0</v>
      </c>
      <c r="U10" s="1213">
        <v>0</v>
      </c>
      <c r="V10" s="1213">
        <v>0</v>
      </c>
      <c r="W10" s="1213">
        <v>0</v>
      </c>
      <c r="X10" s="1215">
        <f>SUM(M10:W10)</f>
        <v>6433.0434729200015</v>
      </c>
    </row>
    <row r="11" spans="1:24">
      <c r="A11" s="380"/>
      <c r="B11" s="380"/>
      <c r="C11" s="369"/>
      <c r="D11" s="369"/>
      <c r="E11" s="369"/>
      <c r="F11" s="369"/>
      <c r="G11" s="369"/>
      <c r="H11" s="369"/>
      <c r="I11" s="369"/>
      <c r="J11" s="369"/>
      <c r="K11" s="369"/>
      <c r="L11" s="381"/>
      <c r="M11" s="381"/>
      <c r="N11" s="369"/>
      <c r="O11" s="369"/>
      <c r="P11" s="369"/>
      <c r="Q11" s="369"/>
      <c r="R11" s="369"/>
      <c r="S11" s="369"/>
      <c r="T11" s="369"/>
      <c r="U11" s="369"/>
      <c r="V11" s="369"/>
      <c r="W11" s="369"/>
      <c r="X11" s="381"/>
    </row>
    <row r="12" spans="1:24">
      <c r="A12" s="380" t="s">
        <v>254</v>
      </c>
      <c r="B12" s="380"/>
      <c r="C12" s="1216">
        <f>SUM(C7:C10)</f>
        <v>31694.870622912</v>
      </c>
      <c r="D12" s="1216">
        <f t="shared" ref="D12:X12" si="0">SUM(D7:D10)</f>
        <v>11125.202178846002</v>
      </c>
      <c r="E12" s="1216">
        <f t="shared" si="0"/>
        <v>23649.181488687998</v>
      </c>
      <c r="F12" s="1216">
        <f t="shared" si="0"/>
        <v>0</v>
      </c>
      <c r="G12" s="1216">
        <f t="shared" si="0"/>
        <v>44.666388900000001</v>
      </c>
      <c r="H12" s="1216">
        <f t="shared" si="0"/>
        <v>19.104992500000002</v>
      </c>
      <c r="I12" s="1216">
        <f t="shared" si="0"/>
        <v>47.712420000000002</v>
      </c>
      <c r="J12" s="1216">
        <f t="shared" si="0"/>
        <v>6384.0994700400015</v>
      </c>
      <c r="K12" s="1216">
        <f t="shared" si="0"/>
        <v>0</v>
      </c>
      <c r="L12" s="1229">
        <f t="shared" si="0"/>
        <v>0</v>
      </c>
      <c r="M12" s="1216">
        <f t="shared" si="0"/>
        <v>72964.837561886001</v>
      </c>
      <c r="N12" s="1216">
        <f t="shared" si="0"/>
        <v>200.23799765999999</v>
      </c>
      <c r="O12" s="1216">
        <f t="shared" si="0"/>
        <v>0.41299999999999998</v>
      </c>
      <c r="P12" s="1216">
        <f t="shared" si="0"/>
        <v>0</v>
      </c>
      <c r="Q12" s="1216">
        <f>SUM(Q7:Q10)</f>
        <v>0</v>
      </c>
      <c r="R12" s="1216">
        <f t="shared" si="0"/>
        <v>0</v>
      </c>
      <c r="S12" s="1216">
        <f>SUM(S7:S10)</f>
        <v>0</v>
      </c>
      <c r="T12" s="1216">
        <f t="shared" si="0"/>
        <v>293.82739268138204</v>
      </c>
      <c r="U12" s="1216">
        <f t="shared" si="0"/>
        <v>0</v>
      </c>
      <c r="V12" s="1216">
        <f t="shared" si="0"/>
        <v>0</v>
      </c>
      <c r="W12" s="1216">
        <f>SUM(W7:W10)</f>
        <v>0</v>
      </c>
      <c r="X12" s="1216">
        <f t="shared" si="0"/>
        <v>73459.315952227393</v>
      </c>
    </row>
    <row r="13" spans="1:24">
      <c r="A13" s="380"/>
      <c r="B13" s="380"/>
      <c r="C13" s="369"/>
      <c r="D13" s="369"/>
      <c r="E13" s="369"/>
      <c r="F13" s="369"/>
      <c r="G13" s="369"/>
      <c r="H13" s="369"/>
      <c r="I13" s="369"/>
      <c r="J13" s="369"/>
      <c r="K13" s="369"/>
      <c r="L13" s="381"/>
      <c r="M13" s="369"/>
      <c r="N13" s="369"/>
      <c r="O13" s="369"/>
      <c r="P13" s="369"/>
      <c r="Q13" s="369"/>
      <c r="R13" s="369"/>
      <c r="S13" s="369"/>
      <c r="T13" s="369"/>
      <c r="U13" s="369"/>
      <c r="V13" s="369"/>
      <c r="W13" s="369"/>
      <c r="X13" s="369"/>
    </row>
    <row r="14" spans="1:24">
      <c r="A14" s="382" t="s">
        <v>255</v>
      </c>
      <c r="B14" s="380" t="s">
        <v>256</v>
      </c>
      <c r="C14" s="1213">
        <v>4699.8263730011995</v>
      </c>
      <c r="D14" s="1213">
        <v>901.07897249999996</v>
      </c>
      <c r="E14" s="1213">
        <v>0</v>
      </c>
      <c r="F14" s="1213">
        <v>0</v>
      </c>
      <c r="G14" s="1213">
        <v>80.724281912999999</v>
      </c>
      <c r="H14" s="1213">
        <v>67.792766799999995</v>
      </c>
      <c r="I14" s="1213">
        <v>0</v>
      </c>
      <c r="J14" s="1213">
        <v>0</v>
      </c>
      <c r="K14" s="1213">
        <v>16.241883665</v>
      </c>
      <c r="L14" s="1223">
        <v>0</v>
      </c>
      <c r="M14" s="1214">
        <f>SUM(C14:L14)</f>
        <v>5765.6642778792002</v>
      </c>
      <c r="N14" s="1213">
        <v>13500.164920185473</v>
      </c>
      <c r="O14" s="1213">
        <v>26.098317000000002</v>
      </c>
      <c r="P14" s="1213">
        <v>84.051100000000005</v>
      </c>
      <c r="Q14" s="1213">
        <v>0</v>
      </c>
      <c r="R14" s="1213">
        <v>7.4319999999999994E-3</v>
      </c>
      <c r="S14" s="1213">
        <v>0</v>
      </c>
      <c r="T14" s="1213">
        <v>1441.5704548211831</v>
      </c>
      <c r="U14" s="1213">
        <v>0</v>
      </c>
      <c r="V14" s="1213">
        <v>0</v>
      </c>
      <c r="W14" s="1213">
        <v>0</v>
      </c>
      <c r="X14" s="1215">
        <f>SUM(M14:W14)</f>
        <v>20817.556501885854</v>
      </c>
    </row>
    <row r="15" spans="1:24">
      <c r="A15" s="382" t="s">
        <v>257</v>
      </c>
      <c r="B15" s="380" t="s">
        <v>258</v>
      </c>
      <c r="C15" s="1213">
        <v>370.17098767597531</v>
      </c>
      <c r="D15" s="1213">
        <v>37.536660000000005</v>
      </c>
      <c r="E15" s="1213">
        <v>0</v>
      </c>
      <c r="F15" s="1213">
        <v>0</v>
      </c>
      <c r="G15" s="1213">
        <v>0</v>
      </c>
      <c r="H15" s="1213">
        <v>6.4818834850000009</v>
      </c>
      <c r="I15" s="1213">
        <v>0</v>
      </c>
      <c r="J15" s="1213">
        <v>0</v>
      </c>
      <c r="K15" s="1213">
        <v>0</v>
      </c>
      <c r="L15" s="1223">
        <v>0</v>
      </c>
      <c r="M15" s="1214">
        <f t="shared" ref="M15:M24" si="1">SUM(C15:L15)</f>
        <v>414.18953116097532</v>
      </c>
      <c r="N15" s="1213">
        <v>321.87910869390009</v>
      </c>
      <c r="O15" s="1213">
        <v>0</v>
      </c>
      <c r="P15" s="1213">
        <v>0</v>
      </c>
      <c r="Q15" s="1213">
        <v>0</v>
      </c>
      <c r="R15" s="1213">
        <v>0</v>
      </c>
      <c r="S15" s="1213">
        <v>0</v>
      </c>
      <c r="T15" s="1213">
        <v>820.05610463999983</v>
      </c>
      <c r="U15" s="1213">
        <v>0</v>
      </c>
      <c r="V15" s="1213">
        <v>0</v>
      </c>
      <c r="W15" s="1213">
        <v>0</v>
      </c>
      <c r="X15" s="1215">
        <f t="shared" ref="X15:X24" si="2">SUM(M15:W15)</f>
        <v>1556.1247444948754</v>
      </c>
    </row>
    <row r="16" spans="1:24">
      <c r="A16" s="380"/>
      <c r="B16" s="380" t="s">
        <v>259</v>
      </c>
      <c r="C16" s="1213">
        <v>41.045569739999998</v>
      </c>
      <c r="D16" s="1213">
        <v>29.580599999999997</v>
      </c>
      <c r="E16" s="1213">
        <v>0</v>
      </c>
      <c r="F16" s="1213">
        <v>0</v>
      </c>
      <c r="G16" s="1213">
        <v>0</v>
      </c>
      <c r="H16" s="1213">
        <v>0</v>
      </c>
      <c r="I16" s="1213">
        <v>0</v>
      </c>
      <c r="J16" s="1213">
        <v>0</v>
      </c>
      <c r="K16" s="1213">
        <v>0</v>
      </c>
      <c r="L16" s="1223">
        <v>0</v>
      </c>
      <c r="M16" s="1214">
        <f t="shared" si="1"/>
        <v>70.626169739999995</v>
      </c>
      <c r="N16" s="1213">
        <v>312.29029328000013</v>
      </c>
      <c r="O16" s="1213">
        <v>599.73199999999997</v>
      </c>
      <c r="P16" s="1213">
        <v>0</v>
      </c>
      <c r="Q16" s="1213">
        <v>0</v>
      </c>
      <c r="R16" s="1213">
        <v>0</v>
      </c>
      <c r="S16" s="1213">
        <v>0</v>
      </c>
      <c r="T16" s="1213">
        <v>14.544291958000001</v>
      </c>
      <c r="U16" s="1213">
        <v>0</v>
      </c>
      <c r="V16" s="1213">
        <v>0</v>
      </c>
      <c r="W16" s="1213">
        <v>0</v>
      </c>
      <c r="X16" s="1215">
        <f t="shared" si="2"/>
        <v>997.19275497800015</v>
      </c>
    </row>
    <row r="17" spans="1:26">
      <c r="A17" s="380"/>
      <c r="B17" s="380" t="s">
        <v>260</v>
      </c>
      <c r="C17" s="1213">
        <v>64.06171350852</v>
      </c>
      <c r="D17" s="1213">
        <v>1000.7808430934211</v>
      </c>
      <c r="E17" s="1213">
        <v>0</v>
      </c>
      <c r="F17" s="1213">
        <v>0</v>
      </c>
      <c r="G17" s="1213">
        <v>7.907584500000002E-2</v>
      </c>
      <c r="H17" s="1213">
        <v>33.120900450000015</v>
      </c>
      <c r="I17" s="1213">
        <v>0</v>
      </c>
      <c r="J17" s="1213">
        <v>0</v>
      </c>
      <c r="K17" s="1213">
        <v>1.61E-2</v>
      </c>
      <c r="L17" s="1223">
        <v>0</v>
      </c>
      <c r="M17" s="1214">
        <f t="shared" si="1"/>
        <v>1098.0586328969412</v>
      </c>
      <c r="N17" s="1213">
        <v>3476.5130154581921</v>
      </c>
      <c r="O17" s="1213">
        <v>0</v>
      </c>
      <c r="P17" s="1213">
        <v>0</v>
      </c>
      <c r="Q17" s="1213">
        <v>0</v>
      </c>
      <c r="R17" s="1213">
        <v>0</v>
      </c>
      <c r="S17" s="1213">
        <v>0</v>
      </c>
      <c r="T17" s="1213">
        <v>1467.0651343369184</v>
      </c>
      <c r="U17" s="1213">
        <v>0</v>
      </c>
      <c r="V17" s="1213">
        <v>0</v>
      </c>
      <c r="W17" s="1213">
        <v>5706.6574696934958</v>
      </c>
      <c r="X17" s="1215">
        <f t="shared" si="2"/>
        <v>11748.294252385547</v>
      </c>
    </row>
    <row r="18" spans="1:26">
      <c r="A18" s="380"/>
      <c r="B18" s="380" t="s">
        <v>261</v>
      </c>
      <c r="C18" s="1213">
        <v>20.232318399999997</v>
      </c>
      <c r="D18" s="1213">
        <v>182.322</v>
      </c>
      <c r="E18" s="1213">
        <v>0</v>
      </c>
      <c r="F18" s="1213">
        <v>0</v>
      </c>
      <c r="G18" s="1213">
        <v>2.0067912000000003</v>
      </c>
      <c r="H18" s="1213">
        <v>4.4177414600000002</v>
      </c>
      <c r="I18" s="1213">
        <v>0</v>
      </c>
      <c r="J18" s="1213">
        <v>0</v>
      </c>
      <c r="K18" s="1213">
        <v>0</v>
      </c>
      <c r="L18" s="1223">
        <v>0</v>
      </c>
      <c r="M18" s="1214">
        <f t="shared" si="1"/>
        <v>208.97885106000001</v>
      </c>
      <c r="N18" s="1213">
        <v>500.10965443999982</v>
      </c>
      <c r="O18" s="1213">
        <v>0.34300000000000003</v>
      </c>
      <c r="P18" s="1213">
        <v>1551.8470000000009</v>
      </c>
      <c r="Q18" s="1213">
        <v>0</v>
      </c>
      <c r="R18" s="1223">
        <v>830.3309999999999</v>
      </c>
      <c r="S18" s="1213">
        <v>367.87299999999982</v>
      </c>
      <c r="T18" s="1213">
        <v>294.46568400000001</v>
      </c>
      <c r="U18" s="1213">
        <v>0</v>
      </c>
      <c r="V18" s="1213">
        <v>0</v>
      </c>
      <c r="W18" s="1213">
        <v>0.22942499999999999</v>
      </c>
      <c r="X18" s="1215">
        <f t="shared" si="2"/>
        <v>3754.1776144999999</v>
      </c>
    </row>
    <row r="19" spans="1:26">
      <c r="A19" s="380"/>
      <c r="B19" s="380" t="s">
        <v>262</v>
      </c>
      <c r="C19" s="1213">
        <v>3.4326759599999992</v>
      </c>
      <c r="D19" s="1213">
        <v>0</v>
      </c>
      <c r="E19" s="1213">
        <v>0</v>
      </c>
      <c r="F19" s="1213">
        <v>0</v>
      </c>
      <c r="G19" s="1213">
        <v>0</v>
      </c>
      <c r="H19" s="1213">
        <v>0.69132140000000009</v>
      </c>
      <c r="I19" s="1213">
        <v>0</v>
      </c>
      <c r="J19" s="1213">
        <v>0</v>
      </c>
      <c r="K19" s="1213">
        <v>0</v>
      </c>
      <c r="L19" s="1223">
        <v>4.7766999999999999</v>
      </c>
      <c r="M19" s="1214">
        <f t="shared" si="1"/>
        <v>8.9006973599999988</v>
      </c>
      <c r="N19" s="1213">
        <v>545.65938243827509</v>
      </c>
      <c r="O19" s="1213">
        <v>0</v>
      </c>
      <c r="P19" s="1213">
        <v>0</v>
      </c>
      <c r="Q19" s="1213">
        <v>0</v>
      </c>
      <c r="R19" s="1213">
        <v>0</v>
      </c>
      <c r="S19" s="1213">
        <v>0</v>
      </c>
      <c r="T19" s="1213">
        <v>176.90410815499996</v>
      </c>
      <c r="U19" s="1213">
        <v>0</v>
      </c>
      <c r="V19" s="1213">
        <v>0</v>
      </c>
      <c r="W19" s="1213">
        <v>0</v>
      </c>
      <c r="X19" s="1215">
        <f t="shared" si="2"/>
        <v>731.46418795327509</v>
      </c>
    </row>
    <row r="20" spans="1:26">
      <c r="A20" s="380"/>
      <c r="B20" s="380" t="s">
        <v>263</v>
      </c>
      <c r="C20" s="1213">
        <v>55.094142432000005</v>
      </c>
      <c r="D20" s="1213">
        <v>233.60522563350003</v>
      </c>
      <c r="E20" s="1213">
        <v>0</v>
      </c>
      <c r="F20" s="1213">
        <v>0</v>
      </c>
      <c r="G20" s="1213">
        <v>0</v>
      </c>
      <c r="H20" s="1213">
        <v>4.5374999999999996</v>
      </c>
      <c r="I20" s="1213">
        <v>0</v>
      </c>
      <c r="J20" s="1213">
        <v>0</v>
      </c>
      <c r="K20" s="1213">
        <v>0</v>
      </c>
      <c r="L20" s="1223">
        <v>0</v>
      </c>
      <c r="M20" s="1214">
        <f t="shared" si="1"/>
        <v>293.23686806550006</v>
      </c>
      <c r="N20" s="1213">
        <v>413.5862253091413</v>
      </c>
      <c r="O20" s="1213">
        <v>1721.6250680039402</v>
      </c>
      <c r="P20" s="1213">
        <v>315.36399999999998</v>
      </c>
      <c r="Q20" s="1213">
        <v>0</v>
      </c>
      <c r="R20" s="1213">
        <v>0</v>
      </c>
      <c r="S20" s="1213">
        <v>0</v>
      </c>
      <c r="T20" s="1213">
        <v>394.70328119375711</v>
      </c>
      <c r="U20" s="1213">
        <v>0</v>
      </c>
      <c r="V20" s="1213">
        <v>0</v>
      </c>
      <c r="W20" s="1213">
        <v>49.475999999999999</v>
      </c>
      <c r="X20" s="1215">
        <f t="shared" si="2"/>
        <v>3187.9914425723387</v>
      </c>
    </row>
    <row r="21" spans="1:26">
      <c r="A21" s="380"/>
      <c r="B21" s="380" t="s">
        <v>264</v>
      </c>
      <c r="C21" s="1213">
        <v>0</v>
      </c>
      <c r="D21" s="1213">
        <v>111.22244312319</v>
      </c>
      <c r="E21" s="1213">
        <v>0</v>
      </c>
      <c r="F21" s="1213">
        <v>0</v>
      </c>
      <c r="G21" s="1213">
        <v>0</v>
      </c>
      <c r="H21" s="1213">
        <v>2.2385000000000002</v>
      </c>
      <c r="I21" s="1213">
        <v>0</v>
      </c>
      <c r="J21" s="1213">
        <v>0</v>
      </c>
      <c r="K21" s="1213">
        <v>0</v>
      </c>
      <c r="L21" s="1223">
        <v>0</v>
      </c>
      <c r="M21" s="1214">
        <f t="shared" si="1"/>
        <v>113.46094312319001</v>
      </c>
      <c r="N21" s="1213">
        <v>81.587555860000023</v>
      </c>
      <c r="O21" s="1213">
        <v>822.62204742705808</v>
      </c>
      <c r="P21" s="1213">
        <v>35.424872000000001</v>
      </c>
      <c r="Q21" s="1213">
        <v>0</v>
      </c>
      <c r="R21" s="1213">
        <v>0</v>
      </c>
      <c r="S21" s="1213">
        <v>0</v>
      </c>
      <c r="T21" s="1213">
        <v>0</v>
      </c>
      <c r="U21" s="1213">
        <v>0</v>
      </c>
      <c r="V21" s="1213">
        <v>0</v>
      </c>
      <c r="W21" s="1213">
        <v>0</v>
      </c>
      <c r="X21" s="1215">
        <f t="shared" si="2"/>
        <v>1053.0954184102482</v>
      </c>
    </row>
    <row r="22" spans="1:26">
      <c r="A22" s="380"/>
      <c r="B22" s="380" t="s">
        <v>265</v>
      </c>
      <c r="C22" s="1213">
        <v>753.50475823863178</v>
      </c>
      <c r="D22" s="1213">
        <v>803.72299854000005</v>
      </c>
      <c r="E22" s="1213">
        <v>0</v>
      </c>
      <c r="F22" s="1213">
        <v>0</v>
      </c>
      <c r="G22" s="1213">
        <v>0</v>
      </c>
      <c r="H22" s="1213">
        <v>16.965146825000005</v>
      </c>
      <c r="I22" s="1213">
        <v>0</v>
      </c>
      <c r="J22" s="1213">
        <v>0</v>
      </c>
      <c r="K22" s="1213">
        <v>0</v>
      </c>
      <c r="L22" s="1223">
        <v>0</v>
      </c>
      <c r="M22" s="1214">
        <f t="shared" si="1"/>
        <v>1574.1929036036317</v>
      </c>
      <c r="N22" s="1213">
        <v>116.50773373999999</v>
      </c>
      <c r="O22" s="1213">
        <v>261.08424175916946</v>
      </c>
      <c r="P22" s="1213">
        <v>0</v>
      </c>
      <c r="Q22" s="1213">
        <v>0</v>
      </c>
      <c r="R22" s="1213">
        <v>4.178120000000001E-4</v>
      </c>
      <c r="S22" s="1213">
        <v>0</v>
      </c>
      <c r="T22" s="1213">
        <v>487.78702000000015</v>
      </c>
      <c r="U22" s="1213">
        <v>0</v>
      </c>
      <c r="V22" s="1213">
        <v>0</v>
      </c>
      <c r="W22" s="1213">
        <v>0</v>
      </c>
      <c r="X22" s="1215">
        <f t="shared" si="2"/>
        <v>2439.5723169148014</v>
      </c>
    </row>
    <row r="23" spans="1:26">
      <c r="A23" s="380"/>
      <c r="B23" s="380" t="s">
        <v>266</v>
      </c>
      <c r="C23" s="1213">
        <v>5746.1123194556785</v>
      </c>
      <c r="D23" s="1213">
        <v>801.42052527485976</v>
      </c>
      <c r="E23" s="1213">
        <v>0</v>
      </c>
      <c r="F23" s="1213">
        <v>0</v>
      </c>
      <c r="G23" s="1213">
        <v>151.78790515500006</v>
      </c>
      <c r="H23" s="1213">
        <v>1366.8872012400002</v>
      </c>
      <c r="I23" s="1213">
        <v>0</v>
      </c>
      <c r="J23" s="1213">
        <v>0</v>
      </c>
      <c r="K23" s="1213">
        <v>8.4524999999999989E-2</v>
      </c>
      <c r="L23" s="1223">
        <v>0</v>
      </c>
      <c r="M23" s="1214">
        <f t="shared" si="1"/>
        <v>8066.2924761255381</v>
      </c>
      <c r="N23" s="1213">
        <v>7055.068193762022</v>
      </c>
      <c r="O23" s="1213">
        <v>1666.6300817266037</v>
      </c>
      <c r="P23" s="1213">
        <v>10.616680000000001</v>
      </c>
      <c r="Q23" s="1213">
        <v>0</v>
      </c>
      <c r="R23" s="1213">
        <v>0</v>
      </c>
      <c r="S23" s="1213">
        <v>0</v>
      </c>
      <c r="T23" s="1213">
        <v>5694.3894527584453</v>
      </c>
      <c r="U23" s="1213">
        <v>0</v>
      </c>
      <c r="V23" s="1213">
        <v>0</v>
      </c>
      <c r="W23" s="1213">
        <v>3839.8569280927809</v>
      </c>
      <c r="X23" s="1215">
        <f t="shared" si="2"/>
        <v>26332.853812465386</v>
      </c>
    </row>
    <row r="24" spans="1:26">
      <c r="A24" s="380"/>
      <c r="B24" s="380" t="s">
        <v>267</v>
      </c>
      <c r="C24" s="1213">
        <v>3693.2172126107985</v>
      </c>
      <c r="D24" s="1213">
        <v>677.17157550000002</v>
      </c>
      <c r="E24" s="1213">
        <v>0</v>
      </c>
      <c r="F24" s="1213">
        <v>0</v>
      </c>
      <c r="G24" s="1213">
        <v>32.76803216699998</v>
      </c>
      <c r="H24" s="1213">
        <v>4.7190000000000003</v>
      </c>
      <c r="I24" s="1213">
        <v>0</v>
      </c>
      <c r="J24" s="1213">
        <v>0</v>
      </c>
      <c r="K24" s="1213">
        <v>2.5068344000000002</v>
      </c>
      <c r="L24" s="1223">
        <v>0</v>
      </c>
      <c r="M24" s="1214">
        <f t="shared" si="1"/>
        <v>4410.3826546777982</v>
      </c>
      <c r="N24" s="1213">
        <v>1343.3758016457778</v>
      </c>
      <c r="O24" s="1213">
        <v>92.083589159999988</v>
      </c>
      <c r="P24" s="1213">
        <v>0</v>
      </c>
      <c r="Q24" s="1213">
        <v>0</v>
      </c>
      <c r="R24" s="1213">
        <v>0</v>
      </c>
      <c r="S24" s="1213">
        <v>0</v>
      </c>
      <c r="T24" s="1213">
        <v>72.74116827249</v>
      </c>
      <c r="U24" s="1213">
        <v>0</v>
      </c>
      <c r="V24" s="1213">
        <v>0</v>
      </c>
      <c r="W24" s="1213">
        <v>0</v>
      </c>
      <c r="X24" s="1215">
        <f t="shared" si="2"/>
        <v>5918.5832137560656</v>
      </c>
    </row>
    <row r="25" spans="1:26">
      <c r="A25" s="380"/>
      <c r="B25" s="380"/>
      <c r="C25" s="369"/>
      <c r="D25" s="369"/>
      <c r="E25" s="369"/>
      <c r="F25" s="369"/>
      <c r="G25" s="369"/>
      <c r="H25" s="369"/>
      <c r="I25" s="369"/>
      <c r="J25" s="369"/>
      <c r="K25" s="369"/>
      <c r="L25" s="381"/>
      <c r="M25" s="369"/>
      <c r="N25" s="369"/>
      <c r="O25" s="369"/>
      <c r="P25" s="369"/>
      <c r="Q25" s="369"/>
      <c r="R25" s="369"/>
      <c r="S25" s="369"/>
      <c r="T25" s="369"/>
      <c r="U25" s="369"/>
      <c r="V25" s="369"/>
      <c r="W25" s="369"/>
      <c r="X25" s="369"/>
    </row>
    <row r="26" spans="1:26">
      <c r="A26" s="380" t="s">
        <v>268</v>
      </c>
      <c r="B26" s="380"/>
      <c r="C26" s="1216">
        <f>SUM(C14:C24)</f>
        <v>15446.698071022802</v>
      </c>
      <c r="D26" s="1216">
        <f t="shared" ref="D26:X26" si="3">SUM(D14:D24)</f>
        <v>4778.4418436649703</v>
      </c>
      <c r="E26" s="1216">
        <f t="shared" si="3"/>
        <v>0</v>
      </c>
      <c r="F26" s="1216">
        <f t="shared" si="3"/>
        <v>0</v>
      </c>
      <c r="G26" s="1216">
        <f t="shared" si="3"/>
        <v>267.36608628000005</v>
      </c>
      <c r="H26" s="1216">
        <f t="shared" si="3"/>
        <v>1507.8519616600001</v>
      </c>
      <c r="I26" s="1216">
        <f t="shared" si="3"/>
        <v>0</v>
      </c>
      <c r="J26" s="1216">
        <f t="shared" si="3"/>
        <v>0</v>
      </c>
      <c r="K26" s="1216">
        <f t="shared" si="3"/>
        <v>18.849343064999999</v>
      </c>
      <c r="L26" s="1229">
        <f t="shared" si="3"/>
        <v>4.7766999999999999</v>
      </c>
      <c r="M26" s="1216">
        <f t="shared" si="3"/>
        <v>22023.984005692771</v>
      </c>
      <c r="N26" s="1216">
        <f t="shared" si="3"/>
        <v>27666.741884812778</v>
      </c>
      <c r="O26" s="1216">
        <f t="shared" si="3"/>
        <v>5190.2183450767716</v>
      </c>
      <c r="P26" s="1216">
        <f t="shared" si="3"/>
        <v>1997.303652000001</v>
      </c>
      <c r="Q26" s="1216">
        <f>SUM(Q14:Q24)</f>
        <v>0</v>
      </c>
      <c r="R26" s="1216">
        <f t="shared" si="3"/>
        <v>830.33884981199992</v>
      </c>
      <c r="S26" s="1216">
        <f>SUM(S14:S24)</f>
        <v>367.87299999999982</v>
      </c>
      <c r="T26" s="1216">
        <f t="shared" si="3"/>
        <v>10864.226700135794</v>
      </c>
      <c r="U26" s="1216">
        <f t="shared" si="3"/>
        <v>0</v>
      </c>
      <c r="V26" s="1216">
        <f t="shared" si="3"/>
        <v>0</v>
      </c>
      <c r="W26" s="1216">
        <f>SUM(W14:W24)</f>
        <v>9596.2198227862773</v>
      </c>
      <c r="X26" s="1216">
        <f t="shared" si="3"/>
        <v>78536.906260316377</v>
      </c>
      <c r="Y26" s="402"/>
      <c r="Z26" s="402"/>
    </row>
    <row r="27" spans="1:26">
      <c r="A27" s="380"/>
      <c r="B27" s="380"/>
      <c r="C27" s="369"/>
      <c r="D27" s="369"/>
      <c r="E27" s="369"/>
      <c r="F27" s="369"/>
      <c r="G27" s="369"/>
      <c r="H27" s="369"/>
      <c r="I27" s="369"/>
      <c r="J27" s="369"/>
      <c r="K27" s="369"/>
      <c r="L27" s="381"/>
      <c r="M27" s="369"/>
      <c r="N27" s="369"/>
      <c r="O27" s="369"/>
      <c r="P27" s="369"/>
      <c r="Q27" s="369"/>
      <c r="R27" s="369"/>
      <c r="S27" s="369"/>
      <c r="T27" s="369"/>
      <c r="U27" s="369"/>
      <c r="V27" s="369"/>
      <c r="W27" s="369"/>
      <c r="X27" s="369"/>
    </row>
    <row r="28" spans="1:26">
      <c r="A28" s="382" t="s">
        <v>269</v>
      </c>
      <c r="B28" s="380" t="s">
        <v>270</v>
      </c>
      <c r="C28" s="1213">
        <v>0</v>
      </c>
      <c r="D28" s="1213">
        <v>0</v>
      </c>
      <c r="E28" s="1213">
        <v>0</v>
      </c>
      <c r="F28" s="1213">
        <v>0</v>
      </c>
      <c r="G28" s="1213">
        <v>0</v>
      </c>
      <c r="H28" s="1213">
        <v>0</v>
      </c>
      <c r="I28" s="1213">
        <v>0</v>
      </c>
      <c r="J28" s="1213">
        <v>0</v>
      </c>
      <c r="K28" s="1213">
        <v>0</v>
      </c>
      <c r="L28" s="1223">
        <v>0</v>
      </c>
      <c r="M28" s="1214">
        <f>SUM(C28:L28)</f>
        <v>0</v>
      </c>
      <c r="N28" s="1213">
        <v>0</v>
      </c>
      <c r="O28" s="1213">
        <v>0</v>
      </c>
      <c r="P28" s="1213">
        <v>0</v>
      </c>
      <c r="Q28" s="1213">
        <v>0</v>
      </c>
      <c r="R28" s="1213">
        <v>0</v>
      </c>
      <c r="S28" s="1213">
        <v>0</v>
      </c>
      <c r="T28" s="1213">
        <v>0</v>
      </c>
      <c r="U28" s="1213">
        <v>0</v>
      </c>
      <c r="V28" s="1213">
        <v>0</v>
      </c>
      <c r="W28" s="1213">
        <v>0</v>
      </c>
      <c r="X28" s="1214">
        <f>SUM(M28:W28)</f>
        <v>0</v>
      </c>
    </row>
    <row r="29" spans="1:26">
      <c r="A29" s="382" t="s">
        <v>271</v>
      </c>
      <c r="B29" s="380" t="s">
        <v>272</v>
      </c>
      <c r="C29" s="1213">
        <v>1209.2761363199998</v>
      </c>
      <c r="D29" s="1213">
        <v>20.621695500000001</v>
      </c>
      <c r="E29" s="1213">
        <v>0</v>
      </c>
      <c r="F29" s="1213">
        <v>0</v>
      </c>
      <c r="G29" s="1213">
        <v>70.31861099999999</v>
      </c>
      <c r="H29" s="1213">
        <v>1063.2489252000003</v>
      </c>
      <c r="I29" s="1213">
        <v>0</v>
      </c>
      <c r="J29" s="1213">
        <v>0</v>
      </c>
      <c r="K29" s="1213">
        <v>0</v>
      </c>
      <c r="L29" s="1223">
        <v>0</v>
      </c>
      <c r="M29" s="1214">
        <f>SUM(C29:L29)</f>
        <v>2363.4653680199999</v>
      </c>
      <c r="N29" s="1213">
        <v>4273.9183816863488</v>
      </c>
      <c r="O29" s="1213">
        <v>0</v>
      </c>
      <c r="P29" s="1213">
        <v>0</v>
      </c>
      <c r="Q29" s="1213">
        <v>0</v>
      </c>
      <c r="R29" s="1213">
        <v>100.20454338743227</v>
      </c>
      <c r="S29" s="1213">
        <v>0</v>
      </c>
      <c r="T29" s="1213">
        <v>629.9634801505772</v>
      </c>
      <c r="U29" s="1213">
        <v>0</v>
      </c>
      <c r="V29" s="1213">
        <v>0</v>
      </c>
      <c r="W29" s="1213">
        <v>0</v>
      </c>
      <c r="X29" s="1214">
        <f>SUM(M29:W29)</f>
        <v>7367.5517732443577</v>
      </c>
    </row>
    <row r="30" spans="1:26">
      <c r="A30" s="382"/>
      <c r="B30" s="380" t="s">
        <v>273</v>
      </c>
      <c r="C30" s="1213">
        <v>63.982128000000003</v>
      </c>
      <c r="D30" s="1213">
        <v>33.101130384000001</v>
      </c>
      <c r="E30" s="1213">
        <v>0</v>
      </c>
      <c r="F30" s="1213">
        <v>0</v>
      </c>
      <c r="G30" s="1213">
        <v>4.8281670000000014</v>
      </c>
      <c r="H30" s="1213">
        <v>209.02036100000004</v>
      </c>
      <c r="I30" s="1213">
        <v>0</v>
      </c>
      <c r="J30" s="1213">
        <v>0</v>
      </c>
      <c r="K30" s="1213">
        <v>0.56897400000000009</v>
      </c>
      <c r="L30" s="1223">
        <v>0</v>
      </c>
      <c r="M30" s="1214">
        <f>SUM(C30:L30)</f>
        <v>311.50076038400005</v>
      </c>
      <c r="N30" s="1213">
        <v>1469.2854309217732</v>
      </c>
      <c r="O30" s="1213">
        <v>54.093682820778582</v>
      </c>
      <c r="P30" s="1213">
        <v>0</v>
      </c>
      <c r="Q30" s="1213">
        <v>0</v>
      </c>
      <c r="R30" s="1213">
        <v>5.2748642439999998</v>
      </c>
      <c r="S30" s="1213">
        <v>0</v>
      </c>
      <c r="T30" s="1213">
        <v>287.97603359100003</v>
      </c>
      <c r="U30" s="1213">
        <v>0</v>
      </c>
      <c r="V30" s="1213">
        <v>0</v>
      </c>
      <c r="W30" s="1213">
        <v>77.312101910828034</v>
      </c>
      <c r="X30" s="1214">
        <f>SUM(M30:W30)</f>
        <v>2205.4428738723796</v>
      </c>
    </row>
    <row r="31" spans="1:26">
      <c r="A31" s="382"/>
      <c r="B31" s="380" t="s">
        <v>274</v>
      </c>
      <c r="C31" s="1213">
        <v>113.31026111999998</v>
      </c>
      <c r="D31" s="1213">
        <v>0.94414950000000009</v>
      </c>
      <c r="E31" s="1213">
        <v>0</v>
      </c>
      <c r="F31" s="1213">
        <v>0</v>
      </c>
      <c r="G31" s="1213">
        <v>801.69285464999996</v>
      </c>
      <c r="H31" s="1213">
        <v>9168.6934581000005</v>
      </c>
      <c r="I31" s="1213">
        <v>0</v>
      </c>
      <c r="J31" s="1213">
        <v>0</v>
      </c>
      <c r="K31" s="1213">
        <v>0</v>
      </c>
      <c r="L31" s="1223">
        <v>0</v>
      </c>
      <c r="M31" s="1214">
        <f>SUM(C31:L31)</f>
        <v>10084.640723370001</v>
      </c>
      <c r="N31" s="1213">
        <v>6737.1462601291951</v>
      </c>
      <c r="O31" s="1213">
        <v>1.243347</v>
      </c>
      <c r="P31" s="1213">
        <v>0</v>
      </c>
      <c r="Q31" s="1213">
        <v>0</v>
      </c>
      <c r="R31" s="1213">
        <v>111.11381450206302</v>
      </c>
      <c r="S31" s="1213">
        <v>0</v>
      </c>
      <c r="T31" s="1213">
        <v>3438.7154163247237</v>
      </c>
      <c r="U31" s="1213">
        <v>0</v>
      </c>
      <c r="V31" s="1213">
        <v>0</v>
      </c>
      <c r="W31" s="1213">
        <v>28922.415474093956</v>
      </c>
      <c r="X31" s="1214">
        <f>SUM(M31:W31)</f>
        <v>49295.275035419938</v>
      </c>
    </row>
    <row r="32" spans="1:26">
      <c r="A32" s="380"/>
      <c r="B32" s="380"/>
      <c r="C32" s="369"/>
      <c r="D32" s="369"/>
      <c r="E32" s="369"/>
      <c r="F32" s="369"/>
      <c r="G32" s="369"/>
      <c r="H32" s="369"/>
      <c r="I32" s="369"/>
      <c r="J32" s="369"/>
      <c r="K32" s="369"/>
      <c r="L32" s="381"/>
      <c r="M32" s="369"/>
      <c r="N32" s="369"/>
      <c r="O32" s="369"/>
      <c r="P32" s="369"/>
      <c r="Q32" s="369"/>
      <c r="R32" s="369"/>
      <c r="S32" s="369"/>
      <c r="T32" s="369"/>
      <c r="U32" s="369"/>
      <c r="V32" s="369"/>
      <c r="W32" s="369"/>
      <c r="X32" s="369"/>
    </row>
    <row r="33" spans="1:24">
      <c r="A33" s="380" t="s">
        <v>275</v>
      </c>
      <c r="B33" s="380"/>
      <c r="C33" s="1216">
        <f>SUM(C28:C31)</f>
        <v>1386.5685254399998</v>
      </c>
      <c r="D33" s="1216">
        <f t="shared" ref="D33:X33" si="4">SUM(D28:D31)</f>
        <v>54.666975384000004</v>
      </c>
      <c r="E33" s="1216">
        <f t="shared" si="4"/>
        <v>0</v>
      </c>
      <c r="F33" s="1216">
        <f t="shared" si="4"/>
        <v>0</v>
      </c>
      <c r="G33" s="1216">
        <f t="shared" si="4"/>
        <v>876.83963265</v>
      </c>
      <c r="H33" s="1216">
        <f t="shared" si="4"/>
        <v>10440.962744300001</v>
      </c>
      <c r="I33" s="1216">
        <f t="shared" si="4"/>
        <v>0</v>
      </c>
      <c r="J33" s="1216">
        <f t="shared" si="4"/>
        <v>0</v>
      </c>
      <c r="K33" s="1216">
        <f t="shared" si="4"/>
        <v>0.56897400000000009</v>
      </c>
      <c r="L33" s="1229">
        <f t="shared" si="4"/>
        <v>0</v>
      </c>
      <c r="M33" s="1216">
        <f t="shared" si="4"/>
        <v>12759.606851774</v>
      </c>
      <c r="N33" s="1216">
        <f t="shared" si="4"/>
        <v>12480.350072737318</v>
      </c>
      <c r="O33" s="1216">
        <f t="shared" si="4"/>
        <v>55.337029820778582</v>
      </c>
      <c r="P33" s="1216">
        <f t="shared" si="4"/>
        <v>0</v>
      </c>
      <c r="Q33" s="1216">
        <f>SUM(Q28:Q31)</f>
        <v>0</v>
      </c>
      <c r="R33" s="1216">
        <f t="shared" si="4"/>
        <v>216.59322213349529</v>
      </c>
      <c r="S33" s="1216">
        <f>SUM(S28:S31)</f>
        <v>0</v>
      </c>
      <c r="T33" s="1216">
        <f t="shared" si="4"/>
        <v>4356.6549300663009</v>
      </c>
      <c r="U33" s="1216">
        <f t="shared" si="4"/>
        <v>0</v>
      </c>
      <c r="V33" s="1216">
        <f t="shared" si="4"/>
        <v>0</v>
      </c>
      <c r="W33" s="1216">
        <f>SUM(W28:W31)</f>
        <v>28999.727576004785</v>
      </c>
      <c r="X33" s="1216">
        <f t="shared" si="4"/>
        <v>58868.269682536673</v>
      </c>
    </row>
    <row r="34" spans="1:24" s="1228" customFormat="1">
      <c r="A34" s="1230"/>
      <c r="B34" s="1230"/>
      <c r="C34" s="1231"/>
      <c r="D34" s="1231"/>
      <c r="E34" s="1231"/>
      <c r="F34" s="1231"/>
      <c r="G34" s="1231"/>
      <c r="H34" s="1231"/>
      <c r="I34" s="1231"/>
      <c r="J34" s="1231"/>
      <c r="K34" s="1231"/>
      <c r="L34" s="1231"/>
      <c r="M34" s="1231"/>
      <c r="N34" s="1231"/>
      <c r="O34" s="1231"/>
      <c r="P34" s="1231"/>
      <c r="Q34" s="1231"/>
      <c r="R34" s="1231"/>
      <c r="S34" s="1231"/>
      <c r="T34" s="1231"/>
      <c r="U34" s="1231"/>
      <c r="V34" s="1231"/>
      <c r="W34" s="1231"/>
      <c r="X34" s="1231"/>
    </row>
    <row r="35" spans="1:24" s="1228" customFormat="1">
      <c r="A35" s="382" t="s">
        <v>744</v>
      </c>
      <c r="B35" s="1230"/>
      <c r="C35" s="1231"/>
      <c r="D35" s="1231"/>
      <c r="E35" s="1231"/>
      <c r="F35" s="1231"/>
      <c r="G35" s="1231"/>
      <c r="H35" s="1231"/>
      <c r="I35" s="1231"/>
      <c r="J35" s="1231"/>
      <c r="K35" s="1231"/>
      <c r="L35" s="1231"/>
      <c r="M35" s="1231"/>
      <c r="N35" s="1231"/>
      <c r="O35" s="1231"/>
      <c r="P35" s="1231"/>
      <c r="Q35" s="1231"/>
      <c r="R35" s="1231"/>
      <c r="S35" s="1231"/>
      <c r="T35" s="1231"/>
      <c r="U35" s="1231"/>
      <c r="V35" s="1231"/>
      <c r="W35" s="1231"/>
      <c r="X35" s="1231"/>
    </row>
    <row r="36" spans="1:24" s="1228" customFormat="1">
      <c r="A36" s="1230"/>
      <c r="B36" s="1230" t="s">
        <v>278</v>
      </c>
      <c r="C36" s="1223">
        <v>0</v>
      </c>
      <c r="D36" s="1223">
        <v>0</v>
      </c>
      <c r="E36" s="1223">
        <v>0</v>
      </c>
      <c r="F36" s="1223">
        <v>0</v>
      </c>
      <c r="G36" s="1223">
        <v>0</v>
      </c>
      <c r="H36" s="1223">
        <v>0</v>
      </c>
      <c r="I36" s="1223">
        <v>0</v>
      </c>
      <c r="J36" s="1223">
        <v>0</v>
      </c>
      <c r="K36" s="1223">
        <v>0</v>
      </c>
      <c r="L36" s="1223">
        <v>0</v>
      </c>
      <c r="M36" s="1214">
        <f t="shared" ref="M36:M42" si="5">SUM(C36:L36)</f>
        <v>0</v>
      </c>
      <c r="N36" s="1213">
        <v>79.019615639999998</v>
      </c>
      <c r="O36" s="1213">
        <v>0</v>
      </c>
      <c r="P36" s="1213">
        <v>0</v>
      </c>
      <c r="Q36" s="1213">
        <v>0</v>
      </c>
      <c r="R36" s="1213">
        <v>0</v>
      </c>
      <c r="S36" s="1213">
        <v>0</v>
      </c>
      <c r="T36" s="1213">
        <v>0</v>
      </c>
      <c r="U36" s="1213">
        <v>0</v>
      </c>
      <c r="V36" s="1213">
        <v>0</v>
      </c>
      <c r="W36" s="1213">
        <v>0</v>
      </c>
      <c r="X36" s="1214">
        <f t="shared" ref="X36:X42" si="6">SUM(M36:W36)</f>
        <v>79.019615639999998</v>
      </c>
    </row>
    <row r="37" spans="1:24" s="1228" customFormat="1">
      <c r="A37" s="1230"/>
      <c r="B37" s="1230" t="s">
        <v>297</v>
      </c>
      <c r="C37" s="1223">
        <v>0</v>
      </c>
      <c r="D37" s="1223">
        <v>0</v>
      </c>
      <c r="E37" s="1223">
        <v>0</v>
      </c>
      <c r="F37" s="1223">
        <v>0</v>
      </c>
      <c r="G37" s="1223">
        <v>0</v>
      </c>
      <c r="H37" s="1223">
        <v>0</v>
      </c>
      <c r="I37" s="1223">
        <v>0</v>
      </c>
      <c r="J37" s="1223">
        <v>0</v>
      </c>
      <c r="K37" s="1223">
        <v>0</v>
      </c>
      <c r="L37" s="1223">
        <v>0</v>
      </c>
      <c r="M37" s="1214">
        <f t="shared" si="5"/>
        <v>0</v>
      </c>
      <c r="N37" s="1213">
        <v>1237.5013449650944</v>
      </c>
      <c r="O37" s="1213">
        <v>0</v>
      </c>
      <c r="P37" s="1213">
        <v>0</v>
      </c>
      <c r="Q37" s="1213">
        <v>0</v>
      </c>
      <c r="R37" s="1213">
        <v>0</v>
      </c>
      <c r="S37" s="1213">
        <v>0</v>
      </c>
      <c r="T37" s="1213">
        <v>0</v>
      </c>
      <c r="U37" s="1213">
        <v>0</v>
      </c>
      <c r="V37" s="1213">
        <v>0</v>
      </c>
      <c r="W37" s="1213">
        <v>0</v>
      </c>
      <c r="X37" s="1214">
        <f t="shared" si="6"/>
        <v>1237.5013449650944</v>
      </c>
    </row>
    <row r="38" spans="1:24" s="1228" customFormat="1">
      <c r="A38" s="1230"/>
      <c r="B38" s="1230" t="s">
        <v>279</v>
      </c>
      <c r="C38" s="1223">
        <v>3.9870717600000005</v>
      </c>
      <c r="D38" s="1223">
        <v>0</v>
      </c>
      <c r="E38" s="1223">
        <v>0</v>
      </c>
      <c r="F38" s="1223">
        <v>0</v>
      </c>
      <c r="G38" s="1223">
        <v>0</v>
      </c>
      <c r="H38" s="1223">
        <f>H77</f>
        <v>23.940430799999998</v>
      </c>
      <c r="I38" s="1223">
        <v>0</v>
      </c>
      <c r="J38" s="1223">
        <v>0</v>
      </c>
      <c r="K38" s="1223">
        <v>0</v>
      </c>
      <c r="L38" s="1223">
        <v>0</v>
      </c>
      <c r="M38" s="1214">
        <f t="shared" si="5"/>
        <v>27.927502559999997</v>
      </c>
      <c r="N38" s="1213">
        <v>6.3035592000000005</v>
      </c>
      <c r="O38" s="1213">
        <v>0</v>
      </c>
      <c r="P38" s="1213">
        <v>0</v>
      </c>
      <c r="Q38" s="1223">
        <v>0</v>
      </c>
      <c r="R38" s="1223">
        <v>0</v>
      </c>
      <c r="S38" s="1213">
        <v>0</v>
      </c>
      <c r="T38" s="1213">
        <f>T78</f>
        <v>18.905819700999999</v>
      </c>
      <c r="U38" s="1213">
        <v>0</v>
      </c>
      <c r="V38" s="1213">
        <v>0</v>
      </c>
      <c r="W38" s="1213">
        <v>0</v>
      </c>
      <c r="X38" s="1214">
        <f t="shared" si="6"/>
        <v>53.136881460999994</v>
      </c>
    </row>
    <row r="39" spans="1:24" s="1228" customFormat="1">
      <c r="A39" s="1230"/>
      <c r="B39" s="1230" t="s">
        <v>296</v>
      </c>
      <c r="C39" s="1223">
        <v>0</v>
      </c>
      <c r="D39" s="1223">
        <v>0</v>
      </c>
      <c r="E39" s="1223">
        <v>0</v>
      </c>
      <c r="F39" s="1223">
        <v>0</v>
      </c>
      <c r="G39" s="1223">
        <v>0</v>
      </c>
      <c r="H39" s="1223">
        <v>0</v>
      </c>
      <c r="I39" s="1223">
        <v>0</v>
      </c>
      <c r="J39" s="1223">
        <v>0</v>
      </c>
      <c r="K39" s="1223">
        <v>0</v>
      </c>
      <c r="L39" s="1223">
        <v>0</v>
      </c>
      <c r="M39" s="1214">
        <f t="shared" si="5"/>
        <v>0</v>
      </c>
      <c r="N39" s="1213">
        <v>0</v>
      </c>
      <c r="O39" s="1282">
        <v>0</v>
      </c>
      <c r="P39" s="1213">
        <v>0</v>
      </c>
      <c r="Q39" s="1213">
        <v>191.41300000000001</v>
      </c>
      <c r="R39" s="1223">
        <f>R76</f>
        <v>262.78800000000001</v>
      </c>
      <c r="S39" s="1213">
        <f>S76</f>
        <v>980.68600000000015</v>
      </c>
      <c r="T39" s="1213">
        <v>0</v>
      </c>
      <c r="U39" s="1213">
        <v>0</v>
      </c>
      <c r="V39" s="1213">
        <v>0</v>
      </c>
      <c r="W39" s="1213">
        <v>0</v>
      </c>
      <c r="X39" s="1214">
        <f t="shared" si="6"/>
        <v>1434.8870000000002</v>
      </c>
    </row>
    <row r="40" spans="1:24" s="1228" customFormat="1">
      <c r="A40" s="1230"/>
      <c r="B40" s="1230" t="s">
        <v>280</v>
      </c>
      <c r="C40" s="1223">
        <v>18.179826730799999</v>
      </c>
      <c r="D40" s="1223">
        <v>219.743685</v>
      </c>
      <c r="E40" s="1223">
        <v>0</v>
      </c>
      <c r="F40" s="1223">
        <v>0</v>
      </c>
      <c r="G40" s="1223">
        <v>0.2571426</v>
      </c>
      <c r="H40" s="1223">
        <v>290.39999999999998</v>
      </c>
      <c r="I40" s="1223">
        <v>0</v>
      </c>
      <c r="J40" s="1223">
        <v>0</v>
      </c>
      <c r="K40" s="1223">
        <v>1949.4443729999998</v>
      </c>
      <c r="L40" s="1223">
        <v>2451.7731359999998</v>
      </c>
      <c r="M40" s="1214">
        <f t="shared" si="5"/>
        <v>4929.7981633307991</v>
      </c>
      <c r="N40" s="1213">
        <v>417.63500943999992</v>
      </c>
      <c r="O40" s="1213">
        <v>0</v>
      </c>
      <c r="P40" s="1213">
        <v>0</v>
      </c>
      <c r="Q40" s="1213">
        <v>0</v>
      </c>
      <c r="R40" s="1213">
        <v>0.64837912367810424</v>
      </c>
      <c r="S40" s="1213">
        <v>0</v>
      </c>
      <c r="T40" s="1213">
        <v>5138.4169030693311</v>
      </c>
      <c r="U40" s="1213">
        <v>0</v>
      </c>
      <c r="V40" s="1213">
        <v>0</v>
      </c>
      <c r="W40" s="1213">
        <v>0</v>
      </c>
      <c r="X40" s="1214">
        <f t="shared" si="6"/>
        <v>10486.498454963807</v>
      </c>
    </row>
    <row r="41" spans="1:24" s="1228" customFormat="1">
      <c r="A41" s="1230"/>
      <c r="B41" s="1230" t="s">
        <v>281</v>
      </c>
      <c r="C41" s="1223">
        <v>0.71416799999999991</v>
      </c>
      <c r="D41" s="1223">
        <v>0</v>
      </c>
      <c r="E41" s="1223">
        <v>0</v>
      </c>
      <c r="F41" s="1223">
        <v>0</v>
      </c>
      <c r="G41" s="1223">
        <v>0</v>
      </c>
      <c r="H41" s="1223">
        <v>0</v>
      </c>
      <c r="I41" s="1223">
        <v>0</v>
      </c>
      <c r="J41" s="1223">
        <v>0</v>
      </c>
      <c r="K41" s="1223">
        <v>0</v>
      </c>
      <c r="L41" s="1223">
        <v>0</v>
      </c>
      <c r="M41" s="1214">
        <f t="shared" si="5"/>
        <v>0.71416799999999991</v>
      </c>
      <c r="N41" s="1213">
        <v>1.7811121762</v>
      </c>
      <c r="O41" s="1213">
        <v>6.9009904999999989</v>
      </c>
      <c r="P41" s="1213">
        <v>0</v>
      </c>
      <c r="Q41" s="1213">
        <v>0</v>
      </c>
      <c r="R41" s="1213">
        <v>3.1996000000000003E-5</v>
      </c>
      <c r="S41" s="1213">
        <v>0</v>
      </c>
      <c r="T41" s="1213">
        <v>0</v>
      </c>
      <c r="U41" s="1213">
        <v>0</v>
      </c>
      <c r="V41" s="1213">
        <v>0</v>
      </c>
      <c r="W41" s="1213">
        <v>0</v>
      </c>
      <c r="X41" s="1214">
        <f t="shared" si="6"/>
        <v>9.3963026721999992</v>
      </c>
    </row>
    <row r="42" spans="1:24" s="1228" customFormat="1">
      <c r="A42" s="1230"/>
      <c r="B42" s="1230" t="s">
        <v>282</v>
      </c>
      <c r="C42" s="1223">
        <v>0</v>
      </c>
      <c r="D42" s="1223">
        <v>0</v>
      </c>
      <c r="E42" s="1223">
        <v>0</v>
      </c>
      <c r="F42" s="1223">
        <v>0</v>
      </c>
      <c r="G42" s="1223">
        <v>0</v>
      </c>
      <c r="H42" s="1223">
        <v>0</v>
      </c>
      <c r="I42" s="1223">
        <v>0</v>
      </c>
      <c r="J42" s="1223">
        <v>0</v>
      </c>
      <c r="K42" s="1223">
        <v>0</v>
      </c>
      <c r="L42" s="1223">
        <v>0</v>
      </c>
      <c r="M42" s="1214">
        <f t="shared" si="5"/>
        <v>0</v>
      </c>
      <c r="N42" s="1213">
        <v>116.3107</v>
      </c>
      <c r="O42" s="1213">
        <v>0</v>
      </c>
      <c r="P42" s="1213">
        <v>0</v>
      </c>
      <c r="Q42" s="1213">
        <v>0</v>
      </c>
      <c r="R42" s="1213">
        <v>0</v>
      </c>
      <c r="S42" s="1213">
        <v>0</v>
      </c>
      <c r="T42" s="1213">
        <v>0</v>
      </c>
      <c r="U42" s="1213">
        <v>0</v>
      </c>
      <c r="V42" s="1213">
        <v>0</v>
      </c>
      <c r="W42" s="1213">
        <v>0</v>
      </c>
      <c r="X42" s="1214">
        <f t="shared" si="6"/>
        <v>116.3107</v>
      </c>
    </row>
    <row r="43" spans="1:24" s="1228" customFormat="1">
      <c r="A43" s="1230"/>
      <c r="B43" s="1230"/>
      <c r="C43" s="1231"/>
      <c r="D43" s="1231"/>
      <c r="E43" s="1231"/>
      <c r="F43" s="1231"/>
      <c r="G43" s="1231"/>
      <c r="H43" s="1231"/>
      <c r="I43" s="1231"/>
      <c r="J43" s="1231"/>
      <c r="K43" s="1231"/>
      <c r="L43" s="1231"/>
      <c r="M43" s="1231"/>
      <c r="N43" s="1231"/>
      <c r="O43" s="1231"/>
      <c r="P43" s="1231"/>
      <c r="Q43" s="1231"/>
      <c r="R43" s="1231"/>
      <c r="S43" s="1231"/>
      <c r="T43" s="1231"/>
      <c r="U43" s="1231"/>
      <c r="V43" s="1231"/>
      <c r="W43" s="1231"/>
      <c r="X43" s="1231"/>
    </row>
    <row r="44" spans="1:24" s="1228" customFormat="1">
      <c r="A44" s="1230" t="s">
        <v>745</v>
      </c>
      <c r="B44" s="1230"/>
      <c r="C44" s="1229">
        <f>SUM(C36:C42)</f>
        <v>22.881066490799999</v>
      </c>
      <c r="D44" s="1229">
        <f t="shared" ref="D44:X44" si="7">SUM(D36:D42)</f>
        <v>219.743685</v>
      </c>
      <c r="E44" s="1229">
        <f t="shared" si="7"/>
        <v>0</v>
      </c>
      <c r="F44" s="1229">
        <f t="shared" si="7"/>
        <v>0</v>
      </c>
      <c r="G44" s="1229">
        <f t="shared" si="7"/>
        <v>0.2571426</v>
      </c>
      <c r="H44" s="1229">
        <f t="shared" si="7"/>
        <v>314.34043079999998</v>
      </c>
      <c r="I44" s="1229">
        <f t="shared" si="7"/>
        <v>0</v>
      </c>
      <c r="J44" s="1229">
        <f t="shared" si="7"/>
        <v>0</v>
      </c>
      <c r="K44" s="1229">
        <f t="shared" si="7"/>
        <v>1949.4443729999998</v>
      </c>
      <c r="L44" s="1229">
        <f t="shared" si="7"/>
        <v>2451.7731359999998</v>
      </c>
      <c r="M44" s="1229">
        <f t="shared" si="7"/>
        <v>4958.4398338907995</v>
      </c>
      <c r="N44" s="1229">
        <f t="shared" si="7"/>
        <v>1858.5513414212944</v>
      </c>
      <c r="O44" s="1229">
        <f t="shared" si="7"/>
        <v>6.9009904999999989</v>
      </c>
      <c r="P44" s="1229">
        <f t="shared" si="7"/>
        <v>0</v>
      </c>
      <c r="Q44" s="1229">
        <f t="shared" si="7"/>
        <v>191.41300000000001</v>
      </c>
      <c r="R44" s="1229">
        <f t="shared" si="7"/>
        <v>263.43641111967816</v>
      </c>
      <c r="S44" s="1229">
        <f t="shared" si="7"/>
        <v>980.68600000000015</v>
      </c>
      <c r="T44" s="1229">
        <f t="shared" si="7"/>
        <v>5157.322722770331</v>
      </c>
      <c r="U44" s="1229">
        <f t="shared" si="7"/>
        <v>0</v>
      </c>
      <c r="V44" s="1229">
        <f t="shared" si="7"/>
        <v>0</v>
      </c>
      <c r="W44" s="1229">
        <f t="shared" si="7"/>
        <v>0</v>
      </c>
      <c r="X44" s="1229">
        <f t="shared" si="7"/>
        <v>13416.7502997021</v>
      </c>
    </row>
    <row r="45" spans="1:24" s="1228" customFormat="1">
      <c r="A45" s="1230"/>
      <c r="B45" s="1230"/>
      <c r="C45" s="1231"/>
      <c r="D45" s="1231"/>
      <c r="E45" s="1231"/>
      <c r="F45" s="1231"/>
      <c r="G45" s="1231"/>
      <c r="H45" s="1231"/>
      <c r="I45" s="1231"/>
      <c r="J45" s="1231"/>
      <c r="K45" s="1231"/>
      <c r="L45" s="1231"/>
      <c r="M45" s="1231"/>
      <c r="N45" s="1231"/>
      <c r="O45" s="1231"/>
      <c r="P45" s="1231"/>
      <c r="Q45" s="1231"/>
      <c r="R45" s="1231"/>
      <c r="S45" s="1231"/>
      <c r="T45" s="1231"/>
      <c r="U45" s="1231"/>
      <c r="V45" s="1231"/>
      <c r="W45" s="1231"/>
      <c r="X45" s="1231"/>
    </row>
    <row r="46" spans="1:24">
      <c r="A46" s="380"/>
      <c r="B46" s="380"/>
      <c r="C46" s="369"/>
      <c r="D46" s="369"/>
      <c r="E46" s="369"/>
      <c r="F46" s="369"/>
      <c r="G46" s="369"/>
      <c r="H46" s="369"/>
      <c r="I46" s="369"/>
      <c r="J46" s="369"/>
      <c r="K46" s="369"/>
      <c r="L46" s="381"/>
      <c r="M46" s="369"/>
      <c r="N46" s="369"/>
      <c r="O46" s="369"/>
      <c r="P46" s="369"/>
      <c r="Q46" s="369"/>
      <c r="R46" s="369"/>
      <c r="S46" s="369"/>
      <c r="T46" s="369"/>
      <c r="U46" s="369"/>
      <c r="V46" s="369"/>
      <c r="W46" s="369"/>
      <c r="X46" s="369"/>
    </row>
    <row r="47" spans="1:24">
      <c r="A47" s="382" t="s">
        <v>276</v>
      </c>
      <c r="B47" s="380"/>
      <c r="C47" s="1216">
        <f>C33+C26+C12+C44</f>
        <v>48551.018285865604</v>
      </c>
      <c r="D47" s="1216">
        <f t="shared" ref="D47:X47" si="8">D33+D26+D12+D44</f>
        <v>16178.054682894972</v>
      </c>
      <c r="E47" s="1216">
        <f t="shared" si="8"/>
        <v>23649.181488687998</v>
      </c>
      <c r="F47" s="1216">
        <f t="shared" si="8"/>
        <v>0</v>
      </c>
      <c r="G47" s="1216">
        <f t="shared" si="8"/>
        <v>1189.12925043</v>
      </c>
      <c r="H47" s="1216">
        <f t="shared" si="8"/>
        <v>12282.260129260003</v>
      </c>
      <c r="I47" s="1216">
        <f t="shared" si="8"/>
        <v>47.712420000000002</v>
      </c>
      <c r="J47" s="1216">
        <f t="shared" si="8"/>
        <v>6384.0994700400015</v>
      </c>
      <c r="K47" s="1216">
        <f t="shared" si="8"/>
        <v>1968.8626900649999</v>
      </c>
      <c r="L47" s="1216">
        <f t="shared" si="8"/>
        <v>2456.5498359999997</v>
      </c>
      <c r="M47" s="1216">
        <f t="shared" si="8"/>
        <v>112706.86825324356</v>
      </c>
      <c r="N47" s="1216">
        <f t="shared" si="8"/>
        <v>42205.881296631385</v>
      </c>
      <c r="O47" s="1216">
        <f t="shared" si="8"/>
        <v>5252.8693653975497</v>
      </c>
      <c r="P47" s="1216">
        <f t="shared" si="8"/>
        <v>1997.303652000001</v>
      </c>
      <c r="Q47" s="1216">
        <f t="shared" si="8"/>
        <v>191.41300000000001</v>
      </c>
      <c r="R47" s="1216">
        <f t="shared" si="8"/>
        <v>1310.3684830651732</v>
      </c>
      <c r="S47" s="1216">
        <f t="shared" si="8"/>
        <v>1348.559</v>
      </c>
      <c r="T47" s="1216">
        <f t="shared" si="8"/>
        <v>20672.031745653807</v>
      </c>
      <c r="U47" s="1216">
        <f t="shared" si="8"/>
        <v>0</v>
      </c>
      <c r="V47" s="1216">
        <f t="shared" si="8"/>
        <v>0</v>
      </c>
      <c r="W47" s="1216">
        <f t="shared" si="8"/>
        <v>38595.947398791061</v>
      </c>
      <c r="X47" s="1216">
        <f t="shared" si="8"/>
        <v>224281.24219478254</v>
      </c>
    </row>
    <row r="48" spans="1:24">
      <c r="A48" s="368"/>
      <c r="B48" s="380"/>
      <c r="C48" s="369"/>
      <c r="D48" s="369"/>
      <c r="E48" s="369"/>
      <c r="F48" s="369"/>
      <c r="G48" s="369"/>
      <c r="H48" s="369"/>
      <c r="I48" s="369"/>
      <c r="J48" s="369"/>
      <c r="K48" s="369"/>
      <c r="L48" s="381"/>
      <c r="M48" s="369"/>
      <c r="N48" s="369"/>
      <c r="O48" s="369"/>
      <c r="P48" s="369"/>
      <c r="Q48" s="369"/>
      <c r="R48" s="369"/>
      <c r="S48" s="369"/>
      <c r="T48" s="369"/>
      <c r="U48" s="369"/>
      <c r="V48" s="369"/>
      <c r="W48" s="369"/>
      <c r="X48" s="369"/>
    </row>
    <row r="49" spans="1:26">
      <c r="A49" s="382" t="s">
        <v>277</v>
      </c>
      <c r="B49" s="380" t="s">
        <v>278</v>
      </c>
      <c r="C49" s="1223">
        <v>162.75657587039322</v>
      </c>
      <c r="D49" s="1223">
        <v>795.75700736002921</v>
      </c>
      <c r="E49" s="1223">
        <v>0</v>
      </c>
      <c r="F49" s="1223">
        <v>0</v>
      </c>
      <c r="G49" s="1223">
        <v>8.9910000000000018E-2</v>
      </c>
      <c r="H49" s="1223">
        <v>0.43379105000000001</v>
      </c>
      <c r="I49" s="1223">
        <v>0</v>
      </c>
      <c r="J49" s="1223">
        <v>0</v>
      </c>
      <c r="K49" s="1223">
        <v>1.261435E-3</v>
      </c>
      <c r="L49" s="1223">
        <v>86.544364999999985</v>
      </c>
      <c r="M49" s="1214">
        <f t="shared" ref="M49:M55" si="9">SUM(C49:L49)</f>
        <v>1045.5829107154225</v>
      </c>
      <c r="N49" s="1213">
        <v>0</v>
      </c>
      <c r="O49" s="1213">
        <v>85.131494662607835</v>
      </c>
      <c r="P49" s="1213">
        <v>0</v>
      </c>
      <c r="Q49" s="1213">
        <v>0</v>
      </c>
      <c r="R49" s="1213">
        <v>0</v>
      </c>
      <c r="S49" s="1213">
        <v>0</v>
      </c>
      <c r="T49" s="1213">
        <v>475.36879568800003</v>
      </c>
      <c r="U49" s="1213">
        <v>0</v>
      </c>
      <c r="V49" s="1213">
        <v>0</v>
      </c>
      <c r="W49" s="1213">
        <v>4391.4619999587903</v>
      </c>
      <c r="X49" s="1214">
        <f t="shared" ref="X49:X55" si="10">SUM(M49:W49)</f>
        <v>5997.5452010248209</v>
      </c>
    </row>
    <row r="50" spans="1:26">
      <c r="A50" s="382" t="s">
        <v>743</v>
      </c>
      <c r="B50" s="380" t="s">
        <v>297</v>
      </c>
      <c r="C50" s="1223">
        <v>779.46365429999992</v>
      </c>
      <c r="D50" s="1223">
        <v>116.14339747500003</v>
      </c>
      <c r="E50" s="1223">
        <v>0</v>
      </c>
      <c r="F50" s="1223">
        <v>0</v>
      </c>
      <c r="G50" s="1223">
        <v>0</v>
      </c>
      <c r="H50" s="1223">
        <v>1.0579017900000001</v>
      </c>
      <c r="I50" s="1223">
        <v>0</v>
      </c>
      <c r="J50" s="1223">
        <v>0</v>
      </c>
      <c r="K50" s="1223">
        <v>0.26829845000000002</v>
      </c>
      <c r="L50" s="1223">
        <v>0</v>
      </c>
      <c r="M50" s="1214">
        <f t="shared" si="9"/>
        <v>896.93325201499988</v>
      </c>
      <c r="N50" s="1213">
        <v>0</v>
      </c>
      <c r="O50" s="1213">
        <v>17716.267733054887</v>
      </c>
      <c r="P50" s="1213">
        <v>5588.9669552500009</v>
      </c>
      <c r="Q50" s="1213">
        <v>0</v>
      </c>
      <c r="R50" s="1213">
        <v>0</v>
      </c>
      <c r="S50" s="1213">
        <v>0</v>
      </c>
      <c r="T50" s="1213">
        <v>31781.28655592446</v>
      </c>
      <c r="U50" s="1213">
        <v>0</v>
      </c>
      <c r="V50" s="1213">
        <v>0</v>
      </c>
      <c r="W50" s="1213">
        <v>123.92507461299536</v>
      </c>
      <c r="X50" s="1214">
        <f t="shared" si="10"/>
        <v>56107.379570857345</v>
      </c>
    </row>
    <row r="51" spans="1:26">
      <c r="A51" s="380"/>
      <c r="B51" s="380" t="s">
        <v>279</v>
      </c>
      <c r="C51" s="1223">
        <v>0</v>
      </c>
      <c r="D51" s="1223">
        <v>0</v>
      </c>
      <c r="E51" s="1223">
        <v>0</v>
      </c>
      <c r="F51" s="1223">
        <v>0</v>
      </c>
      <c r="G51" s="1223">
        <v>0</v>
      </c>
      <c r="H51" s="1223">
        <v>27.668561800000006</v>
      </c>
      <c r="I51" s="1223">
        <v>0</v>
      </c>
      <c r="J51" s="1223">
        <v>0</v>
      </c>
      <c r="K51" s="1223">
        <v>0</v>
      </c>
      <c r="L51" s="1223">
        <v>0</v>
      </c>
      <c r="M51" s="1214">
        <f t="shared" si="9"/>
        <v>27.668561800000006</v>
      </c>
      <c r="N51" s="1213">
        <v>0</v>
      </c>
      <c r="O51" s="1213">
        <v>0</v>
      </c>
      <c r="P51" s="1213">
        <v>2033.3929999999996</v>
      </c>
      <c r="Q51" s="1213">
        <v>0</v>
      </c>
      <c r="R51" s="1213">
        <v>0</v>
      </c>
      <c r="S51" s="1213">
        <v>0</v>
      </c>
      <c r="T51" s="1213">
        <f>T77</f>
        <v>276.90079287199995</v>
      </c>
      <c r="U51" s="1213">
        <v>0</v>
      </c>
      <c r="V51" s="1213">
        <v>0</v>
      </c>
      <c r="W51" s="1213">
        <v>0</v>
      </c>
      <c r="X51" s="1214">
        <f t="shared" si="10"/>
        <v>2337.9623546719995</v>
      </c>
    </row>
    <row r="52" spans="1:26">
      <c r="A52" s="380"/>
      <c r="B52" s="380" t="s">
        <v>296</v>
      </c>
      <c r="C52" s="1223">
        <v>0</v>
      </c>
      <c r="D52" s="1223">
        <v>0</v>
      </c>
      <c r="E52" s="1223">
        <v>0</v>
      </c>
      <c r="F52" s="1223">
        <v>0</v>
      </c>
      <c r="G52" s="1223">
        <v>0</v>
      </c>
      <c r="H52" s="1223">
        <v>0</v>
      </c>
      <c r="I52" s="1223">
        <v>0</v>
      </c>
      <c r="J52" s="1223">
        <v>0</v>
      </c>
      <c r="K52" s="1223">
        <v>0</v>
      </c>
      <c r="L52" s="1223">
        <v>0</v>
      </c>
      <c r="M52" s="1214">
        <f t="shared" si="9"/>
        <v>0</v>
      </c>
      <c r="N52" s="1213">
        <v>0</v>
      </c>
      <c r="O52" s="1213">
        <v>5082.796800000001</v>
      </c>
      <c r="P52" s="1223">
        <v>0</v>
      </c>
      <c r="Q52" s="1213">
        <v>0</v>
      </c>
      <c r="R52" s="1213">
        <v>0</v>
      </c>
      <c r="S52" s="1213">
        <v>0</v>
      </c>
      <c r="T52" s="1213">
        <v>0</v>
      </c>
      <c r="U52" s="1213">
        <v>0</v>
      </c>
      <c r="V52" s="1213">
        <v>0</v>
      </c>
      <c r="W52" s="1213">
        <v>0</v>
      </c>
      <c r="X52" s="1214">
        <f t="shared" si="10"/>
        <v>5082.796800000001</v>
      </c>
    </row>
    <row r="53" spans="1:26">
      <c r="A53" s="380"/>
      <c r="B53" s="380" t="s">
        <v>280</v>
      </c>
      <c r="C53" s="1223">
        <v>0</v>
      </c>
      <c r="D53" s="1223">
        <v>0</v>
      </c>
      <c r="E53" s="1223">
        <v>0</v>
      </c>
      <c r="F53" s="1223">
        <v>0</v>
      </c>
      <c r="G53" s="1223">
        <v>0</v>
      </c>
      <c r="H53" s="1223">
        <v>0</v>
      </c>
      <c r="I53" s="1223">
        <v>0</v>
      </c>
      <c r="J53" s="1223">
        <v>0</v>
      </c>
      <c r="K53" s="1223">
        <v>0</v>
      </c>
      <c r="L53" s="1223">
        <v>0</v>
      </c>
      <c r="M53" s="1214">
        <f t="shared" si="9"/>
        <v>0</v>
      </c>
      <c r="N53" s="1213">
        <v>0</v>
      </c>
      <c r="O53" s="1213">
        <v>0</v>
      </c>
      <c r="P53" s="1213">
        <v>0</v>
      </c>
      <c r="Q53" s="1213">
        <v>0</v>
      </c>
      <c r="R53" s="1213">
        <v>0</v>
      </c>
      <c r="S53" s="1213">
        <v>0</v>
      </c>
      <c r="T53" s="1213">
        <f>T76</f>
        <v>2229.5532317366915</v>
      </c>
      <c r="U53" s="1213">
        <v>0</v>
      </c>
      <c r="V53" s="1213">
        <v>0</v>
      </c>
      <c r="W53" s="1213">
        <v>0</v>
      </c>
      <c r="X53" s="1214">
        <f t="shared" si="10"/>
        <v>2229.5532317366915</v>
      </c>
    </row>
    <row r="54" spans="1:26">
      <c r="A54" s="380"/>
      <c r="B54" s="380" t="s">
        <v>281</v>
      </c>
      <c r="C54" s="1223">
        <v>0</v>
      </c>
      <c r="D54" s="1223">
        <v>0</v>
      </c>
      <c r="E54" s="1223">
        <v>0</v>
      </c>
      <c r="F54" s="1223">
        <v>0</v>
      </c>
      <c r="G54" s="1223">
        <v>0</v>
      </c>
      <c r="H54" s="1223">
        <v>0</v>
      </c>
      <c r="I54" s="1223">
        <v>0</v>
      </c>
      <c r="J54" s="1223">
        <v>0</v>
      </c>
      <c r="K54" s="1223">
        <v>0</v>
      </c>
      <c r="L54" s="1223">
        <v>0</v>
      </c>
      <c r="M54" s="1214">
        <f t="shared" si="9"/>
        <v>0</v>
      </c>
      <c r="N54" s="1213">
        <v>0</v>
      </c>
      <c r="O54" s="1213">
        <v>0</v>
      </c>
      <c r="P54" s="1213">
        <v>8.4840000000000002E-3</v>
      </c>
      <c r="Q54" s="1213">
        <v>0</v>
      </c>
      <c r="R54" s="1213">
        <v>0</v>
      </c>
      <c r="S54" s="1213">
        <v>0</v>
      </c>
      <c r="T54" s="1213">
        <v>0</v>
      </c>
      <c r="U54" s="1213">
        <v>0</v>
      </c>
      <c r="V54" s="1213">
        <v>0</v>
      </c>
      <c r="W54" s="1213">
        <v>0</v>
      </c>
      <c r="X54" s="1214">
        <f t="shared" si="10"/>
        <v>8.4840000000000002E-3</v>
      </c>
    </row>
    <row r="55" spans="1:26">
      <c r="A55" s="380"/>
      <c r="B55" s="380" t="s">
        <v>282</v>
      </c>
      <c r="C55" s="1223">
        <v>0</v>
      </c>
      <c r="D55" s="1223">
        <v>0</v>
      </c>
      <c r="E55" s="1223">
        <v>0</v>
      </c>
      <c r="F55" s="1223">
        <v>0</v>
      </c>
      <c r="G55" s="1223">
        <v>0</v>
      </c>
      <c r="H55" s="1223">
        <v>0</v>
      </c>
      <c r="I55" s="1223">
        <v>0</v>
      </c>
      <c r="J55" s="1223">
        <v>0</v>
      </c>
      <c r="K55" s="1223">
        <v>0</v>
      </c>
      <c r="L55" s="1223">
        <v>0</v>
      </c>
      <c r="M55" s="1214">
        <f t="shared" si="9"/>
        <v>0</v>
      </c>
      <c r="N55" s="1213">
        <v>0</v>
      </c>
      <c r="O55" s="1213">
        <v>0</v>
      </c>
      <c r="P55" s="1213">
        <v>0</v>
      </c>
      <c r="Q55" s="1213">
        <v>0</v>
      </c>
      <c r="R55" s="1213">
        <v>0</v>
      </c>
      <c r="S55" s="1213">
        <v>0</v>
      </c>
      <c r="T55" s="1213">
        <v>24785.521033810026</v>
      </c>
      <c r="U55" s="1213">
        <v>0</v>
      </c>
      <c r="V55" s="1213">
        <v>0</v>
      </c>
      <c r="W55" s="1213">
        <v>0</v>
      </c>
      <c r="X55" s="1214">
        <f t="shared" si="10"/>
        <v>24785.521033810026</v>
      </c>
    </row>
    <row r="56" spans="1:26">
      <c r="A56" s="380"/>
      <c r="B56" s="380"/>
      <c r="C56" s="369"/>
      <c r="D56" s="369"/>
      <c r="E56" s="369"/>
      <c r="F56" s="369"/>
      <c r="G56" s="369"/>
      <c r="H56" s="369"/>
      <c r="I56" s="369"/>
      <c r="J56" s="369"/>
      <c r="K56" s="369"/>
      <c r="L56" s="381"/>
      <c r="M56" s="369"/>
      <c r="N56" s="369"/>
      <c r="O56" s="369"/>
      <c r="P56" s="369"/>
      <c r="Q56" s="369"/>
      <c r="R56" s="369"/>
      <c r="S56" s="369"/>
      <c r="T56" s="369"/>
      <c r="U56" s="369"/>
      <c r="V56" s="369"/>
      <c r="W56" s="369"/>
      <c r="X56" s="369"/>
    </row>
    <row r="57" spans="1:26">
      <c r="A57" s="380" t="s">
        <v>283</v>
      </c>
      <c r="B57" s="380"/>
      <c r="C57" s="1216">
        <f>SUM(C49:C55)</f>
        <v>942.22023017039317</v>
      </c>
      <c r="D57" s="1216">
        <f t="shared" ref="D57:X57" si="11">SUM(D49:D55)</f>
        <v>911.90040483502924</v>
      </c>
      <c r="E57" s="1216">
        <f t="shared" si="11"/>
        <v>0</v>
      </c>
      <c r="F57" s="1216">
        <f t="shared" si="11"/>
        <v>0</v>
      </c>
      <c r="G57" s="1216">
        <f t="shared" si="11"/>
        <v>8.9910000000000018E-2</v>
      </c>
      <c r="H57" s="1216">
        <f t="shared" si="11"/>
        <v>29.160254640000005</v>
      </c>
      <c r="I57" s="1216">
        <f t="shared" si="11"/>
        <v>0</v>
      </c>
      <c r="J57" s="1216">
        <f t="shared" si="11"/>
        <v>0</v>
      </c>
      <c r="K57" s="1216">
        <f t="shared" si="11"/>
        <v>0.269559885</v>
      </c>
      <c r="L57" s="1216">
        <f t="shared" si="11"/>
        <v>86.544364999999985</v>
      </c>
      <c r="M57" s="1216">
        <f t="shared" si="11"/>
        <v>1970.1847245304223</v>
      </c>
      <c r="N57" s="1216">
        <f t="shared" si="11"/>
        <v>0</v>
      </c>
      <c r="O57" s="1216">
        <f t="shared" si="11"/>
        <v>22884.196027717495</v>
      </c>
      <c r="P57" s="1216">
        <f t="shared" si="11"/>
        <v>7622.3684392499999</v>
      </c>
      <c r="Q57" s="1216">
        <f t="shared" si="11"/>
        <v>0</v>
      </c>
      <c r="R57" s="1216">
        <f t="shared" si="11"/>
        <v>0</v>
      </c>
      <c r="S57" s="1216">
        <f t="shared" si="11"/>
        <v>0</v>
      </c>
      <c r="T57" s="1216">
        <f t="shared" si="11"/>
        <v>59548.630410031168</v>
      </c>
      <c r="U57" s="1216">
        <f t="shared" si="11"/>
        <v>0</v>
      </c>
      <c r="V57" s="1216">
        <f t="shared" si="11"/>
        <v>0</v>
      </c>
      <c r="W57" s="1216">
        <f t="shared" si="11"/>
        <v>4515.3870745717859</v>
      </c>
      <c r="X57" s="1216">
        <f t="shared" si="11"/>
        <v>96540.766676100888</v>
      </c>
    </row>
    <row r="58" spans="1:26">
      <c r="A58" s="380"/>
      <c r="B58" s="380"/>
      <c r="C58" s="369"/>
      <c r="D58" s="369"/>
      <c r="E58" s="369"/>
      <c r="F58" s="369"/>
      <c r="G58" s="369"/>
      <c r="H58" s="369"/>
      <c r="I58" s="369"/>
      <c r="J58" s="369"/>
      <c r="K58" s="369"/>
      <c r="L58" s="381"/>
      <c r="M58" s="369"/>
      <c r="N58" s="369"/>
      <c r="O58" s="369"/>
      <c r="P58" s="369"/>
      <c r="Q58" s="369"/>
      <c r="R58" s="369"/>
      <c r="S58" s="369"/>
      <c r="T58" s="369"/>
      <c r="U58" s="369"/>
      <c r="V58" s="369"/>
      <c r="W58" s="369"/>
      <c r="X58" s="369"/>
      <c r="Z58" s="402"/>
    </row>
    <row r="59" spans="1:26">
      <c r="A59" s="380"/>
      <c r="B59" s="380"/>
      <c r="C59" s="369"/>
      <c r="D59" s="369"/>
      <c r="E59" s="369"/>
      <c r="F59" s="369"/>
      <c r="G59" s="369"/>
      <c r="H59" s="369"/>
      <c r="I59" s="369"/>
      <c r="J59" s="369"/>
      <c r="K59" s="369"/>
      <c r="L59" s="381"/>
      <c r="M59" s="369"/>
      <c r="N59" s="369"/>
      <c r="O59" s="369"/>
      <c r="P59" s="369"/>
      <c r="Q59" s="369"/>
      <c r="R59" s="369"/>
      <c r="S59" s="369"/>
      <c r="T59" s="369"/>
      <c r="U59" s="369"/>
      <c r="V59" s="369"/>
      <c r="W59" s="369"/>
      <c r="X59" s="369"/>
    </row>
    <row r="60" spans="1:26">
      <c r="A60" s="382" t="s">
        <v>284</v>
      </c>
      <c r="B60" s="382"/>
      <c r="C60" s="1229">
        <f>C47+C57</f>
        <v>49493.238516035999</v>
      </c>
      <c r="D60" s="1229">
        <f t="shared" ref="D60:X60" si="12">D47+D57</f>
        <v>17089.955087730003</v>
      </c>
      <c r="E60" s="1229">
        <f t="shared" si="12"/>
        <v>23649.181488687998</v>
      </c>
      <c r="F60" s="1229">
        <f t="shared" si="12"/>
        <v>0</v>
      </c>
      <c r="G60" s="1229">
        <f t="shared" si="12"/>
        <v>1189.2191604299999</v>
      </c>
      <c r="H60" s="1229">
        <f t="shared" si="12"/>
        <v>12311.420383900004</v>
      </c>
      <c r="I60" s="1229">
        <f t="shared" si="12"/>
        <v>47.712420000000002</v>
      </c>
      <c r="J60" s="1229">
        <f t="shared" si="12"/>
        <v>6384.0994700400015</v>
      </c>
      <c r="K60" s="1229">
        <f t="shared" si="12"/>
        <v>1969.13224995</v>
      </c>
      <c r="L60" s="1229">
        <f t="shared" si="12"/>
        <v>2543.0942009999999</v>
      </c>
      <c r="M60" s="1216">
        <f t="shared" si="12"/>
        <v>114677.05297777399</v>
      </c>
      <c r="N60" s="1229">
        <f t="shared" si="12"/>
        <v>42205.881296631385</v>
      </c>
      <c r="O60" s="1229">
        <f t="shared" si="12"/>
        <v>28137.065393115045</v>
      </c>
      <c r="P60" s="1229">
        <f t="shared" si="12"/>
        <v>9619.6720912500004</v>
      </c>
      <c r="Q60" s="1229">
        <f>Q47+Q57</f>
        <v>191.41300000000001</v>
      </c>
      <c r="R60" s="1229">
        <f t="shared" si="12"/>
        <v>1310.3684830651732</v>
      </c>
      <c r="S60" s="1229">
        <f>S47+S57</f>
        <v>1348.559</v>
      </c>
      <c r="T60" s="1229">
        <f t="shared" si="12"/>
        <v>80220.662155684971</v>
      </c>
      <c r="U60" s="1229">
        <f t="shared" si="12"/>
        <v>0</v>
      </c>
      <c r="V60" s="1229">
        <f t="shared" si="12"/>
        <v>0</v>
      </c>
      <c r="W60" s="1229">
        <f>W47+W57</f>
        <v>43111.334473362847</v>
      </c>
      <c r="X60" s="1216">
        <f t="shared" si="12"/>
        <v>320822.00887088344</v>
      </c>
    </row>
    <row r="61" spans="1:26" ht="13.5" customHeight="1"/>
    <row r="74" spans="8:25" hidden="1"/>
    <row r="75" spans="8:25" ht="13.5" hidden="1" customHeight="1">
      <c r="H75" s="1223">
        <v>51.623004400000013</v>
      </c>
      <c r="T75">
        <v>0.30260074225930472</v>
      </c>
    </row>
    <row r="76" spans="8:25" hidden="1">
      <c r="H76">
        <v>27.668561800000006</v>
      </c>
      <c r="I76" t="s">
        <v>812</v>
      </c>
      <c r="R76">
        <v>262.78800000000001</v>
      </c>
      <c r="S76" s="1286">
        <v>980.68600000000015</v>
      </c>
      <c r="T76">
        <v>2229.5532317366915</v>
      </c>
      <c r="U76" t="s">
        <v>809</v>
      </c>
      <c r="Y76" s="402"/>
    </row>
    <row r="77" spans="8:25" hidden="1">
      <c r="H77">
        <v>23.940430799999998</v>
      </c>
      <c r="I77" t="s">
        <v>813</v>
      </c>
      <c r="R77" t="s">
        <v>816</v>
      </c>
      <c r="S77" t="s">
        <v>816</v>
      </c>
      <c r="T77">
        <v>276.90079287199995</v>
      </c>
      <c r="U77" t="s">
        <v>810</v>
      </c>
    </row>
    <row r="78" spans="8:25" hidden="1">
      <c r="R78" t="s">
        <v>814</v>
      </c>
      <c r="S78" t="s">
        <v>814</v>
      </c>
      <c r="T78">
        <v>18.905819700999999</v>
      </c>
      <c r="U78" t="s">
        <v>811</v>
      </c>
    </row>
    <row r="79" spans="8:25" hidden="1">
      <c r="R79" t="s">
        <v>815</v>
      </c>
      <c r="S79" t="s">
        <v>815</v>
      </c>
    </row>
  </sheetData>
  <phoneticPr fontId="0" type="noConversion"/>
  <hyperlinks>
    <hyperlink ref="D1" location="INDICE!A60" display="VOLVER A INDICE"/>
  </hyperlinks>
  <pageMargins left="0.75" right="0.75" top="1" bottom="1" header="0" footer="0"/>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8"/>
  <sheetViews>
    <sheetView showGridLines="0" zoomScale="70" workbookViewId="0">
      <pane xSplit="2" ySplit="5" topLeftCell="C24" activePane="bottomRight" state="frozen"/>
      <selection pane="topRight" activeCell="C1" sqref="C1"/>
      <selection pane="bottomLeft" activeCell="A6" sqref="A6"/>
      <selection pane="bottomRight" activeCell="D1" sqref="D1"/>
    </sheetView>
  </sheetViews>
  <sheetFormatPr baseColWidth="10" defaultRowHeight="12.75"/>
  <cols>
    <col min="1" max="1" width="21.28515625" customWidth="1"/>
    <col min="2" max="2" width="27.85546875" customWidth="1"/>
  </cols>
  <sheetData>
    <row r="1" spans="1:28" ht="15.75">
      <c r="A1" s="383" t="s">
        <v>790</v>
      </c>
      <c r="B1" s="384"/>
      <c r="C1" s="385"/>
      <c r="D1" s="864" t="s">
        <v>683</v>
      </c>
      <c r="E1" s="385"/>
      <c r="F1" s="385"/>
      <c r="G1" s="385"/>
      <c r="H1" s="386"/>
      <c r="I1" s="386"/>
      <c r="J1" s="387" t="s">
        <v>217</v>
      </c>
      <c r="K1" s="386"/>
      <c r="L1" s="386"/>
      <c r="M1" s="385"/>
      <c r="N1" s="385"/>
      <c r="O1" s="385"/>
      <c r="P1" s="385"/>
      <c r="Q1" s="385"/>
      <c r="R1" s="385"/>
      <c r="S1" s="385"/>
      <c r="T1" s="385"/>
      <c r="U1" s="385"/>
      <c r="V1" s="385"/>
      <c r="W1" s="388"/>
      <c r="X1" s="388"/>
      <c r="Y1" s="388"/>
      <c r="Z1" s="388"/>
      <c r="AA1" s="388"/>
      <c r="AB1" s="388"/>
    </row>
    <row r="2" spans="1:28">
      <c r="A2" s="384"/>
      <c r="B2" s="384"/>
      <c r="C2" s="385"/>
      <c r="D2" s="385"/>
      <c r="E2" s="385"/>
      <c r="F2" s="385"/>
      <c r="G2" s="385"/>
      <c r="H2" s="385"/>
      <c r="I2" s="385"/>
      <c r="J2" s="385"/>
      <c r="K2" s="385"/>
      <c r="L2" s="385"/>
      <c r="M2" s="385"/>
      <c r="N2" s="385"/>
      <c r="O2" s="385"/>
      <c r="P2" s="385"/>
      <c r="Q2" s="385"/>
      <c r="R2" s="385"/>
      <c r="S2" s="385"/>
      <c r="T2" s="385"/>
      <c r="U2" s="385"/>
      <c r="V2" s="385"/>
      <c r="W2" s="388"/>
      <c r="X2" s="388"/>
      <c r="Y2" s="388"/>
      <c r="Z2" s="388"/>
      <c r="AA2" s="388"/>
      <c r="AB2" s="388"/>
    </row>
    <row r="3" spans="1:28">
      <c r="A3" s="389"/>
      <c r="B3" s="389"/>
      <c r="C3" s="390" t="s">
        <v>218</v>
      </c>
      <c r="D3" s="390" t="s">
        <v>219</v>
      </c>
      <c r="E3" s="390" t="s">
        <v>220</v>
      </c>
      <c r="F3" s="390" t="s">
        <v>220</v>
      </c>
      <c r="G3" s="390" t="s">
        <v>221</v>
      </c>
      <c r="H3" s="390" t="s">
        <v>222</v>
      </c>
      <c r="I3" s="390" t="s">
        <v>220</v>
      </c>
      <c r="J3" s="390" t="s">
        <v>221</v>
      </c>
      <c r="K3" s="390" t="s">
        <v>223</v>
      </c>
      <c r="L3" s="390" t="s">
        <v>224</v>
      </c>
      <c r="M3" s="390" t="s">
        <v>226</v>
      </c>
      <c r="N3" s="390" t="s">
        <v>227</v>
      </c>
      <c r="O3" s="390" t="s">
        <v>285</v>
      </c>
      <c r="P3" s="390" t="s">
        <v>241</v>
      </c>
      <c r="Q3" s="390" t="s">
        <v>222</v>
      </c>
      <c r="R3" s="390" t="s">
        <v>224</v>
      </c>
      <c r="S3" s="390" t="s">
        <v>222</v>
      </c>
      <c r="T3" s="390" t="s">
        <v>286</v>
      </c>
      <c r="U3" s="390" t="s">
        <v>229</v>
      </c>
      <c r="V3" s="390" t="s">
        <v>230</v>
      </c>
      <c r="W3" s="388"/>
      <c r="X3" s="388"/>
      <c r="Y3" s="388"/>
      <c r="Z3" s="388"/>
      <c r="AA3" s="388"/>
      <c r="AB3" s="388"/>
    </row>
    <row r="4" spans="1:28">
      <c r="A4" s="391" t="s">
        <v>231</v>
      </c>
      <c r="B4" s="392"/>
      <c r="C4" s="393" t="s">
        <v>232</v>
      </c>
      <c r="D4" s="393" t="s">
        <v>233</v>
      </c>
      <c r="E4" s="393" t="s">
        <v>234</v>
      </c>
      <c r="F4" s="393" t="s">
        <v>235</v>
      </c>
      <c r="G4" s="393" t="s">
        <v>287</v>
      </c>
      <c r="H4" s="393" t="s">
        <v>236</v>
      </c>
      <c r="I4" s="393" t="s">
        <v>237</v>
      </c>
      <c r="J4" s="393" t="s">
        <v>237</v>
      </c>
      <c r="K4" s="393" t="s">
        <v>287</v>
      </c>
      <c r="L4" s="393" t="s">
        <v>238</v>
      </c>
      <c r="M4" s="393" t="s">
        <v>240</v>
      </c>
      <c r="N4" s="393" t="s">
        <v>287</v>
      </c>
      <c r="O4" s="392" t="s">
        <v>287</v>
      </c>
      <c r="P4" s="393" t="s">
        <v>287</v>
      </c>
      <c r="Q4" s="393" t="s">
        <v>242</v>
      </c>
      <c r="R4" s="394" t="s">
        <v>288</v>
      </c>
      <c r="S4" s="393" t="s">
        <v>244</v>
      </c>
      <c r="T4" s="393" t="s">
        <v>287</v>
      </c>
      <c r="U4" s="393" t="s">
        <v>289</v>
      </c>
      <c r="V4" s="393" t="s">
        <v>246</v>
      </c>
      <c r="W4" s="388"/>
      <c r="X4" s="388"/>
      <c r="Y4" s="388"/>
      <c r="Z4" s="388"/>
      <c r="AA4" s="388"/>
      <c r="AB4" s="388"/>
    </row>
    <row r="5" spans="1:28">
      <c r="A5" s="395"/>
      <c r="B5" s="395"/>
      <c r="C5" s="396" t="s">
        <v>290</v>
      </c>
      <c r="D5" s="396" t="s">
        <v>291</v>
      </c>
      <c r="E5" s="396" t="s">
        <v>290</v>
      </c>
      <c r="F5" s="396" t="s">
        <v>290</v>
      </c>
      <c r="G5" s="396" t="s">
        <v>292</v>
      </c>
      <c r="H5" s="396" t="s">
        <v>291</v>
      </c>
      <c r="I5" s="396" t="s">
        <v>290</v>
      </c>
      <c r="J5" s="396" t="s">
        <v>290</v>
      </c>
      <c r="K5" s="396" t="s">
        <v>292</v>
      </c>
      <c r="L5" s="396" t="s">
        <v>290</v>
      </c>
      <c r="M5" s="396" t="s">
        <v>196</v>
      </c>
      <c r="N5" s="396" t="s">
        <v>294</v>
      </c>
      <c r="O5" s="396" t="s">
        <v>295</v>
      </c>
      <c r="P5" s="396" t="s">
        <v>292</v>
      </c>
      <c r="Q5" s="396" t="s">
        <v>293</v>
      </c>
      <c r="R5" s="396" t="s">
        <v>291</v>
      </c>
      <c r="S5" s="396" t="s">
        <v>293</v>
      </c>
      <c r="T5" s="396" t="s">
        <v>295</v>
      </c>
      <c r="U5" s="396" t="s">
        <v>292</v>
      </c>
      <c r="V5" s="396" t="s">
        <v>291</v>
      </c>
      <c r="W5" s="388"/>
      <c r="X5" s="388"/>
      <c r="Y5" s="388"/>
      <c r="Z5" s="388"/>
      <c r="AA5" s="388"/>
      <c r="AB5" s="388"/>
    </row>
    <row r="6" spans="1:28">
      <c r="A6" s="397"/>
      <c r="B6" s="397"/>
      <c r="C6" s="385"/>
      <c r="D6" s="385"/>
      <c r="E6" s="385"/>
      <c r="F6" s="385"/>
      <c r="G6" s="385"/>
      <c r="H6" s="385"/>
      <c r="I6" s="385"/>
      <c r="J6" s="385"/>
      <c r="K6" s="385"/>
      <c r="L6" s="385"/>
      <c r="M6" s="385"/>
      <c r="N6" s="385"/>
      <c r="O6" s="385"/>
      <c r="P6" s="385"/>
      <c r="Q6" s="385"/>
      <c r="R6" s="385"/>
      <c r="S6" s="385"/>
      <c r="T6" s="385"/>
      <c r="U6" s="385"/>
      <c r="V6" s="385"/>
      <c r="W6" s="388"/>
      <c r="X6" s="388"/>
      <c r="Y6" s="388"/>
      <c r="Z6" s="388"/>
      <c r="AA6" s="388"/>
      <c r="AB6" s="388"/>
    </row>
    <row r="7" spans="1:28">
      <c r="A7" s="382" t="s">
        <v>248</v>
      </c>
      <c r="B7" s="380" t="s">
        <v>249</v>
      </c>
      <c r="C7" s="1218">
        <f>SECT_TERAC.!C7*SECT_U.FIS.!C$67</f>
        <v>3039.6379319999996</v>
      </c>
      <c r="D7" s="1218">
        <f>SECT_TERAC.!D7*SECT_U.FIS.!D$67</f>
        <v>0.14670847199999998</v>
      </c>
      <c r="E7" s="1218">
        <f>SECT_TERAC.!E7*SECT_U.FIS.!E$67</f>
        <v>2884.8954129999993</v>
      </c>
      <c r="F7" s="1218">
        <f>SECT_TERAC.!F7*SECT_U.FIS.!F$67</f>
        <v>0</v>
      </c>
      <c r="G7" s="1218">
        <f>SECT_TERAC.!G7*SECT_U.FIS.!G$67</f>
        <v>4.7718999999999996</v>
      </c>
      <c r="H7" s="1218">
        <f>SECT_TERAC.!H7*SECT_U.FIS.!H$67</f>
        <v>1.5789250000000001</v>
      </c>
      <c r="I7" s="1218">
        <f>SECT_TERAC.!I7*SECT_U.FIS.!I$67</f>
        <v>2.1000000000000001E-2</v>
      </c>
      <c r="J7" s="1218">
        <f>SECT_TERAC.!J7*SECT_U.FIS.!J$67</f>
        <v>0.05</v>
      </c>
      <c r="K7" s="1218">
        <f>SECT_TERAC.!K7*SECT_U.FIS.!K$67</f>
        <v>0</v>
      </c>
      <c r="L7" s="1218">
        <f>SECT_TERAC.!L7*SECT_U.FIS.!L$67</f>
        <v>0</v>
      </c>
      <c r="M7" s="1218">
        <f>SECT_TERAC.!N7*SECT_U.FIS.!M$67</f>
        <v>150.08165399999999</v>
      </c>
      <c r="N7" s="1218">
        <f>SECT_TERAC.!O7*SECT_U.FIS.!N$67</f>
        <v>0</v>
      </c>
      <c r="O7" s="1218">
        <f>SECT_TERAC.!P7*SECT_U.FIS.!O$67</f>
        <v>0</v>
      </c>
      <c r="P7" s="1218">
        <f>SECT_TERAC.!Q7*SECT_U.FIS.!P$67</f>
        <v>0</v>
      </c>
      <c r="Q7" s="1218">
        <f>SECT_TERAC.!R7*SECT_U.FIS.!Q$67</f>
        <v>0</v>
      </c>
      <c r="R7" s="1218">
        <f>SECT_TERAC.!S7*SECT_U.FIS.!R$67</f>
        <v>0</v>
      </c>
      <c r="S7" s="1218">
        <f>SECT_TERAC.!T7*SECT_U.FIS.!S$67</f>
        <v>31.455667774476183</v>
      </c>
      <c r="T7" s="1218">
        <f>SECT_TERAC.!U7*SECT_U.FIS.!T$67</f>
        <v>0</v>
      </c>
      <c r="U7" s="1213">
        <f>SECT_TERAC.!V7*SECT_U.FIS.!U$67</f>
        <v>0</v>
      </c>
      <c r="V7" s="1218">
        <f>SECT_TERAC.!W7*SECT_U.FIS.!V$67</f>
        <v>0</v>
      </c>
      <c r="W7" s="388"/>
      <c r="X7" s="388"/>
      <c r="Y7" s="388"/>
      <c r="Z7" s="388"/>
      <c r="AA7" s="388"/>
      <c r="AB7" s="388"/>
    </row>
    <row r="8" spans="1:28">
      <c r="A8" s="380"/>
      <c r="B8" s="380" t="s">
        <v>251</v>
      </c>
      <c r="C8" s="1218">
        <f>SECT_TERAC.!C8*SECT_U.FIS.!$C$67</f>
        <v>20.784100999999996</v>
      </c>
      <c r="D8" s="1218">
        <f>SECT_TERAC.!D8*SECT_U.FIS.!D$67</f>
        <v>2.4499999999999994E-4</v>
      </c>
      <c r="E8" s="1218">
        <f>SECT_TERAC.!E8*SECT_U.FIS.!E$67</f>
        <v>0</v>
      </c>
      <c r="F8" s="1218">
        <f>SECT_TERAC.!F8*SECT_U.FIS.!F$67</f>
        <v>0</v>
      </c>
      <c r="G8" s="1218">
        <f>SECT_TERAC.!G8*SECT_U.FIS.!G$67</f>
        <v>0</v>
      </c>
      <c r="H8" s="1218">
        <f>SECT_TERAC.!H8*SECT_U.FIS.!H$67</f>
        <v>0</v>
      </c>
      <c r="I8" s="1218">
        <f>SECT_TERAC.!I8*SECT_U.FIS.!I$67</f>
        <v>0</v>
      </c>
      <c r="J8" s="1218">
        <f>SECT_TERAC.!J8*SECT_U.FIS.!J$67</f>
        <v>0</v>
      </c>
      <c r="K8" s="1218">
        <f>SECT_TERAC.!K8*SECT_U.FIS.!K$67</f>
        <v>0</v>
      </c>
      <c r="L8" s="1218">
        <f>SECT_TERAC.!L8*SECT_U.FIS.!L$67</f>
        <v>0</v>
      </c>
      <c r="M8" s="1218">
        <f>SECT_TERAC.!N8*SECT_U.FIS.!M$67</f>
        <v>82.75322700000001</v>
      </c>
      <c r="N8" s="1219">
        <f>SECT_TERAC.!O8*SECT_U.FIS.!N$67</f>
        <v>5.8999999999999997E-2</v>
      </c>
      <c r="O8" s="1218">
        <f>SECT_TERAC.!P8*SECT_U.FIS.!O$67</f>
        <v>0</v>
      </c>
      <c r="P8" s="1218">
        <f>SECT_TERAC.!Q8*SECT_U.FIS.!P$67</f>
        <v>0</v>
      </c>
      <c r="Q8" s="1218">
        <f>SECT_TERAC.!R8*SECT_U.FIS.!Q$67</f>
        <v>0</v>
      </c>
      <c r="R8" s="1218">
        <f>SECT_TERAC.!S8*SECT_U.FIS.!R$67</f>
        <v>0</v>
      </c>
      <c r="S8" s="1218">
        <f>SECT_TERAC.!T8*SECT_U.FIS.!S$67</f>
        <v>0</v>
      </c>
      <c r="T8" s="1218">
        <f>SECT_TERAC.!U8*SECT_U.FIS.!T$67</f>
        <v>0</v>
      </c>
      <c r="U8" s="1213">
        <f>SECT_TERAC.!V8*SECT_U.FIS.!U$67</f>
        <v>0</v>
      </c>
      <c r="V8" s="1218">
        <f>SECT_TERAC.!W8*SECT_U.FIS.!V$67</f>
        <v>0</v>
      </c>
      <c r="W8" s="388"/>
      <c r="X8" s="388"/>
      <c r="Y8" s="388"/>
      <c r="Z8" s="388"/>
      <c r="AA8" s="388"/>
      <c r="AB8" s="388"/>
    </row>
    <row r="9" spans="1:28">
      <c r="A9" s="380"/>
      <c r="B9" s="380" t="s">
        <v>252</v>
      </c>
      <c r="C9" s="1218">
        <f>SECT_TERAC.!C9*SECT_U.FIS.!$C$67</f>
        <v>401.06033900000006</v>
      </c>
      <c r="D9" s="1218">
        <f>SECT_TERAC.!D9*SECT_U.FIS.!D$67</f>
        <v>1059.3961111800002</v>
      </c>
      <c r="E9" s="1218">
        <f>SECT_TERAC.!E9*SECT_U.FIS.!E$67</f>
        <v>7.5789999999999988</v>
      </c>
      <c r="F9" s="1218">
        <f>SECT_TERAC.!F9*SECT_U.FIS.!F$67</f>
        <v>0</v>
      </c>
      <c r="G9" s="1218">
        <f>SECT_TERAC.!G9*SECT_U.FIS.!G$67</f>
        <v>0.19600000000000001</v>
      </c>
      <c r="H9" s="1218">
        <f>SECT_TERAC.!H9*SECT_U.FIS.!H$67</f>
        <v>0</v>
      </c>
      <c r="I9" s="1218">
        <f>SECT_TERAC.!I9*SECT_U.FIS.!I$67</f>
        <v>0</v>
      </c>
      <c r="J9" s="1218">
        <f>SECT_TERAC.!J9*SECT_U.FIS.!J$67</f>
        <v>0</v>
      </c>
      <c r="K9" s="1218">
        <f>SECT_TERAC.!K9*SECT_U.FIS.!K$67</f>
        <v>0</v>
      </c>
      <c r="L9" s="1218">
        <f>SECT_TERAC.!L9*SECT_U.FIS.!L$67</f>
        <v>0</v>
      </c>
      <c r="M9" s="1218">
        <f>SECT_TERAC.!N9*SECT_U.FIS.!M$67</f>
        <v>0</v>
      </c>
      <c r="N9" s="1218">
        <f>SECT_TERAC.!O9*SECT_U.FIS.!N$67</f>
        <v>0</v>
      </c>
      <c r="O9" s="1218">
        <f>SECT_TERAC.!P9*SECT_U.FIS.!O$67</f>
        <v>0</v>
      </c>
      <c r="P9" s="1218">
        <f>SECT_TERAC.!Q9*SECT_U.FIS.!P$67</f>
        <v>0</v>
      </c>
      <c r="Q9" s="1218">
        <f>SECT_TERAC.!R9*SECT_U.FIS.!Q$67</f>
        <v>0</v>
      </c>
      <c r="R9" s="1218">
        <f>SECT_TERAC.!S9*SECT_U.FIS.!R$67</f>
        <v>0</v>
      </c>
      <c r="S9" s="1218">
        <f>SECT_TERAC.!T9*SECT_U.FIS.!S$67</f>
        <v>0</v>
      </c>
      <c r="T9" s="1218">
        <f>SECT_TERAC.!U9*SECT_U.FIS.!T$67</f>
        <v>0</v>
      </c>
      <c r="U9" s="1213">
        <f>SECT_TERAC.!V9*SECT_U.FIS.!U$67</f>
        <v>0</v>
      </c>
      <c r="V9" s="1218">
        <f>SECT_TERAC.!W9*SECT_U.FIS.!V$67</f>
        <v>0</v>
      </c>
      <c r="W9" s="388"/>
      <c r="X9" s="388"/>
      <c r="Y9" s="388"/>
      <c r="Z9" s="388"/>
      <c r="AA9" s="388"/>
      <c r="AB9" s="388"/>
    </row>
    <row r="10" spans="1:28">
      <c r="A10" s="380"/>
      <c r="B10" s="380" t="s">
        <v>253</v>
      </c>
      <c r="C10" s="1218">
        <f>SECT_TERAC.!C10*SECT_U.FIS.!$C$67</f>
        <v>0.16798000000000002</v>
      </c>
      <c r="D10" s="1218">
        <f>SECT_TERAC.!D10*SECT_U.FIS.!D$67</f>
        <v>0</v>
      </c>
      <c r="E10" s="1218">
        <f>SECT_TERAC.!E10*SECT_U.FIS.!E$67</f>
        <v>3.7999999999999992E-2</v>
      </c>
      <c r="F10" s="1218">
        <f>SECT_TERAC.!F10*SECT_U.FIS.!F$67</f>
        <v>0</v>
      </c>
      <c r="G10" s="1218">
        <f>SECT_TERAC.!G10*SECT_U.FIS.!G$67</f>
        <v>0</v>
      </c>
      <c r="H10" s="1218">
        <f>SECT_TERAC.!H10*SECT_U.FIS.!H$67</f>
        <v>0</v>
      </c>
      <c r="I10" s="1218">
        <f>SECT_TERAC.!I10*SECT_U.FIS.!I$67</f>
        <v>5.9580000000000011</v>
      </c>
      <c r="J10" s="1218">
        <f>SECT_TERAC.!J10*SECT_U.FIS.!J$67</f>
        <v>710.00444000000016</v>
      </c>
      <c r="K10" s="1218">
        <f>SECT_TERAC.!K10*SECT_U.FIS.!K$67</f>
        <v>0</v>
      </c>
      <c r="L10" s="1218">
        <f>SECT_TERAC.!L10*SECT_U.FIS.!L$67</f>
        <v>0</v>
      </c>
      <c r="M10" s="1218">
        <f>SECT_TERAC.!N10*SECT_U.FIS.!M$67</f>
        <v>0</v>
      </c>
      <c r="N10" s="1218">
        <f>SECT_TERAC.!O10*SECT_U.FIS.!N$67</f>
        <v>0</v>
      </c>
      <c r="O10" s="1218">
        <f>SECT_TERAC.!P10*SECT_U.FIS.!O$67</f>
        <v>0</v>
      </c>
      <c r="P10" s="1218">
        <f>SECT_TERAC.!Q10*SECT_U.FIS.!P$67</f>
        <v>0</v>
      </c>
      <c r="Q10" s="1218">
        <f>SECT_TERAC.!R10*SECT_U.FIS.!Q$67</f>
        <v>0</v>
      </c>
      <c r="R10" s="1218">
        <f>SECT_TERAC.!S10*SECT_U.FIS.!R$67</f>
        <v>0</v>
      </c>
      <c r="S10" s="1218">
        <f>SECT_TERAC.!T10*SECT_U.FIS.!S$67</f>
        <v>0</v>
      </c>
      <c r="T10" s="1218">
        <f>SECT_TERAC.!U10*SECT_U.FIS.!T$67</f>
        <v>0</v>
      </c>
      <c r="U10" s="1213">
        <f>SECT_TERAC.!V10*SECT_U.FIS.!U$67</f>
        <v>0</v>
      </c>
      <c r="V10" s="1218">
        <f>SECT_TERAC.!W10*SECT_U.FIS.!V$67</f>
        <v>0</v>
      </c>
      <c r="W10" s="388"/>
      <c r="X10" s="388"/>
      <c r="Y10" s="388"/>
      <c r="Z10" s="388"/>
      <c r="AA10" s="388"/>
      <c r="AB10" s="388"/>
    </row>
    <row r="11" spans="1:28">
      <c r="A11" s="380"/>
      <c r="B11" s="380"/>
      <c r="C11" s="385"/>
      <c r="D11" s="385"/>
      <c r="E11" s="385"/>
      <c r="F11" s="385"/>
      <c r="G11" s="385"/>
      <c r="H11" s="385"/>
      <c r="I11" s="385"/>
      <c r="J11" s="385"/>
      <c r="K11" s="385"/>
      <c r="L11" s="385"/>
      <c r="M11" s="385"/>
      <c r="N11" s="385"/>
      <c r="O11" s="385"/>
      <c r="P11" s="385"/>
      <c r="Q11" s="385"/>
      <c r="R11" s="385"/>
      <c r="S11" s="385"/>
      <c r="T11" s="385"/>
      <c r="U11" s="385"/>
      <c r="V11" s="385"/>
      <c r="W11" s="388"/>
      <c r="X11" s="388"/>
      <c r="Y11" s="388"/>
      <c r="Z11" s="388"/>
      <c r="AA11" s="388"/>
      <c r="AB11" s="388"/>
    </row>
    <row r="12" spans="1:28">
      <c r="A12" s="380" t="s">
        <v>254</v>
      </c>
      <c r="B12" s="380"/>
      <c r="C12" s="1220">
        <f>SECT_TERAC.!C12*SECT_U.FIS.!$C$67</f>
        <v>3461.6503519999997</v>
      </c>
      <c r="D12" s="1220">
        <f>SECT_TERAC.!D12*SECT_U.FIS.!D$67</f>
        <v>1059.5430646520001</v>
      </c>
      <c r="E12" s="1220">
        <f>SECT_TERAC.!E12*SECT_U.FIS.!E$67</f>
        <v>2892.5124129999995</v>
      </c>
      <c r="F12" s="1220">
        <f>SECT_TERAC.!F12*SECT_U.FIS.!F$67</f>
        <v>0</v>
      </c>
      <c r="G12" s="1220">
        <f>SECT_TERAC.!G12*SECT_U.FIS.!G$67</f>
        <v>4.9679000000000002</v>
      </c>
      <c r="H12" s="1220">
        <f>SECT_TERAC.!H12*SECT_U.FIS.!H$67</f>
        <v>1.5789250000000001</v>
      </c>
      <c r="I12" s="1220">
        <f>SECT_TERAC.!I12*SECT_U.FIS.!I$67</f>
        <v>5.979000000000001</v>
      </c>
      <c r="J12" s="1220">
        <f>SECT_TERAC.!J12*SECT_U.FIS.!J$67</f>
        <v>710.05444000000011</v>
      </c>
      <c r="K12" s="1220">
        <f>SECT_TERAC.!K12*SECT_U.FIS.!K$67</f>
        <v>0</v>
      </c>
      <c r="L12" s="1220">
        <f>SECT_TERAC.!L12*SECT_U.FIS.!L$67</f>
        <v>0</v>
      </c>
      <c r="M12" s="1220">
        <f>SECT_TERAC.!N12*SECT_U.FIS.!M$67</f>
        <v>232.834881</v>
      </c>
      <c r="N12" s="1220">
        <f>SECT_TERAC.!O12*SECT_U.FIS.!N$67</f>
        <v>5.8999999999999997E-2</v>
      </c>
      <c r="O12" s="1220">
        <f>SECT_TERAC.!P12*SECT_U.FIS.!O$67</f>
        <v>0</v>
      </c>
      <c r="P12" s="1220">
        <f>SECT_TERAC.!Q12*SECT_U.FIS.!P$67</f>
        <v>0</v>
      </c>
      <c r="Q12" s="1220">
        <f>SECT_TERAC.!R12*SECT_U.FIS.!Q$67</f>
        <v>0</v>
      </c>
      <c r="R12" s="1220">
        <f>SECT_TERAC.!S12*SECT_U.FIS.!R$67</f>
        <v>0</v>
      </c>
      <c r="S12" s="1220">
        <f>SECT_TERAC.!T12*SECT_U.FIS.!S$67</f>
        <v>31.455667774476183</v>
      </c>
      <c r="T12" s="1220">
        <f>SECT_TERAC.!U12*SECT_U.FIS.!T$67</f>
        <v>0</v>
      </c>
      <c r="U12" s="1220">
        <f>SECT_TERAC.!V12*SECT_U.FIS.!U$67</f>
        <v>0</v>
      </c>
      <c r="V12" s="1220">
        <f>SECT_TERAC.!W12*SECT_U.FIS.!V$67</f>
        <v>0</v>
      </c>
      <c r="W12" s="388"/>
      <c r="X12" s="388"/>
      <c r="Y12" s="388"/>
      <c r="Z12" s="388"/>
      <c r="AA12" s="388"/>
      <c r="AB12" s="388"/>
    </row>
    <row r="13" spans="1:28">
      <c r="A13" s="380"/>
      <c r="B13" s="380"/>
      <c r="C13" s="385"/>
      <c r="D13" s="385"/>
      <c r="E13" s="385"/>
      <c r="F13" s="385"/>
      <c r="G13" s="385"/>
      <c r="H13" s="385"/>
      <c r="I13" s="385"/>
      <c r="J13" s="385"/>
      <c r="K13" s="385"/>
      <c r="L13" s="385"/>
      <c r="M13" s="385"/>
      <c r="N13" s="385"/>
      <c r="O13" s="385"/>
      <c r="P13" s="385"/>
      <c r="Q13" s="385"/>
      <c r="R13" s="385"/>
      <c r="S13" s="385"/>
      <c r="T13" s="385"/>
      <c r="U13" s="385"/>
      <c r="V13" s="385"/>
      <c r="W13" s="388"/>
      <c r="X13" s="388"/>
      <c r="Y13" s="388"/>
      <c r="Z13" s="388"/>
      <c r="AA13" s="388"/>
      <c r="AB13" s="388"/>
    </row>
    <row r="14" spans="1:28">
      <c r="A14" s="382" t="s">
        <v>255</v>
      </c>
      <c r="B14" s="380" t="s">
        <v>256</v>
      </c>
      <c r="C14" s="1218">
        <f>SECT_TERAC.!C14*SECT_U.FIS.!$C$67</f>
        <v>513.30563269999993</v>
      </c>
      <c r="D14" s="1218">
        <f>SECT_TERAC.!D14*SECT_U.FIS.!D$67</f>
        <v>85.817044999999993</v>
      </c>
      <c r="E14" s="1218">
        <f>SECT_TERAC.!E14*SECT_U.FIS.!E$67</f>
        <v>0</v>
      </c>
      <c r="F14" s="1218">
        <f>SECT_TERAC.!F14*SECT_U.FIS.!F$67</f>
        <v>0</v>
      </c>
      <c r="G14" s="1218">
        <f>SECT_TERAC.!G14*SECT_U.FIS.!G$67</f>
        <v>8.9783429999999989</v>
      </c>
      <c r="H14" s="1218">
        <f>SECT_TERAC.!H14*SECT_U.FIS.!H$67</f>
        <v>5.6027079999999998</v>
      </c>
      <c r="I14" s="1218">
        <f>SECT_TERAC.!I14*SECT_U.FIS.!I$67</f>
        <v>0</v>
      </c>
      <c r="J14" s="1218">
        <f>SECT_TERAC.!J14*SECT_U.FIS.!J$67</f>
        <v>0</v>
      </c>
      <c r="K14" s="1218">
        <f>SECT_TERAC.!K14*SECT_U.FIS.!K$67</f>
        <v>2.0176253000000002</v>
      </c>
      <c r="L14" s="1218">
        <f>SECT_TERAC.!L14*SECT_U.FIS.!L$67</f>
        <v>0</v>
      </c>
      <c r="M14" s="1218">
        <f>SECT_TERAC.!N14*SECT_U.FIS.!M$67</f>
        <v>15697.866186262178</v>
      </c>
      <c r="N14" s="1218">
        <f>SECT_TERAC.!O14*SECT_U.FIS.!N$67</f>
        <v>3.7283309999999998</v>
      </c>
      <c r="O14" s="1218">
        <f>SECT_TERAC.!P14*SECT_U.FIS.!O$67</f>
        <v>12.007300000000001</v>
      </c>
      <c r="P14" s="1218">
        <f>SECT_TERAC.!Q14*SECT_U.FIS.!P$67</f>
        <v>0</v>
      </c>
      <c r="Q14" s="1218">
        <f>SECT_TERAC.!R14*SECT_U.FIS.!Q$67</f>
        <v>1.8579999999999998E-3</v>
      </c>
      <c r="R14" s="1218">
        <f>SECT_TERAC.!S14*SECT_U.FIS.!R$67</f>
        <v>0</v>
      </c>
      <c r="S14" s="1218">
        <f>SECT_TERAC.!T14*SECT_U.FIS.!S$67</f>
        <v>154.32720852383932</v>
      </c>
      <c r="T14" s="1218">
        <f>SECT_TERAC.!U14*SECT_U.FIS.!T$67</f>
        <v>0</v>
      </c>
      <c r="U14" s="1213">
        <f>SECT_TERAC.!V14*SECT_U.FIS.!U$67</f>
        <v>0</v>
      </c>
      <c r="V14" s="1218">
        <f>SECT_TERAC.!W14*SECT_U.FIS.!V$67</f>
        <v>0</v>
      </c>
      <c r="W14" s="388"/>
      <c r="X14" s="388"/>
      <c r="Y14" s="388"/>
      <c r="Z14" s="388"/>
      <c r="AA14" s="388"/>
      <c r="AB14" s="388"/>
    </row>
    <row r="15" spans="1:28">
      <c r="A15" s="382" t="s">
        <v>257</v>
      </c>
      <c r="B15" s="380" t="s">
        <v>258</v>
      </c>
      <c r="C15" s="1218">
        <f>SECT_TERAC.!C15*SECT_U.FIS.!$C$67</f>
        <v>40.429334608559991</v>
      </c>
      <c r="D15" s="1218">
        <f>SECT_TERAC.!D15*SECT_U.FIS.!D$67</f>
        <v>3.5749200000000001</v>
      </c>
      <c r="E15" s="1218">
        <f>SECT_TERAC.!E15*SECT_U.FIS.!E$67</f>
        <v>0</v>
      </c>
      <c r="F15" s="1218">
        <f>SECT_TERAC.!F15*SECT_U.FIS.!F$67</f>
        <v>0</v>
      </c>
      <c r="G15" s="1218">
        <f>SECT_TERAC.!G15*SECT_U.FIS.!G$67</f>
        <v>0</v>
      </c>
      <c r="H15" s="1218">
        <f>SECT_TERAC.!H15*SECT_U.FIS.!H$67</f>
        <v>0.53569285000000011</v>
      </c>
      <c r="I15" s="1218">
        <f>SECT_TERAC.!I15*SECT_U.FIS.!I$67</f>
        <v>0</v>
      </c>
      <c r="J15" s="1218">
        <f>SECT_TERAC.!J15*SECT_U.FIS.!J$67</f>
        <v>0</v>
      </c>
      <c r="K15" s="1218">
        <f>SECT_TERAC.!K15*SECT_U.FIS.!K$67</f>
        <v>0</v>
      </c>
      <c r="L15" s="1218">
        <f>SECT_TERAC.!L15*SECT_U.FIS.!L$67</f>
        <v>0</v>
      </c>
      <c r="M15" s="1218">
        <f>SECT_TERAC.!N15*SECT_U.FIS.!M$67</f>
        <v>374.27803336500011</v>
      </c>
      <c r="N15" s="1218">
        <f>SECT_TERAC.!O15*SECT_U.FIS.!N$67</f>
        <v>0</v>
      </c>
      <c r="O15" s="1218">
        <f>SECT_TERAC.!P15*SECT_U.FIS.!O$67</f>
        <v>0</v>
      </c>
      <c r="P15" s="1218">
        <f>SECT_TERAC.!Q15*SECT_U.FIS.!P$67</f>
        <v>0</v>
      </c>
      <c r="Q15" s="1218">
        <f>SECT_TERAC.!R15*SECT_U.FIS.!Q$67</f>
        <v>0</v>
      </c>
      <c r="R15" s="1218">
        <f>SECT_TERAC.!S15*SECT_U.FIS.!R$67</f>
        <v>0</v>
      </c>
      <c r="S15" s="1218">
        <f>SECT_TERAC.!T15*SECT_U.FIS.!S$67</f>
        <v>87.791039999999981</v>
      </c>
      <c r="T15" s="1218">
        <f>SECT_TERAC.!U15*SECT_U.FIS.!T$67</f>
        <v>0</v>
      </c>
      <c r="U15" s="1213">
        <f>SECT_TERAC.!V15*SECT_U.FIS.!U$67</f>
        <v>0</v>
      </c>
      <c r="V15" s="1218">
        <f>SECT_TERAC.!W15*SECT_U.FIS.!V$67</f>
        <v>0</v>
      </c>
      <c r="W15" s="388"/>
      <c r="X15" s="388"/>
      <c r="Y15" s="388"/>
      <c r="Z15" s="388"/>
      <c r="AA15" s="388"/>
      <c r="AB15" s="388"/>
    </row>
    <row r="16" spans="1:28">
      <c r="A16" s="380"/>
      <c r="B16" s="380" t="s">
        <v>259</v>
      </c>
      <c r="C16" s="1218">
        <f>SECT_TERAC.!C16*SECT_U.FIS.!$C$67</f>
        <v>4.4829149999999993</v>
      </c>
      <c r="D16" s="1218">
        <f>SECT_TERAC.!D16*SECT_U.FIS.!D$67</f>
        <v>2.8171999999999997</v>
      </c>
      <c r="E16" s="1218">
        <f>SECT_TERAC.!E16*SECT_U.FIS.!E$67</f>
        <v>0</v>
      </c>
      <c r="F16" s="1218">
        <f>SECT_TERAC.!F16*SECT_U.FIS.!F$67</f>
        <v>0</v>
      </c>
      <c r="G16" s="1218">
        <f>SECT_TERAC.!G16*SECT_U.FIS.!G$67</f>
        <v>0</v>
      </c>
      <c r="H16" s="1218">
        <f>SECT_TERAC.!H16*SECT_U.FIS.!H$67</f>
        <v>0</v>
      </c>
      <c r="I16" s="1218">
        <f>SECT_TERAC.!I16*SECT_U.FIS.!I$67</f>
        <v>0</v>
      </c>
      <c r="J16" s="1218">
        <f>SECT_TERAC.!J16*SECT_U.FIS.!J$67</f>
        <v>0</v>
      </c>
      <c r="K16" s="1218">
        <f>SECT_TERAC.!K16*SECT_U.FIS.!K$67</f>
        <v>0</v>
      </c>
      <c r="L16" s="1218">
        <f>SECT_TERAC.!L16*SECT_U.FIS.!L$67</f>
        <v>0</v>
      </c>
      <c r="M16" s="1218">
        <f>SECT_TERAC.!N16*SECT_U.FIS.!M$67</f>
        <v>363.12824800000016</v>
      </c>
      <c r="N16" s="1218">
        <f>SECT_TERAC.!O16*SECT_U.FIS.!N$67</f>
        <v>85.675999999999988</v>
      </c>
      <c r="O16" s="1218">
        <f>SECT_TERAC.!P16*SECT_U.FIS.!O$67</f>
        <v>0</v>
      </c>
      <c r="P16" s="1218">
        <f>SECT_TERAC.!Q16*SECT_U.FIS.!P$67</f>
        <v>0</v>
      </c>
      <c r="Q16" s="1218">
        <f>SECT_TERAC.!R16*SECT_U.FIS.!Q$67</f>
        <v>0</v>
      </c>
      <c r="R16" s="1218">
        <f>SECT_TERAC.!S16*SECT_U.FIS.!R$67</f>
        <v>0</v>
      </c>
      <c r="S16" s="1218">
        <f>SECT_TERAC.!T16*SECT_U.FIS.!S$67</f>
        <v>1.5570379999999999</v>
      </c>
      <c r="T16" s="1218">
        <f>SECT_TERAC.!U16*SECT_U.FIS.!T$67</f>
        <v>0</v>
      </c>
      <c r="U16" s="1213">
        <f>SECT_TERAC.!V16*SECT_U.FIS.!U$67</f>
        <v>0</v>
      </c>
      <c r="V16" s="1218">
        <f>SECT_TERAC.!W16*SECT_U.FIS.!V$67</f>
        <v>0</v>
      </c>
      <c r="W16" s="388"/>
      <c r="X16" s="388"/>
      <c r="Y16" s="388"/>
      <c r="Z16" s="388"/>
      <c r="AA16" s="388"/>
      <c r="AB16" s="388"/>
    </row>
    <row r="17" spans="1:28">
      <c r="A17" s="380"/>
      <c r="B17" s="380" t="s">
        <v>260</v>
      </c>
      <c r="C17" s="1218">
        <f>SECT_TERAC.!C17*SECT_U.FIS.!$C$67</f>
        <v>6.9966921699999993</v>
      </c>
      <c r="D17" s="1218">
        <f>SECT_TERAC.!D17*SECT_U.FIS.!D$67</f>
        <v>95.312461246992484</v>
      </c>
      <c r="E17" s="1218">
        <f>SECT_TERAC.!E17*SECT_U.FIS.!E$67</f>
        <v>0</v>
      </c>
      <c r="F17" s="1218">
        <f>SECT_TERAC.!F17*SECT_U.FIS.!F$67</f>
        <v>0</v>
      </c>
      <c r="G17" s="1218">
        <f>SECT_TERAC.!G17*SECT_U.FIS.!G$67</f>
        <v>8.7950000000000025E-3</v>
      </c>
      <c r="H17" s="1218">
        <f>SECT_TERAC.!H17*SECT_U.FIS.!H$67</f>
        <v>2.7372645000000011</v>
      </c>
      <c r="I17" s="1218">
        <f>SECT_TERAC.!I17*SECT_U.FIS.!I$67</f>
        <v>0</v>
      </c>
      <c r="J17" s="1218">
        <f>SECT_TERAC.!J17*SECT_U.FIS.!J$67</f>
        <v>0</v>
      </c>
      <c r="K17" s="1218">
        <f>SECT_TERAC.!K17*SECT_U.FIS.!K$67</f>
        <v>2E-3</v>
      </c>
      <c r="L17" s="1218">
        <f>SECT_TERAC.!L17*SECT_U.FIS.!L$67</f>
        <v>0</v>
      </c>
      <c r="M17" s="1218">
        <f>SECT_TERAC.!N17*SECT_U.FIS.!M$67</f>
        <v>4042.4569947188284</v>
      </c>
      <c r="N17" s="1218">
        <f>SECT_TERAC.!O17*SECT_U.FIS.!N$67</f>
        <v>0</v>
      </c>
      <c r="O17" s="1218">
        <f>SECT_TERAC.!P17*SECT_U.FIS.!O$67</f>
        <v>0</v>
      </c>
      <c r="P17" s="1218">
        <f>SECT_TERAC.!Q17*SECT_U.FIS.!P$67</f>
        <v>0</v>
      </c>
      <c r="Q17" s="1218">
        <f>SECT_TERAC.!R17*SECT_U.FIS.!Q$67</f>
        <v>0</v>
      </c>
      <c r="R17" s="1218">
        <f>SECT_TERAC.!S17*SECT_U.FIS.!R$67</f>
        <v>0</v>
      </c>
      <c r="S17" s="1218">
        <f>SECT_TERAC.!T17*SECT_U.FIS.!S$67</f>
        <v>157.05653937875155</v>
      </c>
      <c r="T17" s="1218">
        <f>SECT_TERAC.!U17*SECT_U.FIS.!T$67</f>
        <v>0</v>
      </c>
      <c r="U17" s="1213">
        <f>SECT_TERAC.!V17*SECT_U.FIS.!U$67</f>
        <v>0</v>
      </c>
      <c r="V17" s="1218">
        <f>SECT_TERAC.!W17*SECT_U.FIS.!V$67</f>
        <v>1630.4735627695702</v>
      </c>
      <c r="W17" s="388"/>
      <c r="X17" s="388"/>
      <c r="Y17" s="388"/>
      <c r="Z17" s="388"/>
      <c r="AA17" s="388"/>
      <c r="AB17" s="388"/>
    </row>
    <row r="18" spans="1:28">
      <c r="A18" s="380"/>
      <c r="B18" s="380" t="s">
        <v>261</v>
      </c>
      <c r="C18" s="1218">
        <f>SECT_TERAC.!C18*SECT_U.FIS.!$C$67</f>
        <v>2.2097333333333329</v>
      </c>
      <c r="D18" s="1218">
        <f>SECT_TERAC.!D18*SECT_U.FIS.!D$67</f>
        <v>17.364000000000001</v>
      </c>
      <c r="E18" s="1218">
        <f>SECT_TERAC.!E18*SECT_U.FIS.!E$67</f>
        <v>0</v>
      </c>
      <c r="F18" s="1218">
        <f>SECT_TERAC.!F18*SECT_U.FIS.!F$67</f>
        <v>0</v>
      </c>
      <c r="G18" s="1218">
        <f>SECT_TERAC.!G18*SECT_U.FIS.!G$67</f>
        <v>0.22320000000000004</v>
      </c>
      <c r="H18" s="1218">
        <f>SECT_TERAC.!H18*SECT_U.FIS.!H$67</f>
        <v>0.36510260000000005</v>
      </c>
      <c r="I18" s="1218">
        <f>SECT_TERAC.!I18*SECT_U.FIS.!I$67</f>
        <v>0</v>
      </c>
      <c r="J18" s="1218">
        <f>SECT_TERAC.!J18*SECT_U.FIS.!J$67</f>
        <v>0</v>
      </c>
      <c r="K18" s="1218">
        <f>SECT_TERAC.!K18*SECT_U.FIS.!K$67</f>
        <v>0</v>
      </c>
      <c r="L18" s="1218">
        <f>SECT_TERAC.!L18*SECT_U.FIS.!L$67</f>
        <v>0</v>
      </c>
      <c r="M18" s="1218">
        <f>SECT_TERAC.!N18*SECT_U.FIS.!M$67</f>
        <v>581.52285399999982</v>
      </c>
      <c r="N18" s="1218">
        <f>SECT_TERAC.!O18*SECT_U.FIS.!N$67</f>
        <v>4.9000000000000002E-2</v>
      </c>
      <c r="O18" s="1218">
        <f>SECT_TERAC.!P18*SECT_U.FIS.!O$67</f>
        <v>221.69242857142868</v>
      </c>
      <c r="P18" s="1218">
        <f>SECT_TERAC.!Q18*SECT_U.FIS.!P$67</f>
        <v>0</v>
      </c>
      <c r="Q18" s="1218">
        <f>SECT_TERAC.!R18*SECT_U.FIS.!Q$67</f>
        <v>207.58274999999998</v>
      </c>
      <c r="R18" s="1218">
        <f>SECT_TERAC.!S18*SECT_U.FIS.!R$67</f>
        <v>408.74777777777757</v>
      </c>
      <c r="S18" s="1218">
        <f>SECT_TERAC.!T18*SECT_U.FIS.!S$67</f>
        <v>31.523999999999997</v>
      </c>
      <c r="T18" s="1218">
        <f>SECT_TERAC.!U18*SECT_U.FIS.!T$67</f>
        <v>0</v>
      </c>
      <c r="U18" s="1213">
        <f>SECT_TERAC.!V18*SECT_U.FIS.!U$67</f>
        <v>0</v>
      </c>
      <c r="V18" s="1218">
        <f>SECT_TERAC.!W18*SECT_U.FIS.!V$67</f>
        <v>6.5549999999999997E-2</v>
      </c>
      <c r="W18" s="388"/>
      <c r="X18" s="388"/>
      <c r="Y18" s="388"/>
      <c r="Z18" s="388"/>
      <c r="AA18" s="388"/>
      <c r="AB18" s="388"/>
    </row>
    <row r="19" spans="1:28">
      <c r="A19" s="380"/>
      <c r="B19" s="380" t="s">
        <v>262</v>
      </c>
      <c r="C19" s="1218">
        <f>SECT_TERAC.!C19*SECT_U.FIS.!$C$67</f>
        <v>0.37490999999999991</v>
      </c>
      <c r="D19" s="1218">
        <f>SECT_TERAC.!D19*SECT_U.FIS.!D$67</f>
        <v>0</v>
      </c>
      <c r="E19" s="1218">
        <f>SECT_TERAC.!E19*SECT_U.FIS.!E$67</f>
        <v>0</v>
      </c>
      <c r="F19" s="1218">
        <f>SECT_TERAC.!F19*SECT_U.FIS.!F$67</f>
        <v>0</v>
      </c>
      <c r="G19" s="1218">
        <f>SECT_TERAC.!G19*SECT_U.FIS.!G$67</f>
        <v>0</v>
      </c>
      <c r="H19" s="1218">
        <f>SECT_TERAC.!H19*SECT_U.FIS.!H$67</f>
        <v>5.7134000000000011E-2</v>
      </c>
      <c r="I19" s="1218">
        <f>SECT_TERAC.!I19*SECT_U.FIS.!I$67</f>
        <v>0</v>
      </c>
      <c r="J19" s="1218">
        <f>SECT_TERAC.!J19*SECT_U.FIS.!J$67</f>
        <v>0</v>
      </c>
      <c r="K19" s="1218">
        <f>SECT_TERAC.!K19*SECT_U.FIS.!K$67</f>
        <v>0</v>
      </c>
      <c r="L19" s="1218">
        <f>SECT_TERAC.!L19*SECT_U.FIS.!L$67</f>
        <v>1.1212910798122067</v>
      </c>
      <c r="M19" s="1218">
        <f>SECT_TERAC.!N19*SECT_U.FIS.!M$67</f>
        <v>634.48765399799436</v>
      </c>
      <c r="N19" s="1218">
        <f>SECT_TERAC.!O19*SECT_U.FIS.!N$67</f>
        <v>0</v>
      </c>
      <c r="O19" s="1218">
        <f>SECT_TERAC.!P19*SECT_U.FIS.!O$67</f>
        <v>0</v>
      </c>
      <c r="P19" s="1218">
        <f>SECT_TERAC.!Q19*SECT_U.FIS.!P$67</f>
        <v>0</v>
      </c>
      <c r="Q19" s="1218">
        <f>SECT_TERAC.!R19*SECT_U.FIS.!Q$67</f>
        <v>0</v>
      </c>
      <c r="R19" s="1218">
        <f>SECT_TERAC.!S19*SECT_U.FIS.!R$67</f>
        <v>0</v>
      </c>
      <c r="S19" s="1218">
        <f>SECT_TERAC.!T19*SECT_U.FIS.!S$67</f>
        <v>18.938454999999994</v>
      </c>
      <c r="T19" s="1218">
        <f>SECT_TERAC.!U19*SECT_U.FIS.!T$67</f>
        <v>0</v>
      </c>
      <c r="U19" s="1213">
        <f>SECT_TERAC.!V19*SECT_U.FIS.!U$67</f>
        <v>0</v>
      </c>
      <c r="V19" s="1218">
        <f>SECT_TERAC.!W19*SECT_U.FIS.!V$67</f>
        <v>0</v>
      </c>
      <c r="W19" s="388"/>
      <c r="X19" s="388"/>
      <c r="Y19" s="388"/>
      <c r="Z19" s="388"/>
      <c r="AA19" s="388"/>
      <c r="AB19" s="388"/>
    </row>
    <row r="20" spans="1:28">
      <c r="A20" s="380"/>
      <c r="B20" s="380" t="s">
        <v>263</v>
      </c>
      <c r="C20" s="1218">
        <f>SECT_TERAC.!C20*SECT_U.FIS.!$C$67</f>
        <v>6.0172720000000002</v>
      </c>
      <c r="D20" s="1218">
        <f>SECT_TERAC.!D20*SECT_U.FIS.!D$67</f>
        <v>22.248116727000003</v>
      </c>
      <c r="E20" s="1218">
        <f>SECT_TERAC.!E20*SECT_U.FIS.!E$67</f>
        <v>0</v>
      </c>
      <c r="F20" s="1218">
        <f>SECT_TERAC.!F20*SECT_U.FIS.!F$67</f>
        <v>0</v>
      </c>
      <c r="G20" s="1218">
        <f>SECT_TERAC.!G20*SECT_U.FIS.!G$67</f>
        <v>0</v>
      </c>
      <c r="H20" s="1218">
        <f>SECT_TERAC.!H20*SECT_U.FIS.!H$67</f>
        <v>0.375</v>
      </c>
      <c r="I20" s="1218">
        <f>SECT_TERAC.!I20*SECT_U.FIS.!I$67</f>
        <v>0</v>
      </c>
      <c r="J20" s="1218">
        <f>SECT_TERAC.!J20*SECT_U.FIS.!J$67</f>
        <v>0</v>
      </c>
      <c r="K20" s="1218">
        <f>SECT_TERAC.!K20*SECT_U.FIS.!K$67</f>
        <v>0</v>
      </c>
      <c r="L20" s="1218">
        <f>SECT_TERAC.!L20*SECT_U.FIS.!L$67</f>
        <v>0</v>
      </c>
      <c r="M20" s="1218">
        <f>SECT_TERAC.!N20*SECT_U.FIS.!M$67</f>
        <v>480.91421547574572</v>
      </c>
      <c r="N20" s="1218">
        <f>SECT_TERAC.!O20*SECT_U.FIS.!N$67</f>
        <v>245.94643828627716</v>
      </c>
      <c r="O20" s="1218">
        <f>SECT_TERAC.!P20*SECT_U.FIS.!O$67</f>
        <v>45.051999999999992</v>
      </c>
      <c r="P20" s="1218">
        <f>SECT_TERAC.!Q20*SECT_U.FIS.!P$67</f>
        <v>0</v>
      </c>
      <c r="Q20" s="1218">
        <f>SECT_TERAC.!R20*SECT_U.FIS.!Q$67</f>
        <v>0</v>
      </c>
      <c r="R20" s="1218">
        <f>SECT_TERAC.!S20*SECT_U.FIS.!R$67</f>
        <v>0</v>
      </c>
      <c r="S20" s="1218">
        <f>SECT_TERAC.!T20*SECT_U.FIS.!S$67</f>
        <v>42.254927865727126</v>
      </c>
      <c r="T20" s="1218">
        <f>SECT_TERAC.!U20*SECT_U.FIS.!T$67</f>
        <v>0</v>
      </c>
      <c r="U20" s="1213">
        <f>SECT_TERAC.!V20*SECT_U.FIS.!U$67</f>
        <v>0</v>
      </c>
      <c r="V20" s="1218">
        <f>SECT_TERAC.!W20*SECT_U.FIS.!V$67</f>
        <v>14.135999999999999</v>
      </c>
      <c r="W20" s="388"/>
      <c r="X20" s="388"/>
      <c r="Y20" s="388"/>
      <c r="Z20" s="388"/>
      <c r="AA20" s="388"/>
      <c r="AB20" s="388"/>
    </row>
    <row r="21" spans="1:28">
      <c r="A21" s="380"/>
      <c r="B21" s="380" t="s">
        <v>264</v>
      </c>
      <c r="C21" s="1218">
        <f>SECT_TERAC.!C21*SECT_U.FIS.!$C$67</f>
        <v>0</v>
      </c>
      <c r="D21" s="1218">
        <f>SECT_TERAC.!D21*SECT_U.FIS.!D$67</f>
        <v>10.592613630779999</v>
      </c>
      <c r="E21" s="1218">
        <f>SECT_TERAC.!E21*SECT_U.FIS.!E$67</f>
        <v>0</v>
      </c>
      <c r="F21" s="1218">
        <f>SECT_TERAC.!F21*SECT_U.FIS.!F$67</f>
        <v>0</v>
      </c>
      <c r="G21" s="1218">
        <f>SECT_TERAC.!G21*SECT_U.FIS.!G$67</f>
        <v>0</v>
      </c>
      <c r="H21" s="1218">
        <f>SECT_TERAC.!H21*SECT_U.FIS.!H$67</f>
        <v>0.18500000000000003</v>
      </c>
      <c r="I21" s="1218">
        <f>SECT_TERAC.!I21*SECT_U.FIS.!I$67</f>
        <v>0</v>
      </c>
      <c r="J21" s="1218">
        <f>SECT_TERAC.!J21*SECT_U.FIS.!J$67</f>
        <v>0</v>
      </c>
      <c r="K21" s="1218">
        <f>SECT_TERAC.!K21*SECT_U.FIS.!K$67</f>
        <v>0</v>
      </c>
      <c r="L21" s="1218">
        <f>SECT_TERAC.!L21*SECT_U.FIS.!L$67</f>
        <v>0</v>
      </c>
      <c r="M21" s="1218">
        <f>SECT_TERAC.!N21*SECT_U.FIS.!M$67</f>
        <v>94.869251000000034</v>
      </c>
      <c r="N21" s="1218">
        <f>SECT_TERAC.!O21*SECT_U.FIS.!N$67</f>
        <v>117.51743534672258</v>
      </c>
      <c r="O21" s="1218">
        <f>SECT_TERAC.!P21*SECT_U.FIS.!O$67</f>
        <v>5.0606960000000001</v>
      </c>
      <c r="P21" s="1218">
        <f>SECT_TERAC.!Q21*SECT_U.FIS.!P$67</f>
        <v>0</v>
      </c>
      <c r="Q21" s="1218">
        <f>SECT_TERAC.!R21*SECT_U.FIS.!Q$67</f>
        <v>0</v>
      </c>
      <c r="R21" s="1218">
        <f>SECT_TERAC.!S21*SECT_U.FIS.!R$67</f>
        <v>0</v>
      </c>
      <c r="S21" s="1218">
        <f>SECT_TERAC.!T21*SECT_U.FIS.!S$67</f>
        <v>0</v>
      </c>
      <c r="T21" s="1218">
        <f>SECT_TERAC.!U21*SECT_U.FIS.!T$67</f>
        <v>0</v>
      </c>
      <c r="U21" s="1213">
        <f>SECT_TERAC.!V21*SECT_U.FIS.!U$67</f>
        <v>0</v>
      </c>
      <c r="V21" s="1218">
        <f>SECT_TERAC.!W21*SECT_U.FIS.!V$67</f>
        <v>0</v>
      </c>
      <c r="W21" s="388"/>
      <c r="X21" s="388"/>
      <c r="Y21" s="388"/>
      <c r="Z21" s="388"/>
      <c r="AA21" s="388"/>
      <c r="AB21" s="388"/>
    </row>
    <row r="22" spans="1:28">
      <c r="A22" s="380"/>
      <c r="B22" s="380" t="s">
        <v>265</v>
      </c>
      <c r="C22" s="1218">
        <f>SECT_TERAC.!C22*SECT_U.FIS.!$C$67</f>
        <v>82.296282026936623</v>
      </c>
      <c r="D22" s="1218">
        <f>SECT_TERAC.!D22*SECT_U.FIS.!D$67</f>
        <v>76.545047479999994</v>
      </c>
      <c r="E22" s="1218">
        <f>SECT_TERAC.!E22*SECT_U.FIS.!E$67</f>
        <v>0</v>
      </c>
      <c r="F22" s="1218">
        <f>SECT_TERAC.!F22*SECT_U.FIS.!F$67</f>
        <v>0</v>
      </c>
      <c r="G22" s="1218">
        <f>SECT_TERAC.!G22*SECT_U.FIS.!G$67</f>
        <v>0</v>
      </c>
      <c r="H22" s="1218">
        <f>SECT_TERAC.!H22*SECT_U.FIS.!H$67</f>
        <v>1.4020782500000004</v>
      </c>
      <c r="I22" s="1218">
        <f>SECT_TERAC.!I22*SECT_U.FIS.!I$67</f>
        <v>0</v>
      </c>
      <c r="J22" s="1218">
        <f>SECT_TERAC.!J22*SECT_U.FIS.!J$67</f>
        <v>0</v>
      </c>
      <c r="K22" s="1218">
        <f>SECT_TERAC.!K22*SECT_U.FIS.!K$67</f>
        <v>0</v>
      </c>
      <c r="L22" s="1218">
        <f>SECT_TERAC.!L22*SECT_U.FIS.!L$67</f>
        <v>0</v>
      </c>
      <c r="M22" s="1218">
        <f>SECT_TERAC.!N22*SECT_U.FIS.!M$67</f>
        <v>135.474109</v>
      </c>
      <c r="N22" s="1218">
        <f>SECT_TERAC.!O22*SECT_U.FIS.!N$67</f>
        <v>37.297748822738491</v>
      </c>
      <c r="O22" s="1218">
        <f>SECT_TERAC.!P22*SECT_U.FIS.!O$67</f>
        <v>0</v>
      </c>
      <c r="P22" s="1218">
        <f>SECT_TERAC.!Q22*SECT_U.FIS.!P$67</f>
        <v>0</v>
      </c>
      <c r="Q22" s="1218">
        <f>SECT_TERAC.!R22*SECT_U.FIS.!Q$67</f>
        <v>1.0445300000000002E-4</v>
      </c>
      <c r="R22" s="1218">
        <f>SECT_TERAC.!S22*SECT_U.FIS.!R$67</f>
        <v>0</v>
      </c>
      <c r="S22" s="1218">
        <f>SECT_TERAC.!T22*SECT_U.FIS.!S$67</f>
        <v>52.220000000000013</v>
      </c>
      <c r="T22" s="1218">
        <f>SECT_TERAC.!U22*SECT_U.FIS.!T$67</f>
        <v>0</v>
      </c>
      <c r="U22" s="1213">
        <f>SECT_TERAC.!V22*SECT_U.FIS.!U$67</f>
        <v>0</v>
      </c>
      <c r="V22" s="1218">
        <f>SECT_TERAC.!W22*SECT_U.FIS.!V$67</f>
        <v>0</v>
      </c>
      <c r="W22" s="388"/>
      <c r="X22" s="388"/>
      <c r="Y22" s="388"/>
      <c r="Z22" s="388"/>
      <c r="AA22" s="388"/>
      <c r="AB22" s="388"/>
    </row>
    <row r="23" spans="1:28">
      <c r="A23" s="380"/>
      <c r="B23" s="380" t="s">
        <v>266</v>
      </c>
      <c r="C23" s="1218">
        <f>SECT_TERAC.!C23*SECT_U.FIS.!$C$67</f>
        <v>627.57889028567911</v>
      </c>
      <c r="D23" s="1218">
        <f>SECT_TERAC.!D23*SECT_U.FIS.!D$67</f>
        <v>76.325764311891405</v>
      </c>
      <c r="E23" s="1218">
        <f>SECT_TERAC.!E23*SECT_U.FIS.!E$67</f>
        <v>0</v>
      </c>
      <c r="F23" s="1218">
        <f>SECT_TERAC.!F23*SECT_U.FIS.!F$67</f>
        <v>0</v>
      </c>
      <c r="G23" s="1218">
        <f>SECT_TERAC.!G23*SECT_U.FIS.!G$67</f>
        <v>16.882205000000006</v>
      </c>
      <c r="H23" s="1218">
        <f>SECT_TERAC.!H23*SECT_U.FIS.!H$67</f>
        <v>112.96588440000002</v>
      </c>
      <c r="I23" s="1218">
        <f>SECT_TERAC.!I23*SECT_U.FIS.!I$67</f>
        <v>0</v>
      </c>
      <c r="J23" s="1218">
        <f>SECT_TERAC.!J23*SECT_U.FIS.!J$67</f>
        <v>0</v>
      </c>
      <c r="K23" s="1218">
        <f>SECT_TERAC.!K23*SECT_U.FIS.!K$67</f>
        <v>1.0499999999999999E-2</v>
      </c>
      <c r="L23" s="1218">
        <f>SECT_TERAC.!L23*SECT_U.FIS.!L$67</f>
        <v>0</v>
      </c>
      <c r="M23" s="1218">
        <f>SECT_TERAC.!N23*SECT_U.FIS.!M$67</f>
        <v>8203.5676671651418</v>
      </c>
      <c r="N23" s="1218">
        <f>SECT_TERAC.!O23*SECT_U.FIS.!N$67</f>
        <v>238.09001167522911</v>
      </c>
      <c r="O23" s="1218">
        <f>SECT_TERAC.!P23*SECT_U.FIS.!O$67</f>
        <v>1.5166685714285715</v>
      </c>
      <c r="P23" s="1218">
        <f>SECT_TERAC.!Q23*SECT_U.FIS.!P$67</f>
        <v>0</v>
      </c>
      <c r="Q23" s="1218">
        <f>SECT_TERAC.!R23*SECT_U.FIS.!Q$67</f>
        <v>0</v>
      </c>
      <c r="R23" s="1218">
        <f>SECT_TERAC.!S23*SECT_U.FIS.!R$67</f>
        <v>0</v>
      </c>
      <c r="S23" s="1218">
        <f>SECT_TERAC.!T23*SECT_U.FIS.!S$67</f>
        <v>609.61240260769137</v>
      </c>
      <c r="T23" s="1218">
        <f>SECT_TERAC.!U23*SECT_U.FIS.!T$67</f>
        <v>0</v>
      </c>
      <c r="U23" s="1213">
        <f>SECT_TERAC.!V23*SECT_U.FIS.!U$67</f>
        <v>0</v>
      </c>
      <c r="V23" s="1218">
        <f>SECT_TERAC.!W23*SECT_U.FIS.!V$67</f>
        <v>1097.1019794550803</v>
      </c>
      <c r="W23" s="388"/>
      <c r="X23" s="388"/>
      <c r="Y23" s="388"/>
      <c r="Z23" s="388"/>
      <c r="AA23" s="388"/>
      <c r="AB23" s="388"/>
    </row>
    <row r="24" spans="1:28">
      <c r="A24" s="380"/>
      <c r="B24" s="380" t="s">
        <v>267</v>
      </c>
      <c r="C24" s="1218">
        <f>SECT_TERAC.!C24*SECT_U.FIS.!$C$67</f>
        <v>403.36579429999983</v>
      </c>
      <c r="D24" s="1218">
        <f>SECT_TERAC.!D24*SECT_U.FIS.!D$67</f>
        <v>64.492531</v>
      </c>
      <c r="E24" s="1218">
        <f>SECT_TERAC.!E24*SECT_U.FIS.!E$67</f>
        <v>0</v>
      </c>
      <c r="F24" s="1218">
        <f>SECT_TERAC.!F24*SECT_U.FIS.!F$67</f>
        <v>0</v>
      </c>
      <c r="G24" s="1218">
        <f>SECT_TERAC.!G24*SECT_U.FIS.!G$67</f>
        <v>3.6445369999999975</v>
      </c>
      <c r="H24" s="1218">
        <f>SECT_TERAC.!H24*SECT_U.FIS.!H$67</f>
        <v>0.39</v>
      </c>
      <c r="I24" s="1218">
        <f>SECT_TERAC.!I24*SECT_U.FIS.!I$67</f>
        <v>0</v>
      </c>
      <c r="J24" s="1218">
        <f>SECT_TERAC.!J24*SECT_U.FIS.!J$67</f>
        <v>0</v>
      </c>
      <c r="K24" s="1218">
        <f>SECT_TERAC.!K24*SECT_U.FIS.!K$67</f>
        <v>0.31140800000000007</v>
      </c>
      <c r="L24" s="1218">
        <f>SECT_TERAC.!L24*SECT_U.FIS.!L$67</f>
        <v>0</v>
      </c>
      <c r="M24" s="1218">
        <f>SECT_TERAC.!N24*SECT_U.FIS.!M$67</f>
        <v>1562.0648856346254</v>
      </c>
      <c r="N24" s="1218">
        <f>SECT_TERAC.!O24*SECT_U.FIS.!N$67</f>
        <v>13.154798451428569</v>
      </c>
      <c r="O24" s="1218">
        <f>SECT_TERAC.!P24*SECT_U.FIS.!O$67</f>
        <v>0</v>
      </c>
      <c r="P24" s="1218">
        <f>SECT_TERAC.!Q24*SECT_U.FIS.!P$67</f>
        <v>0</v>
      </c>
      <c r="Q24" s="1218">
        <f>SECT_TERAC.!R24*SECT_U.FIS.!Q$67</f>
        <v>0</v>
      </c>
      <c r="R24" s="1218">
        <f>SECT_TERAC.!S24*SECT_U.FIS.!R$67</f>
        <v>0</v>
      </c>
      <c r="S24" s="1218">
        <f>SECT_TERAC.!T24*SECT_U.FIS.!S$67</f>
        <v>7.7872998899999999</v>
      </c>
      <c r="T24" s="1218">
        <f>SECT_TERAC.!U24*SECT_U.FIS.!T$67</f>
        <v>0</v>
      </c>
      <c r="U24" s="1213">
        <f>SECT_TERAC.!V24*SECT_U.FIS.!U$67</f>
        <v>0</v>
      </c>
      <c r="V24" s="1218">
        <f>SECT_TERAC.!W24*SECT_U.FIS.!V$67</f>
        <v>0</v>
      </c>
      <c r="W24" s="388"/>
      <c r="X24" s="388"/>
      <c r="Y24" s="388"/>
      <c r="Z24" s="388"/>
      <c r="AA24" s="388"/>
      <c r="AB24" s="388"/>
    </row>
    <row r="25" spans="1:28">
      <c r="A25" s="380"/>
      <c r="B25" s="380"/>
      <c r="C25" s="385"/>
      <c r="D25" s="385"/>
      <c r="E25" s="385"/>
      <c r="F25" s="385"/>
      <c r="G25" s="385"/>
      <c r="H25" s="385"/>
      <c r="I25" s="385"/>
      <c r="J25" s="385"/>
      <c r="K25" s="385"/>
      <c r="L25" s="385"/>
      <c r="M25" s="385"/>
      <c r="N25" s="385"/>
      <c r="O25" s="385"/>
      <c r="P25" s="385"/>
      <c r="Q25" s="385"/>
      <c r="R25" s="385"/>
      <c r="S25" s="385"/>
      <c r="T25" s="385"/>
      <c r="U25" s="385"/>
      <c r="V25" s="385"/>
      <c r="W25" s="388"/>
      <c r="X25" s="388"/>
      <c r="Y25" s="388"/>
      <c r="Z25" s="388"/>
      <c r="AA25" s="388"/>
      <c r="AB25" s="388"/>
    </row>
    <row r="26" spans="1:28">
      <c r="A26" s="380" t="s">
        <v>268</v>
      </c>
      <c r="B26" s="380"/>
      <c r="C26" s="1220">
        <f>SECT_TERAC.!C26*SECT_U.FIS.!$C$67</f>
        <v>1687.0574564245087</v>
      </c>
      <c r="D26" s="1220">
        <f>SECT_TERAC.!D26*SECT_U.FIS.!D$67</f>
        <v>455.08969939666383</v>
      </c>
      <c r="E26" s="1220">
        <f>SECT_TERAC.!E26*SECT_U.FIS.!E$67</f>
        <v>0</v>
      </c>
      <c r="F26" s="1220">
        <f>SECT_TERAC.!F26*SECT_U.FIS.!F$67</f>
        <v>0</v>
      </c>
      <c r="G26" s="1220">
        <f>SECT_TERAC.!G26*SECT_U.FIS.!G$67</f>
        <v>29.737080000000006</v>
      </c>
      <c r="H26" s="1220">
        <f>SECT_TERAC.!H26*SECT_U.FIS.!H$67</f>
        <v>124.61586460000001</v>
      </c>
      <c r="I26" s="1220">
        <f>SECT_TERAC.!I26*SECT_U.FIS.!I$67</f>
        <v>0</v>
      </c>
      <c r="J26" s="1220">
        <f>SECT_TERAC.!J26*SECT_U.FIS.!J$67</f>
        <v>0</v>
      </c>
      <c r="K26" s="1220">
        <f>SECT_TERAC.!K26*SECT_U.FIS.!K$67</f>
        <v>2.3415333</v>
      </c>
      <c r="L26" s="1220">
        <f>SECT_TERAC.!L26*SECT_U.FIS.!L$67</f>
        <v>1.1212910798122067</v>
      </c>
      <c r="M26" s="1220">
        <f>SECT_TERAC.!N26*SECT_U.FIS.!M$67</f>
        <v>32170.630098619513</v>
      </c>
      <c r="N26" s="1220">
        <f>SECT_TERAC.!O26*SECT_U.FIS.!N$67</f>
        <v>741.45976358239591</v>
      </c>
      <c r="O26" s="1220">
        <f>SECT_TERAC.!P26*SECT_U.FIS.!O$67</f>
        <v>285.32909314285729</v>
      </c>
      <c r="P26" s="1220">
        <f>SECT_TERAC.!Q26*SECT_U.FIS.!P$67</f>
        <v>0</v>
      </c>
      <c r="Q26" s="1220">
        <f>SECT_TERAC.!R26*SECT_U.FIS.!Q$67</f>
        <v>207.58471245299998</v>
      </c>
      <c r="R26" s="1220">
        <f>SECT_TERAC.!S26*SECT_U.FIS.!R$67</f>
        <v>408.74777777777757</v>
      </c>
      <c r="S26" s="1220">
        <f>SECT_TERAC.!T26*SECT_U.FIS.!S$67</f>
        <v>1163.0689112660093</v>
      </c>
      <c r="T26" s="1220">
        <f>SECT_TERAC.!U26*SECT_U.FIS.!T$67</f>
        <v>0</v>
      </c>
      <c r="U26" s="1220">
        <f>SECT_TERAC.!V26*SECT_U.FIS.!U$67</f>
        <v>0</v>
      </c>
      <c r="V26" s="1220">
        <f>SECT_TERAC.!W26*SECT_U.FIS.!V$67</f>
        <v>2741.7770922246505</v>
      </c>
      <c r="W26" s="388"/>
      <c r="X26" s="388"/>
      <c r="Y26" s="388"/>
      <c r="Z26" s="388"/>
      <c r="AA26" s="388"/>
      <c r="AB26" s="388"/>
    </row>
    <row r="27" spans="1:28">
      <c r="A27" s="380"/>
      <c r="B27" s="380"/>
      <c r="C27" s="385"/>
      <c r="D27" s="385"/>
      <c r="E27" s="385"/>
      <c r="F27" s="385"/>
      <c r="G27" s="385"/>
      <c r="H27" s="385"/>
      <c r="I27" s="385"/>
      <c r="J27" s="385"/>
      <c r="K27" s="385"/>
      <c r="L27" s="385"/>
      <c r="M27" s="385"/>
      <c r="N27" s="385"/>
      <c r="O27" s="385"/>
      <c r="P27" s="385"/>
      <c r="Q27" s="385"/>
      <c r="R27" s="385"/>
      <c r="S27" s="385"/>
      <c r="T27" s="385"/>
      <c r="U27" s="385"/>
      <c r="V27" s="385"/>
      <c r="W27" s="385"/>
      <c r="X27" s="385"/>
      <c r="Y27" s="385"/>
      <c r="Z27" s="385"/>
      <c r="AA27" s="385"/>
      <c r="AB27" s="385"/>
    </row>
    <row r="28" spans="1:28">
      <c r="A28" s="382" t="s">
        <v>269</v>
      </c>
      <c r="B28" s="380" t="s">
        <v>270</v>
      </c>
      <c r="C28" s="1218">
        <f>SECT_TERAC.!C28*SECT_U.FIS.!$C$67</f>
        <v>0</v>
      </c>
      <c r="D28" s="1218">
        <f>SECT_TERAC.!D28*SECT_U.FIS.!D$67</f>
        <v>0</v>
      </c>
      <c r="E28" s="1218">
        <f>SECT_TERAC.!E28*SECT_U.FIS.!E$67</f>
        <v>0</v>
      </c>
      <c r="F28" s="1218">
        <f>SECT_TERAC.!F28*SECT_U.FIS.!F$67</f>
        <v>0</v>
      </c>
      <c r="G28" s="1218">
        <f>SECT_TERAC.!G28*SECT_U.FIS.!G$67</f>
        <v>0</v>
      </c>
      <c r="H28" s="1218">
        <f>SECT_TERAC.!H28*SECT_U.FIS.!H$67</f>
        <v>0</v>
      </c>
      <c r="I28" s="1218">
        <f>SECT_TERAC.!I28*SECT_U.FIS.!I$67</f>
        <v>0</v>
      </c>
      <c r="J28" s="1218">
        <f>SECT_TERAC.!J28*SECT_U.FIS.!J$67</f>
        <v>0</v>
      </c>
      <c r="K28" s="1218">
        <f>SECT_TERAC.!K28*SECT_U.FIS.!K$67</f>
        <v>0</v>
      </c>
      <c r="L28" s="1218">
        <f>SECT_TERAC.!L28*SECT_U.FIS.!L$67</f>
        <v>0</v>
      </c>
      <c r="M28" s="1218">
        <f>SECT_TERAC.!N28*SECT_U.FIS.!M$67</f>
        <v>0</v>
      </c>
      <c r="N28" s="1218">
        <f>SECT_TERAC.!O28*SECT_U.FIS.!N$67</f>
        <v>0</v>
      </c>
      <c r="O28" s="1218">
        <f>SECT_TERAC.!P28*SECT_U.FIS.!O$67</f>
        <v>0</v>
      </c>
      <c r="P28" s="1218">
        <f>SECT_TERAC.!Q28*SECT_U.FIS.!P$67</f>
        <v>0</v>
      </c>
      <c r="Q28" s="1218">
        <f>SECT_TERAC.!R28*SECT_U.FIS.!Q$67</f>
        <v>0</v>
      </c>
      <c r="R28" s="1218">
        <f>SECT_TERAC.!S28*SECT_U.FIS.!R$67</f>
        <v>0</v>
      </c>
      <c r="S28" s="1218">
        <f>SECT_TERAC.!T28*SECT_U.FIS.!S$67</f>
        <v>0</v>
      </c>
      <c r="T28" s="1218">
        <f>SECT_TERAC.!U28*SECT_U.FIS.!T$67</f>
        <v>0</v>
      </c>
      <c r="U28" s="1213">
        <f>SECT_TERAC.!V28*SECT_U.FIS.!U$67</f>
        <v>0</v>
      </c>
      <c r="V28" s="1218">
        <f>SECT_TERAC.!W28*SECT_U.FIS.!V$67</f>
        <v>0</v>
      </c>
      <c r="W28" s="388"/>
      <c r="X28" s="388"/>
      <c r="Y28" s="388"/>
      <c r="Z28" s="388"/>
      <c r="AA28" s="388"/>
      <c r="AB28" s="388"/>
    </row>
    <row r="29" spans="1:28">
      <c r="A29" s="382" t="s">
        <v>271</v>
      </c>
      <c r="B29" s="380" t="s">
        <v>272</v>
      </c>
      <c r="C29" s="1218">
        <f>SECT_TERAC.!C29*SECT_U.FIS.!$C$67</f>
        <v>132.07471999999996</v>
      </c>
      <c r="D29" s="1218">
        <f>SECT_TERAC.!D29*SECT_U.FIS.!D$67</f>
        <v>1.9639709999999999</v>
      </c>
      <c r="E29" s="1218">
        <f>SECT_TERAC.!E29*SECT_U.FIS.!E$67</f>
        <v>0</v>
      </c>
      <c r="F29" s="1218">
        <f>SECT_TERAC.!F29*SECT_U.FIS.!F$67</f>
        <v>0</v>
      </c>
      <c r="G29" s="1218">
        <f>SECT_TERAC.!G29*SECT_U.FIS.!G$67</f>
        <v>7.8209999999999988</v>
      </c>
      <c r="H29" s="1218">
        <f>SECT_TERAC.!H29*SECT_U.FIS.!H$67</f>
        <v>87.87181200000002</v>
      </c>
      <c r="I29" s="1218">
        <f>SECT_TERAC.!I29*SECT_U.FIS.!I$67</f>
        <v>0</v>
      </c>
      <c r="J29" s="1218">
        <f>SECT_TERAC.!J29*SECT_U.FIS.!J$67</f>
        <v>0</v>
      </c>
      <c r="K29" s="1218">
        <f>SECT_TERAC.!K29*SECT_U.FIS.!K$67</f>
        <v>0</v>
      </c>
      <c r="L29" s="1218">
        <f>SECT_TERAC.!L29*SECT_U.FIS.!L$67</f>
        <v>0</v>
      </c>
      <c r="M29" s="1218">
        <f>SECT_TERAC.!N29*SECT_U.FIS.!M$67</f>
        <v>4969.6725368445923</v>
      </c>
      <c r="N29" s="1218">
        <f>SECT_TERAC.!O29*SECT_U.FIS.!N$67</f>
        <v>0</v>
      </c>
      <c r="O29" s="1218">
        <f>SECT_TERAC.!P29*SECT_U.FIS.!O$67</f>
        <v>0</v>
      </c>
      <c r="P29" s="1218">
        <f>SECT_TERAC.!Q29*SECT_U.FIS.!P$67</f>
        <v>0</v>
      </c>
      <c r="Q29" s="1218">
        <f>SECT_TERAC.!R29*SECT_U.FIS.!Q$67</f>
        <v>25.051135846858067</v>
      </c>
      <c r="R29" s="1218">
        <f>SECT_TERAC.!S29*SECT_U.FIS.!R$67</f>
        <v>0</v>
      </c>
      <c r="S29" s="1218">
        <f>SECT_TERAC.!T29*SECT_U.FIS.!S$67</f>
        <v>67.440689449799507</v>
      </c>
      <c r="T29" s="1218">
        <f>SECT_TERAC.!U29*SECT_U.FIS.!T$67</f>
        <v>0</v>
      </c>
      <c r="U29" s="1213">
        <f>SECT_TERAC.!V29*SECT_U.FIS.!U$67</f>
        <v>0</v>
      </c>
      <c r="V29" s="1218">
        <f>SECT_TERAC.!W29*SECT_U.FIS.!V$67</f>
        <v>0</v>
      </c>
      <c r="W29" s="388"/>
      <c r="X29" s="388"/>
      <c r="Y29" s="388"/>
      <c r="Z29" s="388"/>
      <c r="AA29" s="388"/>
      <c r="AB29" s="388"/>
    </row>
    <row r="30" spans="1:28">
      <c r="A30" s="382"/>
      <c r="B30" s="380" t="s">
        <v>273</v>
      </c>
      <c r="C30" s="1218">
        <f>SECT_TERAC.!C30*SECT_U.FIS.!$C$67</f>
        <v>6.9880000000000004</v>
      </c>
      <c r="D30" s="1218">
        <f>SECT_TERAC.!D30*SECT_U.FIS.!D$67</f>
        <v>3.1524886080000001</v>
      </c>
      <c r="E30" s="1218">
        <f>SECT_TERAC.!E30*SECT_U.FIS.!E$67</f>
        <v>0</v>
      </c>
      <c r="F30" s="1218">
        <f>SECT_TERAC.!F30*SECT_U.FIS.!F$67</f>
        <v>0</v>
      </c>
      <c r="G30" s="1218">
        <f>SECT_TERAC.!G30*SECT_U.FIS.!G$67</f>
        <v>0.53700000000000014</v>
      </c>
      <c r="H30" s="1218">
        <f>SECT_TERAC.!H30*SECT_U.FIS.!H$67</f>
        <v>17.274410000000003</v>
      </c>
      <c r="I30" s="1218">
        <f>SECT_TERAC.!I30*SECT_U.FIS.!I$67</f>
        <v>0</v>
      </c>
      <c r="J30" s="1218">
        <f>SECT_TERAC.!J30*SECT_U.FIS.!J$67</f>
        <v>0</v>
      </c>
      <c r="K30" s="1218">
        <f>SECT_TERAC.!K30*SECT_U.FIS.!K$67</f>
        <v>7.0680000000000021E-2</v>
      </c>
      <c r="L30" s="1218">
        <f>SECT_TERAC.!L30*SECT_U.FIS.!L$67</f>
        <v>0</v>
      </c>
      <c r="M30" s="1218">
        <f>SECT_TERAC.!N30*SECT_U.FIS.!M$67</f>
        <v>1708.4714313043876</v>
      </c>
      <c r="N30" s="1218">
        <f>SECT_TERAC.!O30*SECT_U.FIS.!N$67</f>
        <v>7.7276689743969396</v>
      </c>
      <c r="O30" s="1218">
        <f>SECT_TERAC.!P30*SECT_U.FIS.!O$67</f>
        <v>0</v>
      </c>
      <c r="P30" s="1218">
        <f>SECT_TERAC.!Q30*SECT_U.FIS.!P$67</f>
        <v>0</v>
      </c>
      <c r="Q30" s="1218">
        <f>SECT_TERAC.!R30*SECT_U.FIS.!Q$67</f>
        <v>1.3187160609999999</v>
      </c>
      <c r="R30" s="1218">
        <f>SECT_TERAC.!S30*SECT_U.FIS.!R$67</f>
        <v>0</v>
      </c>
      <c r="S30" s="1218">
        <f>SECT_TERAC.!T30*SECT_U.FIS.!S$67</f>
        <v>30.829251000000003</v>
      </c>
      <c r="T30" s="1218">
        <f>SECT_TERAC.!U30*SECT_U.FIS.!T$67</f>
        <v>0</v>
      </c>
      <c r="U30" s="1213">
        <f>SECT_TERAC.!V30*SECT_U.FIS.!U$67</f>
        <v>0</v>
      </c>
      <c r="V30" s="1218">
        <f>SECT_TERAC.!W30*SECT_U.FIS.!V$67</f>
        <v>22.089171974522294</v>
      </c>
      <c r="W30" s="388"/>
      <c r="X30" s="388"/>
      <c r="Y30" s="388"/>
      <c r="Z30" s="388"/>
      <c r="AA30" s="388"/>
      <c r="AB30" s="388"/>
    </row>
    <row r="31" spans="1:28">
      <c r="A31" s="382"/>
      <c r="B31" s="380" t="s">
        <v>274</v>
      </c>
      <c r="C31" s="1218">
        <f>SECT_TERAC.!C31*SECT_U.FIS.!$C$67</f>
        <v>12.375519999999996</v>
      </c>
      <c r="D31" s="1218">
        <f>SECT_TERAC.!D31*SECT_U.FIS.!D$67</f>
        <v>8.9918999999999999E-2</v>
      </c>
      <c r="E31" s="1218">
        <f>SECT_TERAC.!E31*SECT_U.FIS.!E$67</f>
        <v>0</v>
      </c>
      <c r="F31" s="1218">
        <f>SECT_TERAC.!F31*SECT_U.FIS.!F$67</f>
        <v>0</v>
      </c>
      <c r="G31" s="1218">
        <f>SECT_TERAC.!G31*SECT_U.FIS.!G$67</f>
        <v>89.166149999999988</v>
      </c>
      <c r="H31" s="1218">
        <f>SECT_TERAC.!H31*SECT_U.FIS.!H$67</f>
        <v>757.74326100000008</v>
      </c>
      <c r="I31" s="1218">
        <f>SECT_TERAC.!I31*SECT_U.FIS.!I$67</f>
        <v>0</v>
      </c>
      <c r="J31" s="1218">
        <f>SECT_TERAC.!J31*SECT_U.FIS.!J$67</f>
        <v>0</v>
      </c>
      <c r="K31" s="1218">
        <f>SECT_TERAC.!K31*SECT_U.FIS.!K$67</f>
        <v>0</v>
      </c>
      <c r="L31" s="1218">
        <f>SECT_TERAC.!L31*SECT_U.FIS.!L$67</f>
        <v>0</v>
      </c>
      <c r="M31" s="1218">
        <f>SECT_TERAC.!N31*SECT_U.FIS.!M$67</f>
        <v>7833.8910001502272</v>
      </c>
      <c r="N31" s="1218">
        <f>SECT_TERAC.!O31*SECT_U.FIS.!N$67</f>
        <v>0.177621</v>
      </c>
      <c r="O31" s="1218">
        <f>SECT_TERAC.!P31*SECT_U.FIS.!O$67</f>
        <v>0</v>
      </c>
      <c r="P31" s="1218">
        <f>SECT_TERAC.!Q31*SECT_U.FIS.!P$67</f>
        <v>0</v>
      </c>
      <c r="Q31" s="1218">
        <f>SECT_TERAC.!R31*SECT_U.FIS.!Q$67</f>
        <v>27.778453625515755</v>
      </c>
      <c r="R31" s="1218">
        <f>SECT_TERAC.!S31*SECT_U.FIS.!R$67</f>
        <v>0</v>
      </c>
      <c r="S31" s="1218">
        <f>SECT_TERAC.!T31*SECT_U.FIS.!S$67</f>
        <v>368.13140095543554</v>
      </c>
      <c r="T31" s="1218">
        <f>SECT_TERAC.!U31*SECT_U.FIS.!T$67</f>
        <v>0</v>
      </c>
      <c r="U31" s="1213">
        <f>SECT_TERAC.!V31*SECT_U.FIS.!U$67</f>
        <v>0</v>
      </c>
      <c r="V31" s="1218">
        <f>SECT_TERAC.!W31*SECT_U.FIS.!V$67</f>
        <v>8263.5472783125588</v>
      </c>
      <c r="W31" s="388"/>
      <c r="X31" s="388"/>
      <c r="Y31" s="388"/>
      <c r="Z31" s="388"/>
      <c r="AA31" s="388"/>
      <c r="AB31" s="388"/>
    </row>
    <row r="32" spans="1:28">
      <c r="A32" s="380"/>
      <c r="B32" s="380"/>
      <c r="C32" s="385"/>
      <c r="D32" s="385"/>
      <c r="E32" s="385"/>
      <c r="F32" s="385"/>
      <c r="G32" s="385"/>
      <c r="H32" s="385"/>
      <c r="I32" s="385"/>
      <c r="J32" s="385"/>
      <c r="K32" s="385"/>
      <c r="L32" s="385"/>
      <c r="M32" s="385"/>
      <c r="N32" s="385"/>
      <c r="O32" s="385"/>
      <c r="P32" s="385"/>
      <c r="Q32" s="385"/>
      <c r="R32" s="385"/>
      <c r="S32" s="385"/>
      <c r="T32" s="385"/>
      <c r="U32" s="385"/>
      <c r="V32" s="385"/>
      <c r="W32" s="388"/>
      <c r="X32" s="388"/>
      <c r="Y32" s="388"/>
      <c r="Z32" s="388"/>
      <c r="AA32" s="388"/>
      <c r="AB32" s="388"/>
    </row>
    <row r="33" spans="1:28">
      <c r="A33" s="380" t="s">
        <v>275</v>
      </c>
      <c r="B33" s="380"/>
      <c r="C33" s="1220">
        <f>SECT_TERAC.!C33*SECT_U.FIS.!$C$67</f>
        <v>151.43823999999998</v>
      </c>
      <c r="D33" s="1220">
        <f>SECT_TERAC.!D33*SECT_U.FIS.!D$67</f>
        <v>5.2063786080000005</v>
      </c>
      <c r="E33" s="1220">
        <f>SECT_TERAC.!E33*SECT_U.FIS.!E$67</f>
        <v>0</v>
      </c>
      <c r="F33" s="1220">
        <f>SECT_TERAC.!F33*SECT_U.FIS.!F$67</f>
        <v>0</v>
      </c>
      <c r="G33" s="1220">
        <f>SECT_TERAC.!G33*SECT_U.FIS.!G$67</f>
        <v>97.524149999999992</v>
      </c>
      <c r="H33" s="1220">
        <f>SECT_TERAC.!H33*SECT_U.FIS.!H$67</f>
        <v>862.88948300000004</v>
      </c>
      <c r="I33" s="1220">
        <f>SECT_TERAC.!I33*SECT_U.FIS.!I$67</f>
        <v>0</v>
      </c>
      <c r="J33" s="1220">
        <f>SECT_TERAC.!J33*SECT_U.FIS.!J$67</f>
        <v>0</v>
      </c>
      <c r="K33" s="1220">
        <f>SECT_TERAC.!K33*SECT_U.FIS.!K$67</f>
        <v>7.0680000000000021E-2</v>
      </c>
      <c r="L33" s="1220">
        <f>SECT_TERAC.!L33*SECT_U.FIS.!L$67</f>
        <v>0</v>
      </c>
      <c r="M33" s="1220">
        <f>SECT_TERAC.!N33*SECT_U.FIS.!M$67</f>
        <v>14512.034968299207</v>
      </c>
      <c r="N33" s="1220">
        <f>SECT_TERAC.!O33*SECT_U.FIS.!N$67</f>
        <v>7.9052899743969398</v>
      </c>
      <c r="O33" s="1220">
        <f>SECT_TERAC.!P33*SECT_U.FIS.!O$67</f>
        <v>0</v>
      </c>
      <c r="P33" s="1220">
        <f>SECT_TERAC.!Q33*SECT_U.FIS.!P$67</f>
        <v>0</v>
      </c>
      <c r="Q33" s="1220">
        <f>SECT_TERAC.!R33*SECT_U.FIS.!Q$67</f>
        <v>54.148305533373822</v>
      </c>
      <c r="R33" s="1220">
        <f>SECT_TERAC.!S33*SECT_U.FIS.!R$67</f>
        <v>0</v>
      </c>
      <c r="S33" s="1220">
        <f>SECT_TERAC.!T33*SECT_U.FIS.!S$67</f>
        <v>466.40134140523503</v>
      </c>
      <c r="T33" s="1220">
        <f>SECT_TERAC.!U33*SECT_U.FIS.!T$67</f>
        <v>0</v>
      </c>
      <c r="U33" s="1220">
        <f>SECT_TERAC.!V33*SECT_U.FIS.!U$67</f>
        <v>0</v>
      </c>
      <c r="V33" s="1220">
        <f>SECT_TERAC.!W33*SECT_U.FIS.!V$67</f>
        <v>8285.6364502870802</v>
      </c>
      <c r="W33" s="388"/>
      <c r="X33" s="388"/>
      <c r="Y33" s="388"/>
      <c r="Z33" s="388"/>
      <c r="AA33" s="388"/>
      <c r="AB33" s="388"/>
    </row>
    <row r="34" spans="1:28" s="1228" customFormat="1">
      <c r="A34" s="1230"/>
      <c r="B34" s="1230"/>
      <c r="C34" s="1232"/>
      <c r="D34" s="1232"/>
      <c r="E34" s="1232"/>
      <c r="F34" s="1232"/>
      <c r="G34" s="1232"/>
      <c r="H34" s="1232"/>
      <c r="I34" s="1232"/>
      <c r="J34" s="1232"/>
      <c r="K34" s="1232"/>
      <c r="L34" s="1232"/>
      <c r="M34" s="1232"/>
      <c r="N34" s="1232"/>
      <c r="O34" s="1232"/>
      <c r="P34" s="1232"/>
      <c r="Q34" s="1232"/>
      <c r="R34" s="1232"/>
      <c r="S34" s="1232"/>
      <c r="T34" s="1232"/>
      <c r="U34" s="1232"/>
      <c r="V34" s="1232"/>
      <c r="W34" s="1233"/>
      <c r="X34" s="1233"/>
      <c r="Y34" s="1233"/>
      <c r="Z34" s="1233"/>
      <c r="AA34" s="1233"/>
      <c r="AB34" s="1233"/>
    </row>
    <row r="35" spans="1:28" s="1228" customFormat="1">
      <c r="A35" s="382" t="s">
        <v>744</v>
      </c>
      <c r="B35" s="1230"/>
      <c r="C35" s="1232"/>
      <c r="D35" s="1232"/>
      <c r="E35" s="1232"/>
      <c r="F35" s="1232"/>
      <c r="G35" s="1232"/>
      <c r="H35" s="1232"/>
      <c r="I35" s="1232"/>
      <c r="J35" s="1232"/>
      <c r="K35" s="1232"/>
      <c r="L35" s="1232"/>
      <c r="M35" s="1232"/>
      <c r="N35" s="1232"/>
      <c r="O35" s="1232"/>
      <c r="P35" s="1232"/>
      <c r="Q35" s="1232"/>
      <c r="R35" s="1232"/>
      <c r="S35" s="1232"/>
      <c r="T35" s="1232"/>
      <c r="U35" s="1232"/>
      <c r="V35" s="1232"/>
      <c r="W35" s="1233"/>
      <c r="X35" s="1233"/>
      <c r="Y35" s="1233"/>
      <c r="Z35" s="1233"/>
      <c r="AA35" s="1233"/>
      <c r="AB35" s="1233"/>
    </row>
    <row r="36" spans="1:28" s="1228" customFormat="1">
      <c r="A36" s="1230"/>
      <c r="B36" s="1230" t="s">
        <v>278</v>
      </c>
      <c r="C36" s="1237">
        <f>SECT_TERAC.!C36*SECT_U.FIS.!$C$67</f>
        <v>0</v>
      </c>
      <c r="D36" s="1237">
        <f>SECT_TERAC.!D36*SECT_U.FIS.!D$67</f>
        <v>0</v>
      </c>
      <c r="E36" s="1237">
        <f>SECT_TERAC.!E36*SECT_U.FIS.!E$67</f>
        <v>0</v>
      </c>
      <c r="F36" s="1237">
        <f>SECT_TERAC.!F36*SECT_U.FIS.!F$67</f>
        <v>0</v>
      </c>
      <c r="G36" s="1237">
        <f>SECT_TERAC.!G36*SECT_U.FIS.!G$67</f>
        <v>0</v>
      </c>
      <c r="H36" s="1237">
        <f>SECT_TERAC.!H36*SECT_U.FIS.!H$67</f>
        <v>0</v>
      </c>
      <c r="I36" s="1237">
        <f>SECT_TERAC.!I36*SECT_U.FIS.!I$67</f>
        <v>0</v>
      </c>
      <c r="J36" s="1237">
        <f>SECT_TERAC.!J36*SECT_U.FIS.!J$67</f>
        <v>0</v>
      </c>
      <c r="K36" s="1237">
        <f>SECT_TERAC.!K36*SECT_U.FIS.!K$67</f>
        <v>0</v>
      </c>
      <c r="L36" s="1237">
        <f>SECT_TERAC.!L36*SECT_U.FIS.!L$67</f>
        <v>0</v>
      </c>
      <c r="M36" s="1237">
        <f>SECT_TERAC.!N36*SECT_U.FIS.!M$67</f>
        <v>91.883274</v>
      </c>
      <c r="N36" s="1237">
        <f>SECT_TERAC.!O36*SECT_U.FIS.!N$67</f>
        <v>0</v>
      </c>
      <c r="O36" s="1237">
        <f>SECT_TERAC.!P36*SECT_U.FIS.!O$67</f>
        <v>0</v>
      </c>
      <c r="P36" s="1237">
        <f>SECT_TERAC.!Q36*SECT_U.FIS.!P$67</f>
        <v>0</v>
      </c>
      <c r="Q36" s="1237">
        <f>SECT_TERAC.!R36*SECT_U.FIS.!Q$67</f>
        <v>0</v>
      </c>
      <c r="R36" s="1237">
        <f>SECT_TERAC.!S36*SECT_U.FIS.!R$67</f>
        <v>0</v>
      </c>
      <c r="S36" s="1237">
        <f>SECT_TERAC.!T36*SECT_U.FIS.!S$67</f>
        <v>0</v>
      </c>
      <c r="T36" s="1237">
        <f>SECT_TERAC.!U36*SECT_U.FIS.!T$67</f>
        <v>0</v>
      </c>
      <c r="U36" s="1223">
        <f>SECT_TERAC.!V36*SECT_U.FIS.!U$67</f>
        <v>0</v>
      </c>
      <c r="V36" s="1223">
        <f>SECT_TERAC.!W36*SECT_U.FIS.!V$67</f>
        <v>0</v>
      </c>
      <c r="W36" s="1233"/>
      <c r="X36" s="1233"/>
      <c r="Y36" s="1233"/>
      <c r="Z36" s="1233"/>
      <c r="AA36" s="1233"/>
      <c r="AB36" s="1233"/>
    </row>
    <row r="37" spans="1:28" s="1228" customFormat="1">
      <c r="A37" s="1230"/>
      <c r="B37" s="1230" t="s">
        <v>297</v>
      </c>
      <c r="C37" s="1237">
        <f>SECT_TERAC.!C37*SECT_U.FIS.!$C$67</f>
        <v>0</v>
      </c>
      <c r="D37" s="1237">
        <f>SECT_TERAC.!D37*SECT_U.FIS.!D$67</f>
        <v>0</v>
      </c>
      <c r="E37" s="1237">
        <f>SECT_TERAC.!E37*SECT_U.FIS.!E$67</f>
        <v>0</v>
      </c>
      <c r="F37" s="1237">
        <f>SECT_TERAC.!F37*SECT_U.FIS.!F$67</f>
        <v>0</v>
      </c>
      <c r="G37" s="1237">
        <f>SECT_TERAC.!G37*SECT_U.FIS.!G$67</f>
        <v>0</v>
      </c>
      <c r="H37" s="1237">
        <f>SECT_TERAC.!H37*SECT_U.FIS.!H$67</f>
        <v>0</v>
      </c>
      <c r="I37" s="1237">
        <f>SECT_TERAC.!I37*SECT_U.FIS.!I$67</f>
        <v>0</v>
      </c>
      <c r="J37" s="1237">
        <f>SECT_TERAC.!J37*SECT_U.FIS.!J$67</f>
        <v>0</v>
      </c>
      <c r="K37" s="1237">
        <f>SECT_TERAC.!K37*SECT_U.FIS.!K$67</f>
        <v>0</v>
      </c>
      <c r="L37" s="1237">
        <f>SECT_TERAC.!L37*SECT_U.FIS.!L$67</f>
        <v>0</v>
      </c>
      <c r="M37" s="1237">
        <f>SECT_TERAC.!N37*SECT_U.FIS.!M$67</f>
        <v>1438.9550522849936</v>
      </c>
      <c r="N37" s="1237">
        <f>SECT_TERAC.!O37*SECT_U.FIS.!N$67</f>
        <v>0</v>
      </c>
      <c r="O37" s="1237">
        <f>SECT_TERAC.!P37*SECT_U.FIS.!O$67</f>
        <v>0</v>
      </c>
      <c r="P37" s="1237">
        <f>SECT_TERAC.!Q37*SECT_U.FIS.!P$67</f>
        <v>0</v>
      </c>
      <c r="Q37" s="1237">
        <f>SECT_TERAC.!R37*SECT_U.FIS.!Q$67</f>
        <v>0</v>
      </c>
      <c r="R37" s="1237">
        <f>SECT_TERAC.!S37*SECT_U.FIS.!R$67</f>
        <v>0</v>
      </c>
      <c r="S37" s="1237">
        <f>SECT_TERAC.!T37*SECT_U.FIS.!S$67</f>
        <v>0</v>
      </c>
      <c r="T37" s="1237">
        <f>SECT_TERAC.!U37*SECT_U.FIS.!T$67</f>
        <v>0</v>
      </c>
      <c r="U37" s="1223">
        <f>SECT_TERAC.!V37*SECT_U.FIS.!U$67</f>
        <v>0</v>
      </c>
      <c r="V37" s="1223">
        <f>SECT_TERAC.!W37*SECT_U.FIS.!V$67</f>
        <v>0</v>
      </c>
      <c r="W37" s="1233"/>
      <c r="X37" s="1233"/>
      <c r="Y37" s="1233"/>
      <c r="Z37" s="1233"/>
      <c r="AA37" s="1233"/>
      <c r="AB37" s="1233"/>
    </row>
    <row r="38" spans="1:28" s="1228" customFormat="1">
      <c r="A38" s="1230"/>
      <c r="B38" s="1230" t="s">
        <v>279</v>
      </c>
      <c r="C38" s="1237">
        <f>SECT_TERAC.!C38*SECT_U.FIS.!$C$67</f>
        <v>0.43546000000000001</v>
      </c>
      <c r="D38" s="1237">
        <f>SECT_TERAC.!D38*SECT_U.FIS.!D$67</f>
        <v>0</v>
      </c>
      <c r="E38" s="1237">
        <f>SECT_TERAC.!E38*SECT_U.FIS.!E$67</f>
        <v>0</v>
      </c>
      <c r="F38" s="1237">
        <f>SECT_TERAC.!F38*SECT_U.FIS.!F$67</f>
        <v>0</v>
      </c>
      <c r="G38" s="1237">
        <f>SECT_TERAC.!G38*SECT_U.FIS.!G$67</f>
        <v>0</v>
      </c>
      <c r="H38" s="1237">
        <f>SECT_TERAC.!H38*SECT_U.FIS.!H$67</f>
        <v>1.978548</v>
      </c>
      <c r="I38" s="1237">
        <f>SECT_TERAC.!I38*SECT_U.FIS.!I$67</f>
        <v>0</v>
      </c>
      <c r="J38" s="1237">
        <f>SECT_TERAC.!J38*SECT_U.FIS.!J$67</f>
        <v>0</v>
      </c>
      <c r="K38" s="1237">
        <f>SECT_TERAC.!K38*SECT_U.FIS.!K$67</f>
        <v>0</v>
      </c>
      <c r="L38" s="1237">
        <f>SECT_TERAC.!L38*SECT_U.FIS.!L$67</f>
        <v>0</v>
      </c>
      <c r="M38" s="1237">
        <f>SECT_TERAC.!N38*SECT_U.FIS.!M$67</f>
        <v>7.3297200000000009</v>
      </c>
      <c r="N38" s="1237">
        <f>SECT_TERAC.!O38*SECT_U.FIS.!N$67</f>
        <v>0</v>
      </c>
      <c r="O38" s="1237">
        <f>SECT_TERAC.!P38*SECT_U.FIS.!O$67</f>
        <v>0</v>
      </c>
      <c r="P38" s="1237">
        <f>SECT_TERAC.!Q38*SECT_U.FIS.!P$67</f>
        <v>0</v>
      </c>
      <c r="Q38" s="1237">
        <f>SECT_TERAC.!R38*SECT_U.FIS.!Q$67</f>
        <v>0</v>
      </c>
      <c r="R38" s="1237">
        <f>SECT_TERAC.!S38*SECT_U.FIS.!R$67</f>
        <v>0</v>
      </c>
      <c r="S38" s="1237">
        <f>SECT_TERAC.!T38*SECT_U.FIS.!S$67</f>
        <v>2.0239609999999999</v>
      </c>
      <c r="T38" s="1237">
        <f>SECT_TERAC.!U38*SECT_U.FIS.!T$67</f>
        <v>0</v>
      </c>
      <c r="U38" s="1223">
        <f>SECT_TERAC.!V38*SECT_U.FIS.!U$67</f>
        <v>0</v>
      </c>
      <c r="V38" s="1237">
        <f>SECT_TERAC.!W38*SECT_U.FIS.!V$67</f>
        <v>0</v>
      </c>
      <c r="W38" s="1233"/>
      <c r="X38" s="1233"/>
      <c r="Y38" s="1233"/>
      <c r="Z38" s="1233"/>
      <c r="AA38" s="1233"/>
      <c r="AB38" s="1233"/>
    </row>
    <row r="39" spans="1:28" s="1228" customFormat="1">
      <c r="A39" s="1230"/>
      <c r="B39" s="1230" t="s">
        <v>296</v>
      </c>
      <c r="C39" s="1237">
        <f>SECT_TERAC.!C39*SECT_U.FIS.!$C$67</f>
        <v>0</v>
      </c>
      <c r="D39" s="1237">
        <f>SECT_TERAC.!D39*SECT_U.FIS.!D$67</f>
        <v>0</v>
      </c>
      <c r="E39" s="1237">
        <f>SECT_TERAC.!E39*SECT_U.FIS.!E$67</f>
        <v>0</v>
      </c>
      <c r="F39" s="1237">
        <f>SECT_TERAC.!F39*SECT_U.FIS.!F$67</f>
        <v>0</v>
      </c>
      <c r="G39" s="1237">
        <f>SECT_TERAC.!G39*SECT_U.FIS.!G$67</f>
        <v>0</v>
      </c>
      <c r="H39" s="1237">
        <f>SECT_TERAC.!H39*SECT_U.FIS.!H$67</f>
        <v>0</v>
      </c>
      <c r="I39" s="1237">
        <f>SECT_TERAC.!I39*SECT_U.FIS.!I$67</f>
        <v>0</v>
      </c>
      <c r="J39" s="1237">
        <f>SECT_TERAC.!J39*SECT_U.FIS.!J$67</f>
        <v>0</v>
      </c>
      <c r="K39" s="1237">
        <f>SECT_TERAC.!K39*SECT_U.FIS.!K$67</f>
        <v>0</v>
      </c>
      <c r="L39" s="1237">
        <f>SECT_TERAC.!L39*SECT_U.FIS.!L$67</f>
        <v>0</v>
      </c>
      <c r="M39" s="1237">
        <f>SECT_TERAC.!N39*SECT_U.FIS.!M$67</f>
        <v>0</v>
      </c>
      <c r="N39" s="1237">
        <f>SECT_TERAC.!O39*SECT_U.FIS.!N$67</f>
        <v>0</v>
      </c>
      <c r="O39" s="1237">
        <f>SECT_TERAC.!P39*SECT_U.FIS.!O$67</f>
        <v>0</v>
      </c>
      <c r="P39" s="1237">
        <f>SECT_TERAC.!Q39*SECT_U.FIS.!P$67</f>
        <v>18405.096153846156</v>
      </c>
      <c r="Q39" s="1237">
        <f>SECT_TERAC.!R39*SECT_U.FIS.!Q$67</f>
        <v>65.697000000000003</v>
      </c>
      <c r="R39" s="1237">
        <f>SECT_TERAC.!S39*SECT_U.FIS.!R$67</f>
        <v>1089.6511111111113</v>
      </c>
      <c r="S39" s="1237">
        <f>SECT_TERAC.!T39*SECT_U.FIS.!S$67</f>
        <v>0</v>
      </c>
      <c r="T39" s="1237">
        <f>SECT_TERAC.!U39*SECT_U.FIS.!T$67</f>
        <v>0</v>
      </c>
      <c r="U39" s="1223">
        <f>SECT_TERAC.!V39*SECT_U.FIS.!U$67</f>
        <v>0</v>
      </c>
      <c r="V39" s="1237">
        <f>SECT_TERAC.!W39*SECT_U.FIS.!V$67</f>
        <v>0</v>
      </c>
      <c r="W39" s="1233"/>
      <c r="X39" s="1233"/>
      <c r="Y39" s="1233"/>
      <c r="Z39" s="1233"/>
      <c r="AA39" s="1233"/>
      <c r="AB39" s="1233"/>
    </row>
    <row r="40" spans="1:28" s="1228" customFormat="1">
      <c r="A40" s="1230"/>
      <c r="B40" s="1230" t="s">
        <v>280</v>
      </c>
      <c r="C40" s="1237">
        <f>SECT_TERAC.!C40*SECT_U.FIS.!$C$67</f>
        <v>1.9855642999999998</v>
      </c>
      <c r="D40" s="1237">
        <f>SECT_TERAC.!D40*SECT_U.FIS.!D$67</f>
        <v>20.927969999999998</v>
      </c>
      <c r="E40" s="1237">
        <f>SECT_TERAC.!E40*SECT_U.FIS.!E$67</f>
        <v>0</v>
      </c>
      <c r="F40" s="1237">
        <f>SECT_TERAC.!F40*SECT_U.FIS.!F$67</f>
        <v>0</v>
      </c>
      <c r="G40" s="1237">
        <f>SECT_TERAC.!G40*SECT_U.FIS.!G$67</f>
        <v>2.86E-2</v>
      </c>
      <c r="H40" s="1237">
        <f>SECT_TERAC.!H40*SECT_U.FIS.!H$67</f>
        <v>24</v>
      </c>
      <c r="I40" s="1237">
        <f>SECT_TERAC.!I40*SECT_U.FIS.!I$67</f>
        <v>0</v>
      </c>
      <c r="J40" s="1237">
        <f>SECT_TERAC.!J40*SECT_U.FIS.!J$67</f>
        <v>0</v>
      </c>
      <c r="K40" s="1237">
        <f>SECT_TERAC.!K40*SECT_U.FIS.!K$67</f>
        <v>242.16700285714285</v>
      </c>
      <c r="L40" s="1237">
        <f>SECT_TERAC.!L40*SECT_U.FIS.!L$67</f>
        <v>575.53359999999998</v>
      </c>
      <c r="M40" s="1237">
        <f>SECT_TERAC.!N40*SECT_U.FIS.!M$67</f>
        <v>485.62210399999992</v>
      </c>
      <c r="N40" s="1237">
        <f>SECT_TERAC.!O40*SECT_U.FIS.!N$67</f>
        <v>0</v>
      </c>
      <c r="O40" s="1237">
        <f>SECT_TERAC.!P40*SECT_U.FIS.!O$67</f>
        <v>0</v>
      </c>
      <c r="P40" s="1237">
        <f>SECT_TERAC.!Q40*SECT_U.FIS.!P$67</f>
        <v>0</v>
      </c>
      <c r="Q40" s="1237">
        <f>SECT_TERAC.!R40*SECT_U.FIS.!Q$67</f>
        <v>0.16209478091952606</v>
      </c>
      <c r="R40" s="1237">
        <f>SECT_TERAC.!S40*SECT_U.FIS.!R$67</f>
        <v>0</v>
      </c>
      <c r="S40" s="1237">
        <f>SECT_TERAC.!T40*SECT_U.FIS.!S$67</f>
        <v>550.09280623801851</v>
      </c>
      <c r="T40" s="1237">
        <f>SECT_TERAC.!U40*SECT_U.FIS.!T$67</f>
        <v>0</v>
      </c>
      <c r="U40" s="1223">
        <f>SECT_TERAC.!V40*SECT_U.FIS.!U$67</f>
        <v>0</v>
      </c>
      <c r="V40" s="1237">
        <f>SECT_TERAC.!W40*SECT_U.FIS.!V$67</f>
        <v>0</v>
      </c>
      <c r="W40" s="1233"/>
      <c r="X40" s="1233"/>
      <c r="Y40" s="1233"/>
      <c r="Z40" s="1233"/>
      <c r="AA40" s="1233"/>
      <c r="AB40" s="1233"/>
    </row>
    <row r="41" spans="1:28" s="1228" customFormat="1">
      <c r="A41" s="1230"/>
      <c r="B41" s="1230" t="s">
        <v>281</v>
      </c>
      <c r="C41" s="1237">
        <f>SECT_TERAC.!C41*SECT_U.FIS.!$C$67</f>
        <v>7.7999999999999986E-2</v>
      </c>
      <c r="D41" s="1237">
        <f>SECT_TERAC.!D41*SECT_U.FIS.!D$67</f>
        <v>0</v>
      </c>
      <c r="E41" s="1237">
        <f>SECT_TERAC.!E41*SECT_U.FIS.!E$67</f>
        <v>0</v>
      </c>
      <c r="F41" s="1237">
        <f>SECT_TERAC.!F41*SECT_U.FIS.!F$67</f>
        <v>0</v>
      </c>
      <c r="G41" s="1237">
        <f>SECT_TERAC.!G41*SECT_U.FIS.!G$67</f>
        <v>0</v>
      </c>
      <c r="H41" s="1237">
        <f>SECT_TERAC.!H41*SECT_U.FIS.!H$67</f>
        <v>0</v>
      </c>
      <c r="I41" s="1237">
        <f>SECT_TERAC.!I41*SECT_U.FIS.!I$67</f>
        <v>0</v>
      </c>
      <c r="J41" s="1237">
        <f>SECT_TERAC.!J41*SECT_U.FIS.!J$67</f>
        <v>0</v>
      </c>
      <c r="K41" s="1237">
        <f>SECT_TERAC.!K41*SECT_U.FIS.!K$67</f>
        <v>0</v>
      </c>
      <c r="L41" s="1237">
        <f>SECT_TERAC.!L41*SECT_U.FIS.!L$67</f>
        <v>0</v>
      </c>
      <c r="M41" s="1237">
        <f>SECT_TERAC.!N41*SECT_U.FIS.!M$67</f>
        <v>2.07106067</v>
      </c>
      <c r="N41" s="1237">
        <f>SECT_TERAC.!O41*SECT_U.FIS.!N$67</f>
        <v>0.98585578571428556</v>
      </c>
      <c r="O41" s="1237">
        <f>SECT_TERAC.!P41*SECT_U.FIS.!O$67</f>
        <v>0</v>
      </c>
      <c r="P41" s="1237">
        <f>SECT_TERAC.!Q41*SECT_U.FIS.!P$67</f>
        <v>0</v>
      </c>
      <c r="Q41" s="1237">
        <f>SECT_TERAC.!R41*SECT_U.FIS.!Q$67</f>
        <v>7.9990000000000008E-6</v>
      </c>
      <c r="R41" s="1237">
        <f>SECT_TERAC.!S41*SECT_U.FIS.!R$67</f>
        <v>0</v>
      </c>
      <c r="S41" s="1237">
        <f>SECT_TERAC.!T41*SECT_U.FIS.!S$67</f>
        <v>0</v>
      </c>
      <c r="T41" s="1237">
        <f>SECT_TERAC.!U41*SECT_U.FIS.!T$67</f>
        <v>0</v>
      </c>
      <c r="U41" s="1223">
        <f>SECT_TERAC.!V41*SECT_U.FIS.!U$67</f>
        <v>0</v>
      </c>
      <c r="V41" s="1237">
        <f>SECT_TERAC.!W41*SECT_U.FIS.!V$67</f>
        <v>0</v>
      </c>
      <c r="W41" s="1233"/>
      <c r="X41" s="1233"/>
      <c r="Y41" s="1233"/>
      <c r="Z41" s="1233"/>
      <c r="AA41" s="1233"/>
      <c r="AB41" s="1233"/>
    </row>
    <row r="42" spans="1:28" s="1228" customFormat="1">
      <c r="A42" s="1230"/>
      <c r="B42" s="1230" t="s">
        <v>282</v>
      </c>
      <c r="C42" s="1237">
        <f>SECT_TERAC.!C42*SECT_U.FIS.!$C$67</f>
        <v>0</v>
      </c>
      <c r="D42" s="1237">
        <f>SECT_TERAC.!D42*SECT_U.FIS.!D$67</f>
        <v>0</v>
      </c>
      <c r="E42" s="1237">
        <f>SECT_TERAC.!E42*SECT_U.FIS.!E$67</f>
        <v>0</v>
      </c>
      <c r="F42" s="1237">
        <f>SECT_TERAC.!F42*SECT_U.FIS.!F$67</f>
        <v>0</v>
      </c>
      <c r="G42" s="1237">
        <f>SECT_TERAC.!G42*SECT_U.FIS.!G$67</f>
        <v>0</v>
      </c>
      <c r="H42" s="1237">
        <f>SECT_TERAC.!H42*SECT_U.FIS.!H$67</f>
        <v>0</v>
      </c>
      <c r="I42" s="1237">
        <f>SECT_TERAC.!I42*SECT_U.FIS.!I$67</f>
        <v>0</v>
      </c>
      <c r="J42" s="1237">
        <f>SECT_TERAC.!J42*SECT_U.FIS.!J$67</f>
        <v>0</v>
      </c>
      <c r="K42" s="1237">
        <f>SECT_TERAC.!K42*SECT_U.FIS.!K$67</f>
        <v>0</v>
      </c>
      <c r="L42" s="1237">
        <f>SECT_TERAC.!L42*SECT_U.FIS.!L$67</f>
        <v>0</v>
      </c>
      <c r="M42" s="1237">
        <f>SECT_TERAC.!N42*SECT_U.FIS.!M$67</f>
        <v>135.245</v>
      </c>
      <c r="N42" s="1237">
        <f>SECT_TERAC.!O42*SECT_U.FIS.!N$67</f>
        <v>0</v>
      </c>
      <c r="O42" s="1237">
        <f>SECT_TERAC.!P42*SECT_U.FIS.!O$67</f>
        <v>0</v>
      </c>
      <c r="P42" s="1237">
        <f>SECT_TERAC.!Q42*SECT_U.FIS.!P$67</f>
        <v>0</v>
      </c>
      <c r="Q42" s="1237">
        <f>SECT_TERAC.!R42*SECT_U.FIS.!Q$67</f>
        <v>0</v>
      </c>
      <c r="R42" s="1237">
        <f>SECT_TERAC.!S42*SECT_U.FIS.!R$67</f>
        <v>0</v>
      </c>
      <c r="S42" s="1237">
        <f>SECT_TERAC.!T42*SECT_U.FIS.!S$67</f>
        <v>0</v>
      </c>
      <c r="T42" s="1237">
        <f>SECT_TERAC.!U42*SECT_U.FIS.!T$67</f>
        <v>0</v>
      </c>
      <c r="U42" s="1223">
        <f>SECT_TERAC.!V42*SECT_U.FIS.!U$67</f>
        <v>0</v>
      </c>
      <c r="V42" s="1237">
        <f>SECT_TERAC.!W42*SECT_U.FIS.!V$67</f>
        <v>0</v>
      </c>
      <c r="W42" s="1233"/>
      <c r="X42" s="1233"/>
      <c r="Y42" s="1233"/>
      <c r="Z42" s="1233"/>
      <c r="AA42" s="1233"/>
      <c r="AB42" s="1233"/>
    </row>
    <row r="43" spans="1:28" s="1228" customFormat="1">
      <c r="A43" s="1230"/>
      <c r="B43" s="1230"/>
      <c r="C43" s="1232"/>
      <c r="D43" s="1232"/>
      <c r="E43" s="1232"/>
      <c r="F43" s="1232"/>
      <c r="G43" s="1232"/>
      <c r="H43" s="1232"/>
      <c r="I43" s="1232"/>
      <c r="J43" s="1232"/>
      <c r="K43" s="1232"/>
      <c r="L43" s="1232"/>
      <c r="M43" s="1232"/>
      <c r="N43" s="1232"/>
      <c r="O43" s="1232"/>
      <c r="P43" s="1232"/>
      <c r="Q43" s="1232"/>
      <c r="R43" s="1232"/>
      <c r="S43" s="1232"/>
      <c r="T43" s="1232"/>
      <c r="U43" s="1232"/>
      <c r="V43" s="1232"/>
      <c r="W43" s="1233"/>
      <c r="X43" s="1233"/>
      <c r="Y43" s="1233"/>
      <c r="Z43" s="1233"/>
      <c r="AA43" s="1233"/>
      <c r="AB43" s="1233"/>
    </row>
    <row r="44" spans="1:28" s="1228" customFormat="1">
      <c r="A44" s="1230" t="s">
        <v>745</v>
      </c>
      <c r="B44" s="1230"/>
      <c r="C44" s="1234">
        <f>SECT_TERAC.!C44*SECT_U.FIS.!$C$67</f>
        <v>2.4990242999999999</v>
      </c>
      <c r="D44" s="1234">
        <f>SECT_TERAC.!D44*SECT_U.FIS.!D$67</f>
        <v>20.927969999999998</v>
      </c>
      <c r="E44" s="1234">
        <f>SECT_TERAC.!E44*SECT_U.FIS.!E$67</f>
        <v>0</v>
      </c>
      <c r="F44" s="1234">
        <f>SECT_TERAC.!F44*SECT_U.FIS.!F$67</f>
        <v>0</v>
      </c>
      <c r="G44" s="1234">
        <f>SECT_TERAC.!G44*SECT_U.FIS.!G$67</f>
        <v>2.86E-2</v>
      </c>
      <c r="H44" s="1234">
        <f>SECT_TERAC.!H44*SECT_U.FIS.!H$67</f>
        <v>25.978548</v>
      </c>
      <c r="I44" s="1234">
        <f>SECT_TERAC.!I44*SECT_U.FIS.!I$67</f>
        <v>0</v>
      </c>
      <c r="J44" s="1234">
        <f>SECT_TERAC.!J44*SECT_U.FIS.!J$67</f>
        <v>0</v>
      </c>
      <c r="K44" s="1234">
        <f>SECT_TERAC.!K44*SECT_U.FIS.!K$67</f>
        <v>242.16700285714285</v>
      </c>
      <c r="L44" s="1234">
        <f>SECT_TERAC.!L44*SECT_U.FIS.!L$67</f>
        <v>575.53359999999998</v>
      </c>
      <c r="M44" s="1234">
        <f>SECT_TERAC.!N44*SECT_U.FIS.!M$67</f>
        <v>2161.1062109549935</v>
      </c>
      <c r="N44" s="1234">
        <f>SECT_TERAC.!O44*SECT_U.FIS.!N$67</f>
        <v>0.98585578571428556</v>
      </c>
      <c r="O44" s="1234">
        <f>SECT_TERAC.!P44*SECT_U.FIS.!O$67</f>
        <v>0</v>
      </c>
      <c r="P44" s="1234">
        <f>SECT_TERAC.!Q44*SECT_U.FIS.!P$67</f>
        <v>18405.096153846156</v>
      </c>
      <c r="Q44" s="1234">
        <f>SECT_TERAC.!R44*SECT_U.FIS.!Q$67</f>
        <v>65.859102779919539</v>
      </c>
      <c r="R44" s="1234">
        <f>SECT_TERAC.!S44*SECT_U.FIS.!R$67</f>
        <v>1089.6511111111113</v>
      </c>
      <c r="S44" s="1234">
        <f>SECT_TERAC.!T44*SECT_U.FIS.!S$67</f>
        <v>552.1167672380185</v>
      </c>
      <c r="T44" s="1234">
        <f>SECT_TERAC.!U44*SECT_U.FIS.!T$67</f>
        <v>0</v>
      </c>
      <c r="U44" s="1234">
        <f>SECT_TERAC.!V44*SECT_U.FIS.!U$67</f>
        <v>0</v>
      </c>
      <c r="V44" s="1234">
        <f>SECT_TERAC.!W44*SECT_U.FIS.!V$67</f>
        <v>0</v>
      </c>
      <c r="W44" s="1233"/>
      <c r="X44" s="1233"/>
      <c r="Y44" s="1233"/>
      <c r="Z44" s="1233"/>
      <c r="AA44" s="1233"/>
      <c r="AB44" s="1233"/>
    </row>
    <row r="45" spans="1:28" s="1228" customFormat="1">
      <c r="A45" s="1230"/>
      <c r="B45" s="1230"/>
      <c r="C45" s="1232"/>
      <c r="D45" s="1232"/>
      <c r="E45" s="1232"/>
      <c r="F45" s="1232"/>
      <c r="G45" s="1232"/>
      <c r="H45" s="1232"/>
      <c r="I45" s="1232"/>
      <c r="J45" s="1232"/>
      <c r="K45" s="1232"/>
      <c r="L45" s="1232"/>
      <c r="M45" s="1232"/>
      <c r="N45" s="1232"/>
      <c r="O45" s="1232"/>
      <c r="P45" s="1232"/>
      <c r="Q45" s="1232"/>
      <c r="R45" s="1232"/>
      <c r="S45" s="1232"/>
      <c r="T45" s="1232"/>
      <c r="U45" s="1232"/>
      <c r="V45" s="1232"/>
      <c r="W45" s="1233"/>
      <c r="X45" s="1233"/>
      <c r="Y45" s="1233"/>
      <c r="Z45" s="1233"/>
      <c r="AA45" s="1233"/>
      <c r="AB45" s="1233"/>
    </row>
    <row r="46" spans="1:28">
      <c r="A46" s="380"/>
      <c r="B46" s="380"/>
      <c r="C46" s="385"/>
      <c r="D46" s="385"/>
      <c r="E46" s="385"/>
      <c r="F46" s="385"/>
      <c r="G46" s="385"/>
      <c r="H46" s="385"/>
      <c r="I46" s="385"/>
      <c r="J46" s="385"/>
      <c r="K46" s="385"/>
      <c r="L46" s="385"/>
      <c r="M46" s="385"/>
      <c r="N46" s="385"/>
      <c r="O46" s="385"/>
      <c r="P46" s="385"/>
      <c r="Q46" s="385"/>
      <c r="R46" s="385"/>
      <c r="S46" s="385"/>
      <c r="T46" s="385"/>
      <c r="U46" s="385"/>
      <c r="V46" s="385"/>
      <c r="W46" s="385"/>
      <c r="X46" s="385"/>
      <c r="Y46" s="385"/>
      <c r="Z46" s="385"/>
      <c r="AA46" s="385"/>
      <c r="AB46" s="385"/>
    </row>
    <row r="47" spans="1:28">
      <c r="A47" s="382" t="s">
        <v>276</v>
      </c>
      <c r="B47" s="380"/>
      <c r="C47" s="1220">
        <f>SECT_TERAC.!C47*SECT_U.FIS.!$C$67</f>
        <v>5302.6450727245092</v>
      </c>
      <c r="D47" s="1220">
        <f>SECT_TERAC.!D47*SECT_U.FIS.!D$67</f>
        <v>1540.7671126566638</v>
      </c>
      <c r="E47" s="1220">
        <f>SECT_TERAC.!E47*SECT_U.FIS.!E$67</f>
        <v>2892.5124129999995</v>
      </c>
      <c r="F47" s="1220">
        <f>SECT_TERAC.!F47*SECT_U.FIS.!F$67</f>
        <v>0</v>
      </c>
      <c r="G47" s="1220">
        <f>SECT_TERAC.!G47*SECT_U.FIS.!G$67</f>
        <v>132.25772999999998</v>
      </c>
      <c r="H47" s="1220">
        <f>SECT_TERAC.!H47*SECT_U.FIS.!H$67</f>
        <v>1015.0628206000002</v>
      </c>
      <c r="I47" s="1220">
        <f>SECT_TERAC.!I47*SECT_U.FIS.!I$67</f>
        <v>5.979000000000001</v>
      </c>
      <c r="J47" s="1220">
        <f>SECT_TERAC.!J47*SECT_U.FIS.!J$67</f>
        <v>710.05444000000011</v>
      </c>
      <c r="K47" s="1220">
        <f>SECT_TERAC.!K47*SECT_U.FIS.!K$67</f>
        <v>244.57921615714287</v>
      </c>
      <c r="L47" s="1220">
        <f>SECT_TERAC.!L47*SECT_U.FIS.!L$67</f>
        <v>576.65489107981216</v>
      </c>
      <c r="M47" s="1220">
        <f>SECT_TERAC.!N47*SECT_U.FIS.!M$67</f>
        <v>49076.606158873707</v>
      </c>
      <c r="N47" s="1220">
        <f>SECT_TERAC.!O47*SECT_U.FIS.!N$67</f>
        <v>750.40990934250704</v>
      </c>
      <c r="O47" s="1220">
        <f>SECT_TERAC.!P47*SECT_U.FIS.!O$67</f>
        <v>285.32909314285729</v>
      </c>
      <c r="P47" s="1220">
        <f>SECT_TERAC.!Q47*SECT_U.FIS.!P$67</f>
        <v>18405.096153846156</v>
      </c>
      <c r="Q47" s="1220">
        <f>SECT_TERAC.!R47*SECT_U.FIS.!Q$67</f>
        <v>327.59212076629331</v>
      </c>
      <c r="R47" s="1220">
        <f>SECT_TERAC.!S47*SECT_U.FIS.!R$67</f>
        <v>1498.3988888888889</v>
      </c>
      <c r="S47" s="1220">
        <f>SECT_TERAC.!T47*SECT_U.FIS.!S$67</f>
        <v>2213.0426876837391</v>
      </c>
      <c r="T47" s="1220">
        <f>SECT_TERAC.!U47*SECT_U.FIS.!T$67</f>
        <v>0</v>
      </c>
      <c r="U47" s="1220">
        <f>SECT_TERAC.!V47*SECT_U.FIS.!U$67</f>
        <v>0</v>
      </c>
      <c r="V47" s="1220">
        <f>SECT_TERAC.!W47*SECT_U.FIS.!V$67</f>
        <v>11027.413542511731</v>
      </c>
      <c r="W47" s="388"/>
      <c r="X47" s="388"/>
      <c r="Y47" s="388"/>
      <c r="Z47" s="388"/>
      <c r="AA47" s="388"/>
      <c r="AB47" s="388"/>
    </row>
    <row r="48" spans="1:28" s="1228" customFormat="1">
      <c r="A48" s="368"/>
      <c r="B48" s="380"/>
      <c r="C48" s="1232"/>
      <c r="D48" s="1232"/>
      <c r="E48" s="1232"/>
      <c r="F48" s="1232"/>
      <c r="G48" s="1232"/>
      <c r="H48" s="1232"/>
      <c r="I48" s="1232"/>
      <c r="J48" s="1232"/>
      <c r="K48" s="1232"/>
      <c r="L48" s="1232"/>
      <c r="M48" s="1232"/>
      <c r="N48" s="1232"/>
      <c r="O48" s="1232"/>
      <c r="P48" s="1232"/>
      <c r="Q48" s="1232"/>
      <c r="R48" s="1232"/>
      <c r="S48" s="1232"/>
      <c r="T48" s="1232"/>
      <c r="U48" s="1232"/>
      <c r="V48" s="1232"/>
      <c r="W48" s="1233"/>
      <c r="X48" s="1233"/>
      <c r="Y48" s="1233"/>
      <c r="Z48" s="1233"/>
      <c r="AA48" s="1233"/>
      <c r="AB48" s="1233"/>
    </row>
    <row r="49" spans="1:28">
      <c r="A49" s="382" t="s">
        <v>277</v>
      </c>
      <c r="B49" s="380" t="s">
        <v>278</v>
      </c>
      <c r="C49" s="1237">
        <f>SECT_TERAC.!C49*SECT_U.FIS.!$C$67</f>
        <v>17.775947561205026</v>
      </c>
      <c r="D49" s="1237">
        <f>SECT_TERAC.!D49*SECT_U.FIS.!D$67</f>
        <v>75.786381653336107</v>
      </c>
      <c r="E49" s="1237">
        <f>SECT_TERAC.!E49*SECT_U.FIS.!E$67</f>
        <v>0</v>
      </c>
      <c r="F49" s="1237">
        <f>SECT_TERAC.!F49*SECT_U.FIS.!F$67</f>
        <v>0</v>
      </c>
      <c r="G49" s="1237">
        <f>SECT_TERAC.!G49*SECT_U.FIS.!G$67</f>
        <v>1.0000000000000002E-2</v>
      </c>
      <c r="H49" s="1237">
        <f>SECT_TERAC.!H49*SECT_U.FIS.!H$67</f>
        <v>3.58505E-2</v>
      </c>
      <c r="I49" s="1237">
        <f>SECT_TERAC.!I49*SECT_U.FIS.!I$67</f>
        <v>0</v>
      </c>
      <c r="J49" s="1237">
        <f>SECT_TERAC.!J49*SECT_U.FIS.!J$67</f>
        <v>0</v>
      </c>
      <c r="K49" s="1237">
        <f>SECT_TERAC.!K49*SECT_U.FIS.!K$67</f>
        <v>1.5670000000000001E-4</v>
      </c>
      <c r="L49" s="1237">
        <f>SECT_TERAC.!L49*SECT_U.FIS.!L$67</f>
        <v>20.315578638497648</v>
      </c>
      <c r="M49" s="1237">
        <f>SECT_TERAC.!N49*SECT_U.FIS.!M$67</f>
        <v>0</v>
      </c>
      <c r="N49" s="1237">
        <f>SECT_TERAC.!O49*SECT_U.FIS.!N$67</f>
        <v>12.161642094658262</v>
      </c>
      <c r="O49" s="1237">
        <f>SECT_TERAC.!P49*SECT_U.FIS.!O$67</f>
        <v>0</v>
      </c>
      <c r="P49" s="1237">
        <f>SECT_TERAC.!Q49*SECT_U.FIS.!P$67</f>
        <v>0</v>
      </c>
      <c r="Q49" s="1237">
        <f>SECT_TERAC.!R49*SECT_U.FIS.!Q$67</f>
        <v>0</v>
      </c>
      <c r="R49" s="1237">
        <f>SECT_TERAC.!S49*SECT_U.FIS.!R$67</f>
        <v>0</v>
      </c>
      <c r="S49" s="1237">
        <f>SECT_TERAC.!T49*SECT_U.FIS.!S$67</f>
        <v>50.890568000000002</v>
      </c>
      <c r="T49" s="1237">
        <f>SECT_TERAC.!U49*SECT_U.FIS.!T$67</f>
        <v>0</v>
      </c>
      <c r="U49" s="1223">
        <f>SECT_TERAC.!V49*SECT_U.FIS.!U$67</f>
        <v>0</v>
      </c>
      <c r="V49" s="1237">
        <f>SECT_TERAC.!W49*SECT_U.FIS.!V$67</f>
        <v>1254.7034285596544</v>
      </c>
      <c r="W49" s="388"/>
      <c r="X49" s="388"/>
      <c r="Y49" s="388"/>
      <c r="Z49" s="388"/>
      <c r="AA49" s="388"/>
      <c r="AB49" s="388"/>
    </row>
    <row r="50" spans="1:28">
      <c r="A50" s="382" t="s">
        <v>743</v>
      </c>
      <c r="B50" s="380" t="s">
        <v>297</v>
      </c>
      <c r="C50" s="1237">
        <f>SECT_TERAC.!C50*SECT_U.FIS.!$C$67</f>
        <v>85.131460714285694</v>
      </c>
      <c r="D50" s="1237">
        <f>SECT_TERAC.!D50*SECT_U.FIS.!D$67</f>
        <v>11.061275950000002</v>
      </c>
      <c r="E50" s="1237">
        <f>SECT_TERAC.!E50*SECT_U.FIS.!E$67</f>
        <v>0</v>
      </c>
      <c r="F50" s="1237">
        <f>SECT_TERAC.!F50*SECT_U.FIS.!F$67</f>
        <v>0</v>
      </c>
      <c r="G50" s="1237">
        <f>SECT_TERAC.!G50*SECT_U.FIS.!G$67</f>
        <v>0</v>
      </c>
      <c r="H50" s="1237">
        <f>SECT_TERAC.!H50*SECT_U.FIS.!H$67</f>
        <v>8.7429900000000005E-2</v>
      </c>
      <c r="I50" s="1237">
        <f>SECT_TERAC.!I50*SECT_U.FIS.!I$67</f>
        <v>0</v>
      </c>
      <c r="J50" s="1237">
        <f>SECT_TERAC.!J50*SECT_U.FIS.!J$67</f>
        <v>0</v>
      </c>
      <c r="K50" s="1237">
        <f>SECT_TERAC.!K50*SECT_U.FIS.!K$67</f>
        <v>3.3329000000000004E-2</v>
      </c>
      <c r="L50" s="1237">
        <f>SECT_TERAC.!L50*SECT_U.FIS.!L$67</f>
        <v>0</v>
      </c>
      <c r="M50" s="1237">
        <f>SECT_TERAC.!N50*SECT_U.FIS.!M$67</f>
        <v>0</v>
      </c>
      <c r="N50" s="1237">
        <f>SECT_TERAC.!O50*SECT_U.FIS.!N$67</f>
        <v>2530.8953904364121</v>
      </c>
      <c r="O50" s="1237">
        <f>SECT_TERAC.!P50*SECT_U.FIS.!O$67</f>
        <v>798.42385075000004</v>
      </c>
      <c r="P50" s="1237">
        <f>SECT_TERAC.!Q50*SECT_U.FIS.!P$67</f>
        <v>0</v>
      </c>
      <c r="Q50" s="1237">
        <f>SECT_TERAC.!R50*SECT_U.FIS.!Q$67</f>
        <v>0</v>
      </c>
      <c r="R50" s="1237">
        <f>SECT_TERAC.!S50*SECT_U.FIS.!R$67</f>
        <v>0</v>
      </c>
      <c r="S50" s="1237">
        <f>SECT_TERAC.!T50*SECT_U.FIS.!S$67</f>
        <v>3402.34306347548</v>
      </c>
      <c r="T50" s="1237">
        <f>SECT_TERAC.!U50*SECT_U.FIS.!T$67</f>
        <v>0</v>
      </c>
      <c r="U50" s="1223">
        <f>SECT_TERAC.!V50*SECT_U.FIS.!U$67</f>
        <v>0</v>
      </c>
      <c r="V50" s="1237">
        <f>SECT_TERAC.!W50*SECT_U.FIS.!V$67</f>
        <v>35.407164175141531</v>
      </c>
      <c r="W50" s="388"/>
      <c r="X50" s="388"/>
      <c r="Y50" s="388"/>
      <c r="Z50" s="388"/>
      <c r="AA50" s="388"/>
      <c r="AB50" s="388"/>
    </row>
    <row r="51" spans="1:28">
      <c r="A51" s="380"/>
      <c r="B51" s="380" t="s">
        <v>279</v>
      </c>
      <c r="C51" s="1237">
        <f>SECT_TERAC.!C51*SECT_U.FIS.!$C$67</f>
        <v>0</v>
      </c>
      <c r="D51" s="1237">
        <f>SECT_TERAC.!D51*SECT_U.FIS.!D$67</f>
        <v>0</v>
      </c>
      <c r="E51" s="1237">
        <f>SECT_TERAC.!E51*SECT_U.FIS.!E$67</f>
        <v>0</v>
      </c>
      <c r="F51" s="1237">
        <f>SECT_TERAC.!F51*SECT_U.FIS.!F$67</f>
        <v>0</v>
      </c>
      <c r="G51" s="1237">
        <f>SECT_TERAC.!G51*SECT_U.FIS.!G$67</f>
        <v>0</v>
      </c>
      <c r="H51" s="1237">
        <f>SECT_TERAC.!H51*SECT_U.FIS.!H$67</f>
        <v>2.2866580000000005</v>
      </c>
      <c r="I51" s="1237">
        <f>SECT_TERAC.!I51*SECT_U.FIS.!I$67</f>
        <v>0</v>
      </c>
      <c r="J51" s="1237">
        <f>SECT_TERAC.!J51*SECT_U.FIS.!J$67</f>
        <v>0</v>
      </c>
      <c r="K51" s="1237">
        <f>SECT_TERAC.!K51*SECT_U.FIS.!K$67</f>
        <v>0</v>
      </c>
      <c r="L51" s="1237">
        <f>SECT_TERAC.!L51*SECT_U.FIS.!L$67</f>
        <v>0</v>
      </c>
      <c r="M51" s="1237">
        <f>SECT_TERAC.!N51*SECT_U.FIS.!M$67</f>
        <v>0</v>
      </c>
      <c r="N51" s="1237">
        <f>SECT_TERAC.!O51*SECT_U.FIS.!N$67</f>
        <v>0</v>
      </c>
      <c r="O51" s="1237">
        <f>SECT_TERAC.!P51*SECT_U.FIS.!O$67</f>
        <v>290.48471428571423</v>
      </c>
      <c r="P51" s="1237">
        <f>SECT_TERAC.!Q51*SECT_U.FIS.!P$67</f>
        <v>0</v>
      </c>
      <c r="Q51" s="1237">
        <f>SECT_TERAC.!R51*SECT_U.FIS.!Q$67</f>
        <v>0</v>
      </c>
      <c r="R51" s="1237">
        <f>SECT_TERAC.!S51*SECT_U.FIS.!R$67</f>
        <v>0</v>
      </c>
      <c r="S51" s="1237">
        <f>SECT_TERAC.!T51*SECT_U.FIS.!S$67</f>
        <v>29.643591999999995</v>
      </c>
      <c r="T51" s="1237">
        <f>SECT_TERAC.!U51*SECT_U.FIS.!T$67</f>
        <v>0</v>
      </c>
      <c r="U51" s="1223">
        <f>SECT_TERAC.!V51*SECT_U.FIS.!U$67</f>
        <v>0</v>
      </c>
      <c r="V51" s="1223">
        <f>SECT_TERAC.!W51*SECT_U.FIS.!V$67</f>
        <v>0</v>
      </c>
      <c r="W51" s="388"/>
      <c r="X51" s="388"/>
      <c r="Y51" s="388"/>
      <c r="Z51" s="388"/>
      <c r="AA51" s="388"/>
      <c r="AB51" s="388"/>
    </row>
    <row r="52" spans="1:28">
      <c r="A52" s="380"/>
      <c r="B52" s="380" t="s">
        <v>296</v>
      </c>
      <c r="C52" s="1237">
        <f>SECT_TERAC.!C52*SECT_U.FIS.!$C$67</f>
        <v>0</v>
      </c>
      <c r="D52" s="1237">
        <f>SECT_TERAC.!D52*SECT_U.FIS.!D$67</f>
        <v>0</v>
      </c>
      <c r="E52" s="1237">
        <f>SECT_TERAC.!E52*SECT_U.FIS.!E$67</f>
        <v>0</v>
      </c>
      <c r="F52" s="1237">
        <f>SECT_TERAC.!F52*SECT_U.FIS.!F$67</f>
        <v>0</v>
      </c>
      <c r="G52" s="1237">
        <f>SECT_TERAC.!G52*SECT_U.FIS.!G$67</f>
        <v>0</v>
      </c>
      <c r="H52" s="1237">
        <f>SECT_TERAC.!H52*SECT_U.FIS.!H$67</f>
        <v>0</v>
      </c>
      <c r="I52" s="1237">
        <f>SECT_TERAC.!I52*SECT_U.FIS.!I$67</f>
        <v>0</v>
      </c>
      <c r="J52" s="1237">
        <f>SECT_TERAC.!J52*SECT_U.FIS.!J$67</f>
        <v>0</v>
      </c>
      <c r="K52" s="1237">
        <f>SECT_TERAC.!K52*SECT_U.FIS.!K$67</f>
        <v>0</v>
      </c>
      <c r="L52" s="1237">
        <f>SECT_TERAC.!L52*SECT_U.FIS.!L$67</f>
        <v>0</v>
      </c>
      <c r="M52" s="1237">
        <f>SECT_TERAC.!N52*SECT_U.FIS.!M$67</f>
        <v>0</v>
      </c>
      <c r="N52" s="1237">
        <f>SECT_TERAC.!O52*SECT_U.FIS.!N$67</f>
        <v>726.11382857142871</v>
      </c>
      <c r="O52" s="1237">
        <f>SECT_TERAC.!P52*SECT_U.FIS.!O$67</f>
        <v>0</v>
      </c>
      <c r="P52" s="1237">
        <f>SECT_TERAC.!Q52*SECT_U.FIS.!P$67</f>
        <v>0</v>
      </c>
      <c r="Q52" s="1237">
        <f>SECT_TERAC.!R52*SECT_U.FIS.!Q$67</f>
        <v>0</v>
      </c>
      <c r="R52" s="1237">
        <f>SECT_TERAC.!S52*SECT_U.FIS.!R$67</f>
        <v>0</v>
      </c>
      <c r="S52" s="1237">
        <f>SECT_TERAC.!T52*SECT_U.FIS.!S$67</f>
        <v>0</v>
      </c>
      <c r="T52" s="1237">
        <f>SECT_TERAC.!U52*SECT_U.FIS.!T$67</f>
        <v>0</v>
      </c>
      <c r="U52" s="1223">
        <f>SECT_TERAC.!V52*SECT_U.FIS.!U$67</f>
        <v>0</v>
      </c>
      <c r="V52" s="1223">
        <f>SECT_TERAC.!W52*SECT_U.FIS.!V$67</f>
        <v>0</v>
      </c>
      <c r="W52" s="388"/>
      <c r="X52" s="388"/>
      <c r="Y52" s="388"/>
      <c r="Z52" s="388"/>
      <c r="AA52" s="388"/>
      <c r="AB52" s="388"/>
    </row>
    <row r="53" spans="1:28">
      <c r="A53" s="380"/>
      <c r="B53" s="380" t="s">
        <v>280</v>
      </c>
      <c r="C53" s="1237">
        <f>SECT_TERAC.!C53*SECT_U.FIS.!$C$67</f>
        <v>0</v>
      </c>
      <c r="D53" s="1237">
        <f>SECT_TERAC.!D53*SECT_U.FIS.!D$67</f>
        <v>0</v>
      </c>
      <c r="E53" s="1237">
        <f>SECT_TERAC.!E53*SECT_U.FIS.!E$67</f>
        <v>0</v>
      </c>
      <c r="F53" s="1237">
        <f>SECT_TERAC.!F53*SECT_U.FIS.!F$67</f>
        <v>0</v>
      </c>
      <c r="G53" s="1237">
        <f>SECT_TERAC.!G53*SECT_U.FIS.!G$67</f>
        <v>0</v>
      </c>
      <c r="H53" s="1237">
        <f>SECT_TERAC.!H53*SECT_U.FIS.!H$67</f>
        <v>0</v>
      </c>
      <c r="I53" s="1237">
        <f>SECT_TERAC.!I53*SECT_U.FIS.!I$67</f>
        <v>0</v>
      </c>
      <c r="J53" s="1237">
        <f>SECT_TERAC.!J53*SECT_U.FIS.!J$67</f>
        <v>0</v>
      </c>
      <c r="K53" s="1237">
        <f>SECT_TERAC.!K53*SECT_U.FIS.!K$67</f>
        <v>0</v>
      </c>
      <c r="L53" s="1237">
        <f>SECT_TERAC.!L53*SECT_U.FIS.!L$67</f>
        <v>0</v>
      </c>
      <c r="M53" s="1237">
        <f>SECT_TERAC.!N53*SECT_U.FIS.!M$67</f>
        <v>0</v>
      </c>
      <c r="N53" s="1237">
        <f>SECT_TERAC.!O53*SECT_U.FIS.!N$67</f>
        <v>0</v>
      </c>
      <c r="O53" s="1237">
        <f>SECT_TERAC.!P53*SECT_U.FIS.!O$67</f>
        <v>0</v>
      </c>
      <c r="P53" s="1237">
        <f>SECT_TERAC.!Q53*SECT_U.FIS.!P$67</f>
        <v>0</v>
      </c>
      <c r="Q53" s="1237">
        <f>SECT_TERAC.!R53*SECT_U.FIS.!Q$67</f>
        <v>0</v>
      </c>
      <c r="R53" s="1237">
        <f>SECT_TERAC.!S53*SECT_U.FIS.!R$67</f>
        <v>0</v>
      </c>
      <c r="S53" s="1237">
        <f>SECT_TERAC.!T53*SECT_U.FIS.!S$67</f>
        <v>238.68464101666751</v>
      </c>
      <c r="T53" s="1237">
        <f>SECT_TERAC.!U53*SECT_U.FIS.!T$67</f>
        <v>0</v>
      </c>
      <c r="U53" s="1223">
        <f>SECT_TERAC.!V53*SECT_U.FIS.!U$67</f>
        <v>0</v>
      </c>
      <c r="V53" s="1223">
        <f>SECT_TERAC.!W53*SECT_U.FIS.!V$67</f>
        <v>0</v>
      </c>
      <c r="W53" s="388"/>
      <c r="X53" s="388"/>
      <c r="Y53" s="388"/>
      <c r="Z53" s="388"/>
      <c r="AA53" s="388"/>
      <c r="AB53" s="388"/>
    </row>
    <row r="54" spans="1:28">
      <c r="A54" s="380"/>
      <c r="B54" s="380" t="s">
        <v>281</v>
      </c>
      <c r="C54" s="1237">
        <f>SECT_TERAC.!C54*SECT_U.FIS.!$C$67</f>
        <v>0</v>
      </c>
      <c r="D54" s="1237">
        <f>SECT_TERAC.!D54*SECT_U.FIS.!D$67</f>
        <v>0</v>
      </c>
      <c r="E54" s="1237">
        <f>SECT_TERAC.!E54*SECT_U.FIS.!E$67</f>
        <v>0</v>
      </c>
      <c r="F54" s="1237">
        <f>SECT_TERAC.!F54*SECT_U.FIS.!F$67</f>
        <v>0</v>
      </c>
      <c r="G54" s="1237">
        <f>SECT_TERAC.!G54*SECT_U.FIS.!G$67</f>
        <v>0</v>
      </c>
      <c r="H54" s="1237">
        <f>SECT_TERAC.!H54*SECT_U.FIS.!H$67</f>
        <v>0</v>
      </c>
      <c r="I54" s="1237">
        <f>SECT_TERAC.!I54*SECT_U.FIS.!I$67</f>
        <v>0</v>
      </c>
      <c r="J54" s="1237">
        <f>SECT_TERAC.!J54*SECT_U.FIS.!J$67</f>
        <v>0</v>
      </c>
      <c r="K54" s="1237">
        <f>SECT_TERAC.!K54*SECT_U.FIS.!K$67</f>
        <v>0</v>
      </c>
      <c r="L54" s="1237">
        <f>SECT_TERAC.!L54*SECT_U.FIS.!L$67</f>
        <v>0</v>
      </c>
      <c r="M54" s="1237">
        <f>SECT_TERAC.!N54*SECT_U.FIS.!M$67</f>
        <v>0</v>
      </c>
      <c r="N54" s="1237">
        <f>SECT_TERAC.!O54*SECT_U.FIS.!N$67</f>
        <v>0</v>
      </c>
      <c r="O54" s="1237">
        <f>SECT_TERAC.!P54*SECT_U.FIS.!O$67</f>
        <v>1.212E-3</v>
      </c>
      <c r="P54" s="1237">
        <f>SECT_TERAC.!Q54*SECT_U.FIS.!P$67</f>
        <v>0</v>
      </c>
      <c r="Q54" s="1237">
        <f>SECT_TERAC.!R54*SECT_U.FIS.!Q$67</f>
        <v>0</v>
      </c>
      <c r="R54" s="1237">
        <f>SECT_TERAC.!S54*SECT_U.FIS.!R$67</f>
        <v>0</v>
      </c>
      <c r="S54" s="1237">
        <f>SECT_TERAC.!T54*SECT_U.FIS.!S$67</f>
        <v>0</v>
      </c>
      <c r="T54" s="1237">
        <f>SECT_TERAC.!U54*SECT_U.FIS.!T$67</f>
        <v>0</v>
      </c>
      <c r="U54" s="1223">
        <f>SECT_TERAC.!V54*SECT_U.FIS.!U$67</f>
        <v>0</v>
      </c>
      <c r="V54" s="1223">
        <f>SECT_TERAC.!W54*SECT_U.FIS.!V$67</f>
        <v>0</v>
      </c>
      <c r="W54" s="388"/>
      <c r="X54" s="388"/>
      <c r="Y54" s="388"/>
      <c r="Z54" s="388"/>
      <c r="AA54" s="388"/>
      <c r="AB54" s="388"/>
    </row>
    <row r="55" spans="1:28">
      <c r="A55" s="380"/>
      <c r="B55" s="380" t="s">
        <v>282</v>
      </c>
      <c r="C55" s="1237">
        <f>SECT_TERAC.!C55*SECT_U.FIS.!$C$67</f>
        <v>0</v>
      </c>
      <c r="D55" s="1237">
        <f>SECT_TERAC.!D55*SECT_U.FIS.!D$67</f>
        <v>0</v>
      </c>
      <c r="E55" s="1237">
        <f>SECT_TERAC.!E55*SECT_U.FIS.!E$67</f>
        <v>0</v>
      </c>
      <c r="F55" s="1237">
        <f>SECT_TERAC.!F55*SECT_U.FIS.!F$67</f>
        <v>0</v>
      </c>
      <c r="G55" s="1237">
        <f>SECT_TERAC.!G55*SECT_U.FIS.!G$67</f>
        <v>0</v>
      </c>
      <c r="H55" s="1237">
        <f>SECT_TERAC.!H55*SECT_U.FIS.!H$67</f>
        <v>0</v>
      </c>
      <c r="I55" s="1237">
        <f>SECT_TERAC.!I55*SECT_U.FIS.!I$67</f>
        <v>0</v>
      </c>
      <c r="J55" s="1237">
        <f>SECT_TERAC.!J55*SECT_U.FIS.!J$67</f>
        <v>0</v>
      </c>
      <c r="K55" s="1237">
        <f>SECT_TERAC.!K55*SECT_U.FIS.!K$67</f>
        <v>0</v>
      </c>
      <c r="L55" s="1237">
        <f>SECT_TERAC.!L55*SECT_U.FIS.!L$67</f>
        <v>0</v>
      </c>
      <c r="M55" s="1237">
        <f>SECT_TERAC.!N55*SECT_U.FIS.!M$67</f>
        <v>0</v>
      </c>
      <c r="N55" s="1237">
        <f>SECT_TERAC.!O55*SECT_U.FIS.!N$67</f>
        <v>0</v>
      </c>
      <c r="O55" s="1237">
        <f>SECT_TERAC.!P55*SECT_U.FIS.!O$67</f>
        <v>0</v>
      </c>
      <c r="P55" s="1237">
        <f>SECT_TERAC.!Q55*SECT_U.FIS.!P$67</f>
        <v>0</v>
      </c>
      <c r="Q55" s="1237">
        <f>SECT_TERAC.!R55*SECT_U.FIS.!Q$67</f>
        <v>0</v>
      </c>
      <c r="R55" s="1237">
        <f>SECT_TERAC.!S55*SECT_U.FIS.!R$67</f>
        <v>0</v>
      </c>
      <c r="S55" s="1237">
        <f>SECT_TERAC.!T55*SECT_U.FIS.!S$67</f>
        <v>2653.411950948509</v>
      </c>
      <c r="T55" s="1237">
        <f>SECT_TERAC.!U55*SECT_U.FIS.!T$67</f>
        <v>0</v>
      </c>
      <c r="U55" s="1223">
        <f>SECT_TERAC.!V55*SECT_U.FIS.!U$67</f>
        <v>0</v>
      </c>
      <c r="V55" s="1223">
        <f>SECT_TERAC.!W55*SECT_U.FIS.!V$67</f>
        <v>0</v>
      </c>
      <c r="W55" s="388"/>
      <c r="X55" s="388"/>
      <c r="Y55" s="388"/>
      <c r="Z55" s="388"/>
      <c r="AA55" s="388"/>
      <c r="AB55" s="388"/>
    </row>
    <row r="56" spans="1:28">
      <c r="A56" s="380"/>
      <c r="B56" s="380"/>
      <c r="C56" s="385"/>
      <c r="D56" s="385"/>
      <c r="E56" s="385"/>
      <c r="F56" s="385"/>
      <c r="G56" s="385"/>
      <c r="H56" s="385"/>
      <c r="I56" s="385"/>
      <c r="J56" s="385"/>
      <c r="K56" s="385"/>
      <c r="L56" s="385"/>
      <c r="M56" s="385"/>
      <c r="N56" s="385"/>
      <c r="O56" s="385"/>
      <c r="P56" s="385"/>
      <c r="Q56" s="385"/>
      <c r="R56" s="385"/>
      <c r="S56" s="385"/>
      <c r="T56" s="385"/>
      <c r="U56" s="385"/>
      <c r="V56" s="385"/>
      <c r="W56" s="388"/>
      <c r="X56" s="388"/>
      <c r="Y56" s="388"/>
      <c r="Z56" s="388"/>
      <c r="AA56" s="388"/>
      <c r="AB56" s="388"/>
    </row>
    <row r="57" spans="1:28">
      <c r="A57" s="380" t="s">
        <v>283</v>
      </c>
      <c r="B57" s="380"/>
      <c r="C57" s="1220">
        <f>SECT_TERAC.!C57*SECT_U.FIS.!$C$67</f>
        <v>102.90740827549072</v>
      </c>
      <c r="D57" s="1220">
        <f>SECT_TERAC.!D57*SECT_U.FIS.!D$67</f>
        <v>86.847657603336117</v>
      </c>
      <c r="E57" s="1220">
        <f>SECT_TERAC.!E57*SECT_U.FIS.!E$67</f>
        <v>0</v>
      </c>
      <c r="F57" s="1220">
        <f>SECT_TERAC.!F57*SECT_U.FIS.!F$67</f>
        <v>0</v>
      </c>
      <c r="G57" s="1220">
        <f>SECT_TERAC.!G57*SECT_U.FIS.!G$67</f>
        <v>1.0000000000000002E-2</v>
      </c>
      <c r="H57" s="1220">
        <f>SECT_TERAC.!H57*SECT_U.FIS.!H$67</f>
        <v>2.4099384000000006</v>
      </c>
      <c r="I57" s="1220">
        <f>SECT_TERAC.!I57*SECT_U.FIS.!I$67</f>
        <v>0</v>
      </c>
      <c r="J57" s="1220">
        <f>SECT_TERAC.!J57*SECT_U.FIS.!J$67</f>
        <v>0</v>
      </c>
      <c r="K57" s="1220">
        <f>SECT_TERAC.!K57*SECT_U.FIS.!K$67</f>
        <v>3.34857E-2</v>
      </c>
      <c r="L57" s="1220">
        <f>SECT_TERAC.!L57*SECT_U.FIS.!L$67</f>
        <v>20.315578638497648</v>
      </c>
      <c r="M57" s="1220">
        <f>SECT_TERAC.!N57*SECT_U.FIS.!M$67</f>
        <v>0</v>
      </c>
      <c r="N57" s="1220">
        <f>SECT_TERAC.!O57*SECT_U.FIS.!N$67</f>
        <v>3269.1708611024992</v>
      </c>
      <c r="O57" s="1220">
        <f>SECT_TERAC.!P57*SECT_U.FIS.!O$67</f>
        <v>1088.9097770357141</v>
      </c>
      <c r="P57" s="1220">
        <f>SECT_TERAC.!Q57*SECT_U.FIS.!P$67</f>
        <v>0</v>
      </c>
      <c r="Q57" s="1220">
        <f>SECT_TERAC.!R57*SECT_U.FIS.!Q$67</f>
        <v>0</v>
      </c>
      <c r="R57" s="1220">
        <f>SECT_TERAC.!S57*SECT_U.FIS.!R$67</f>
        <v>0</v>
      </c>
      <c r="S57" s="1220">
        <f>SECT_TERAC.!T57*SECT_U.FIS.!S$67</f>
        <v>6374.9738154406559</v>
      </c>
      <c r="T57" s="1220">
        <f>SECT_TERAC.!U57*SECT_U.FIS.!T$67</f>
        <v>0</v>
      </c>
      <c r="U57" s="1220">
        <f>SECT_TERAC.!V57*SECT_U.FIS.!U$67</f>
        <v>0</v>
      </c>
      <c r="V57" s="1220">
        <f>SECT_TERAC.!W57*SECT_U.FIS.!V$67</f>
        <v>1290.110592734796</v>
      </c>
      <c r="W57" s="388"/>
      <c r="X57" s="388"/>
      <c r="Y57" s="388"/>
      <c r="Z57" s="388"/>
      <c r="AA57" s="388"/>
      <c r="AB57" s="388"/>
    </row>
    <row r="58" spans="1:28">
      <c r="A58" s="380"/>
      <c r="B58" s="380"/>
      <c r="C58" s="385"/>
      <c r="D58" s="385"/>
      <c r="E58" s="385"/>
      <c r="F58" s="385"/>
      <c r="G58" s="385"/>
      <c r="H58" s="385"/>
      <c r="I58" s="385"/>
      <c r="J58" s="385"/>
      <c r="K58" s="385"/>
      <c r="L58" s="385"/>
      <c r="M58" s="385"/>
      <c r="N58" s="385"/>
      <c r="O58" s="385"/>
      <c r="P58" s="385"/>
      <c r="Q58" s="385"/>
      <c r="R58" s="385"/>
      <c r="S58" s="385"/>
      <c r="T58" s="385"/>
      <c r="U58" s="385"/>
      <c r="V58" s="385"/>
      <c r="W58" s="388"/>
      <c r="X58" s="388"/>
      <c r="Y58" s="388"/>
      <c r="Z58" s="388"/>
      <c r="AA58" s="388"/>
      <c r="AB58" s="388"/>
    </row>
    <row r="59" spans="1:28">
      <c r="A59" s="380"/>
      <c r="B59" s="380"/>
      <c r="C59" s="385"/>
      <c r="D59" s="385"/>
      <c r="E59" s="385"/>
      <c r="F59" s="385"/>
      <c r="G59" s="385"/>
      <c r="H59" s="385"/>
      <c r="I59" s="385"/>
      <c r="J59" s="385"/>
      <c r="K59" s="385"/>
      <c r="L59" s="385"/>
      <c r="M59" s="385"/>
      <c r="N59" s="385"/>
      <c r="O59" s="385"/>
      <c r="P59" s="385"/>
      <c r="Q59" s="385"/>
      <c r="R59" s="385"/>
      <c r="S59" s="385"/>
      <c r="T59" s="385"/>
      <c r="U59" s="385"/>
      <c r="V59" s="385"/>
      <c r="W59" s="388"/>
      <c r="X59" s="388"/>
      <c r="Y59" s="388"/>
      <c r="Z59" s="388"/>
      <c r="AA59" s="388"/>
      <c r="AB59" s="388"/>
    </row>
    <row r="60" spans="1:28">
      <c r="A60" s="382" t="s">
        <v>284</v>
      </c>
      <c r="B60" s="382"/>
      <c r="C60" s="1220">
        <f>SECT_TERAC.!C60*SECT_U.FIS.!$C$67</f>
        <v>5405.5524809999997</v>
      </c>
      <c r="D60" s="1220">
        <f>SECT_TERAC.!D60*SECT_U.FIS.!D$67</f>
        <v>1627.6147702600001</v>
      </c>
      <c r="E60" s="1220">
        <f>SECT_TERAC.!E60*SECT_U.FIS.!E$67</f>
        <v>2892.5124129999995</v>
      </c>
      <c r="F60" s="1220">
        <f>SECT_TERAC.!F60*SECT_U.FIS.!F$67</f>
        <v>0</v>
      </c>
      <c r="G60" s="1220">
        <f>SECT_TERAC.!G60*SECT_U.FIS.!G$67</f>
        <v>132.26772999999997</v>
      </c>
      <c r="H60" s="1220">
        <f>SECT_TERAC.!H60*SECT_U.FIS.!H$67</f>
        <v>1017.4727590000003</v>
      </c>
      <c r="I60" s="1220">
        <f>SECT_TERAC.!I60*SECT_U.FIS.!I$67</f>
        <v>5.979000000000001</v>
      </c>
      <c r="J60" s="1220">
        <f>SECT_TERAC.!J60*SECT_U.FIS.!J$67</f>
        <v>710.05444000000011</v>
      </c>
      <c r="K60" s="1220">
        <f>SECT_TERAC.!K60*SECT_U.FIS.!K$67</f>
        <v>244.61270185714287</v>
      </c>
      <c r="L60" s="1220">
        <f>SECT_TERAC.!L60*SECT_U.FIS.!L$67</f>
        <v>596.9704697183098</v>
      </c>
      <c r="M60" s="1220">
        <f>SECT_TERAC.!N60*SECT_U.FIS.!M$67</f>
        <v>49076.606158873707</v>
      </c>
      <c r="N60" s="1220">
        <f>SECT_TERAC.!O60*SECT_U.FIS.!N$67</f>
        <v>4019.5807704450062</v>
      </c>
      <c r="O60" s="1220">
        <f>SECT_TERAC.!P60*SECT_U.FIS.!O$67</f>
        <v>1374.2388701785715</v>
      </c>
      <c r="P60" s="1220">
        <f>SECT_TERAC.!Q60*SECT_U.FIS.!P$67</f>
        <v>18405.096153846156</v>
      </c>
      <c r="Q60" s="1220">
        <f>SECT_TERAC.!R60*SECT_U.FIS.!Q$67</f>
        <v>327.59212076629331</v>
      </c>
      <c r="R60" s="1220">
        <f>SECT_TERAC.!S60*SECT_U.FIS.!R$67</f>
        <v>1498.3988888888889</v>
      </c>
      <c r="S60" s="1220">
        <f>SECT_TERAC.!T60*SECT_U.FIS.!S$67</f>
        <v>8588.0165031243941</v>
      </c>
      <c r="T60" s="1220">
        <f>SECT_TERAC.!U60*SECT_U.FIS.!T$67</f>
        <v>0</v>
      </c>
      <c r="U60" s="1220">
        <f>SECT_TERAC.!V60*SECT_U.FIS.!U$67</f>
        <v>0</v>
      </c>
      <c r="V60" s="1220">
        <f>SECT_TERAC.!W60*SECT_U.FIS.!V$67</f>
        <v>12317.524135246527</v>
      </c>
      <c r="W60" s="388"/>
      <c r="X60" s="388"/>
      <c r="Y60" s="388"/>
      <c r="Z60" s="388"/>
      <c r="AA60" s="388"/>
      <c r="AB60" s="388"/>
    </row>
    <row r="61" spans="1:28">
      <c r="A61" s="382"/>
      <c r="B61" s="382"/>
      <c r="C61" s="398"/>
      <c r="D61" s="399"/>
      <c r="E61" s="398"/>
      <c r="F61" s="398"/>
      <c r="G61" s="398"/>
      <c r="H61" s="398"/>
      <c r="I61" s="398"/>
      <c r="J61" s="398"/>
      <c r="K61" s="398"/>
      <c r="L61" s="399"/>
      <c r="M61" s="398"/>
      <c r="N61" s="399"/>
      <c r="O61" s="398"/>
      <c r="P61" s="398"/>
      <c r="Q61" s="398"/>
      <c r="R61" s="398"/>
      <c r="S61" s="398"/>
      <c r="T61" s="398"/>
      <c r="U61" s="398"/>
      <c r="V61" s="398"/>
      <c r="W61" s="388"/>
      <c r="X61" s="400"/>
      <c r="Y61" s="400"/>
      <c r="Z61" s="401"/>
      <c r="AA61" s="401"/>
      <c r="AB61" s="401"/>
    </row>
    <row r="62" spans="1:28">
      <c r="A62" s="388"/>
      <c r="B62" s="388"/>
      <c r="C62" s="398"/>
      <c r="D62" s="399"/>
      <c r="E62" s="398"/>
      <c r="F62" s="398"/>
      <c r="G62" s="398"/>
      <c r="H62" s="398"/>
      <c r="I62" s="398"/>
      <c r="J62" s="398"/>
      <c r="K62" s="398"/>
      <c r="L62" s="399"/>
      <c r="M62" s="398"/>
      <c r="N62" s="399"/>
      <c r="O62" s="398"/>
      <c r="P62" s="398"/>
      <c r="Q62" s="398"/>
      <c r="R62" s="398"/>
      <c r="S62" s="398"/>
      <c r="T62" s="398"/>
      <c r="U62" s="398"/>
      <c r="V62" s="398"/>
      <c r="W62" s="388"/>
      <c r="X62" s="400"/>
      <c r="Y62" s="400"/>
      <c r="Z62" s="401"/>
      <c r="AA62" s="401"/>
      <c r="AB62" s="401"/>
    </row>
    <row r="63" spans="1:28">
      <c r="A63" s="388"/>
      <c r="B63" s="388"/>
      <c r="C63" s="398"/>
      <c r="D63" s="399"/>
      <c r="E63" s="398"/>
      <c r="F63" s="398"/>
      <c r="G63" s="398"/>
      <c r="H63" s="398"/>
      <c r="I63" s="398"/>
      <c r="J63" s="398"/>
      <c r="K63" s="398"/>
      <c r="L63" s="399"/>
      <c r="M63" s="398"/>
      <c r="N63" s="399"/>
      <c r="O63" s="398"/>
      <c r="P63" s="398"/>
      <c r="Q63" s="398"/>
      <c r="R63" s="398"/>
      <c r="S63" s="398"/>
      <c r="T63" s="398"/>
      <c r="U63" s="398"/>
      <c r="V63" s="398"/>
      <c r="W63" s="388"/>
      <c r="X63" s="400"/>
      <c r="Y63" s="400"/>
      <c r="Z63" s="401"/>
      <c r="AA63" s="401"/>
      <c r="AB63" s="401"/>
    </row>
    <row r="64" spans="1:28" hidden="1">
      <c r="A64" s="388"/>
      <c r="B64" s="388"/>
      <c r="C64" s="398"/>
      <c r="D64" s="399"/>
      <c r="E64" s="398"/>
      <c r="F64" s="398"/>
      <c r="G64" s="398"/>
      <c r="H64" s="398"/>
      <c r="I64" s="398"/>
      <c r="J64" s="398"/>
      <c r="K64" s="398"/>
      <c r="L64" s="399"/>
      <c r="M64" s="398"/>
      <c r="N64" s="399"/>
      <c r="O64" s="398"/>
      <c r="P64" s="398"/>
      <c r="Q64" s="398"/>
      <c r="R64" s="398"/>
      <c r="S64" s="398"/>
      <c r="T64" s="398"/>
      <c r="U64" s="398"/>
      <c r="V64" s="398"/>
      <c r="W64" s="388"/>
      <c r="X64" s="400"/>
      <c r="Y64" s="400"/>
      <c r="Z64" s="401"/>
      <c r="AA64" s="401"/>
      <c r="AB64" s="401"/>
    </row>
    <row r="65" spans="1:28" hidden="1">
      <c r="A65" s="388"/>
      <c r="B65" s="388"/>
      <c r="C65" s="398"/>
      <c r="D65" s="398"/>
      <c r="E65" s="398"/>
      <c r="F65" s="398"/>
      <c r="G65" s="398"/>
      <c r="H65" s="398"/>
      <c r="I65" s="398"/>
      <c r="J65" s="398"/>
      <c r="K65" s="398"/>
      <c r="L65" s="398"/>
      <c r="M65" s="398"/>
      <c r="N65" s="398"/>
      <c r="O65" s="398"/>
      <c r="P65" s="398"/>
      <c r="Q65" s="398"/>
      <c r="R65" s="398"/>
      <c r="S65" s="398"/>
      <c r="T65" s="398"/>
      <c r="U65" s="398"/>
      <c r="V65" s="398"/>
      <c r="W65" s="388"/>
      <c r="X65" s="388"/>
      <c r="Y65" s="388"/>
      <c r="Z65" s="388"/>
      <c r="AA65" s="388"/>
      <c r="AB65" s="388"/>
    </row>
    <row r="66" spans="1:28" hidden="1">
      <c r="A66" s="388"/>
      <c r="B66" s="388"/>
      <c r="C66" s="398"/>
      <c r="D66" s="398"/>
      <c r="E66" s="398"/>
      <c r="F66" s="398"/>
      <c r="G66" s="398"/>
      <c r="H66" s="398"/>
      <c r="I66" s="398"/>
      <c r="J66" s="398"/>
      <c r="K66" s="398"/>
      <c r="L66" s="398"/>
      <c r="M66" s="398"/>
      <c r="N66" s="398"/>
      <c r="O66" s="398"/>
      <c r="P66" s="398"/>
      <c r="Q66" s="398"/>
      <c r="R66" s="398"/>
      <c r="S66" s="398"/>
      <c r="T66" s="398"/>
      <c r="U66" s="398"/>
      <c r="V66" s="398"/>
      <c r="W66" s="388"/>
      <c r="X66" s="388"/>
      <c r="Y66" s="388"/>
      <c r="Z66" s="388"/>
      <c r="AA66" s="388"/>
      <c r="AB66" s="388"/>
    </row>
    <row r="67" spans="1:28" hidden="1">
      <c r="C67" s="1287">
        <v>0.109217999126256</v>
      </c>
      <c r="D67" s="1288">
        <v>9.5238095238095233E-2</v>
      </c>
      <c r="E67" s="1287">
        <v>0.1223091976516634</v>
      </c>
      <c r="F67" s="1289"/>
      <c r="G67" s="1287">
        <v>0.11122233344455566</v>
      </c>
      <c r="H67" s="1287">
        <v>8.2644628099173556E-2</v>
      </c>
      <c r="I67" s="1287">
        <v>0.12531328320802007</v>
      </c>
      <c r="J67" s="1287">
        <v>0.11122233344455566</v>
      </c>
      <c r="K67" s="1287">
        <v>0.12422360248447206</v>
      </c>
      <c r="L67" s="1287">
        <v>0.23474178403755869</v>
      </c>
      <c r="M67" s="1289">
        <v>1.1627906976744187</v>
      </c>
      <c r="N67" s="1289">
        <v>0.14285714285714285</v>
      </c>
      <c r="O67" s="1292">
        <v>0.14285714285714285</v>
      </c>
      <c r="P67" s="1289">
        <v>96.15384615384616</v>
      </c>
      <c r="Q67" s="1289">
        <v>0.25</v>
      </c>
      <c r="R67" s="1289">
        <v>1.1111111111111112</v>
      </c>
      <c r="S67" s="1289">
        <v>0.10705491917353602</v>
      </c>
      <c r="T67" s="1293">
        <v>0.18474043968224643</v>
      </c>
      <c r="U67" s="1289"/>
      <c r="V67" s="1289">
        <v>0.2857142857142857</v>
      </c>
    </row>
    <row r="68" spans="1:28">
      <c r="C68" s="1290"/>
      <c r="D68" s="1290"/>
      <c r="E68" s="1290"/>
      <c r="F68" s="1290"/>
      <c r="G68" s="1290"/>
      <c r="H68" s="1290"/>
      <c r="I68" s="1290"/>
      <c r="J68" s="1290"/>
      <c r="K68" s="1290"/>
      <c r="L68" s="1291"/>
    </row>
  </sheetData>
  <phoneticPr fontId="0" type="noConversion"/>
  <hyperlinks>
    <hyperlink ref="D1" location="INDICE!A60" display="VOLVER A INDICE"/>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zoomScale="75" workbookViewId="0">
      <pane xSplit="2" ySplit="7" topLeftCell="C8" activePane="bottomRight" state="frozen"/>
      <selection pane="topRight" activeCell="D1" sqref="D1"/>
      <selection pane="bottomLeft" activeCell="A11" sqref="A11"/>
      <selection pane="bottomRight" activeCell="N38" sqref="N38"/>
    </sheetView>
  </sheetViews>
  <sheetFormatPr baseColWidth="10" defaultRowHeight="12.75"/>
  <cols>
    <col min="1" max="1" width="4.5703125" style="22" customWidth="1"/>
    <col min="2" max="2" width="26.140625" style="22" customWidth="1"/>
    <col min="3" max="3" width="11.42578125" style="435"/>
    <col min="4" max="4" width="12.7109375" style="435" customWidth="1"/>
    <col min="5" max="12" width="11.42578125" style="435"/>
    <col min="13" max="13" width="12.5703125" style="435" bestFit="1" customWidth="1"/>
    <col min="14" max="25" width="11.42578125" style="435"/>
    <col min="26" max="16384" width="11.42578125" style="22"/>
  </cols>
  <sheetData>
    <row r="1" spans="1:26">
      <c r="A1" s="698"/>
      <c r="B1" s="699"/>
      <c r="C1" s="700"/>
      <c r="D1" s="700"/>
      <c r="E1" s="866" t="s">
        <v>683</v>
      </c>
      <c r="F1" s="700"/>
      <c r="G1" s="700"/>
      <c r="H1" s="700"/>
      <c r="I1" s="700"/>
      <c r="J1" s="700"/>
      <c r="K1" s="700"/>
      <c r="L1" s="700"/>
      <c r="M1" s="700"/>
      <c r="N1" s="700"/>
      <c r="O1" s="700"/>
      <c r="P1" s="700"/>
      <c r="Q1" s="700"/>
      <c r="R1" s="700" t="s">
        <v>298</v>
      </c>
      <c r="S1" s="700"/>
      <c r="T1" s="700"/>
      <c r="U1" s="700"/>
      <c r="V1" s="700"/>
      <c r="W1" s="700"/>
      <c r="X1" s="700"/>
      <c r="Y1" s="700"/>
    </row>
    <row r="2" spans="1:26">
      <c r="A2" s="698"/>
      <c r="B2" s="698"/>
      <c r="C2" s="700"/>
      <c r="D2" s="700"/>
      <c r="E2" s="700"/>
      <c r="F2" s="700"/>
      <c r="G2" s="700"/>
      <c r="H2" s="720"/>
      <c r="I2" s="720"/>
      <c r="J2" s="720"/>
      <c r="K2" s="700"/>
      <c r="L2" s="700"/>
      <c r="M2" s="700"/>
      <c r="N2" s="700"/>
      <c r="O2" s="700"/>
      <c r="P2" s="700"/>
      <c r="Q2" s="700"/>
      <c r="R2" s="700" t="s">
        <v>298</v>
      </c>
      <c r="S2" s="700"/>
      <c r="T2" s="700"/>
      <c r="U2" s="700"/>
      <c r="V2" s="700"/>
      <c r="W2" s="721"/>
      <c r="X2" s="700" t="s">
        <v>299</v>
      </c>
      <c r="Y2" s="700"/>
    </row>
    <row r="3" spans="1:26">
      <c r="A3" s="698"/>
      <c r="B3" s="698"/>
      <c r="C3" s="700"/>
      <c r="D3" s="700"/>
      <c r="E3" s="700"/>
      <c r="F3" s="700"/>
      <c r="G3" s="700"/>
      <c r="H3" s="720"/>
      <c r="I3" s="720" t="s">
        <v>300</v>
      </c>
      <c r="J3" s="720"/>
      <c r="K3" s="700"/>
      <c r="L3" s="700"/>
      <c r="M3" s="700"/>
      <c r="N3" s="700"/>
      <c r="O3" s="700"/>
      <c r="P3" s="700"/>
      <c r="Q3" s="700"/>
      <c r="R3" s="700" t="s">
        <v>298</v>
      </c>
      <c r="S3" s="700"/>
      <c r="T3" s="700"/>
      <c r="U3" s="700" t="s">
        <v>301</v>
      </c>
      <c r="V3" s="700"/>
      <c r="W3" s="700"/>
      <c r="X3" s="700" t="s">
        <v>302</v>
      </c>
      <c r="Y3" s="700"/>
    </row>
    <row r="4" spans="1:26" ht="13.5" thickBot="1">
      <c r="A4" s="698"/>
      <c r="B4" s="698"/>
      <c r="C4" s="1327" t="s">
        <v>303</v>
      </c>
      <c r="D4" s="1328"/>
      <c r="E4" s="1328"/>
      <c r="F4" s="1328"/>
      <c r="G4" s="1328"/>
      <c r="H4" s="1328"/>
      <c r="I4" s="1328"/>
      <c r="J4" s="1328"/>
      <c r="K4" s="1328"/>
      <c r="L4" s="1329"/>
      <c r="M4" s="1327" t="s">
        <v>304</v>
      </c>
      <c r="N4" s="1328"/>
      <c r="O4" s="1328"/>
      <c r="P4" s="1328"/>
      <c r="Q4" s="1328"/>
      <c r="R4" s="1328"/>
      <c r="S4" s="1328"/>
      <c r="T4" s="1328"/>
      <c r="U4" s="1328"/>
      <c r="V4" s="1328"/>
      <c r="W4" s="1328"/>
      <c r="X4" s="1328"/>
      <c r="Y4" s="1329"/>
    </row>
    <row r="5" spans="1:26">
      <c r="A5" s="704"/>
      <c r="B5" s="707" t="s">
        <v>305</v>
      </c>
      <c r="C5" s="736" t="s">
        <v>556</v>
      </c>
      <c r="D5" s="737" t="s">
        <v>306</v>
      </c>
      <c r="E5" s="736" t="s">
        <v>7</v>
      </c>
      <c r="F5" s="737" t="s">
        <v>307</v>
      </c>
      <c r="G5" s="737" t="s">
        <v>308</v>
      </c>
      <c r="H5" s="738"/>
      <c r="I5" s="736" t="s">
        <v>309</v>
      </c>
      <c r="J5" s="739" t="s">
        <v>310</v>
      </c>
      <c r="K5" s="736" t="s">
        <v>311</v>
      </c>
      <c r="L5" s="737" t="s">
        <v>312</v>
      </c>
      <c r="M5" s="736" t="s">
        <v>313</v>
      </c>
      <c r="N5" s="737" t="s">
        <v>306</v>
      </c>
      <c r="O5" s="736" t="s">
        <v>314</v>
      </c>
      <c r="P5" s="737" t="s">
        <v>315</v>
      </c>
      <c r="Q5" s="736" t="s">
        <v>56</v>
      </c>
      <c r="R5" s="737" t="s">
        <v>316</v>
      </c>
      <c r="S5" s="736" t="s">
        <v>317</v>
      </c>
      <c r="T5" s="737" t="s">
        <v>7</v>
      </c>
      <c r="U5" s="736" t="s">
        <v>318</v>
      </c>
      <c r="V5" s="737" t="s">
        <v>311</v>
      </c>
      <c r="W5" s="736" t="s">
        <v>319</v>
      </c>
      <c r="X5" s="737" t="s">
        <v>312</v>
      </c>
      <c r="Y5" s="714" t="s">
        <v>11</v>
      </c>
    </row>
    <row r="6" spans="1:26">
      <c r="A6" s="705"/>
      <c r="B6" s="708">
        <v>2004</v>
      </c>
      <c r="C6" s="740" t="s">
        <v>320</v>
      </c>
      <c r="D6" s="739" t="s">
        <v>557</v>
      </c>
      <c r="E6" s="740" t="s">
        <v>558</v>
      </c>
      <c r="F6" s="739" t="s">
        <v>559</v>
      </c>
      <c r="G6" s="739" t="s">
        <v>551</v>
      </c>
      <c r="H6" s="739" t="s">
        <v>552</v>
      </c>
      <c r="I6" s="740" t="s">
        <v>298</v>
      </c>
      <c r="J6" s="739" t="s">
        <v>321</v>
      </c>
      <c r="K6" s="740" t="s">
        <v>298</v>
      </c>
      <c r="L6" s="739" t="s">
        <v>560</v>
      </c>
      <c r="M6" s="740" t="s">
        <v>561</v>
      </c>
      <c r="N6" s="739" t="s">
        <v>562</v>
      </c>
      <c r="O6" s="740" t="s">
        <v>322</v>
      </c>
      <c r="P6" s="739" t="s">
        <v>323</v>
      </c>
      <c r="Q6" s="740" t="s">
        <v>324</v>
      </c>
      <c r="R6" s="739" t="s">
        <v>324</v>
      </c>
      <c r="S6" s="740"/>
      <c r="T6" s="739" t="s">
        <v>325</v>
      </c>
      <c r="U6" s="740"/>
      <c r="V6" s="739" t="s">
        <v>298</v>
      </c>
      <c r="W6" s="740" t="s">
        <v>326</v>
      </c>
      <c r="X6" s="739" t="s">
        <v>327</v>
      </c>
      <c r="Y6" s="722"/>
    </row>
    <row r="7" spans="1:26" ht="13.5" thickBot="1">
      <c r="A7" s="705"/>
      <c r="B7" s="709"/>
      <c r="C7" s="740"/>
      <c r="D7" s="739"/>
      <c r="E7" s="740"/>
      <c r="F7" s="739"/>
      <c r="G7" s="741"/>
      <c r="H7" s="739" t="s">
        <v>298</v>
      </c>
      <c r="I7" s="740"/>
      <c r="J7" s="739" t="s">
        <v>328</v>
      </c>
      <c r="K7" s="740" t="s">
        <v>298</v>
      </c>
      <c r="L7" s="739"/>
      <c r="M7" s="740"/>
      <c r="N7" s="739"/>
      <c r="O7" s="740" t="s">
        <v>329</v>
      </c>
      <c r="P7" s="739" t="s">
        <v>330</v>
      </c>
      <c r="Q7" s="740"/>
      <c r="R7" s="739" t="s">
        <v>298</v>
      </c>
      <c r="S7" s="740"/>
      <c r="T7" s="742"/>
      <c r="U7" s="740"/>
      <c r="V7" s="739" t="s">
        <v>298</v>
      </c>
      <c r="W7" s="740" t="s">
        <v>331</v>
      </c>
      <c r="X7" s="739" t="s">
        <v>775</v>
      </c>
      <c r="Y7" s="722"/>
    </row>
    <row r="8" spans="1:26">
      <c r="A8" s="1330" t="s">
        <v>553</v>
      </c>
      <c r="B8" s="701" t="s">
        <v>25</v>
      </c>
      <c r="C8" s="573">
        <f>CUADRO3!C10</f>
        <v>1872.5733734700002</v>
      </c>
      <c r="D8" s="562">
        <f>CUADRO3!C12</f>
        <v>19656.938851999999</v>
      </c>
      <c r="E8" s="573">
        <f>CUADRO3!C14</f>
        <v>1326.691276</v>
      </c>
      <c r="F8" s="570">
        <f>CUADRO3!C16</f>
        <v>18688.827290862151</v>
      </c>
      <c r="G8" s="573">
        <v>0</v>
      </c>
      <c r="H8" s="570">
        <v>0</v>
      </c>
      <c r="I8" s="573">
        <f>CUADRO3!C18</f>
        <v>43111.334473362855</v>
      </c>
      <c r="J8" s="570">
        <v>0</v>
      </c>
      <c r="K8" s="573">
        <v>0</v>
      </c>
      <c r="L8" s="731">
        <f>SUM(C8:K8)</f>
        <v>84656.365265695</v>
      </c>
      <c r="M8" s="573">
        <f>CUADRO4!C33</f>
        <v>44038.721771461052</v>
      </c>
      <c r="N8" s="570">
        <f>CUADRO4!C22</f>
        <v>6559.6032370000003</v>
      </c>
      <c r="O8" s="573">
        <f>CUADRO4!C16+CUADRO4!C18+CUADRO4!C24</f>
        <v>26763.408728000002</v>
      </c>
      <c r="P8" s="570">
        <f>CUADRO4!C20+CUADRO4!C26</f>
        <v>8285.754708243001</v>
      </c>
      <c r="Q8" s="573">
        <f>CUADRO4!C14</f>
        <v>40258.731483599993</v>
      </c>
      <c r="R8" s="570">
        <f>CUADRO4!C12</f>
        <v>24091.988429249999</v>
      </c>
      <c r="S8" s="573">
        <f>CUADRO4!C37</f>
        <v>5268.3845000000001</v>
      </c>
      <c r="T8" s="570">
        <v>0</v>
      </c>
      <c r="U8" s="573">
        <f>CUADRO4!C30+CUADRO4!C41+CUADRO4!C43</f>
        <v>5579.4541100952229</v>
      </c>
      <c r="V8" s="570">
        <f>CUADRO4!C28+CUADRO4!C47+CUADRO4!C39</f>
        <v>16781.741405000001</v>
      </c>
      <c r="W8" s="573">
        <f>CUADRO11!C26</f>
        <v>2846.3070120399998</v>
      </c>
      <c r="X8" s="570">
        <f>SUM(M8:W8)</f>
        <v>180474.09538468925</v>
      </c>
      <c r="Y8" s="723">
        <f>X8+L8</f>
        <v>265130.46065038425</v>
      </c>
      <c r="Z8" s="70"/>
    </row>
    <row r="9" spans="1:26">
      <c r="A9" s="1331"/>
      <c r="B9" s="702"/>
      <c r="C9" s="573"/>
      <c r="D9" s="570"/>
      <c r="E9" s="573"/>
      <c r="F9" s="570"/>
      <c r="G9" s="573"/>
      <c r="H9" s="570"/>
      <c r="I9" s="573"/>
      <c r="J9" s="570"/>
      <c r="K9" s="573"/>
      <c r="L9" s="731"/>
      <c r="M9" s="573"/>
      <c r="N9" s="570"/>
      <c r="O9" s="573"/>
      <c r="P9" s="570"/>
      <c r="Q9" s="573"/>
      <c r="R9" s="570"/>
      <c r="S9" s="573"/>
      <c r="T9" s="570"/>
      <c r="U9" s="573"/>
      <c r="V9" s="570"/>
      <c r="W9" s="573"/>
      <c r="X9" s="570"/>
      <c r="Y9" s="723"/>
    </row>
    <row r="10" spans="1:26">
      <c r="A10" s="1331"/>
      <c r="B10" s="702" t="s">
        <v>26</v>
      </c>
      <c r="C10" s="573">
        <f>CUADRO3!D10</f>
        <v>113057.12754486001</v>
      </c>
      <c r="D10" s="570">
        <f>CUADRO3!D12</f>
        <v>63594.469517934303</v>
      </c>
      <c r="E10" s="573">
        <f>CUADRO3!D14</f>
        <v>27136.97183364</v>
      </c>
      <c r="F10" s="570">
        <f>CUADRO3!D16</f>
        <v>0</v>
      </c>
      <c r="G10" s="573">
        <v>0</v>
      </c>
      <c r="H10" s="570">
        <v>0</v>
      </c>
      <c r="I10" s="573">
        <v>0</v>
      </c>
      <c r="J10" s="570">
        <v>0</v>
      </c>
      <c r="K10" s="573">
        <v>0</v>
      </c>
      <c r="L10" s="731">
        <f>SUM(C10:K10)</f>
        <v>203788.56889643433</v>
      </c>
      <c r="M10" s="573">
        <f>CUADRO4!D33</f>
        <v>1636.7164992000003</v>
      </c>
      <c r="N10" s="570">
        <f>CUADRO4!D22</f>
        <v>7494.4298407000006</v>
      </c>
      <c r="O10" s="573">
        <f>CUADRO4!D16+CUADRO4!D18+CUADRO4!D24</f>
        <v>5156.66550112</v>
      </c>
      <c r="P10" s="570">
        <f>CUADRO4!D20+CUADRO4!D26</f>
        <v>371.55460347000007</v>
      </c>
      <c r="Q10" s="573">
        <f>CUADRO4!D14</f>
        <v>13490.604751848001</v>
      </c>
      <c r="R10" s="570">
        <f>CUADRO4!D12</f>
        <v>0</v>
      </c>
      <c r="S10" s="573">
        <f>CUADRO4!D37</f>
        <v>4722.1878899999992</v>
      </c>
      <c r="T10" s="570">
        <v>0</v>
      </c>
      <c r="U10" s="573">
        <f>CUADRO4!D30+CUADRO4!D41+CUADRO4!D43</f>
        <v>0</v>
      </c>
      <c r="V10" s="570">
        <f>CUADRO4!D28+CUADRO4!D47+CUADRO4!D39</f>
        <v>0</v>
      </c>
      <c r="W10" s="573">
        <v>0</v>
      </c>
      <c r="X10" s="570">
        <f>SUM(M10:W10)</f>
        <v>32872.159086338004</v>
      </c>
      <c r="Y10" s="723">
        <f>X10+L10</f>
        <v>236660.72798277234</v>
      </c>
      <c r="Z10" s="70"/>
    </row>
    <row r="11" spans="1:26">
      <c r="A11" s="1331"/>
      <c r="B11" s="702"/>
      <c r="C11" s="573"/>
      <c r="D11" s="570"/>
      <c r="E11" s="573"/>
      <c r="F11" s="570"/>
      <c r="G11" s="573"/>
      <c r="H11" s="570"/>
      <c r="I11" s="573"/>
      <c r="J11" s="570"/>
      <c r="K11" s="573"/>
      <c r="L11" s="731"/>
      <c r="M11" s="573"/>
      <c r="N11" s="570"/>
      <c r="O11" s="573"/>
      <c r="P11" s="570"/>
      <c r="Q11" s="573"/>
      <c r="R11" s="570"/>
      <c r="S11" s="573"/>
      <c r="T11" s="570"/>
      <c r="U11" s="573"/>
      <c r="V11" s="570"/>
      <c r="W11" s="573"/>
      <c r="X11" s="570"/>
      <c r="Y11" s="723"/>
    </row>
    <row r="12" spans="1:26">
      <c r="A12" s="1331"/>
      <c r="B12" s="702" t="s">
        <v>27</v>
      </c>
      <c r="C12" s="573">
        <f>CUADRO3!E10</f>
        <v>0</v>
      </c>
      <c r="D12" s="570">
        <f>CUADRO3!E12</f>
        <v>0</v>
      </c>
      <c r="E12" s="573">
        <f>CUADRO3!E14</f>
        <v>0</v>
      </c>
      <c r="F12" s="570">
        <f>CUADRO3!E16</f>
        <v>0</v>
      </c>
      <c r="G12" s="573">
        <v>0</v>
      </c>
      <c r="H12" s="570">
        <v>0</v>
      </c>
      <c r="I12" s="573">
        <v>0</v>
      </c>
      <c r="J12" s="570">
        <v>0</v>
      </c>
      <c r="K12" s="573">
        <v>0</v>
      </c>
      <c r="L12" s="731">
        <f>SUM(C12:K12)</f>
        <v>0</v>
      </c>
      <c r="M12" s="573">
        <v>0</v>
      </c>
      <c r="N12" s="570">
        <f>CUADRO4!E22</f>
        <v>1990.0445660948599</v>
      </c>
      <c r="O12" s="573">
        <f>CUADRO4!E16+CUADRO4!E18+CUADRO4!E24</f>
        <v>7853.0970559999987</v>
      </c>
      <c r="P12" s="570">
        <f>CUADRO4!E20+CUADRO4!E26</f>
        <v>0</v>
      </c>
      <c r="Q12" s="573">
        <f>CUADRO4!E14</f>
        <v>628.77404410800011</v>
      </c>
      <c r="R12" s="570">
        <f>CUADRO4!E12</f>
        <v>5067.4430758140006</v>
      </c>
      <c r="S12" s="573">
        <f>CUADRO4!E37</f>
        <v>264.05279999999999</v>
      </c>
      <c r="T12" s="570">
        <v>0</v>
      </c>
      <c r="U12" s="573">
        <f>CUADRO4!E30+CUADRO4!E41+CUADRO4!E43</f>
        <v>0</v>
      </c>
      <c r="V12" s="570">
        <f>CUADRO4!E28+CUADRO4!E47+CUADRO4!E39</f>
        <v>14571.57948</v>
      </c>
      <c r="W12" s="573">
        <v>0</v>
      </c>
      <c r="X12" s="570">
        <f>SUM(M12:W12)</f>
        <v>30374.99102201686</v>
      </c>
      <c r="Y12" s="723">
        <f>X12+L12</f>
        <v>30374.99102201686</v>
      </c>
      <c r="Z12" s="70"/>
    </row>
    <row r="13" spans="1:26">
      <c r="A13" s="1331"/>
      <c r="B13" s="702"/>
      <c r="C13" s="573"/>
      <c r="D13" s="570"/>
      <c r="E13" s="573"/>
      <c r="F13" s="570"/>
      <c r="G13" s="573"/>
      <c r="H13" s="570"/>
      <c r="I13" s="573"/>
      <c r="J13" s="570"/>
      <c r="K13" s="573"/>
      <c r="L13" s="731"/>
      <c r="M13" s="573"/>
      <c r="N13" s="570"/>
      <c r="O13" s="573"/>
      <c r="P13" s="570"/>
      <c r="Q13" s="573"/>
      <c r="R13" s="570"/>
      <c r="S13" s="573"/>
      <c r="T13" s="570"/>
      <c r="U13" s="573"/>
      <c r="V13" s="570"/>
      <c r="W13" s="573"/>
      <c r="X13" s="570"/>
      <c r="Y13" s="723"/>
    </row>
    <row r="14" spans="1:26">
      <c r="A14" s="1331"/>
      <c r="B14" s="702" t="s">
        <v>333</v>
      </c>
      <c r="C14" s="573">
        <f>CUADRO3!F10</f>
        <v>3215.9449691172485</v>
      </c>
      <c r="D14" s="570">
        <f>CUADRO3!F12</f>
        <v>2296.8238442493084</v>
      </c>
      <c r="E14" s="573">
        <f>CUADRO3!F14</f>
        <v>326.59771652495192</v>
      </c>
      <c r="F14" s="570">
        <v>0</v>
      </c>
      <c r="G14" s="573">
        <v>0</v>
      </c>
      <c r="H14" s="570">
        <v>0</v>
      </c>
      <c r="I14" s="573">
        <v>0</v>
      </c>
      <c r="J14" s="570">
        <v>0</v>
      </c>
      <c r="K14" s="573">
        <v>0</v>
      </c>
      <c r="L14" s="731">
        <f>SUM(C14:K14)</f>
        <v>5839.3665298915093</v>
      </c>
      <c r="M14" s="573">
        <f>CUADRO4!F33</f>
        <v>3469.5569740296719</v>
      </c>
      <c r="N14" s="570">
        <f>CUADRO4!F22</f>
        <v>-247.44588409485647</v>
      </c>
      <c r="O14" s="573">
        <f>CUADRO4!F16+CUADRO4!F18+CUADRO4!F24</f>
        <v>370.08326443200622</v>
      </c>
      <c r="P14" s="570">
        <f>CUADRO4!F20+CUADRO4!F26</f>
        <v>1083.9906812429999</v>
      </c>
      <c r="Q14" s="573">
        <f>CUADRO4!F14</f>
        <v>3627.3236753039878</v>
      </c>
      <c r="R14" s="570">
        <f>CUADRO4!F12</f>
        <v>1934.590265705998</v>
      </c>
      <c r="S14" s="573">
        <f>CUADRO4!F37</f>
        <v>106.84749874999738</v>
      </c>
      <c r="T14" s="570">
        <v>0</v>
      </c>
      <c r="U14" s="573">
        <f>CUADRO4!F30+CUADRO4!F41+CUADRO4!F43</f>
        <v>377.43242603004973</v>
      </c>
      <c r="V14" s="570">
        <f>CUADRO4!F28+CUADRO4!F39+CUADRO4!F47</f>
        <v>49.616675050000161</v>
      </c>
      <c r="W14" s="573">
        <v>0</v>
      </c>
      <c r="X14" s="570">
        <f>SUM(M14:W14)</f>
        <v>10771.995576449854</v>
      </c>
      <c r="Y14" s="723">
        <f>X14+L14</f>
        <v>16611.362106341363</v>
      </c>
      <c r="Z14" s="70"/>
    </row>
    <row r="15" spans="1:26">
      <c r="A15" s="1331"/>
      <c r="B15" s="702"/>
      <c r="C15" s="573"/>
      <c r="D15" s="570"/>
      <c r="E15" s="573"/>
      <c r="F15" s="570"/>
      <c r="G15" s="573"/>
      <c r="H15" s="570"/>
      <c r="I15" s="573"/>
      <c r="J15" s="570"/>
      <c r="K15" s="573"/>
      <c r="L15" s="731"/>
      <c r="M15" s="573"/>
      <c r="N15" s="570"/>
      <c r="O15" s="573"/>
      <c r="P15" s="570"/>
      <c r="Q15" s="573"/>
      <c r="R15" s="570"/>
      <c r="S15" s="573"/>
      <c r="T15" s="570"/>
      <c r="U15" s="573"/>
      <c r="V15" s="570"/>
      <c r="W15" s="573"/>
      <c r="X15" s="570"/>
      <c r="Y15" s="723"/>
    </row>
    <row r="16" spans="1:26">
      <c r="A16" s="1331"/>
      <c r="B16" s="702" t="s">
        <v>334</v>
      </c>
      <c r="C16" s="573">
        <v>0</v>
      </c>
      <c r="D16" s="572">
        <v>0</v>
      </c>
      <c r="E16" s="573">
        <v>0</v>
      </c>
      <c r="F16" s="570">
        <f>CUADRO3!F16</f>
        <v>74.779402151999989</v>
      </c>
      <c r="G16" s="573">
        <v>0</v>
      </c>
      <c r="H16" s="570">
        <v>0</v>
      </c>
      <c r="I16" s="573">
        <v>0</v>
      </c>
      <c r="J16" s="570">
        <v>0</v>
      </c>
      <c r="K16" s="573">
        <v>0</v>
      </c>
      <c r="L16" s="731">
        <f>SUM(C16:K16)</f>
        <v>74.779402151999989</v>
      </c>
      <c r="M16" s="573">
        <v>0</v>
      </c>
      <c r="N16" s="570">
        <v>0</v>
      </c>
      <c r="O16" s="573">
        <v>0</v>
      </c>
      <c r="P16" s="570">
        <v>0</v>
      </c>
      <c r="Q16" s="573">
        <v>0</v>
      </c>
      <c r="R16" s="570">
        <v>0</v>
      </c>
      <c r="S16" s="573">
        <v>0</v>
      </c>
      <c r="T16" s="570">
        <v>0</v>
      </c>
      <c r="U16" s="573">
        <v>0</v>
      </c>
      <c r="V16" s="570">
        <v>0</v>
      </c>
      <c r="W16" s="573">
        <v>0</v>
      </c>
      <c r="X16" s="570">
        <f>SUM(M16:W16)</f>
        <v>0</v>
      </c>
      <c r="Y16" s="723">
        <f>X16+L16</f>
        <v>74.779402151999989</v>
      </c>
      <c r="Z16" s="70"/>
    </row>
    <row r="17" spans="1:26" ht="13.5" thickBot="1">
      <c r="A17" s="1332"/>
      <c r="B17" s="703"/>
      <c r="C17" s="573"/>
      <c r="D17" s="570"/>
      <c r="E17" s="573"/>
      <c r="F17" s="570"/>
      <c r="G17" s="573"/>
      <c r="H17" s="570"/>
      <c r="I17" s="573"/>
      <c r="J17" s="570"/>
      <c r="K17" s="573"/>
      <c r="L17" s="726"/>
      <c r="M17" s="710"/>
      <c r="N17" s="724"/>
      <c r="O17" s="710"/>
      <c r="P17" s="724"/>
      <c r="Q17" s="710"/>
      <c r="R17" s="724"/>
      <c r="S17" s="710"/>
      <c r="T17" s="724"/>
      <c r="U17" s="710"/>
      <c r="V17" s="724"/>
      <c r="W17" s="710"/>
      <c r="X17" s="724"/>
      <c r="Y17" s="725"/>
      <c r="Z17" s="70"/>
    </row>
    <row r="18" spans="1:26" ht="13.5" thickBot="1">
      <c r="A18" s="706"/>
      <c r="B18" s="703" t="s">
        <v>335</v>
      </c>
      <c r="C18" s="1253">
        <f>CUADRO3!G10</f>
        <v>111713.75594921276</v>
      </c>
      <c r="D18" s="734">
        <f>CUADRO3!G12</f>
        <v>80954.584525685001</v>
      </c>
      <c r="E18" s="733">
        <f>CUADRO3!G14</f>
        <v>28137.065393115052</v>
      </c>
      <c r="F18" s="734">
        <f>CUADRO3!G16</f>
        <v>18614.047888710153</v>
      </c>
      <c r="G18" s="733">
        <v>0</v>
      </c>
      <c r="H18" s="734">
        <v>0</v>
      </c>
      <c r="I18" s="733">
        <f>I8</f>
        <v>43111.334473362855</v>
      </c>
      <c r="J18" s="734">
        <v>0</v>
      </c>
      <c r="K18" s="735">
        <f>K8+K10-K12-K14-K16</f>
        <v>0</v>
      </c>
      <c r="L18" s="1246">
        <f>SUM(C18:K18)</f>
        <v>282530.7882300858</v>
      </c>
      <c r="M18" s="715">
        <f>CUADRO4!I33</f>
        <v>42205.881296631385</v>
      </c>
      <c r="N18" s="726">
        <f>CUADRO4!I22</f>
        <v>12311.420383900004</v>
      </c>
      <c r="O18" s="715">
        <f>CUADRO4!I16+CUADRO4!I18+CUADRO4!I24</f>
        <v>23696.893908687998</v>
      </c>
      <c r="P18" s="726">
        <f>CUADRO4!I20+CUADRO4!I26</f>
        <v>7573.3186304700012</v>
      </c>
      <c r="Q18" s="715">
        <f>CUADRO4!I14</f>
        <v>49493.238516035999</v>
      </c>
      <c r="R18" s="726">
        <f>CUADRO4!I12</f>
        <v>17089.955087730003</v>
      </c>
      <c r="S18" s="715">
        <f>CUADRO4!I37</f>
        <v>9619.6720912500004</v>
      </c>
      <c r="T18" s="726">
        <f>T8+T10-T12-T14-T16</f>
        <v>0</v>
      </c>
      <c r="U18" s="715">
        <f>CUADRO4!I30+CUADRO4!I41+CUADRO4!I43</f>
        <v>5202.0216840651728</v>
      </c>
      <c r="V18" s="726">
        <f>CUADRO4!I28+CUADRO4!I47+CUADRO4!I39</f>
        <v>2160.5452499499997</v>
      </c>
      <c r="W18" s="715">
        <f>W8</f>
        <v>2846.3070120399998</v>
      </c>
      <c r="X18" s="726">
        <f>X8+X10-X12-X14-X16</f>
        <v>172199.26787256057</v>
      </c>
      <c r="Y18" s="725">
        <f>X18+L18</f>
        <v>454730.0561026464</v>
      </c>
      <c r="Z18" s="70"/>
    </row>
    <row r="19" spans="1:26">
      <c r="A19" s="1333" t="s">
        <v>554</v>
      </c>
      <c r="B19" s="701"/>
      <c r="C19" s="711"/>
      <c r="D19" s="727"/>
      <c r="E19" s="711"/>
      <c r="F19" s="727"/>
      <c r="G19" s="711"/>
      <c r="H19" s="727"/>
      <c r="I19" s="711"/>
      <c r="J19" s="727"/>
      <c r="K19" s="711"/>
      <c r="L19" s="729"/>
      <c r="M19" s="711"/>
      <c r="N19" s="727"/>
      <c r="O19" s="711"/>
      <c r="P19" s="727"/>
      <c r="Q19" s="711"/>
      <c r="R19" s="727"/>
      <c r="S19" s="711"/>
      <c r="T19" s="727"/>
      <c r="U19" s="711"/>
      <c r="V19" s="727"/>
      <c r="W19" s="711"/>
      <c r="X19" s="727"/>
      <c r="Y19" s="728"/>
      <c r="Z19" s="70"/>
    </row>
    <row r="20" spans="1:26">
      <c r="A20" s="1334"/>
      <c r="B20" s="702" t="s">
        <v>336</v>
      </c>
      <c r="C20" s="573">
        <v>0</v>
      </c>
      <c r="D20" s="570">
        <f>CUADRO10!E22</f>
        <v>2229.5532317366915</v>
      </c>
      <c r="E20" s="573">
        <v>0</v>
      </c>
      <c r="F20" s="570">
        <v>0</v>
      </c>
      <c r="G20" s="573">
        <v>0</v>
      </c>
      <c r="H20" s="570">
        <v>0</v>
      </c>
      <c r="I20" s="573">
        <v>0</v>
      </c>
      <c r="J20" s="570">
        <v>0</v>
      </c>
      <c r="K20" s="573">
        <v>0</v>
      </c>
      <c r="L20" s="731">
        <f>SUM(C20:K20)</f>
        <v>2229.5532317366915</v>
      </c>
      <c r="M20" s="573">
        <v>0</v>
      </c>
      <c r="N20" s="570">
        <f>CUADRO10!E14</f>
        <v>0</v>
      </c>
      <c r="O20" s="573">
        <v>0</v>
      </c>
      <c r="P20" s="570">
        <v>0</v>
      </c>
      <c r="Q20" s="573">
        <v>0</v>
      </c>
      <c r="R20" s="570">
        <f>CUADRO10!E12</f>
        <v>0</v>
      </c>
      <c r="S20" s="573">
        <v>0</v>
      </c>
      <c r="T20" s="570">
        <v>0</v>
      </c>
      <c r="U20" s="573">
        <v>0</v>
      </c>
      <c r="V20" s="570">
        <v>0</v>
      </c>
      <c r="W20" s="573">
        <v>0</v>
      </c>
      <c r="X20" s="570">
        <f>SUM(M20:W20)</f>
        <v>0</v>
      </c>
      <c r="Y20" s="723">
        <f>X20+L20</f>
        <v>2229.5532317366915</v>
      </c>
      <c r="Z20" s="70"/>
    </row>
    <row r="21" spans="1:26">
      <c r="A21" s="1334"/>
      <c r="B21" s="702"/>
      <c r="C21" s="573"/>
      <c r="D21" s="570"/>
      <c r="E21" s="573"/>
      <c r="F21" s="570"/>
      <c r="G21" s="573"/>
      <c r="H21" s="570"/>
      <c r="I21" s="573"/>
      <c r="J21" s="570"/>
      <c r="K21" s="573"/>
      <c r="L21" s="731"/>
      <c r="M21" s="573"/>
      <c r="N21" s="570"/>
      <c r="O21" s="573"/>
      <c r="P21" s="570"/>
      <c r="Q21" s="573"/>
      <c r="R21" s="570"/>
      <c r="S21" s="573"/>
      <c r="T21" s="570"/>
      <c r="U21" s="573"/>
      <c r="V21" s="570"/>
      <c r="W21" s="573"/>
      <c r="X21" s="570"/>
      <c r="Y21" s="723"/>
    </row>
    <row r="22" spans="1:26">
      <c r="A22" s="1334"/>
      <c r="B22" s="702" t="s">
        <v>337</v>
      </c>
      <c r="C22" s="573">
        <v>0</v>
      </c>
      <c r="D22" s="570">
        <f>SECT_TERAC.!T50</f>
        <v>31781.28655592446</v>
      </c>
      <c r="E22" s="573">
        <f>SECT_TERAC.!O50</f>
        <v>17716.267733054887</v>
      </c>
      <c r="F22" s="570">
        <v>0</v>
      </c>
      <c r="G22" s="573">
        <v>0</v>
      </c>
      <c r="H22" s="570">
        <v>0</v>
      </c>
      <c r="I22" s="573">
        <f>SECT_TERAC.!W50</f>
        <v>123.92507461299536</v>
      </c>
      <c r="J22" s="570">
        <v>0</v>
      </c>
      <c r="K22" s="573">
        <v>0</v>
      </c>
      <c r="L22" s="731">
        <f>SUM(C22:K22)</f>
        <v>49621.479363592342</v>
      </c>
      <c r="M22" s="573">
        <v>0</v>
      </c>
      <c r="N22" s="570">
        <f>SECT_TERAC.!H49</f>
        <v>0.43379105000000001</v>
      </c>
      <c r="O22" s="573">
        <v>0</v>
      </c>
      <c r="P22" s="570">
        <v>0</v>
      </c>
      <c r="Q22" s="573">
        <f>SECT_TERAC.!C50</f>
        <v>779.46365429999992</v>
      </c>
      <c r="R22" s="570">
        <f>SECT_TERAC.!D50</f>
        <v>116.14339747500003</v>
      </c>
      <c r="S22" s="573">
        <f>SECT_TERAC.!P50</f>
        <v>5588.9669552500009</v>
      </c>
      <c r="T22" s="570">
        <v>0</v>
      </c>
      <c r="U22" s="573">
        <f>SECT_TERAC.!R37+SECT_TERAC.!S37+SECT_TERAC.!L50</f>
        <v>0</v>
      </c>
      <c r="V22" s="570">
        <v>0</v>
      </c>
      <c r="W22" s="573">
        <v>0</v>
      </c>
      <c r="X22" s="570">
        <f>SUM(M22:W22)</f>
        <v>6485.0077980750011</v>
      </c>
      <c r="Y22" s="723">
        <f>X22+L22</f>
        <v>56106.487161667341</v>
      </c>
      <c r="Z22" s="70"/>
    </row>
    <row r="23" spans="1:26">
      <c r="A23" s="1334"/>
      <c r="B23" s="702"/>
      <c r="C23" s="573"/>
      <c r="D23" s="570"/>
      <c r="E23" s="573"/>
      <c r="F23" s="570"/>
      <c r="G23" s="573"/>
      <c r="H23" s="570"/>
      <c r="I23" s="573"/>
      <c r="J23" s="570"/>
      <c r="K23" s="573"/>
      <c r="L23" s="731"/>
      <c r="M23" s="573"/>
      <c r="N23" s="570"/>
      <c r="O23" s="573"/>
      <c r="P23" s="570"/>
      <c r="Q23" s="573"/>
      <c r="R23" s="570"/>
      <c r="S23" s="573"/>
      <c r="T23" s="570"/>
      <c r="U23" s="573"/>
      <c r="V23" s="570"/>
      <c r="W23" s="573"/>
      <c r="X23" s="570"/>
      <c r="Y23" s="723"/>
    </row>
    <row r="24" spans="1:26">
      <c r="A24" s="1334"/>
      <c r="B24" s="702" t="s">
        <v>338</v>
      </c>
      <c r="C24" s="573">
        <v>0</v>
      </c>
      <c r="D24" s="570">
        <f>SECT_TERAC.!T49</f>
        <v>475.36879568800003</v>
      </c>
      <c r="E24" s="573">
        <f>SECT_TERAC.!O49</f>
        <v>85.131494662607835</v>
      </c>
      <c r="F24" s="570">
        <v>0</v>
      </c>
      <c r="G24" s="573">
        <v>0</v>
      </c>
      <c r="H24" s="570">
        <v>0</v>
      </c>
      <c r="I24" s="573">
        <f>SECT_TERAC.!W49</f>
        <v>4391.4619999587903</v>
      </c>
      <c r="J24" s="570">
        <v>0</v>
      </c>
      <c r="K24" s="573">
        <v>0</v>
      </c>
      <c r="L24" s="731">
        <f>SUM(C24:K24)</f>
        <v>4951.9622903093987</v>
      </c>
      <c r="M24" s="573">
        <v>0</v>
      </c>
      <c r="N24" s="570">
        <f>SECT_TERAC.!H50</f>
        <v>1.0579017900000001</v>
      </c>
      <c r="O24" s="573">
        <v>0</v>
      </c>
      <c r="P24" s="570">
        <v>0</v>
      </c>
      <c r="Q24" s="573">
        <f>SECT_TERAC.!C49</f>
        <v>162.75657587039322</v>
      </c>
      <c r="R24" s="570">
        <f>SECT_TERAC.!D49</f>
        <v>795.75700736002921</v>
      </c>
      <c r="S24" s="573">
        <f>SECT_TERAC.!P49</f>
        <v>0</v>
      </c>
      <c r="T24" s="570">
        <v>0</v>
      </c>
      <c r="U24" s="573">
        <f>SECT_TERAC.!L49+SECT_TERAC.!R36+SECT_TERAC.!S36</f>
        <v>86.544364999999985</v>
      </c>
      <c r="V24" s="570">
        <v>0</v>
      </c>
      <c r="W24" s="573">
        <v>0</v>
      </c>
      <c r="X24" s="570">
        <f>SUM(M24:W24)</f>
        <v>1046.1158500204224</v>
      </c>
      <c r="Y24" s="723">
        <f>X24+L24</f>
        <v>5998.0781403298206</v>
      </c>
      <c r="Z24" s="70"/>
    </row>
    <row r="25" spans="1:26">
      <c r="A25" s="1334"/>
      <c r="B25" s="702"/>
      <c r="C25" s="573"/>
      <c r="D25" s="570"/>
      <c r="E25" s="573"/>
      <c r="F25" s="570"/>
      <c r="G25" s="573"/>
      <c r="H25" s="570"/>
      <c r="I25" s="573"/>
      <c r="J25" s="570"/>
      <c r="K25" s="573"/>
      <c r="L25" s="731"/>
      <c r="M25" s="573"/>
      <c r="N25" s="570"/>
      <c r="O25" s="573"/>
      <c r="P25" s="570"/>
      <c r="Q25" s="573"/>
      <c r="R25" s="570"/>
      <c r="S25" s="573"/>
      <c r="T25" s="570"/>
      <c r="U25" s="573"/>
      <c r="V25" s="570"/>
      <c r="W25" s="573"/>
      <c r="X25" s="570"/>
      <c r="Y25" s="723"/>
    </row>
    <row r="26" spans="1:26">
      <c r="A26" s="1334"/>
      <c r="B26" s="702" t="s">
        <v>339</v>
      </c>
      <c r="C26" s="573">
        <v>0</v>
      </c>
      <c r="D26" s="570">
        <v>0</v>
      </c>
      <c r="E26" s="571">
        <v>0</v>
      </c>
      <c r="F26" s="570">
        <v>0</v>
      </c>
      <c r="G26" s="573">
        <v>0</v>
      </c>
      <c r="H26" s="570">
        <v>0</v>
      </c>
      <c r="I26" s="573">
        <v>0</v>
      </c>
      <c r="J26" s="570">
        <v>0</v>
      </c>
      <c r="K26" s="573">
        <v>0</v>
      </c>
      <c r="L26" s="731">
        <f>SUM(C26:K26)</f>
        <v>0</v>
      </c>
      <c r="M26" s="573">
        <v>0</v>
      </c>
      <c r="N26" s="570">
        <v>0</v>
      </c>
      <c r="O26" s="573">
        <v>0</v>
      </c>
      <c r="P26" s="570">
        <v>0</v>
      </c>
      <c r="Q26" s="573">
        <v>0</v>
      </c>
      <c r="R26" s="570">
        <v>0</v>
      </c>
      <c r="S26" s="571">
        <v>0</v>
      </c>
      <c r="T26" s="570">
        <v>0</v>
      </c>
      <c r="U26" s="573">
        <v>0</v>
      </c>
      <c r="V26" s="570">
        <v>0</v>
      </c>
      <c r="W26" s="573">
        <v>0</v>
      </c>
      <c r="X26" s="570">
        <f>SUM(M26:W26)</f>
        <v>0</v>
      </c>
      <c r="Y26" s="723">
        <f>X26+L26</f>
        <v>0</v>
      </c>
      <c r="Z26" s="70"/>
    </row>
    <row r="27" spans="1:26">
      <c r="A27" s="1334"/>
      <c r="B27" s="702"/>
      <c r="C27" s="573"/>
      <c r="D27" s="570"/>
      <c r="E27" s="573"/>
      <c r="F27" s="570"/>
      <c r="G27" s="573"/>
      <c r="H27" s="570"/>
      <c r="I27" s="573"/>
      <c r="J27" s="570"/>
      <c r="K27" s="573"/>
      <c r="L27" s="731"/>
      <c r="M27" s="573"/>
      <c r="N27" s="570"/>
      <c r="O27" s="573"/>
      <c r="P27" s="570"/>
      <c r="Q27" s="573"/>
      <c r="R27" s="570"/>
      <c r="S27" s="573"/>
      <c r="T27" s="570"/>
      <c r="U27" s="573"/>
      <c r="V27" s="570"/>
      <c r="W27" s="573"/>
      <c r="X27" s="570"/>
      <c r="Y27" s="723"/>
    </row>
    <row r="28" spans="1:26">
      <c r="A28" s="1334"/>
      <c r="B28" s="702" t="s">
        <v>340</v>
      </c>
      <c r="C28" s="573">
        <v>0</v>
      </c>
      <c r="D28" s="570">
        <v>0</v>
      </c>
      <c r="E28" s="573">
        <f>CUADRO10!F18</f>
        <v>0</v>
      </c>
      <c r="F28" s="570">
        <v>0</v>
      </c>
      <c r="G28" s="573">
        <v>0</v>
      </c>
      <c r="H28" s="570">
        <v>0</v>
      </c>
      <c r="I28" s="573">
        <v>0</v>
      </c>
      <c r="J28" s="570">
        <v>0</v>
      </c>
      <c r="K28" s="573">
        <v>0</v>
      </c>
      <c r="L28" s="731">
        <f>SUM(C28:K28)</f>
        <v>0</v>
      </c>
      <c r="M28" s="573">
        <v>0</v>
      </c>
      <c r="N28" s="570">
        <v>0</v>
      </c>
      <c r="O28" s="573">
        <v>0</v>
      </c>
      <c r="P28" s="570">
        <v>0</v>
      </c>
      <c r="Q28" s="573">
        <v>0</v>
      </c>
      <c r="R28" s="570">
        <v>0</v>
      </c>
      <c r="S28" s="573">
        <v>0</v>
      </c>
      <c r="T28" s="570">
        <v>0</v>
      </c>
      <c r="U28" s="573">
        <v>0</v>
      </c>
      <c r="V28" s="570">
        <v>0</v>
      </c>
      <c r="W28" s="573">
        <v>0</v>
      </c>
      <c r="X28" s="570">
        <f>SUM(M28:W28)</f>
        <v>0</v>
      </c>
      <c r="Y28" s="723">
        <f>X28+L28</f>
        <v>0</v>
      </c>
      <c r="Z28" s="70"/>
    </row>
    <row r="29" spans="1:26">
      <c r="A29" s="1334"/>
      <c r="B29" s="702"/>
      <c r="C29" s="573"/>
      <c r="D29" s="570"/>
      <c r="E29" s="573"/>
      <c r="F29" s="570"/>
      <c r="G29" s="573"/>
      <c r="H29" s="570"/>
      <c r="I29" s="573"/>
      <c r="J29" s="570"/>
      <c r="K29" s="573"/>
      <c r="L29" s="731"/>
      <c r="M29" s="573"/>
      <c r="N29" s="570"/>
      <c r="O29" s="573"/>
      <c r="P29" s="570"/>
      <c r="Q29" s="573"/>
      <c r="R29" s="570"/>
      <c r="S29" s="573"/>
      <c r="T29" s="570"/>
      <c r="U29" s="573"/>
      <c r="V29" s="570"/>
      <c r="W29" s="573"/>
      <c r="X29" s="570"/>
      <c r="Y29" s="723"/>
    </row>
    <row r="30" spans="1:26">
      <c r="A30" s="1334"/>
      <c r="B30" s="702" t="s">
        <v>341</v>
      </c>
      <c r="C30" s="573">
        <v>0</v>
      </c>
      <c r="D30" s="570">
        <v>0</v>
      </c>
      <c r="E30" s="573">
        <f>CUADRO10!D18</f>
        <v>5082.796800000001</v>
      </c>
      <c r="F30" s="570">
        <v>0</v>
      </c>
      <c r="G30" s="573">
        <v>0</v>
      </c>
      <c r="H30" s="570">
        <v>0</v>
      </c>
      <c r="I30" s="573">
        <v>0</v>
      </c>
      <c r="J30" s="570">
        <v>0</v>
      </c>
      <c r="K30" s="573">
        <v>0</v>
      </c>
      <c r="L30" s="731">
        <f>SUM(C30:K30)</f>
        <v>5082.796800000001</v>
      </c>
      <c r="M30" s="573">
        <v>0</v>
      </c>
      <c r="N30" s="570">
        <f>CUADRO10!D14</f>
        <v>27.668561800000006</v>
      </c>
      <c r="O30" s="573">
        <v>0</v>
      </c>
      <c r="P30" s="570">
        <v>0</v>
      </c>
      <c r="Q30" s="573">
        <v>0</v>
      </c>
      <c r="R30" s="570">
        <v>0</v>
      </c>
      <c r="S30" s="573">
        <f>CUADRO10!D20</f>
        <v>2033.3929999999996</v>
      </c>
      <c r="T30" s="570">
        <v>0</v>
      </c>
      <c r="U30" s="573">
        <v>0</v>
      </c>
      <c r="V30" s="570">
        <v>0</v>
      </c>
      <c r="W30" s="573">
        <v>0</v>
      </c>
      <c r="X30" s="570">
        <f>SUM(M30:W30)</f>
        <v>2061.0615617999997</v>
      </c>
      <c r="Y30" s="723">
        <f>X30+L30</f>
        <v>7143.8583618000011</v>
      </c>
      <c r="Z30" s="70"/>
    </row>
    <row r="31" spans="1:26">
      <c r="A31" s="1334"/>
      <c r="B31" s="702"/>
      <c r="C31" s="573"/>
      <c r="D31" s="570"/>
      <c r="E31" s="573"/>
      <c r="F31" s="570"/>
      <c r="G31" s="573"/>
      <c r="H31" s="570"/>
      <c r="I31" s="573"/>
      <c r="J31" s="570"/>
      <c r="K31" s="573"/>
      <c r="L31" s="731"/>
      <c r="M31" s="573"/>
      <c r="N31" s="570"/>
      <c r="O31" s="573"/>
      <c r="P31" s="570"/>
      <c r="Q31" s="573"/>
      <c r="R31" s="570"/>
      <c r="S31" s="573"/>
      <c r="T31" s="570"/>
      <c r="U31" s="573"/>
      <c r="V31" s="570"/>
      <c r="W31" s="573"/>
      <c r="X31" s="570"/>
      <c r="Y31" s="723"/>
    </row>
    <row r="32" spans="1:26">
      <c r="A32" s="1334"/>
      <c r="B32" s="702" t="s">
        <v>343</v>
      </c>
      <c r="C32" s="573">
        <v>0</v>
      </c>
      <c r="D32" s="570">
        <v>0</v>
      </c>
      <c r="E32" s="573">
        <v>0</v>
      </c>
      <c r="F32" s="570">
        <v>0</v>
      </c>
      <c r="G32" s="573">
        <v>0</v>
      </c>
      <c r="H32" s="570">
        <v>0</v>
      </c>
      <c r="I32" s="573">
        <v>0</v>
      </c>
      <c r="J32" s="570">
        <v>0</v>
      </c>
      <c r="K32" s="573">
        <v>0</v>
      </c>
      <c r="L32" s="731">
        <f>SUM(C32:K32)</f>
        <v>0</v>
      </c>
      <c r="M32" s="573">
        <v>0</v>
      </c>
      <c r="N32" s="570">
        <v>0</v>
      </c>
      <c r="O32" s="573">
        <v>0</v>
      </c>
      <c r="P32" s="570">
        <v>0</v>
      </c>
      <c r="Q32" s="573">
        <v>0</v>
      </c>
      <c r="R32" s="570">
        <v>0</v>
      </c>
      <c r="S32" s="573">
        <v>0</v>
      </c>
      <c r="T32" s="570">
        <v>0</v>
      </c>
      <c r="U32" s="573">
        <v>0</v>
      </c>
      <c r="V32" s="570">
        <v>0</v>
      </c>
      <c r="W32" s="573">
        <v>0</v>
      </c>
      <c r="X32" s="570">
        <f>SUM(M32:W32)</f>
        <v>0</v>
      </c>
      <c r="Y32" s="723">
        <f>X32+L32</f>
        <v>0</v>
      </c>
      <c r="Z32" s="70"/>
    </row>
    <row r="33" spans="1:27">
      <c r="A33" s="1334"/>
      <c r="B33" s="702"/>
      <c r="C33" s="573"/>
      <c r="D33" s="570"/>
      <c r="E33" s="573"/>
      <c r="F33" s="570"/>
      <c r="G33" s="573"/>
      <c r="H33" s="570"/>
      <c r="I33" s="573"/>
      <c r="J33" s="570"/>
      <c r="K33" s="573"/>
      <c r="L33" s="731"/>
      <c r="M33" s="573"/>
      <c r="N33" s="570"/>
      <c r="O33" s="573"/>
      <c r="P33" s="570"/>
      <c r="Q33" s="573"/>
      <c r="R33" s="570"/>
      <c r="S33" s="573"/>
      <c r="T33" s="570"/>
      <c r="U33" s="573"/>
      <c r="V33" s="570"/>
      <c r="W33" s="573"/>
      <c r="X33" s="570"/>
      <c r="Y33" s="723"/>
    </row>
    <row r="34" spans="1:27">
      <c r="A34" s="1334"/>
      <c r="B34" s="702" t="s">
        <v>344</v>
      </c>
      <c r="C34" s="573">
        <v>0</v>
      </c>
      <c r="D34" s="570">
        <f>CUADRO10!G22</f>
        <v>24785.521033810026</v>
      </c>
      <c r="E34" s="573">
        <v>0</v>
      </c>
      <c r="F34" s="570">
        <v>0</v>
      </c>
      <c r="G34" s="573">
        <v>0</v>
      </c>
      <c r="H34" s="570">
        <v>0</v>
      </c>
      <c r="I34" s="573">
        <v>0</v>
      </c>
      <c r="J34" s="570">
        <v>0</v>
      </c>
      <c r="K34" s="573">
        <v>0</v>
      </c>
      <c r="L34" s="731">
        <f>SUM(C34:K34)</f>
        <v>24785.521033810026</v>
      </c>
      <c r="M34" s="573">
        <v>0</v>
      </c>
      <c r="N34" s="570">
        <v>0</v>
      </c>
      <c r="O34" s="573">
        <v>0</v>
      </c>
      <c r="P34" s="570">
        <v>0</v>
      </c>
      <c r="Q34" s="573">
        <v>0</v>
      </c>
      <c r="R34" s="570">
        <v>0</v>
      </c>
      <c r="S34" s="573">
        <v>0</v>
      </c>
      <c r="T34" s="570">
        <v>0</v>
      </c>
      <c r="U34" s="573">
        <v>0</v>
      </c>
      <c r="V34" s="570">
        <v>0</v>
      </c>
      <c r="W34" s="573">
        <v>0</v>
      </c>
      <c r="X34" s="570">
        <f>SUM(M34:W34)</f>
        <v>0</v>
      </c>
      <c r="Y34" s="723">
        <f>X34+L34</f>
        <v>24785.521033810026</v>
      </c>
      <c r="Z34" s="70"/>
    </row>
    <row r="35" spans="1:27" ht="13.5" thickBot="1">
      <c r="A35" s="1335"/>
      <c r="B35" s="703"/>
      <c r="C35" s="710"/>
      <c r="D35" s="724"/>
      <c r="E35" s="710"/>
      <c r="F35" s="724"/>
      <c r="G35" s="710"/>
      <c r="H35" s="724"/>
      <c r="I35" s="710"/>
      <c r="J35" s="724"/>
      <c r="K35" s="710"/>
      <c r="L35" s="726"/>
      <c r="M35" s="710"/>
      <c r="N35" s="724"/>
      <c r="O35" s="710"/>
      <c r="P35" s="724"/>
      <c r="Q35" s="710"/>
      <c r="R35" s="724"/>
      <c r="S35" s="710"/>
      <c r="T35" s="724"/>
      <c r="U35" s="710"/>
      <c r="V35" s="724"/>
      <c r="W35" s="710"/>
      <c r="X35" s="724"/>
      <c r="Y35" s="725"/>
      <c r="Z35" s="70"/>
    </row>
    <row r="36" spans="1:27" ht="13.5" thickBot="1">
      <c r="A36" s="716"/>
      <c r="B36" s="703" t="s">
        <v>345</v>
      </c>
      <c r="C36" s="715">
        <f>C20</f>
        <v>0</v>
      </c>
      <c r="D36" s="726">
        <f>SUM(D20:D34)</f>
        <v>59271.729617159173</v>
      </c>
      <c r="E36" s="715">
        <f>SUM(E20:E34)</f>
        <v>22884.196027717495</v>
      </c>
      <c r="F36" s="726">
        <f>SUM(F20:F34)</f>
        <v>0</v>
      </c>
      <c r="G36" s="715">
        <v>0</v>
      </c>
      <c r="H36" s="726">
        <v>0</v>
      </c>
      <c r="I36" s="715">
        <f t="shared" ref="I36:Y36" si="0">SUM(I20:I34)</f>
        <v>4515.3870745717859</v>
      </c>
      <c r="J36" s="726">
        <f t="shared" si="0"/>
        <v>0</v>
      </c>
      <c r="K36" s="715">
        <f t="shared" si="0"/>
        <v>0</v>
      </c>
      <c r="L36" s="726">
        <f t="shared" si="0"/>
        <v>86671.312719448455</v>
      </c>
      <c r="M36" s="715">
        <f t="shared" si="0"/>
        <v>0</v>
      </c>
      <c r="N36" s="726">
        <f t="shared" si="0"/>
        <v>29.160254640000005</v>
      </c>
      <c r="O36" s="715">
        <f t="shared" si="0"/>
        <v>0</v>
      </c>
      <c r="P36" s="726">
        <f t="shared" si="0"/>
        <v>0</v>
      </c>
      <c r="Q36" s="715">
        <f t="shared" si="0"/>
        <v>942.22023017039317</v>
      </c>
      <c r="R36" s="726">
        <f t="shared" si="0"/>
        <v>911.90040483502924</v>
      </c>
      <c r="S36" s="715">
        <f t="shared" si="0"/>
        <v>7622.35995525</v>
      </c>
      <c r="T36" s="726">
        <f t="shared" si="0"/>
        <v>0</v>
      </c>
      <c r="U36" s="715">
        <f t="shared" si="0"/>
        <v>86.544364999999985</v>
      </c>
      <c r="V36" s="726">
        <f t="shared" si="0"/>
        <v>0</v>
      </c>
      <c r="W36" s="715">
        <f t="shared" si="0"/>
        <v>0</v>
      </c>
      <c r="X36" s="726">
        <f t="shared" si="0"/>
        <v>9592.1852098954223</v>
      </c>
      <c r="Y36" s="725">
        <f t="shared" si="0"/>
        <v>96263.497929343881</v>
      </c>
      <c r="Z36" s="70"/>
    </row>
    <row r="37" spans="1:27">
      <c r="A37" s="744"/>
      <c r="B37" s="702"/>
      <c r="C37" s="712"/>
      <c r="D37" s="727"/>
      <c r="E37" s="711"/>
      <c r="F37" s="727"/>
      <c r="G37" s="711"/>
      <c r="H37" s="727"/>
      <c r="I37" s="711"/>
      <c r="J37" s="727"/>
      <c r="K37" s="711"/>
      <c r="L37" s="729"/>
      <c r="M37" s="711"/>
      <c r="N37" s="727"/>
      <c r="O37" s="711"/>
      <c r="P37" s="727"/>
      <c r="Q37" s="711"/>
      <c r="R37" s="727"/>
      <c r="S37" s="711"/>
      <c r="T37" s="727"/>
      <c r="U37" s="711"/>
      <c r="V37" s="727"/>
      <c r="W37" s="711"/>
      <c r="X37" s="727"/>
      <c r="Y37" s="728"/>
      <c r="Z37" s="70"/>
    </row>
    <row r="38" spans="1:27">
      <c r="A38" s="744"/>
      <c r="B38" s="702" t="s">
        <v>346</v>
      </c>
      <c r="C38" s="713">
        <v>0</v>
      </c>
      <c r="D38" s="570">
        <f>SECT_TERAC.!T44</f>
        <v>5157.322722770331</v>
      </c>
      <c r="E38" s="573">
        <f>SECT_TERAC.!O44</f>
        <v>6.9009904999999989</v>
      </c>
      <c r="F38" s="570">
        <v>0</v>
      </c>
      <c r="G38" s="573">
        <v>0</v>
      </c>
      <c r="H38" s="570">
        <v>0</v>
      </c>
      <c r="I38" s="573">
        <v>0</v>
      </c>
      <c r="J38" s="570">
        <v>0</v>
      </c>
      <c r="K38" s="573">
        <v>0</v>
      </c>
      <c r="L38" s="731">
        <f>SUM(C38:K38)</f>
        <v>5164.2237132703312</v>
      </c>
      <c r="M38" s="573">
        <f>SECT_TERAC.!N44</f>
        <v>1858.5513414212944</v>
      </c>
      <c r="N38" s="570">
        <f>SECT_TERAC.!H44</f>
        <v>314.34043079999998</v>
      </c>
      <c r="O38" s="573">
        <v>0</v>
      </c>
      <c r="P38" s="570">
        <f>SECT_TERAC.!G44+SECT_TERAC.!J44</f>
        <v>0.2571426</v>
      </c>
      <c r="Q38" s="573">
        <f>SECT_TERAC.!C44</f>
        <v>22.881066490799999</v>
      </c>
      <c r="R38" s="570">
        <f>SECT_TERAC.!D44</f>
        <v>219.743685</v>
      </c>
      <c r="S38" s="573">
        <v>0</v>
      </c>
      <c r="T38" s="570">
        <v>0</v>
      </c>
      <c r="U38" s="573">
        <f>SECT_TERAC.!L44+SECT_TERAC.!R44+SECT_TERAC.!S44</f>
        <v>3695.8955471196782</v>
      </c>
      <c r="V38" s="570">
        <f>SECT_TERAC.!K44+SECT_TERAC.!U44+SECT_TERAC.!Q44</f>
        <v>2140.8573729999998</v>
      </c>
      <c r="W38" s="573">
        <v>0</v>
      </c>
      <c r="X38" s="570">
        <f>SUM(M38:W38)</f>
        <v>8252.5265864317735</v>
      </c>
      <c r="Y38" s="723">
        <f>X38+L38</f>
        <v>13416.750299702104</v>
      </c>
      <c r="Z38" s="70"/>
    </row>
    <row r="39" spans="1:27">
      <c r="A39" s="744"/>
      <c r="B39" s="702" t="s">
        <v>347</v>
      </c>
      <c r="C39" s="713">
        <v>0</v>
      </c>
      <c r="D39" s="570">
        <f>CUADRO3!E32</f>
        <v>733.92237000002933</v>
      </c>
      <c r="E39" s="573">
        <v>0</v>
      </c>
      <c r="F39" s="570">
        <v>0</v>
      </c>
      <c r="G39" s="573">
        <v>0</v>
      </c>
      <c r="H39" s="570">
        <v>0</v>
      </c>
      <c r="I39" s="573">
        <v>0</v>
      </c>
      <c r="J39" s="570">
        <v>0</v>
      </c>
      <c r="K39" s="573">
        <v>0</v>
      </c>
      <c r="L39" s="731">
        <f>SUM(C39:K39)</f>
        <v>733.92237000002933</v>
      </c>
      <c r="M39" s="573">
        <v>3904.1140276019396</v>
      </c>
      <c r="N39" s="570">
        <v>0</v>
      </c>
      <c r="O39" s="573">
        <v>0</v>
      </c>
      <c r="P39" s="570">
        <v>0</v>
      </c>
      <c r="Q39" s="573">
        <v>0</v>
      </c>
      <c r="R39" s="570">
        <v>0</v>
      </c>
      <c r="S39" s="573">
        <v>0</v>
      </c>
      <c r="T39" s="570">
        <v>0</v>
      </c>
      <c r="U39" s="573">
        <v>0</v>
      </c>
      <c r="V39" s="570">
        <v>0</v>
      </c>
      <c r="W39" s="573">
        <v>0</v>
      </c>
      <c r="X39" s="570">
        <f>SUM(M39:W39)</f>
        <v>3904.1140276019396</v>
      </c>
      <c r="Y39" s="723">
        <f>X39+L39</f>
        <v>4638.0363976019689</v>
      </c>
      <c r="Z39" s="70"/>
      <c r="AA39" s="70"/>
    </row>
    <row r="40" spans="1:27" ht="13.5" thickBot="1">
      <c r="A40" s="716"/>
      <c r="B40" s="703" t="s">
        <v>348</v>
      </c>
      <c r="C40" s="724">
        <f t="shared" ref="C40:H40" si="1">C18-C36-C39-C58</f>
        <v>111713.75594921276</v>
      </c>
      <c r="D40" s="724">
        <f t="shared" si="1"/>
        <v>276.90079287199114</v>
      </c>
      <c r="E40" s="724">
        <f t="shared" si="1"/>
        <v>0.41300000000683212</v>
      </c>
      <c r="F40" s="724">
        <f t="shared" si="1"/>
        <v>18614.047888710153</v>
      </c>
      <c r="G40" s="724">
        <f t="shared" si="1"/>
        <v>0</v>
      </c>
      <c r="H40" s="724">
        <f t="shared" si="1"/>
        <v>0</v>
      </c>
      <c r="I40" s="710">
        <f t="shared" ref="I40:W40" si="2">I18-I36-I39-I58</f>
        <v>0</v>
      </c>
      <c r="J40" s="724">
        <f t="shared" si="2"/>
        <v>0</v>
      </c>
      <c r="K40" s="710">
        <f t="shared" si="2"/>
        <v>0</v>
      </c>
      <c r="L40" s="731">
        <f>SUM(C40:K40)</f>
        <v>130605.11763079491</v>
      </c>
      <c r="M40" s="710">
        <f>M18+M14-M36-M39-M58</f>
        <v>-434.55705357226543</v>
      </c>
      <c r="N40" s="724">
        <f t="shared" si="2"/>
        <v>0</v>
      </c>
      <c r="O40" s="710">
        <f t="shared" si="2"/>
        <v>0</v>
      </c>
      <c r="P40" s="724">
        <f t="shared" si="2"/>
        <v>8.9909999998781132E-2</v>
      </c>
      <c r="Q40" s="710">
        <f t="shared" si="2"/>
        <v>0</v>
      </c>
      <c r="R40" s="724">
        <f t="shared" si="2"/>
        <v>0</v>
      </c>
      <c r="S40" s="710">
        <f t="shared" si="2"/>
        <v>8.4839999994983373E-3</v>
      </c>
      <c r="T40" s="724">
        <f t="shared" si="2"/>
        <v>0</v>
      </c>
      <c r="U40" s="710">
        <f t="shared" si="2"/>
        <v>0</v>
      </c>
      <c r="V40" s="724">
        <f t="shared" si="2"/>
        <v>0.26955988500003514</v>
      </c>
      <c r="W40" s="710">
        <f t="shared" si="2"/>
        <v>0</v>
      </c>
      <c r="X40" s="570">
        <f>SUM(M40:W40)</f>
        <v>-434.18909968726712</v>
      </c>
      <c r="Y40" s="723">
        <f>X40+L40</f>
        <v>130170.92853110764</v>
      </c>
      <c r="Z40" s="70"/>
    </row>
    <row r="41" spans="1:27">
      <c r="A41" s="1333" t="s">
        <v>555</v>
      </c>
      <c r="B41" s="701"/>
      <c r="C41" s="711"/>
      <c r="D41" s="727"/>
      <c r="E41" s="711"/>
      <c r="F41" s="727"/>
      <c r="G41" s="711"/>
      <c r="H41" s="727"/>
      <c r="I41" s="711"/>
      <c r="J41" s="727"/>
      <c r="K41" s="711"/>
      <c r="L41" s="729"/>
      <c r="M41" s="711"/>
      <c r="N41" s="727"/>
      <c r="O41" s="711"/>
      <c r="P41" s="727"/>
      <c r="Q41" s="711"/>
      <c r="R41" s="727"/>
      <c r="S41" s="711"/>
      <c r="T41" s="727"/>
      <c r="U41" s="711"/>
      <c r="V41" s="727"/>
      <c r="W41" s="711"/>
      <c r="X41" s="727"/>
      <c r="Y41" s="728"/>
      <c r="Z41" s="70"/>
    </row>
    <row r="42" spans="1:27">
      <c r="A42" s="1334"/>
      <c r="B42" s="702" t="s">
        <v>349</v>
      </c>
      <c r="C42" s="573">
        <v>0</v>
      </c>
      <c r="D42" s="570">
        <f>CUADRO5!C42</f>
        <v>293.82739268138204</v>
      </c>
      <c r="E42" s="573">
        <v>0</v>
      </c>
      <c r="F42" s="570">
        <v>0</v>
      </c>
      <c r="G42" s="573">
        <v>0</v>
      </c>
      <c r="H42" s="570">
        <v>0</v>
      </c>
      <c r="I42" s="573">
        <v>0</v>
      </c>
      <c r="J42" s="570">
        <v>0</v>
      </c>
      <c r="K42" s="573">
        <v>0</v>
      </c>
      <c r="L42" s="731">
        <f>SUM(C42:K42)</f>
        <v>293.82739268138204</v>
      </c>
      <c r="M42" s="573">
        <f>CUADRO5!C30</f>
        <v>200.23799765999999</v>
      </c>
      <c r="N42" s="570">
        <f>CUADRO5!C20</f>
        <v>19.104992500000002</v>
      </c>
      <c r="O42" s="573">
        <f>CUADRO5!C14+CUADRO5!C16+CUADRO5!C22</f>
        <v>23696.893908687998</v>
      </c>
      <c r="P42" s="570">
        <f>CUADRO5!C18+CUADRO5!C24</f>
        <v>6428.7658589400016</v>
      </c>
      <c r="Q42" s="573">
        <f>CUADRO5!C12</f>
        <v>31694.870622912</v>
      </c>
      <c r="R42" s="570">
        <f>CUADRO5!C10</f>
        <v>11125.202178846002</v>
      </c>
      <c r="S42" s="573">
        <v>0</v>
      </c>
      <c r="T42" s="570"/>
      <c r="U42" s="573">
        <v>0</v>
      </c>
      <c r="V42" s="570">
        <v>0</v>
      </c>
      <c r="W42" s="573">
        <v>0</v>
      </c>
      <c r="X42" s="570">
        <f>SUM(M42:W42)</f>
        <v>73165.075559545992</v>
      </c>
      <c r="Y42" s="723">
        <f>X42+L42</f>
        <v>73458.902952227378</v>
      </c>
      <c r="Z42" s="70"/>
    </row>
    <row r="43" spans="1:27">
      <c r="A43" s="1334"/>
      <c r="B43" s="702"/>
      <c r="C43" s="573"/>
      <c r="D43" s="570"/>
      <c r="E43" s="573"/>
      <c r="F43" s="570"/>
      <c r="G43" s="573"/>
      <c r="H43" s="570"/>
      <c r="I43" s="573"/>
      <c r="J43" s="570"/>
      <c r="K43" s="573"/>
      <c r="L43" s="731"/>
      <c r="M43" s="573"/>
      <c r="N43" s="570"/>
      <c r="O43" s="573"/>
      <c r="P43" s="570"/>
      <c r="Q43" s="573"/>
      <c r="R43" s="570"/>
      <c r="S43" s="573"/>
      <c r="T43" s="570"/>
      <c r="U43" s="573"/>
      <c r="V43" s="570"/>
      <c r="W43" s="573"/>
      <c r="X43" s="570"/>
      <c r="Y43" s="723"/>
    </row>
    <row r="44" spans="1:27">
      <c r="A44" s="1334"/>
      <c r="B44" s="702" t="s">
        <v>350</v>
      </c>
      <c r="C44" s="573">
        <v>0</v>
      </c>
      <c r="D44" s="570">
        <f>CUADRO5!D42</f>
        <v>10864.226700135794</v>
      </c>
      <c r="E44" s="573">
        <f>CUADRO5!D32</f>
        <v>5190.2183450767716</v>
      </c>
      <c r="F44" s="570">
        <v>0</v>
      </c>
      <c r="G44" s="573">
        <v>0</v>
      </c>
      <c r="H44" s="570">
        <v>0</v>
      </c>
      <c r="I44" s="573">
        <f>CUADRO5!D46</f>
        <v>9596.2198227862773</v>
      </c>
      <c r="J44" s="570">
        <v>0</v>
      </c>
      <c r="K44" s="573">
        <v>0</v>
      </c>
      <c r="L44" s="731">
        <f>SUM(C44:K44)</f>
        <v>25650.664867998843</v>
      </c>
      <c r="M44" s="573">
        <f>CUADRO5!D30</f>
        <v>27666.741884812778</v>
      </c>
      <c r="N44" s="570">
        <f>CUADRO5!D20</f>
        <v>1507.8519616600001</v>
      </c>
      <c r="O44" s="573">
        <f>CUADRO5!D14+CUADRO5!D16+CUADRO5!D22</f>
        <v>0</v>
      </c>
      <c r="P44" s="570">
        <f>CUADRO5!D18+CUADRO5!D24</f>
        <v>267.36608628000005</v>
      </c>
      <c r="Q44" s="573">
        <f>CUADRO5!D12</f>
        <v>15446.698071022802</v>
      </c>
      <c r="R44" s="570">
        <f>CUADRO5!D10</f>
        <v>4778.4418436649703</v>
      </c>
      <c r="S44" s="573">
        <f>CUADRO5!D34</f>
        <v>1997.303652000001</v>
      </c>
      <c r="T44" s="570">
        <v>0</v>
      </c>
      <c r="U44" s="573">
        <f>CUADRO5!D28+CUADRO5!D38+CUADRO5!D40</f>
        <v>1202.9885498119997</v>
      </c>
      <c r="V44" s="570">
        <f>CUADRO5!D26+CUADRO5!D36</f>
        <v>18.849343064999999</v>
      </c>
      <c r="W44" s="573">
        <v>0</v>
      </c>
      <c r="X44" s="570">
        <f>SUM(M44:W44)</f>
        <v>52886.241392317548</v>
      </c>
      <c r="Y44" s="723">
        <f>X44+L44</f>
        <v>78536.906260316391</v>
      </c>
      <c r="Z44" s="70"/>
    </row>
    <row r="45" spans="1:27">
      <c r="A45" s="1334"/>
      <c r="B45" s="702"/>
      <c r="C45" s="573"/>
      <c r="D45" s="570"/>
      <c r="E45" s="573"/>
      <c r="F45" s="570"/>
      <c r="G45" s="573"/>
      <c r="H45" s="570"/>
      <c r="I45" s="573"/>
      <c r="J45" s="570"/>
      <c r="K45" s="573"/>
      <c r="L45" s="731"/>
      <c r="M45" s="573"/>
      <c r="N45" s="570"/>
      <c r="O45" s="573"/>
      <c r="P45" s="570"/>
      <c r="Q45" s="573"/>
      <c r="R45" s="570"/>
      <c r="S45" s="573"/>
      <c r="T45" s="570"/>
      <c r="U45" s="573"/>
      <c r="V45" s="570"/>
      <c r="W45" s="573"/>
      <c r="X45" s="570"/>
      <c r="Y45" s="723"/>
    </row>
    <row r="46" spans="1:27">
      <c r="A46" s="1334"/>
      <c r="B46" s="702" t="s">
        <v>123</v>
      </c>
      <c r="C46" s="573">
        <v>0</v>
      </c>
      <c r="D46" s="570">
        <f>CUADRO8!E27</f>
        <v>3438.7154163247237</v>
      </c>
      <c r="E46" s="573">
        <f>CUADRO8!E23</f>
        <v>1.243347</v>
      </c>
      <c r="F46" s="570">
        <v>0</v>
      </c>
      <c r="G46" s="573">
        <v>0</v>
      </c>
      <c r="H46" s="570">
        <v>0</v>
      </c>
      <c r="I46" s="573">
        <f>CUADRO8!E29</f>
        <v>28922.415474093956</v>
      </c>
      <c r="J46" s="570">
        <v>0</v>
      </c>
      <c r="K46" s="573">
        <v>0</v>
      </c>
      <c r="L46" s="731">
        <f>SUM(C46:K46)</f>
        <v>32362.37423741868</v>
      </c>
      <c r="M46" s="573">
        <f>CUADRO8!E21</f>
        <v>6737.1462601291951</v>
      </c>
      <c r="N46" s="570">
        <f>CUADRO8!E17</f>
        <v>9168.6934581000005</v>
      </c>
      <c r="O46" s="573">
        <f>0</f>
        <v>0</v>
      </c>
      <c r="P46" s="570">
        <f>CUADRO8!E15</f>
        <v>801.69285464999996</v>
      </c>
      <c r="Q46" s="573">
        <f>CUADRO8!E13</f>
        <v>113.31026111999998</v>
      </c>
      <c r="R46" s="570">
        <f>CUADRO8!E11</f>
        <v>0.94414950000000009</v>
      </c>
      <c r="S46" s="573">
        <v>0</v>
      </c>
      <c r="T46" s="570">
        <v>0</v>
      </c>
      <c r="U46" s="573">
        <f>CUADRO8!E25</f>
        <v>111.11381450206302</v>
      </c>
      <c r="V46" s="570">
        <v>0</v>
      </c>
      <c r="W46" s="573">
        <v>0</v>
      </c>
      <c r="X46" s="570">
        <f>SUM(M46:W46)</f>
        <v>16932.900798001257</v>
      </c>
      <c r="Y46" s="723">
        <f>X46+L46</f>
        <v>49295.275035419938</v>
      </c>
      <c r="Z46" s="70"/>
    </row>
    <row r="47" spans="1:27">
      <c r="A47" s="1334"/>
      <c r="B47" s="702" t="s">
        <v>298</v>
      </c>
      <c r="C47" s="573"/>
      <c r="D47" s="570"/>
      <c r="E47" s="573"/>
      <c r="F47" s="570"/>
      <c r="G47" s="573"/>
      <c r="H47" s="570"/>
      <c r="I47" s="573"/>
      <c r="J47" s="570"/>
      <c r="K47" s="573"/>
      <c r="L47" s="731"/>
      <c r="M47" s="573"/>
      <c r="N47" s="570"/>
      <c r="O47" s="573"/>
      <c r="P47" s="570"/>
      <c r="Q47" s="573"/>
      <c r="R47" s="570"/>
      <c r="S47" s="573"/>
      <c r="T47" s="570"/>
      <c r="U47" s="573"/>
      <c r="V47" s="570"/>
      <c r="W47" s="573"/>
      <c r="X47" s="570"/>
      <c r="Y47" s="723"/>
    </row>
    <row r="48" spans="1:27">
      <c r="A48" s="1334"/>
      <c r="B48" s="702" t="s">
        <v>351</v>
      </c>
      <c r="C48" s="573">
        <v>0</v>
      </c>
      <c r="D48" s="570">
        <f>CUADRO8!C27+CUADRO8!D27</f>
        <v>917.93951374157723</v>
      </c>
      <c r="E48" s="573">
        <f>CUADRO8!C23+CUADRO8!D23</f>
        <v>54.093682820778582</v>
      </c>
      <c r="F48" s="570">
        <v>0</v>
      </c>
      <c r="G48" s="573">
        <v>0</v>
      </c>
      <c r="H48" s="570">
        <v>0</v>
      </c>
      <c r="I48" s="573">
        <f>CUADRO8!C29+CUADRO8!D29</f>
        <v>77.312101910828034</v>
      </c>
      <c r="J48" s="570">
        <v>0</v>
      </c>
      <c r="K48" s="573">
        <v>0</v>
      </c>
      <c r="L48" s="731">
        <f>SUM(C48:K48)</f>
        <v>1049.3452984731839</v>
      </c>
      <c r="M48" s="573">
        <f>CUADRO8!C21+CUADRO8!D21</f>
        <v>5743.2038126081225</v>
      </c>
      <c r="N48" s="570">
        <f>CUADRO8!C17+CUADRO8!D17</f>
        <v>1272.2692862000004</v>
      </c>
      <c r="O48" s="573">
        <v>0</v>
      </c>
      <c r="P48" s="570">
        <f>CUADRO8!C15+CUADRO8!D15</f>
        <v>75.146777999999998</v>
      </c>
      <c r="Q48" s="573">
        <f>CUADRO8!C13+CUADRO8!D13</f>
        <v>1273.2582643199999</v>
      </c>
      <c r="R48" s="570">
        <f>CUADRO8!C11+CUADRO8!D11</f>
        <v>53.722825884000002</v>
      </c>
      <c r="S48" s="573">
        <v>0</v>
      </c>
      <c r="T48" s="570">
        <v>0</v>
      </c>
      <c r="U48" s="573">
        <f>CUADRO8!C25+CUADRO8!D25</f>
        <v>105.47940763143227</v>
      </c>
      <c r="V48" s="570">
        <f>CUADRO8!D19</f>
        <v>0.56897400000000009</v>
      </c>
      <c r="W48" s="573">
        <v>0</v>
      </c>
      <c r="X48" s="570">
        <f>SUM(M48:W48)</f>
        <v>8523.6493486435556</v>
      </c>
      <c r="Y48" s="723">
        <f>X48+L48</f>
        <v>9572.9946471167386</v>
      </c>
      <c r="Z48" s="70"/>
    </row>
    <row r="49" spans="1:27">
      <c r="A49" s="1334"/>
      <c r="B49" s="702" t="s">
        <v>298</v>
      </c>
      <c r="C49" s="573"/>
      <c r="D49" s="570"/>
      <c r="E49" s="573"/>
      <c r="F49" s="570"/>
      <c r="G49" s="573"/>
      <c r="H49" s="570"/>
      <c r="I49" s="573"/>
      <c r="J49" s="570"/>
      <c r="K49" s="573"/>
      <c r="L49" s="731"/>
      <c r="M49" s="573"/>
      <c r="N49" s="570"/>
      <c r="O49" s="573"/>
      <c r="P49" s="570"/>
      <c r="Q49" s="573"/>
      <c r="R49" s="570"/>
      <c r="S49" s="573"/>
      <c r="T49" s="570"/>
      <c r="U49" s="573"/>
      <c r="V49" s="570"/>
      <c r="W49" s="573"/>
      <c r="X49" s="570"/>
      <c r="Y49" s="723"/>
    </row>
    <row r="50" spans="1:27">
      <c r="A50" s="1334"/>
      <c r="B50" s="702" t="s">
        <v>352</v>
      </c>
      <c r="C50" s="573">
        <v>0</v>
      </c>
      <c r="D50" s="570">
        <v>0</v>
      </c>
      <c r="E50" s="573">
        <v>0</v>
      </c>
      <c r="F50" s="570">
        <v>0</v>
      </c>
      <c r="G50" s="573">
        <v>0</v>
      </c>
      <c r="H50" s="570">
        <v>0</v>
      </c>
      <c r="I50" s="573">
        <v>0</v>
      </c>
      <c r="J50" s="570">
        <v>0</v>
      </c>
      <c r="K50" s="573">
        <v>0</v>
      </c>
      <c r="L50" s="731">
        <f>SUM(C50:K50)</f>
        <v>0</v>
      </c>
      <c r="M50" s="573">
        <v>0</v>
      </c>
      <c r="N50" s="570">
        <v>0</v>
      </c>
      <c r="O50" s="573">
        <v>0</v>
      </c>
      <c r="P50" s="570">
        <v>0</v>
      </c>
      <c r="Q50" s="573">
        <v>0</v>
      </c>
      <c r="R50" s="570">
        <v>0</v>
      </c>
      <c r="S50" s="573">
        <v>0</v>
      </c>
      <c r="T50" s="570">
        <v>0</v>
      </c>
      <c r="U50" s="573">
        <v>0</v>
      </c>
      <c r="V50" s="570">
        <v>0</v>
      </c>
      <c r="W50" s="573">
        <v>0</v>
      </c>
      <c r="X50" s="570">
        <f>SUM(M50:W50)</f>
        <v>0</v>
      </c>
      <c r="Y50" s="723">
        <f>X50+L50</f>
        <v>0</v>
      </c>
      <c r="Z50" s="70"/>
    </row>
    <row r="51" spans="1:27">
      <c r="A51" s="1334"/>
      <c r="B51" s="702" t="s">
        <v>298</v>
      </c>
      <c r="C51" s="573"/>
      <c r="D51" s="570"/>
      <c r="E51" s="573"/>
      <c r="F51" s="570"/>
      <c r="G51" s="573"/>
      <c r="H51" s="570"/>
      <c r="I51" s="573"/>
      <c r="J51" s="570"/>
      <c r="K51" s="573"/>
      <c r="L51" s="731"/>
      <c r="M51" s="573"/>
      <c r="N51" s="570"/>
      <c r="O51" s="573"/>
      <c r="P51" s="570"/>
      <c r="Q51" s="573"/>
      <c r="R51" s="570"/>
      <c r="S51" s="573"/>
      <c r="T51" s="570"/>
      <c r="U51" s="573"/>
      <c r="V51" s="570"/>
      <c r="W51" s="573"/>
      <c r="X51" s="570"/>
      <c r="Y51" s="723"/>
    </row>
    <row r="52" spans="1:27">
      <c r="A52" s="1334"/>
      <c r="B52" s="702" t="s">
        <v>353</v>
      </c>
      <c r="C52" s="573">
        <v>0</v>
      </c>
      <c r="D52" s="570">
        <v>0</v>
      </c>
      <c r="E52" s="573">
        <v>0</v>
      </c>
      <c r="F52" s="570">
        <v>0</v>
      </c>
      <c r="G52" s="573">
        <v>0</v>
      </c>
      <c r="H52" s="570">
        <v>0</v>
      </c>
      <c r="I52" s="573">
        <v>0</v>
      </c>
      <c r="J52" s="570">
        <v>0</v>
      </c>
      <c r="K52" s="573">
        <v>0</v>
      </c>
      <c r="L52" s="731">
        <f>SUM(C52:K52)</f>
        <v>0</v>
      </c>
      <c r="M52" s="573">
        <v>0</v>
      </c>
      <c r="N52" s="570">
        <v>0</v>
      </c>
      <c r="O52" s="573">
        <v>0</v>
      </c>
      <c r="P52" s="570">
        <v>0</v>
      </c>
      <c r="Q52" s="573">
        <v>0</v>
      </c>
      <c r="R52" s="570">
        <v>0</v>
      </c>
      <c r="S52" s="573">
        <v>0</v>
      </c>
      <c r="T52" s="570">
        <v>0</v>
      </c>
      <c r="U52" s="573">
        <v>0</v>
      </c>
      <c r="V52" s="570">
        <v>0</v>
      </c>
      <c r="W52" s="573">
        <v>0</v>
      </c>
      <c r="X52" s="570">
        <f>SUM(M52:W52)</f>
        <v>0</v>
      </c>
      <c r="Y52" s="723">
        <f>X52+L52</f>
        <v>0</v>
      </c>
      <c r="Z52" s="70"/>
    </row>
    <row r="53" spans="1:27" ht="13.5" thickBot="1">
      <c r="A53" s="1334"/>
      <c r="B53" s="703" t="s">
        <v>298</v>
      </c>
      <c r="C53" s="710"/>
      <c r="D53" s="724"/>
      <c r="E53" s="710"/>
      <c r="F53" s="724"/>
      <c r="G53" s="710"/>
      <c r="H53" s="724"/>
      <c r="I53" s="710"/>
      <c r="J53" s="724"/>
      <c r="K53" s="710"/>
      <c r="L53" s="726"/>
      <c r="M53" s="710"/>
      <c r="N53" s="724"/>
      <c r="O53" s="710"/>
      <c r="P53" s="724"/>
      <c r="Q53" s="710"/>
      <c r="R53" s="724"/>
      <c r="S53" s="710"/>
      <c r="T53" s="724"/>
      <c r="U53" s="710"/>
      <c r="V53" s="724"/>
      <c r="W53" s="710"/>
      <c r="X53" s="724"/>
      <c r="Y53" s="725"/>
    </row>
    <row r="54" spans="1:27">
      <c r="A54" s="1334"/>
      <c r="B54" s="702" t="s">
        <v>354</v>
      </c>
      <c r="C54" s="717">
        <v>0</v>
      </c>
      <c r="D54" s="729">
        <f>SUM(D42:D52)+D38</f>
        <v>20672.031745653807</v>
      </c>
      <c r="E54" s="730">
        <f>SUM(E42:E52)+E38</f>
        <v>5252.4563653975501</v>
      </c>
      <c r="F54" s="729">
        <v>0</v>
      </c>
      <c r="G54" s="730">
        <v>0</v>
      </c>
      <c r="H54" s="729">
        <v>0</v>
      </c>
      <c r="I54" s="730">
        <f>SUM(I42:I52)+I38</f>
        <v>38595.947398791061</v>
      </c>
      <c r="J54" s="729">
        <v>0</v>
      </c>
      <c r="K54" s="730">
        <f>SUM(K42:K52)</f>
        <v>0</v>
      </c>
      <c r="L54" s="729">
        <f>SUM(L42:L52)+L38</f>
        <v>64520.43550984242</v>
      </c>
      <c r="M54" s="730">
        <f>SUM(M42:M52)+M38</f>
        <v>42205.881296631385</v>
      </c>
      <c r="N54" s="729">
        <f>SUM(N42:N52)+N38</f>
        <v>12282.260129260001</v>
      </c>
      <c r="O54" s="730">
        <f>SUM(O42:O52)</f>
        <v>23696.893908687998</v>
      </c>
      <c r="P54" s="729">
        <f>SUM(P42:P52)+P38</f>
        <v>7573.2287204700024</v>
      </c>
      <c r="Q54" s="730">
        <f>SUM(Q42:Q52)+Q38</f>
        <v>48551.018285865604</v>
      </c>
      <c r="R54" s="729">
        <f>SUM(R42:R52)+R38</f>
        <v>16178.054682894972</v>
      </c>
      <c r="S54" s="730">
        <f>SUM(S42:S52)+S38</f>
        <v>1997.303652000001</v>
      </c>
      <c r="T54" s="729">
        <f>SUM(T42:T52)</f>
        <v>0</v>
      </c>
      <c r="U54" s="730">
        <f>SUM(U42:U52)+U38</f>
        <v>5115.4773190651731</v>
      </c>
      <c r="V54" s="729">
        <f>SUM(V42:V52)+V38</f>
        <v>2160.2756900649997</v>
      </c>
      <c r="W54" s="730">
        <v>0</v>
      </c>
      <c r="X54" s="729">
        <f>SUM(X42:X52)+X38</f>
        <v>159760.39368494012</v>
      </c>
      <c r="Y54" s="1241">
        <f>X54+L54</f>
        <v>224280.82919478253</v>
      </c>
      <c r="Z54" s="70"/>
    </row>
    <row r="55" spans="1:27">
      <c r="A55" s="1334"/>
      <c r="B55" s="702"/>
      <c r="C55" s="718"/>
      <c r="D55" s="731"/>
      <c r="E55" s="732"/>
      <c r="F55" s="731"/>
      <c r="G55" s="732"/>
      <c r="H55" s="731"/>
      <c r="I55" s="732"/>
      <c r="J55" s="731"/>
      <c r="K55" s="732"/>
      <c r="L55" s="731"/>
      <c r="M55" s="732"/>
      <c r="N55" s="731"/>
      <c r="O55" s="732"/>
      <c r="P55" s="731"/>
      <c r="Q55" s="732"/>
      <c r="R55" s="731"/>
      <c r="S55" s="732"/>
      <c r="T55" s="731"/>
      <c r="U55" s="732"/>
      <c r="V55" s="731"/>
      <c r="W55" s="732"/>
      <c r="X55" s="731"/>
      <c r="Y55" s="723"/>
    </row>
    <row r="56" spans="1:27">
      <c r="A56" s="1334"/>
      <c r="B56" s="702" t="s">
        <v>355</v>
      </c>
      <c r="C56" s="718">
        <v>0</v>
      </c>
      <c r="D56" s="731">
        <v>0</v>
      </c>
      <c r="E56" s="732">
        <v>0</v>
      </c>
      <c r="F56" s="731">
        <v>0</v>
      </c>
      <c r="G56" s="732">
        <v>0</v>
      </c>
      <c r="H56" s="731">
        <v>0</v>
      </c>
      <c r="I56" s="732">
        <v>0</v>
      </c>
      <c r="J56" s="731">
        <v>0</v>
      </c>
      <c r="K56" s="732">
        <v>0</v>
      </c>
      <c r="L56" s="731">
        <v>0</v>
      </c>
      <c r="M56" s="732">
        <v>0</v>
      </c>
      <c r="N56" s="731">
        <v>0</v>
      </c>
      <c r="O56" s="732">
        <v>0</v>
      </c>
      <c r="P56" s="731">
        <v>0</v>
      </c>
      <c r="Q56" s="732">
        <v>0</v>
      </c>
      <c r="R56" s="731">
        <v>0</v>
      </c>
      <c r="S56" s="732">
        <v>0</v>
      </c>
      <c r="T56" s="731">
        <v>0</v>
      </c>
      <c r="U56" s="732">
        <v>0</v>
      </c>
      <c r="V56" s="731">
        <v>0</v>
      </c>
      <c r="W56" s="732">
        <f>W18</f>
        <v>2846.3070120399998</v>
      </c>
      <c r="X56" s="731">
        <f>SUM(M56:W56)</f>
        <v>2846.3070120399998</v>
      </c>
      <c r="Y56" s="723">
        <f>X56+L56</f>
        <v>2846.3070120399998</v>
      </c>
      <c r="Z56" s="70"/>
    </row>
    <row r="57" spans="1:27" ht="13.5" thickBot="1">
      <c r="A57" s="1334"/>
      <c r="B57" s="703"/>
      <c r="C57" s="719"/>
      <c r="D57" s="726"/>
      <c r="E57" s="715"/>
      <c r="F57" s="726"/>
      <c r="G57" s="715"/>
      <c r="H57" s="726"/>
      <c r="I57" s="715"/>
      <c r="J57" s="726"/>
      <c r="K57" s="715"/>
      <c r="L57" s="726"/>
      <c r="M57" s="715"/>
      <c r="N57" s="726"/>
      <c r="O57" s="715"/>
      <c r="P57" s="726"/>
      <c r="Q57" s="715"/>
      <c r="R57" s="726"/>
      <c r="S57" s="715"/>
      <c r="T57" s="726"/>
      <c r="U57" s="715"/>
      <c r="V57" s="726"/>
      <c r="W57" s="715"/>
      <c r="X57" s="726"/>
      <c r="Y57" s="725"/>
      <c r="Z57" s="70"/>
    </row>
    <row r="58" spans="1:27" ht="13.5" thickBot="1">
      <c r="A58" s="1335"/>
      <c r="B58" s="747" t="s">
        <v>356</v>
      </c>
      <c r="C58" s="734">
        <v>0</v>
      </c>
      <c r="D58" s="733">
        <f t="shared" ref="D58:K58" si="3">D54+D56</f>
        <v>20672.031745653807</v>
      </c>
      <c r="E58" s="734">
        <f t="shared" si="3"/>
        <v>5252.4563653975501</v>
      </c>
      <c r="F58" s="734">
        <f t="shared" si="3"/>
        <v>0</v>
      </c>
      <c r="G58" s="734">
        <f t="shared" si="3"/>
        <v>0</v>
      </c>
      <c r="H58" s="734">
        <f t="shared" si="3"/>
        <v>0</v>
      </c>
      <c r="I58" s="734">
        <f t="shared" si="3"/>
        <v>38595.947398791061</v>
      </c>
      <c r="J58" s="734">
        <f t="shared" si="3"/>
        <v>0</v>
      </c>
      <c r="K58" s="734">
        <f t="shared" si="3"/>
        <v>0</v>
      </c>
      <c r="L58" s="733">
        <f t="shared" ref="L58:W58" si="4">L54+L56</f>
        <v>64520.43550984242</v>
      </c>
      <c r="M58" s="734">
        <f t="shared" si="4"/>
        <v>42205.881296631385</v>
      </c>
      <c r="N58" s="733">
        <f t="shared" si="4"/>
        <v>12282.260129260001</v>
      </c>
      <c r="O58" s="734">
        <f t="shared" si="4"/>
        <v>23696.893908687998</v>
      </c>
      <c r="P58" s="743">
        <f t="shared" si="4"/>
        <v>7573.2287204700024</v>
      </c>
      <c r="Q58" s="734">
        <f t="shared" si="4"/>
        <v>48551.018285865604</v>
      </c>
      <c r="R58" s="743">
        <f t="shared" si="4"/>
        <v>16178.054682894972</v>
      </c>
      <c r="S58" s="733">
        <f t="shared" si="4"/>
        <v>1997.303652000001</v>
      </c>
      <c r="T58" s="734">
        <f t="shared" si="4"/>
        <v>0</v>
      </c>
      <c r="U58" s="733">
        <f t="shared" si="4"/>
        <v>5115.4773190651731</v>
      </c>
      <c r="V58" s="734">
        <f t="shared" si="4"/>
        <v>2160.2756900649997</v>
      </c>
      <c r="W58" s="733">
        <f t="shared" si="4"/>
        <v>2846.3070120399998</v>
      </c>
      <c r="X58" s="734">
        <f>X54+X56</f>
        <v>162606.70069698012</v>
      </c>
      <c r="Y58" s="735">
        <f>X58+L58</f>
        <v>227127.13620682253</v>
      </c>
      <c r="Z58" s="70"/>
    </row>
    <row r="59" spans="1:27" ht="13.5" thickBot="1">
      <c r="A59" s="746"/>
      <c r="B59" s="748" t="s">
        <v>563</v>
      </c>
      <c r="C59" s="734">
        <f>C58+C36</f>
        <v>0</v>
      </c>
      <c r="D59" s="733">
        <f t="shared" ref="D59:I59" si="5">D58+D36</f>
        <v>79943.761362812977</v>
      </c>
      <c r="E59" s="734">
        <f t="shared" si="5"/>
        <v>28136.652393115044</v>
      </c>
      <c r="F59" s="733">
        <f t="shared" si="5"/>
        <v>0</v>
      </c>
      <c r="G59" s="734">
        <f t="shared" si="5"/>
        <v>0</v>
      </c>
      <c r="H59" s="733">
        <f t="shared" si="5"/>
        <v>0</v>
      </c>
      <c r="I59" s="734">
        <f t="shared" si="5"/>
        <v>43111.334473362847</v>
      </c>
      <c r="J59" s="733">
        <f t="shared" ref="J59:Y59" si="6">J58+J36</f>
        <v>0</v>
      </c>
      <c r="K59" s="734">
        <f t="shared" si="6"/>
        <v>0</v>
      </c>
      <c r="L59" s="733">
        <f t="shared" si="6"/>
        <v>151191.74822929088</v>
      </c>
      <c r="M59" s="734">
        <f t="shared" si="6"/>
        <v>42205.881296631385</v>
      </c>
      <c r="N59" s="733">
        <f t="shared" si="6"/>
        <v>12311.420383900002</v>
      </c>
      <c r="O59" s="734">
        <f t="shared" si="6"/>
        <v>23696.893908687998</v>
      </c>
      <c r="P59" s="743">
        <f t="shared" si="6"/>
        <v>7573.2287204700024</v>
      </c>
      <c r="Q59" s="734">
        <f t="shared" si="6"/>
        <v>49493.238516035999</v>
      </c>
      <c r="R59" s="743">
        <f t="shared" si="6"/>
        <v>17089.955087730003</v>
      </c>
      <c r="S59" s="733">
        <f t="shared" si="6"/>
        <v>9619.6636072500005</v>
      </c>
      <c r="T59" s="734">
        <f t="shared" si="6"/>
        <v>0</v>
      </c>
      <c r="U59" s="733">
        <f t="shared" si="6"/>
        <v>5202.0216840651728</v>
      </c>
      <c r="V59" s="734">
        <f t="shared" si="6"/>
        <v>2160.2756900649997</v>
      </c>
      <c r="W59" s="733">
        <f t="shared" si="6"/>
        <v>2846.3070120399998</v>
      </c>
      <c r="X59" s="734">
        <f t="shared" si="6"/>
        <v>172198.88590687554</v>
      </c>
      <c r="Y59" s="1242">
        <f t="shared" si="6"/>
        <v>323390.63413616642</v>
      </c>
      <c r="Z59" s="70"/>
    </row>
    <row r="60" spans="1:27">
      <c r="X60" s="593"/>
      <c r="AA60" s="70"/>
    </row>
    <row r="61" spans="1:27">
      <c r="E61" s="593"/>
      <c r="L61" s="593"/>
      <c r="Y61" s="593"/>
    </row>
    <row r="62" spans="1:27">
      <c r="C62" s="22" t="s">
        <v>564</v>
      </c>
      <c r="M62" s="593"/>
      <c r="Y62" s="593"/>
    </row>
    <row r="63" spans="1:27">
      <c r="C63" s="22" t="s">
        <v>565</v>
      </c>
    </row>
    <row r="64" spans="1:27">
      <c r="C64" s="22" t="s">
        <v>566</v>
      </c>
    </row>
    <row r="65" spans="3:3">
      <c r="C65" s="22" t="s">
        <v>567</v>
      </c>
    </row>
    <row r="66" spans="3:3">
      <c r="C66" s="22" t="s">
        <v>568</v>
      </c>
    </row>
    <row r="67" spans="3:3">
      <c r="C67" s="745" t="s">
        <v>569</v>
      </c>
    </row>
    <row r="68" spans="3:3">
      <c r="C68" s="745" t="s">
        <v>742</v>
      </c>
    </row>
    <row r="69" spans="3:3">
      <c r="C69" s="745" t="s">
        <v>577</v>
      </c>
    </row>
  </sheetData>
  <mergeCells count="5">
    <mergeCell ref="M4:Y4"/>
    <mergeCell ref="A8:A17"/>
    <mergeCell ref="A19:A35"/>
    <mergeCell ref="A41:A58"/>
    <mergeCell ref="C4:L4"/>
  </mergeCells>
  <phoneticPr fontId="0" type="noConversion"/>
  <hyperlinks>
    <hyperlink ref="E1" location="INDICE!A60" display="VOLVER A INDICE"/>
  </hyperlinks>
  <pageMargins left="0.75" right="0.75" top="1" bottom="1" header="0" footer="0"/>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8"/>
  <sheetViews>
    <sheetView workbookViewId="0">
      <selection activeCell="A60" sqref="A60"/>
    </sheetView>
  </sheetViews>
  <sheetFormatPr baseColWidth="10" defaultRowHeight="12.75"/>
  <cols>
    <col min="1" max="16384" width="11.42578125" style="22"/>
  </cols>
  <sheetData>
    <row r="3" spans="2:7" ht="25.5">
      <c r="D3" s="861" t="s">
        <v>682</v>
      </c>
    </row>
    <row r="4" spans="2:7" ht="14.25" customHeight="1"/>
    <row r="5" spans="2:7" ht="14.25" customHeight="1">
      <c r="B5" s="628" t="s">
        <v>685</v>
      </c>
    </row>
    <row r="6" spans="2:7" ht="14.25" customHeight="1"/>
    <row r="7" spans="2:7" ht="14.25" customHeight="1">
      <c r="B7" s="22" t="s">
        <v>722</v>
      </c>
      <c r="G7" s="859" t="s">
        <v>680</v>
      </c>
    </row>
    <row r="8" spans="2:7" ht="14.25" customHeight="1"/>
    <row r="9" spans="2:7" ht="14.25" customHeight="1">
      <c r="B9" s="22" t="s">
        <v>723</v>
      </c>
      <c r="G9" s="859" t="s">
        <v>681</v>
      </c>
    </row>
    <row r="10" spans="2:7" ht="14.25" customHeight="1"/>
    <row r="11" spans="2:7" ht="14.25" customHeight="1">
      <c r="B11" s="22" t="s">
        <v>724</v>
      </c>
      <c r="G11" s="859" t="s">
        <v>684</v>
      </c>
    </row>
    <row r="12" spans="2:7" ht="14.25" customHeight="1"/>
    <row r="13" spans="2:7" ht="14.25" customHeight="1">
      <c r="B13" s="22" t="s">
        <v>725</v>
      </c>
      <c r="G13" s="859" t="s">
        <v>686</v>
      </c>
    </row>
    <row r="14" spans="2:7" ht="14.25" customHeight="1"/>
    <row r="15" spans="2:7" ht="14.25" customHeight="1">
      <c r="B15" s="22" t="s">
        <v>726</v>
      </c>
      <c r="G15" s="859" t="s">
        <v>687</v>
      </c>
    </row>
    <row r="16" spans="2:7" ht="14.25" customHeight="1"/>
    <row r="17" spans="1:7" ht="14.25" customHeight="1">
      <c r="B17" s="22" t="s">
        <v>727</v>
      </c>
      <c r="G17" s="859" t="s">
        <v>688</v>
      </c>
    </row>
    <row r="18" spans="1:7" ht="14.25" customHeight="1"/>
    <row r="19" spans="1:7" ht="14.25" customHeight="1">
      <c r="B19" s="22" t="s">
        <v>728</v>
      </c>
      <c r="G19" s="859" t="s">
        <v>689</v>
      </c>
    </row>
    <row r="20" spans="1:7" ht="14.25" customHeight="1"/>
    <row r="21" spans="1:7" ht="14.25" customHeight="1">
      <c r="B21" s="22" t="s">
        <v>729</v>
      </c>
      <c r="G21" s="859" t="s">
        <v>690</v>
      </c>
    </row>
    <row r="22" spans="1:7" ht="14.25" customHeight="1"/>
    <row r="23" spans="1:7" ht="14.25" customHeight="1">
      <c r="B23" s="22" t="s">
        <v>730</v>
      </c>
      <c r="G23" s="859" t="s">
        <v>691</v>
      </c>
    </row>
    <row r="24" spans="1:7" ht="14.25" customHeight="1"/>
    <row r="25" spans="1:7" ht="14.25" customHeight="1">
      <c r="A25" s="1238"/>
      <c r="B25" s="22" t="s">
        <v>752</v>
      </c>
      <c r="G25" s="859" t="s">
        <v>692</v>
      </c>
    </row>
    <row r="26" spans="1:7" ht="14.25" customHeight="1"/>
    <row r="27" spans="1:7" ht="14.25" customHeight="1">
      <c r="B27" s="22" t="s">
        <v>753</v>
      </c>
      <c r="G27" s="859" t="s">
        <v>693</v>
      </c>
    </row>
    <row r="28" spans="1:7" ht="14.25" customHeight="1"/>
    <row r="29" spans="1:7" ht="14.25" customHeight="1">
      <c r="B29" s="22" t="s">
        <v>754</v>
      </c>
      <c r="G29" s="859" t="s">
        <v>695</v>
      </c>
    </row>
    <row r="30" spans="1:7" ht="14.25" customHeight="1"/>
    <row r="32" spans="1:7">
      <c r="B32" s="628" t="s">
        <v>694</v>
      </c>
    </row>
    <row r="34" spans="2:7">
      <c r="B34" s="22" t="s">
        <v>731</v>
      </c>
      <c r="G34" s="859" t="s">
        <v>696</v>
      </c>
    </row>
    <row r="36" spans="2:7">
      <c r="B36" s="22" t="s">
        <v>732</v>
      </c>
      <c r="G36" s="859" t="s">
        <v>697</v>
      </c>
    </row>
    <row r="38" spans="2:7">
      <c r="B38" s="22" t="s">
        <v>733</v>
      </c>
      <c r="G38" s="859" t="s">
        <v>698</v>
      </c>
    </row>
    <row r="40" spans="2:7">
      <c r="B40" s="22" t="s">
        <v>734</v>
      </c>
      <c r="G40" s="859" t="s">
        <v>699</v>
      </c>
    </row>
    <row r="42" spans="2:7">
      <c r="B42" s="22" t="s">
        <v>735</v>
      </c>
      <c r="G42" s="859" t="s">
        <v>700</v>
      </c>
    </row>
    <row r="44" spans="2:7">
      <c r="B44" s="22" t="s">
        <v>736</v>
      </c>
      <c r="G44" s="859" t="s">
        <v>701</v>
      </c>
    </row>
    <row r="46" spans="2:7">
      <c r="B46" s="22" t="s">
        <v>755</v>
      </c>
      <c r="G46" s="859" t="s">
        <v>702</v>
      </c>
    </row>
    <row r="48" spans="2:7">
      <c r="B48" s="22" t="s">
        <v>756</v>
      </c>
      <c r="G48" s="859" t="s">
        <v>705</v>
      </c>
    </row>
    <row r="50" spans="2:7">
      <c r="B50" s="22" t="s">
        <v>757</v>
      </c>
      <c r="G50" s="859" t="s">
        <v>706</v>
      </c>
    </row>
    <row r="53" spans="2:7">
      <c r="B53" s="628" t="s">
        <v>703</v>
      </c>
      <c r="C53" s="628"/>
    </row>
    <row r="55" spans="2:7">
      <c r="B55" s="22" t="s">
        <v>704</v>
      </c>
      <c r="G55" s="859" t="s">
        <v>758</v>
      </c>
    </row>
    <row r="57" spans="2:7">
      <c r="B57" s="22" t="s">
        <v>764</v>
      </c>
      <c r="G57" s="859" t="s">
        <v>759</v>
      </c>
    </row>
    <row r="58" spans="2:7">
      <c r="B58" s="22" t="s">
        <v>708</v>
      </c>
    </row>
    <row r="59" spans="2:7">
      <c r="B59" s="22" t="s">
        <v>707</v>
      </c>
    </row>
    <row r="61" spans="2:7">
      <c r="B61" s="628" t="s">
        <v>709</v>
      </c>
    </row>
    <row r="63" spans="2:7">
      <c r="B63" s="22" t="s">
        <v>737</v>
      </c>
      <c r="G63" s="859" t="s">
        <v>710</v>
      </c>
    </row>
    <row r="65" spans="2:7">
      <c r="B65" s="22" t="s">
        <v>738</v>
      </c>
      <c r="G65" s="859" t="s">
        <v>711</v>
      </c>
    </row>
    <row r="68" spans="2:7">
      <c r="B68" s="628" t="s">
        <v>817</v>
      </c>
    </row>
    <row r="70" spans="2:7">
      <c r="B70" s="22" t="s">
        <v>712</v>
      </c>
      <c r="G70" s="859" t="s">
        <v>713</v>
      </c>
    </row>
    <row r="72" spans="2:7">
      <c r="B72" s="22" t="s">
        <v>714</v>
      </c>
      <c r="G72" s="859" t="s">
        <v>715</v>
      </c>
    </row>
    <row r="74" spans="2:7">
      <c r="B74" s="22" t="s">
        <v>716</v>
      </c>
      <c r="G74" s="865" t="s">
        <v>717</v>
      </c>
    </row>
    <row r="76" spans="2:7">
      <c r="B76" s="22" t="s">
        <v>718</v>
      </c>
      <c r="G76" s="859" t="s">
        <v>719</v>
      </c>
    </row>
    <row r="78" spans="2:7">
      <c r="B78" s="22" t="s">
        <v>720</v>
      </c>
      <c r="G78" s="859" t="s">
        <v>721</v>
      </c>
    </row>
  </sheetData>
  <phoneticPr fontId="0" type="noConversion"/>
  <hyperlinks>
    <hyperlink ref="G7" location="CUADRO1!A1" display="CUADRO1"/>
    <hyperlink ref="G9" location="CUADRO2!A1" display="CUADRO2"/>
    <hyperlink ref="G11" location="CUADRO3!A1" display="CUADRO3"/>
    <hyperlink ref="G13" location="CUADRO3B!A1" display="CUADRO3B"/>
    <hyperlink ref="G15" location="CUADRO4!A1" display="CUADRO4"/>
    <hyperlink ref="G17" location="CUADRO5!A1" display="CUADRO5"/>
    <hyperlink ref="G19" location="CUADRO6!A1" display="CUADRO6"/>
    <hyperlink ref="G21" location="CUADRO7!A1" display="CUADRO7"/>
    <hyperlink ref="G23" location="CUADRO8!A1" display="CUADRO8"/>
    <hyperlink ref="G25" location="CUADRO9!A1" display="CUADRO9"/>
    <hyperlink ref="G29" location="CUADRO11!A1" display="CUADRO11"/>
    <hyperlink ref="G34" location="CUADRO12!A1" display="CUADRO12"/>
    <hyperlink ref="G36" location="CUADRO13!A1" display="CUADRO13"/>
    <hyperlink ref="G38" location="CUADRO14!A1" display="CUADRO14"/>
    <hyperlink ref="G40" location="CUADRO15!A1" display="CUADRO15"/>
    <hyperlink ref="G42" location="CUADRO16!A1" display="CUADRO16"/>
    <hyperlink ref="G44" location="CUADRO17!A1" display="CUADRO17"/>
    <hyperlink ref="G48" location="CUADRO19!A1" display="CUADRO19"/>
    <hyperlink ref="G50" location="CUADRO20!A1" display="CUADRO20"/>
    <hyperlink ref="G55" location="CUADRO21!A1" display="CUADRO21"/>
    <hyperlink ref="G57" location="CUADRO22!A1" display="CUADRO22"/>
    <hyperlink ref="G63" location="SECT_TERAC.!A1" display="SECT_TERAC."/>
    <hyperlink ref="G65" location="SECT_U.FIS.!A1" display="SECT_U.FIS."/>
    <hyperlink ref="G70" location="BALANCE_ELECT!A1" display="BALANCE_ELECT"/>
    <hyperlink ref="G72" location="CAPACIDADES!A1" display="CAPACIDADES"/>
    <hyperlink ref="G74" location="'GENERACION EE'!A1" display="'GENERACION EE"/>
    <hyperlink ref="G76" location="CUADROA2!A1" display="CUADROA2"/>
    <hyperlink ref="G78" location="CUADROA3!A1" display="CUADROA3"/>
    <hyperlink ref="G27" location="CUADRO10!A1" display="CUADRO10"/>
    <hyperlink ref="G46" location="CUADRO18!A1" display="CUADRO18"/>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workbookViewId="0">
      <pane xSplit="1" ySplit="5" topLeftCell="B6" activePane="bottomRight" state="frozen"/>
      <selection pane="topRight" activeCell="B1" sqref="B1"/>
      <selection pane="bottomLeft" activeCell="A6" sqref="A6"/>
      <selection pane="bottomRight" activeCell="H17" sqref="H17"/>
    </sheetView>
  </sheetViews>
  <sheetFormatPr baseColWidth="10" defaultRowHeight="12.75"/>
  <cols>
    <col min="1" max="1" width="34.28515625" style="898" customWidth="1"/>
    <col min="2" max="14" width="11.42578125" style="898"/>
    <col min="15" max="15" width="21.28515625" style="898" customWidth="1"/>
    <col min="16" max="16384" width="11.42578125" style="898"/>
  </cols>
  <sheetData>
    <row r="1" spans="1:24">
      <c r="A1" s="437"/>
      <c r="B1" s="437"/>
      <c r="C1" s="859" t="s">
        <v>683</v>
      </c>
      <c r="D1" s="437"/>
      <c r="E1" s="437"/>
      <c r="F1" s="437"/>
      <c r="G1" s="437"/>
      <c r="H1" s="437"/>
      <c r="I1" s="437"/>
      <c r="J1" s="437"/>
      <c r="K1" s="437"/>
      <c r="L1" s="437"/>
      <c r="M1" s="437"/>
      <c r="N1" s="437"/>
      <c r="O1" s="22"/>
      <c r="P1" s="22"/>
      <c r="Q1" s="22"/>
      <c r="R1" s="22"/>
      <c r="S1" s="22"/>
      <c r="T1" s="22"/>
      <c r="U1" s="22"/>
      <c r="V1" s="22"/>
      <c r="W1" s="22"/>
      <c r="X1" s="22"/>
    </row>
    <row r="2" spans="1:24">
      <c r="A2" s="436" t="s">
        <v>791</v>
      </c>
      <c r="B2" s="437"/>
      <c r="C2" s="437"/>
      <c r="D2" s="437"/>
      <c r="E2" s="436" t="s">
        <v>549</v>
      </c>
      <c r="F2" s="437"/>
      <c r="G2" s="437"/>
      <c r="H2" s="437"/>
      <c r="I2" s="437"/>
      <c r="J2" s="437"/>
      <c r="K2" s="437"/>
      <c r="L2" s="437"/>
      <c r="M2" s="437"/>
      <c r="N2" s="437"/>
      <c r="O2" s="22"/>
      <c r="P2" s="22"/>
      <c r="Q2" s="22"/>
      <c r="R2" s="22"/>
      <c r="S2" s="22"/>
      <c r="T2" s="22"/>
      <c r="U2" s="22"/>
      <c r="V2" s="22"/>
      <c r="W2" s="22"/>
      <c r="X2" s="22"/>
    </row>
    <row r="3" spans="1:24">
      <c r="A3" s="436" t="s">
        <v>302</v>
      </c>
      <c r="B3" s="437">
        <v>1</v>
      </c>
      <c r="C3" s="437">
        <v>2</v>
      </c>
      <c r="D3" s="437">
        <v>3</v>
      </c>
      <c r="E3" s="437">
        <v>4</v>
      </c>
      <c r="F3" s="437">
        <v>5</v>
      </c>
      <c r="G3" s="437">
        <v>6</v>
      </c>
      <c r="H3" s="437">
        <v>7</v>
      </c>
      <c r="I3" s="437">
        <v>8</v>
      </c>
      <c r="J3" s="437">
        <v>9</v>
      </c>
      <c r="K3" s="437">
        <v>10</v>
      </c>
      <c r="L3" s="437">
        <v>11</v>
      </c>
      <c r="M3" s="437">
        <v>12</v>
      </c>
      <c r="N3" s="437">
        <v>13</v>
      </c>
      <c r="O3" s="22"/>
      <c r="P3" s="22"/>
      <c r="Q3" s="22"/>
      <c r="R3" s="22"/>
      <c r="S3" s="22"/>
      <c r="T3" s="22"/>
      <c r="U3" s="22"/>
      <c r="V3" s="22"/>
      <c r="W3" s="22"/>
      <c r="X3" s="22"/>
    </row>
    <row r="4" spans="1:24">
      <c r="A4" s="672"/>
      <c r="B4" s="673" t="s">
        <v>504</v>
      </c>
      <c r="C4" s="674" t="s">
        <v>504</v>
      </c>
      <c r="D4" s="675" t="s">
        <v>505</v>
      </c>
      <c r="E4" s="674" t="s">
        <v>506</v>
      </c>
      <c r="F4" s="675" t="s">
        <v>222</v>
      </c>
      <c r="G4" s="674" t="s">
        <v>507</v>
      </c>
      <c r="H4" s="675" t="s">
        <v>508</v>
      </c>
      <c r="I4" s="674" t="s">
        <v>509</v>
      </c>
      <c r="J4" s="675" t="s">
        <v>510</v>
      </c>
      <c r="K4" s="674" t="s">
        <v>536</v>
      </c>
      <c r="L4" s="675" t="s">
        <v>511</v>
      </c>
      <c r="M4" s="674" t="s">
        <v>512</v>
      </c>
      <c r="N4" s="675" t="s">
        <v>87</v>
      </c>
      <c r="O4" s="674" t="s">
        <v>540</v>
      </c>
      <c r="P4" s="22"/>
      <c r="Q4" s="22"/>
      <c r="R4" s="22"/>
      <c r="S4" s="22"/>
      <c r="T4" s="22"/>
      <c r="U4" s="22"/>
      <c r="V4" s="22"/>
      <c r="W4" s="22"/>
      <c r="X4" s="22"/>
    </row>
    <row r="5" spans="1:24">
      <c r="A5" s="676"/>
      <c r="B5" s="677"/>
      <c r="C5" s="678" t="s">
        <v>513</v>
      </c>
      <c r="D5" s="679" t="s">
        <v>514</v>
      </c>
      <c r="E5" s="678" t="s">
        <v>515</v>
      </c>
      <c r="F5" s="679" t="s">
        <v>516</v>
      </c>
      <c r="G5" s="678" t="s">
        <v>222</v>
      </c>
      <c r="H5" s="679"/>
      <c r="I5" s="678"/>
      <c r="J5" s="679" t="s">
        <v>517</v>
      </c>
      <c r="K5" s="678"/>
      <c r="L5" s="679"/>
      <c r="M5" s="678"/>
      <c r="N5" s="679"/>
      <c r="O5" s="678" t="s">
        <v>548</v>
      </c>
      <c r="P5" s="22"/>
      <c r="Q5" s="22"/>
      <c r="R5" s="22"/>
      <c r="S5" s="22"/>
      <c r="T5" s="22"/>
      <c r="U5" s="22"/>
      <c r="V5" s="22"/>
      <c r="W5" s="22"/>
      <c r="X5" s="22"/>
    </row>
    <row r="6" spans="1:24">
      <c r="A6" s="680" t="s">
        <v>518</v>
      </c>
      <c r="B6" s="681">
        <f>CUADRO3!C14</f>
        <v>1326.691276</v>
      </c>
      <c r="C6" s="682">
        <f>CUADRO4!C37+CUADRO4!C39</f>
        <v>5485.8615</v>
      </c>
      <c r="D6" s="683">
        <f>CUADRO3!C10</f>
        <v>1872.5733734700002</v>
      </c>
      <c r="E6" s="682">
        <f>CUADRO4!C10</f>
        <v>110510.83775409298</v>
      </c>
      <c r="F6" s="683">
        <f>CUADRO3!C12</f>
        <v>19656.938851999999</v>
      </c>
      <c r="G6" s="682">
        <f>CUADRO4!C41</f>
        <v>1329.8098670952236</v>
      </c>
      <c r="H6" s="683"/>
      <c r="I6" s="684"/>
      <c r="J6" s="685"/>
      <c r="K6" s="682">
        <f>CUADRO4!C43+CUADRO4!C47</f>
        <v>16262.557479999999</v>
      </c>
      <c r="L6" s="683">
        <f>CUADRO4!C33</f>
        <v>44038.721771461052</v>
      </c>
      <c r="M6" s="682">
        <f>CUADRO4!C49</f>
        <v>43111.334473362855</v>
      </c>
      <c r="N6" s="683">
        <f>SUM(B6:M6)</f>
        <v>243595.3263474821</v>
      </c>
      <c r="O6" s="682">
        <f>N6-D6</f>
        <v>241722.75297401211</v>
      </c>
      <c r="P6" s="22"/>
      <c r="Q6" s="22"/>
      <c r="R6" s="22"/>
      <c r="S6" s="22"/>
      <c r="T6" s="22"/>
      <c r="U6" s="22"/>
      <c r="V6" s="22"/>
      <c r="W6" s="22"/>
      <c r="X6" s="22"/>
    </row>
    <row r="7" spans="1:24">
      <c r="A7" s="680" t="s">
        <v>519</v>
      </c>
      <c r="B7" s="681">
        <f>CUADRO3!D14</f>
        <v>27136.97183364</v>
      </c>
      <c r="C7" s="682">
        <f>CUADRO4!D37</f>
        <v>4722.1878899999992</v>
      </c>
      <c r="D7" s="683">
        <f>CUADRO3!D10</f>
        <v>113057.12754486001</v>
      </c>
      <c r="E7" s="682">
        <f>CUADRO4!D10</f>
        <v>26513.254697138003</v>
      </c>
      <c r="F7" s="683">
        <f>CUADRO3!D12</f>
        <v>63594.469517934303</v>
      </c>
      <c r="G7" s="682">
        <f>CUADRO4!D41</f>
        <v>0</v>
      </c>
      <c r="H7" s="685"/>
      <c r="I7" s="684"/>
      <c r="J7" s="685"/>
      <c r="K7" s="682">
        <f>CUADRO4!D43+CUADRO4!D47</f>
        <v>0</v>
      </c>
      <c r="L7" s="683">
        <f>CUADRO4!D33</f>
        <v>1636.7164992000003</v>
      </c>
      <c r="M7" s="682">
        <f>CUADRO4!D49</f>
        <v>0</v>
      </c>
      <c r="N7" s="683">
        <f t="shared" ref="N7:N26" si="0">SUM(B7:M7)</f>
        <v>236660.72798277234</v>
      </c>
      <c r="O7" s="682">
        <f t="shared" ref="O7:O25" si="1">N7-D7</f>
        <v>123603.60043791233</v>
      </c>
      <c r="P7" s="22"/>
      <c r="Q7" s="22"/>
      <c r="R7" s="22"/>
      <c r="S7" s="22"/>
      <c r="T7" s="22"/>
      <c r="U7" s="22"/>
      <c r="V7" s="22"/>
      <c r="W7" s="22"/>
      <c r="X7" s="22"/>
    </row>
    <row r="8" spans="1:24">
      <c r="A8" s="680" t="s">
        <v>520</v>
      </c>
      <c r="B8" s="681">
        <f>CUADRO3!E14</f>
        <v>0</v>
      </c>
      <c r="C8" s="682">
        <f>CUADRO4!E37</f>
        <v>264.05279999999999</v>
      </c>
      <c r="D8" s="683">
        <f>CUADRO3!E10</f>
        <v>0</v>
      </c>
      <c r="E8" s="682">
        <f>CUADRO4!E10</f>
        <v>15539.358742016859</v>
      </c>
      <c r="F8" s="683">
        <f>CUADRO3!E12</f>
        <v>0</v>
      </c>
      <c r="G8" s="682">
        <f>CUADRO4!E41</f>
        <v>0</v>
      </c>
      <c r="H8" s="685"/>
      <c r="I8" s="684"/>
      <c r="J8" s="685"/>
      <c r="K8" s="682">
        <f>CUADRO4!E43+CUADRO4!E47</f>
        <v>14571.57948</v>
      </c>
      <c r="L8" s="683">
        <f>CUADRO4!E33</f>
        <v>0</v>
      </c>
      <c r="M8" s="682">
        <f>CUADRO4!E49</f>
        <v>0</v>
      </c>
      <c r="N8" s="683">
        <f t="shared" si="0"/>
        <v>30374.99102201686</v>
      </c>
      <c r="O8" s="682">
        <f t="shared" si="1"/>
        <v>30374.99102201686</v>
      </c>
      <c r="P8" s="22"/>
      <c r="Q8" s="22"/>
      <c r="R8" s="22"/>
      <c r="S8" s="22"/>
      <c r="T8" s="22"/>
      <c r="U8" s="22"/>
      <c r="V8" s="22"/>
      <c r="W8" s="22"/>
      <c r="X8" s="22"/>
    </row>
    <row r="9" spans="1:24">
      <c r="A9" s="680" t="s">
        <v>521</v>
      </c>
      <c r="B9" s="686">
        <v>0</v>
      </c>
      <c r="C9" s="684"/>
      <c r="D9" s="685"/>
      <c r="E9" s="682">
        <v>0</v>
      </c>
      <c r="F9" s="571"/>
      <c r="G9" s="684">
        <v>0</v>
      </c>
      <c r="H9" s="685"/>
      <c r="I9" s="684"/>
      <c r="J9" s="685"/>
      <c r="K9" s="684">
        <v>0</v>
      </c>
      <c r="L9" s="685">
        <v>0</v>
      </c>
      <c r="M9" s="684">
        <f>0</f>
        <v>0</v>
      </c>
      <c r="N9" s="685">
        <f t="shared" si="0"/>
        <v>0</v>
      </c>
      <c r="O9" s="682">
        <f t="shared" si="1"/>
        <v>0</v>
      </c>
      <c r="P9" s="22"/>
      <c r="Q9" s="22"/>
      <c r="R9" s="22"/>
      <c r="S9" s="22"/>
      <c r="T9" s="22"/>
      <c r="U9" s="22"/>
      <c r="V9" s="22"/>
      <c r="W9" s="22"/>
      <c r="X9" s="22"/>
    </row>
    <row r="10" spans="1:24">
      <c r="A10" s="680" t="s">
        <v>522</v>
      </c>
      <c r="B10" s="681">
        <f>CUADRO3!F14</f>
        <v>326.59771652495192</v>
      </c>
      <c r="C10" s="682">
        <f>CUADRO4!F37+CUADRO4!F39</f>
        <v>132.91149874999741</v>
      </c>
      <c r="D10" s="683">
        <f>CUADRO3!F10</f>
        <v>3215.9449691172485</v>
      </c>
      <c r="E10" s="682">
        <f>CUADRO4!F10</f>
        <v>6807.6667196401359</v>
      </c>
      <c r="F10" s="683">
        <f>CUADRO3!F12</f>
        <v>2296.8238442493084</v>
      </c>
      <c r="G10" s="682">
        <f>CUADRO4!F41</f>
        <v>19.441384030050134</v>
      </c>
      <c r="H10" s="685"/>
      <c r="I10" s="684"/>
      <c r="J10" s="685"/>
      <c r="K10" s="682">
        <f>CUADRO4!F43+CUADRO4!F47</f>
        <v>342.41899999999993</v>
      </c>
      <c r="L10" s="683">
        <f>CUADRO4!F33</f>
        <v>3469.5569740296719</v>
      </c>
      <c r="M10" s="682">
        <f>CUADRO4!F49</f>
        <v>0</v>
      </c>
      <c r="N10" s="683">
        <f t="shared" si="0"/>
        <v>16611.362106341363</v>
      </c>
      <c r="O10" s="682">
        <f t="shared" si="1"/>
        <v>13395.417137224114</v>
      </c>
      <c r="P10" s="22"/>
      <c r="Q10" s="22"/>
      <c r="R10" s="22"/>
      <c r="S10" s="22"/>
      <c r="T10" s="22"/>
      <c r="U10" s="22"/>
      <c r="V10" s="22"/>
      <c r="W10" s="22"/>
      <c r="X10" s="22"/>
    </row>
    <row r="11" spans="1:24">
      <c r="A11" s="687" t="s">
        <v>523</v>
      </c>
      <c r="B11" s="688">
        <f>B6+B7-B8-B9-B10</f>
        <v>28137.065393115048</v>
      </c>
      <c r="C11" s="689">
        <f t="shared" ref="C11:O11" si="2">C6+C7-C8-C9-C10</f>
        <v>9811.0850912500027</v>
      </c>
      <c r="D11" s="690">
        <f t="shared" si="2"/>
        <v>111713.75594921276</v>
      </c>
      <c r="E11" s="689">
        <f t="shared" si="2"/>
        <v>114677.06698957397</v>
      </c>
      <c r="F11" s="690">
        <f t="shared" si="2"/>
        <v>80954.584525685001</v>
      </c>
      <c r="G11" s="689">
        <f t="shared" si="2"/>
        <v>1310.3684830651735</v>
      </c>
      <c r="H11" s="690"/>
      <c r="I11" s="689"/>
      <c r="J11" s="690"/>
      <c r="K11" s="689">
        <f t="shared" si="2"/>
        <v>1348.5589999999993</v>
      </c>
      <c r="L11" s="690">
        <f t="shared" si="2"/>
        <v>42205.881296631385</v>
      </c>
      <c r="M11" s="689">
        <f t="shared" si="2"/>
        <v>43111.334473362855</v>
      </c>
      <c r="N11" s="690">
        <f t="shared" si="2"/>
        <v>433269.70120189624</v>
      </c>
      <c r="O11" s="689">
        <f t="shared" si="2"/>
        <v>321555.94525268348</v>
      </c>
      <c r="P11" s="22"/>
      <c r="Q11" s="22"/>
      <c r="R11" s="22"/>
      <c r="S11" s="22"/>
      <c r="T11" s="22"/>
      <c r="U11" s="22"/>
      <c r="V11" s="22"/>
      <c r="W11" s="22"/>
      <c r="X11" s="22"/>
    </row>
    <row r="12" spans="1:24">
      <c r="A12" s="680" t="s">
        <v>524</v>
      </c>
      <c r="B12" s="681">
        <f>SECT_TERAC.!O50</f>
        <v>17716.267733054887</v>
      </c>
      <c r="C12" s="682">
        <f>SECT_TERAC.!P50</f>
        <v>5588.9669552500009</v>
      </c>
      <c r="D12" s="685">
        <v>0</v>
      </c>
      <c r="E12" s="682">
        <f>SECT_TERAC.!M50</f>
        <v>896.93325201499988</v>
      </c>
      <c r="F12" s="683">
        <f>SECT_TERAC.!T50</f>
        <v>31781.28655592446</v>
      </c>
      <c r="G12" s="682">
        <f>SECT_TERAC.!R37</f>
        <v>0</v>
      </c>
      <c r="H12" s="683"/>
      <c r="I12" s="684"/>
      <c r="J12" s="685"/>
      <c r="K12" s="682">
        <f>SECT_TERAC.!S37</f>
        <v>0</v>
      </c>
      <c r="L12" s="683">
        <v>0</v>
      </c>
      <c r="M12" s="682">
        <f>SECT_TERAC.!W50</f>
        <v>123.92507461299536</v>
      </c>
      <c r="N12" s="683">
        <f t="shared" si="0"/>
        <v>56107.379570857345</v>
      </c>
      <c r="O12" s="682">
        <f t="shared" si="1"/>
        <v>56107.379570857345</v>
      </c>
      <c r="P12" s="22"/>
      <c r="Q12" s="22"/>
      <c r="R12" s="22"/>
      <c r="S12" s="22"/>
      <c r="T12" s="22"/>
      <c r="U12" s="22"/>
      <c r="V12" s="22"/>
      <c r="W12" s="22"/>
      <c r="X12" s="22"/>
    </row>
    <row r="13" spans="1:24">
      <c r="A13" s="680" t="s">
        <v>525</v>
      </c>
      <c r="B13" s="681">
        <f>SECT_TERAC.!O49</f>
        <v>85.131494662607835</v>
      </c>
      <c r="C13" s="682">
        <f>SECT_TERAC.!P49</f>
        <v>0</v>
      </c>
      <c r="D13" s="685">
        <v>0</v>
      </c>
      <c r="E13" s="682">
        <f>SECT_TERAC.!M49</f>
        <v>1045.5829107154225</v>
      </c>
      <c r="F13" s="683">
        <f>SECT_TERAC.!T49</f>
        <v>475.36879568800003</v>
      </c>
      <c r="G13" s="682">
        <f>SECT_TERAC.!R36</f>
        <v>0</v>
      </c>
      <c r="H13" s="685"/>
      <c r="I13" s="684"/>
      <c r="J13" s="685"/>
      <c r="K13" s="682">
        <f>SECT_TERAC.!S36</f>
        <v>0</v>
      </c>
      <c r="L13" s="683">
        <v>0</v>
      </c>
      <c r="M13" s="682">
        <f>SECT_TERAC.!W49</f>
        <v>4391.4619999587903</v>
      </c>
      <c r="N13" s="683">
        <f t="shared" si="0"/>
        <v>5997.5452010248209</v>
      </c>
      <c r="O13" s="682">
        <f t="shared" si="1"/>
        <v>5997.5452010248209</v>
      </c>
      <c r="P13" s="22"/>
      <c r="Q13" s="22"/>
      <c r="R13" s="22"/>
      <c r="S13" s="22"/>
      <c r="T13" s="22"/>
      <c r="U13" s="22"/>
      <c r="V13" s="22"/>
      <c r="W13" s="22"/>
      <c r="X13" s="22"/>
    </row>
    <row r="14" spans="1:24">
      <c r="A14" s="680" t="s">
        <v>526</v>
      </c>
      <c r="B14" s="681">
        <f>SECT_TERAC.!O38+SECT_TERAC.!O42</f>
        <v>0</v>
      </c>
      <c r="C14" s="682">
        <f>SECT_TERAC.!P51+SECT_TERAC.!P55</f>
        <v>2033.3929999999996</v>
      </c>
      <c r="D14" s="685">
        <v>0</v>
      </c>
      <c r="E14" s="682">
        <f>SECT_TERAC.!M51+SECT_TERAC.!M55</f>
        <v>27.668561800000006</v>
      </c>
      <c r="F14" s="683">
        <v>0</v>
      </c>
      <c r="G14" s="682">
        <f>SECT_TERAC.!R38+SECT_TERAC.!R42</f>
        <v>0</v>
      </c>
      <c r="H14" s="685"/>
      <c r="I14" s="684"/>
      <c r="J14" s="685"/>
      <c r="K14" s="682">
        <v>0</v>
      </c>
      <c r="L14" s="683">
        <v>0</v>
      </c>
      <c r="M14" s="682">
        <f>SECT_TERAC.!W51+SECT_TERAC.!W55</f>
        <v>0</v>
      </c>
      <c r="N14" s="683">
        <f t="shared" si="0"/>
        <v>2061.0615617999997</v>
      </c>
      <c r="O14" s="682">
        <f t="shared" si="1"/>
        <v>2061.0615617999997</v>
      </c>
      <c r="P14" s="22"/>
      <c r="Q14" s="22"/>
      <c r="R14" s="22"/>
      <c r="S14" s="22"/>
      <c r="T14" s="22"/>
      <c r="U14" s="22"/>
      <c r="V14" s="22"/>
      <c r="W14" s="22"/>
      <c r="X14" s="22"/>
    </row>
    <row r="15" spans="1:24">
      <c r="A15" s="680" t="s">
        <v>527</v>
      </c>
      <c r="B15" s="681">
        <f>SECT_TERAC.!O40</f>
        <v>0</v>
      </c>
      <c r="C15" s="682">
        <f>SECT_TERAC.!P53</f>
        <v>0</v>
      </c>
      <c r="D15" s="683">
        <f>D11</f>
        <v>111713.75594921276</v>
      </c>
      <c r="E15" s="682">
        <f>SECT_TERAC.!M53</f>
        <v>0</v>
      </c>
      <c r="F15" s="683">
        <f>SECT_TERAC.!T53</f>
        <v>2229.5532317366915</v>
      </c>
      <c r="G15" s="682">
        <f>SECT_TERAC.!R40</f>
        <v>0.64837912367810424</v>
      </c>
      <c r="H15" s="685"/>
      <c r="I15" s="684"/>
      <c r="J15" s="685"/>
      <c r="K15" s="682">
        <v>0</v>
      </c>
      <c r="L15" s="683">
        <v>0</v>
      </c>
      <c r="M15" s="682">
        <f>SECT_TERAC.!W53</f>
        <v>0</v>
      </c>
      <c r="N15" s="683">
        <f t="shared" si="0"/>
        <v>113943.95756007313</v>
      </c>
      <c r="O15" s="682">
        <f t="shared" si="1"/>
        <v>2230.2016108603711</v>
      </c>
      <c r="P15" s="22"/>
      <c r="Q15" s="22"/>
      <c r="R15" s="22"/>
      <c r="S15" s="22"/>
      <c r="T15" s="22"/>
      <c r="U15" s="22"/>
      <c r="V15" s="22"/>
      <c r="W15" s="22"/>
      <c r="X15" s="22"/>
    </row>
    <row r="16" spans="1:24">
      <c r="A16" s="680" t="s">
        <v>528</v>
      </c>
      <c r="B16" s="681">
        <v>0</v>
      </c>
      <c r="C16" s="682">
        <f>SECT_TERAC.!P54+SECT_TERAC.!P52</f>
        <v>8.4840000000000002E-3</v>
      </c>
      <c r="D16" s="685">
        <v>0</v>
      </c>
      <c r="E16" s="682">
        <f>SECT_TERAC.!M54+SECT_TERAC.!M52</f>
        <v>0</v>
      </c>
      <c r="F16" s="683">
        <f>SECT_TERAC.!T41+SECT_TERAC.!T52</f>
        <v>0</v>
      </c>
      <c r="G16" s="682">
        <v>0</v>
      </c>
      <c r="H16" s="685"/>
      <c r="I16" s="684"/>
      <c r="J16" s="685"/>
      <c r="K16" s="682">
        <v>0</v>
      </c>
      <c r="L16" s="683">
        <v>0</v>
      </c>
      <c r="M16" s="682">
        <f>SECT_TERAC.!W54+SECT_TERAC.!W52</f>
        <v>0</v>
      </c>
      <c r="N16" s="683">
        <f t="shared" si="0"/>
        <v>8.4840000000000002E-3</v>
      </c>
      <c r="O16" s="682">
        <f t="shared" si="1"/>
        <v>8.4840000000000002E-3</v>
      </c>
      <c r="P16" s="22"/>
      <c r="Q16" s="22"/>
      <c r="R16" s="22"/>
      <c r="S16" s="22"/>
      <c r="T16" s="22"/>
      <c r="U16" s="22"/>
      <c r="V16" s="22"/>
      <c r="W16" s="22"/>
      <c r="X16" s="22"/>
    </row>
    <row r="17" spans="1:24">
      <c r="A17" s="680" t="s">
        <v>529</v>
      </c>
      <c r="B17" s="681">
        <v>0</v>
      </c>
      <c r="C17" s="682">
        <v>0</v>
      </c>
      <c r="D17" s="683">
        <v>0</v>
      </c>
      <c r="E17" s="682">
        <v>0</v>
      </c>
      <c r="F17" s="683">
        <v>0</v>
      </c>
      <c r="G17" s="682">
        <v>0</v>
      </c>
      <c r="H17" s="685"/>
      <c r="I17" s="684"/>
      <c r="J17" s="685"/>
      <c r="K17" s="682">
        <v>0</v>
      </c>
      <c r="L17" s="683">
        <v>0</v>
      </c>
      <c r="M17" s="682">
        <v>0</v>
      </c>
      <c r="N17" s="683">
        <f t="shared" si="0"/>
        <v>0</v>
      </c>
      <c r="O17" s="682">
        <f t="shared" si="1"/>
        <v>0</v>
      </c>
      <c r="P17" s="22"/>
      <c r="Q17" s="22"/>
      <c r="R17" s="22"/>
      <c r="S17" s="22"/>
      <c r="T17" s="22"/>
      <c r="U17" s="22"/>
      <c r="V17" s="22"/>
      <c r="W17" s="22"/>
      <c r="X17" s="22"/>
    </row>
    <row r="18" spans="1:24">
      <c r="A18" s="680" t="s">
        <v>543</v>
      </c>
      <c r="B18" s="681">
        <v>0</v>
      </c>
      <c r="C18" s="682">
        <v>0</v>
      </c>
      <c r="D18" s="683">
        <v>0</v>
      </c>
      <c r="E18" s="682">
        <v>0</v>
      </c>
      <c r="F18" s="683">
        <v>0</v>
      </c>
      <c r="G18" s="682">
        <v>0</v>
      </c>
      <c r="H18" s="685"/>
      <c r="I18" s="684"/>
      <c r="J18" s="685"/>
      <c r="K18" s="682">
        <v>0</v>
      </c>
      <c r="L18" s="683">
        <v>0</v>
      </c>
      <c r="M18" s="682">
        <v>0</v>
      </c>
      <c r="N18" s="683">
        <f t="shared" si="0"/>
        <v>0</v>
      </c>
      <c r="O18" s="682">
        <f t="shared" si="1"/>
        <v>0</v>
      </c>
      <c r="P18" s="22"/>
      <c r="Q18" s="22"/>
      <c r="R18" s="22"/>
      <c r="S18" s="22"/>
      <c r="T18" s="22"/>
      <c r="U18" s="22"/>
      <c r="V18" s="22"/>
      <c r="W18" s="22"/>
      <c r="X18" s="22"/>
    </row>
    <row r="19" spans="1:24">
      <c r="A19" s="687" t="s">
        <v>537</v>
      </c>
      <c r="B19" s="688">
        <f>SUM(B12:B18)</f>
        <v>17801.399227717495</v>
      </c>
      <c r="C19" s="689">
        <f t="shared" ref="C19:O19" si="3">SUM(C12:C18)</f>
        <v>7622.3684392499999</v>
      </c>
      <c r="D19" s="690">
        <f t="shared" si="3"/>
        <v>111713.75594921276</v>
      </c>
      <c r="E19" s="689">
        <f t="shared" si="3"/>
        <v>1970.1847245304223</v>
      </c>
      <c r="F19" s="690">
        <f t="shared" si="3"/>
        <v>34486.208583349151</v>
      </c>
      <c r="G19" s="689">
        <f t="shared" si="3"/>
        <v>0.64837912367810424</v>
      </c>
      <c r="H19" s="690"/>
      <c r="I19" s="689"/>
      <c r="J19" s="690"/>
      <c r="K19" s="689">
        <f t="shared" si="3"/>
        <v>0</v>
      </c>
      <c r="L19" s="690">
        <f t="shared" si="3"/>
        <v>0</v>
      </c>
      <c r="M19" s="689">
        <f t="shared" si="3"/>
        <v>4515.3870745717859</v>
      </c>
      <c r="N19" s="690">
        <f t="shared" si="3"/>
        <v>178109.95237775528</v>
      </c>
      <c r="O19" s="689">
        <f t="shared" si="3"/>
        <v>66396.196428542535</v>
      </c>
      <c r="P19" s="22"/>
      <c r="Q19" s="22"/>
      <c r="R19" s="22"/>
      <c r="S19" s="22"/>
      <c r="T19" s="22"/>
      <c r="U19" s="22"/>
      <c r="V19" s="22"/>
      <c r="W19" s="22"/>
      <c r="X19" s="22"/>
    </row>
    <row r="20" spans="1:24">
      <c r="A20" s="691" t="s">
        <v>530</v>
      </c>
      <c r="B20" s="681">
        <f>SECT_TERAC.!O26-B22</f>
        <v>4472.3044389167717</v>
      </c>
      <c r="C20" s="682">
        <f>SECT_TERAC.!P26-C22+SECT_TERAC.!Q26</f>
        <v>1913.2525520000011</v>
      </c>
      <c r="D20" s="685">
        <v>0</v>
      </c>
      <c r="E20" s="682">
        <f>SECT_TERAC.!M26-E22</f>
        <v>11363.121372234798</v>
      </c>
      <c r="F20" s="683">
        <f>SECT_TERAC.!T26-F22</f>
        <v>8515.3146804441203</v>
      </c>
      <c r="G20" s="682">
        <f>SECT_TERAC.!R26-G22</f>
        <v>830.33141781199993</v>
      </c>
      <c r="H20" s="685"/>
      <c r="I20" s="684"/>
      <c r="J20" s="685"/>
      <c r="K20" s="682">
        <f>SECT_TERAC.!S26-K22</f>
        <v>367.87299999999982</v>
      </c>
      <c r="L20" s="683">
        <f>SECT_TERAC.!N26-L22</f>
        <v>12189.031761007627</v>
      </c>
      <c r="M20" s="682">
        <f>SECT_TERAC.!W26-M22</f>
        <v>9596.2198227862773</v>
      </c>
      <c r="N20" s="683">
        <f t="shared" si="0"/>
        <v>49247.449045201596</v>
      </c>
      <c r="O20" s="682">
        <f t="shared" si="1"/>
        <v>49247.449045201596</v>
      </c>
      <c r="P20" s="22"/>
      <c r="Q20" s="22"/>
      <c r="R20" s="22"/>
      <c r="S20" s="22"/>
      <c r="T20" s="22"/>
      <c r="U20" s="22"/>
      <c r="V20" s="22"/>
      <c r="W20" s="22"/>
      <c r="X20" s="22"/>
    </row>
    <row r="21" spans="1:24">
      <c r="A21" s="680" t="s">
        <v>531</v>
      </c>
      <c r="B21" s="681">
        <f>SECT_TERAC.!O12</f>
        <v>0.41299999999999998</v>
      </c>
      <c r="C21" s="682">
        <f>SECT_TERAC.!P12</f>
        <v>0</v>
      </c>
      <c r="D21" s="685"/>
      <c r="E21" s="682">
        <f>SECT_TERAC.!M12</f>
        <v>72964.837561886001</v>
      </c>
      <c r="F21" s="683">
        <f>SECT_TERAC.!T12</f>
        <v>293.82739268138204</v>
      </c>
      <c r="G21" s="682">
        <f>SECT_TERAC.!R12</f>
        <v>0</v>
      </c>
      <c r="H21" s="685"/>
      <c r="I21" s="684"/>
      <c r="J21" s="685"/>
      <c r="K21" s="682">
        <f>SECT_TERAC.!S12</f>
        <v>0</v>
      </c>
      <c r="L21" s="683">
        <f>SECT_TERAC.!N12</f>
        <v>200.23799765999999</v>
      </c>
      <c r="M21" s="682">
        <f>SECT_TERAC.!W12</f>
        <v>0</v>
      </c>
      <c r="N21" s="683">
        <f t="shared" si="0"/>
        <v>73459.315952227393</v>
      </c>
      <c r="O21" s="682">
        <f t="shared" si="1"/>
        <v>73459.315952227393</v>
      </c>
      <c r="P21" s="22"/>
      <c r="Q21" s="22"/>
      <c r="R21" s="22"/>
      <c r="S21" s="22"/>
      <c r="T21" s="22"/>
      <c r="U21" s="22"/>
      <c r="V21" s="22"/>
      <c r="W21" s="22"/>
      <c r="X21" s="22"/>
    </row>
    <row r="22" spans="1:24">
      <c r="A22" s="691" t="s">
        <v>532</v>
      </c>
      <c r="B22" s="681">
        <f>SECT_TERAC.!O14+SECT_TERAC.!O15+SECT_TERAC.!O16+SECT_TERAC.!O24</f>
        <v>717.9139061599999</v>
      </c>
      <c r="C22" s="682">
        <f>SECT_TERAC.!P14+SECT_TERAC.!P15+SECT_TERAC.!P16+SECT_TERAC.!P24</f>
        <v>84.051100000000005</v>
      </c>
      <c r="D22" s="685">
        <v>0</v>
      </c>
      <c r="E22" s="682">
        <f>SECT_TERAC.!M14+SECT_TERAC.!M15+SECT_TERAC.!M16+SECT_TERAC.!M24</f>
        <v>10660.862633457973</v>
      </c>
      <c r="F22" s="683">
        <f>SECT_TERAC.!T14+SECT_TERAC.!T15+SECT_TERAC.!T16+SECT_TERAC.!T24</f>
        <v>2348.9120196916733</v>
      </c>
      <c r="G22" s="682">
        <f>SECT_TERAC.!R14+SECT_TERAC.!R15+SECT_TERAC.!R16+SECT_TERAC.!R24</f>
        <v>7.4319999999999994E-3</v>
      </c>
      <c r="H22" s="685"/>
      <c r="I22" s="684"/>
      <c r="J22" s="685"/>
      <c r="K22" s="682">
        <f>SECT_TERAC.!S14+SECT_TERAC.!S15+SECT_TERAC.!S16+SECT_TERAC.!S24</f>
        <v>0</v>
      </c>
      <c r="L22" s="683">
        <f>SECT_TERAC.!N14+SECT_TERAC.!N15+SECT_TERAC.!N16+SECT_TERAC.!N24</f>
        <v>15477.710123805151</v>
      </c>
      <c r="M22" s="682">
        <f>SECT_TERAC.!W14+SECT_TERAC.!W15+SECT_TERAC.!W16+SECT_TERAC.!W24</f>
        <v>0</v>
      </c>
      <c r="N22" s="683">
        <f t="shared" si="0"/>
        <v>29289.457215114799</v>
      </c>
      <c r="O22" s="682">
        <f t="shared" si="1"/>
        <v>29289.457215114799</v>
      </c>
      <c r="P22" s="22"/>
      <c r="Q22" s="22"/>
      <c r="R22" s="22"/>
      <c r="S22" s="22"/>
      <c r="T22" s="22"/>
      <c r="U22" s="22"/>
      <c r="V22" s="22"/>
      <c r="W22" s="22"/>
      <c r="X22" s="22"/>
    </row>
    <row r="23" spans="1:24">
      <c r="A23" s="691" t="s">
        <v>533</v>
      </c>
      <c r="B23" s="681">
        <v>0</v>
      </c>
      <c r="C23" s="682">
        <v>0</v>
      </c>
      <c r="D23" s="685"/>
      <c r="E23" s="682">
        <v>0</v>
      </c>
      <c r="F23" s="683">
        <v>0</v>
      </c>
      <c r="G23" s="682">
        <v>0</v>
      </c>
      <c r="H23" s="685"/>
      <c r="I23" s="684"/>
      <c r="J23" s="685"/>
      <c r="K23" s="682">
        <v>0</v>
      </c>
      <c r="L23" s="683">
        <v>0</v>
      </c>
      <c r="M23" s="682">
        <v>0</v>
      </c>
      <c r="N23" s="683">
        <f t="shared" si="0"/>
        <v>0</v>
      </c>
      <c r="O23" s="682">
        <f t="shared" si="1"/>
        <v>0</v>
      </c>
      <c r="P23" s="22"/>
      <c r="Q23" s="22"/>
      <c r="R23" s="22"/>
      <c r="S23" s="22"/>
      <c r="T23" s="22"/>
      <c r="U23" s="22"/>
      <c r="V23" s="22"/>
      <c r="W23" s="22"/>
      <c r="X23" s="22"/>
    </row>
    <row r="24" spans="1:24">
      <c r="A24" s="680" t="s">
        <v>534</v>
      </c>
      <c r="B24" s="681">
        <f>SECT_TERAC.!O33</f>
        <v>55.337029820778582</v>
      </c>
      <c r="C24" s="682">
        <f>SECT_TERAC.!P33</f>
        <v>0</v>
      </c>
      <c r="D24" s="685"/>
      <c r="E24" s="682">
        <f>SECT_TERAC.!M33</f>
        <v>12759.606851774</v>
      </c>
      <c r="F24" s="683">
        <f>SECT_TERAC.!T33</f>
        <v>4356.6549300663009</v>
      </c>
      <c r="G24" s="682">
        <f>SECT_TERAC.!R33</f>
        <v>216.59322213349529</v>
      </c>
      <c r="H24" s="685"/>
      <c r="I24" s="684"/>
      <c r="J24" s="685"/>
      <c r="K24" s="682">
        <f>SECT_TERAC.!S33</f>
        <v>0</v>
      </c>
      <c r="L24" s="683">
        <f>SECT_TERAC.!N33</f>
        <v>12480.350072737318</v>
      </c>
      <c r="M24" s="682">
        <f>SECT_TERAC.!W33</f>
        <v>28999.727576004785</v>
      </c>
      <c r="N24" s="683">
        <f t="shared" si="0"/>
        <v>58868.26968253668</v>
      </c>
      <c r="O24" s="682">
        <f t="shared" si="1"/>
        <v>58868.26968253668</v>
      </c>
      <c r="P24" s="22"/>
      <c r="Q24" s="22"/>
      <c r="R24" s="22"/>
      <c r="S24" s="22"/>
      <c r="T24" s="22"/>
      <c r="U24" s="22"/>
      <c r="V24" s="22"/>
      <c r="W24" s="22"/>
      <c r="X24" s="22"/>
    </row>
    <row r="25" spans="1:24">
      <c r="A25" s="680" t="s">
        <v>772</v>
      </c>
      <c r="B25" s="681">
        <f>SECT_TERAC.!O41+SECT_TERAC.!O52</f>
        <v>5089.6977905000012</v>
      </c>
      <c r="C25" s="684">
        <v>0</v>
      </c>
      <c r="D25" s="685"/>
      <c r="E25" s="682">
        <f>SECT_TERAC.!M44</f>
        <v>4958.4398338907995</v>
      </c>
      <c r="F25" s="683">
        <f>SECT_TERAC.!T44</f>
        <v>5157.322722770331</v>
      </c>
      <c r="G25" s="682">
        <f>SECT_TERAC.!R41+SECT_TERAC.!R39</f>
        <v>262.78803199600003</v>
      </c>
      <c r="H25" s="685"/>
      <c r="I25" s="684"/>
      <c r="J25" s="685"/>
      <c r="K25" s="682">
        <f>SECT_TERAC.!U44+SECT_TERAC.!S44</f>
        <v>980.68600000000015</v>
      </c>
      <c r="L25" s="683">
        <f>SECT_TERAC.!N44</f>
        <v>1858.5513414212944</v>
      </c>
      <c r="M25" s="684">
        <v>0</v>
      </c>
      <c r="N25" s="685">
        <f t="shared" si="0"/>
        <v>18307.485720578428</v>
      </c>
      <c r="O25" s="682">
        <f t="shared" si="1"/>
        <v>18307.485720578428</v>
      </c>
      <c r="P25" s="22"/>
      <c r="Q25" s="22"/>
      <c r="R25" s="22"/>
      <c r="S25" s="22"/>
      <c r="T25" s="22"/>
      <c r="U25" s="22"/>
      <c r="V25" s="22"/>
      <c r="W25" s="22"/>
      <c r="X25" s="22"/>
    </row>
    <row r="26" spans="1:24">
      <c r="A26" s="676" t="s">
        <v>535</v>
      </c>
      <c r="B26" s="677">
        <v>0</v>
      </c>
      <c r="C26" s="678">
        <v>0</v>
      </c>
      <c r="D26" s="679"/>
      <c r="E26" s="682">
        <f>CUADRO11!C26</f>
        <v>2846.3070120399998</v>
      </c>
      <c r="F26" s="679">
        <v>0</v>
      </c>
      <c r="G26" s="678">
        <v>0</v>
      </c>
      <c r="H26" s="679"/>
      <c r="I26" s="678"/>
      <c r="J26" s="679"/>
      <c r="K26" s="678">
        <v>0</v>
      </c>
      <c r="L26" s="679">
        <v>0</v>
      </c>
      <c r="M26" s="678">
        <v>0</v>
      </c>
      <c r="N26" s="683">
        <f t="shared" si="0"/>
        <v>2846.3070120399998</v>
      </c>
      <c r="O26" s="682">
        <v>0</v>
      </c>
      <c r="P26" s="22"/>
      <c r="Q26" s="22"/>
      <c r="R26" s="22"/>
      <c r="S26" s="22"/>
      <c r="T26" s="22"/>
      <c r="U26" s="22"/>
      <c r="V26" s="22"/>
      <c r="W26" s="22"/>
      <c r="X26" s="22"/>
    </row>
    <row r="27" spans="1:24">
      <c r="A27" s="687" t="s">
        <v>538</v>
      </c>
      <c r="B27" s="688">
        <f>SUM(B20:B26)</f>
        <v>10335.66616539755</v>
      </c>
      <c r="C27" s="689">
        <f t="shared" ref="C27:O27" si="4">SUM(C20:C26)</f>
        <v>1997.303652000001</v>
      </c>
      <c r="D27" s="690">
        <f t="shared" si="4"/>
        <v>0</v>
      </c>
      <c r="E27" s="689">
        <f t="shared" si="4"/>
        <v>115553.17526528359</v>
      </c>
      <c r="F27" s="690">
        <f t="shared" si="4"/>
        <v>20672.031745653807</v>
      </c>
      <c r="G27" s="689">
        <f t="shared" si="4"/>
        <v>1309.7201039414952</v>
      </c>
      <c r="H27" s="690"/>
      <c r="I27" s="689"/>
      <c r="J27" s="690"/>
      <c r="K27" s="689">
        <f t="shared" si="4"/>
        <v>1348.559</v>
      </c>
      <c r="L27" s="690">
        <f t="shared" si="4"/>
        <v>42205.881296631385</v>
      </c>
      <c r="M27" s="689">
        <f t="shared" si="4"/>
        <v>38595.947398791061</v>
      </c>
      <c r="N27" s="690">
        <f t="shared" si="4"/>
        <v>232018.28462769889</v>
      </c>
      <c r="O27" s="689">
        <f t="shared" si="4"/>
        <v>229171.97761565889</v>
      </c>
      <c r="P27" s="22"/>
      <c r="Q27" s="22"/>
      <c r="R27" s="22"/>
      <c r="S27" s="22"/>
      <c r="T27" s="22"/>
      <c r="U27" s="22"/>
      <c r="V27" s="22"/>
      <c r="W27" s="22"/>
      <c r="X27" s="22"/>
    </row>
    <row r="28" spans="1:24">
      <c r="A28" s="687" t="s">
        <v>539</v>
      </c>
      <c r="B28" s="692">
        <f>B19+B27</f>
        <v>28137.065393115045</v>
      </c>
      <c r="C28" s="693">
        <f t="shared" ref="C28:O28" si="5">C19+C27</f>
        <v>9619.6720912500004</v>
      </c>
      <c r="D28" s="694">
        <f t="shared" si="5"/>
        <v>111713.75594921276</v>
      </c>
      <c r="E28" s="693">
        <f t="shared" si="5"/>
        <v>117523.35998981401</v>
      </c>
      <c r="F28" s="694">
        <f t="shared" si="5"/>
        <v>55158.240329002962</v>
      </c>
      <c r="G28" s="693">
        <f t="shared" si="5"/>
        <v>1310.3684830651732</v>
      </c>
      <c r="H28" s="694"/>
      <c r="I28" s="693"/>
      <c r="J28" s="694"/>
      <c r="K28" s="693">
        <f t="shared" si="5"/>
        <v>1348.559</v>
      </c>
      <c r="L28" s="694">
        <f t="shared" si="5"/>
        <v>42205.881296631385</v>
      </c>
      <c r="M28" s="693">
        <f t="shared" si="5"/>
        <v>43111.334473362847</v>
      </c>
      <c r="N28" s="694">
        <f t="shared" si="5"/>
        <v>410128.23700545414</v>
      </c>
      <c r="O28" s="693">
        <f t="shared" si="5"/>
        <v>295568.17404420144</v>
      </c>
      <c r="P28" s="22"/>
      <c r="Q28" s="22"/>
      <c r="R28" s="22"/>
      <c r="S28" s="22"/>
      <c r="T28" s="22"/>
      <c r="U28" s="22"/>
      <c r="V28" s="22"/>
      <c r="W28" s="22"/>
      <c r="X28" s="22"/>
    </row>
    <row r="29" spans="1:24">
      <c r="A29" s="695"/>
      <c r="B29" s="695"/>
      <c r="C29" s="695"/>
      <c r="D29" s="695"/>
      <c r="E29" s="696"/>
      <c r="F29" s="695"/>
      <c r="G29" s="695"/>
      <c r="H29" s="695"/>
      <c r="I29" s="695"/>
      <c r="J29" s="695"/>
      <c r="K29" s="695"/>
      <c r="L29" s="697"/>
      <c r="M29" s="695"/>
      <c r="N29" s="696"/>
      <c r="O29" s="22"/>
      <c r="P29" s="22"/>
      <c r="Q29" s="22"/>
      <c r="R29" s="22"/>
      <c r="S29" s="22"/>
      <c r="T29" s="22"/>
      <c r="U29" s="22"/>
      <c r="V29" s="22"/>
      <c r="W29" s="22"/>
      <c r="X29" s="22"/>
    </row>
    <row r="30" spans="1:24">
      <c r="A30" s="22"/>
      <c r="B30" s="695" t="s">
        <v>541</v>
      </c>
      <c r="C30" s="695"/>
      <c r="D30" s="695"/>
      <c r="E30" s="696"/>
      <c r="F30" s="695"/>
      <c r="G30" s="695"/>
      <c r="H30" s="695"/>
      <c r="I30" s="695"/>
      <c r="J30" s="695"/>
      <c r="K30" s="695"/>
      <c r="L30" s="697"/>
      <c r="M30" s="695"/>
      <c r="N30" s="696"/>
      <c r="O30" s="22" t="s">
        <v>547</v>
      </c>
      <c r="P30" s="22"/>
      <c r="Q30" s="22"/>
      <c r="R30" s="22"/>
      <c r="S30" s="22"/>
      <c r="T30" s="22"/>
      <c r="U30" s="22"/>
      <c r="V30" s="22"/>
      <c r="W30" s="22"/>
      <c r="X30" s="22"/>
    </row>
    <row r="31" spans="1:24">
      <c r="A31" s="22"/>
      <c r="B31" s="695" t="s">
        <v>546</v>
      </c>
      <c r="C31" s="695"/>
      <c r="D31" s="695"/>
      <c r="E31" s="696"/>
      <c r="F31" s="695"/>
      <c r="G31" s="695"/>
      <c r="H31" s="695"/>
      <c r="I31" s="695"/>
      <c r="J31" s="695"/>
      <c r="K31" s="695"/>
      <c r="L31" s="697"/>
      <c r="M31" s="695"/>
      <c r="N31" s="696"/>
      <c r="O31" s="22"/>
      <c r="P31" s="22"/>
      <c r="Q31" s="22"/>
      <c r="R31" s="22"/>
      <c r="S31" s="22"/>
      <c r="T31" s="22"/>
      <c r="U31" s="22"/>
      <c r="V31" s="22"/>
      <c r="W31" s="22"/>
      <c r="X31" s="22"/>
    </row>
    <row r="32" spans="1:24">
      <c r="A32" s="22"/>
      <c r="B32" s="695" t="s">
        <v>542</v>
      </c>
      <c r="C32" s="695"/>
      <c r="D32" s="695"/>
      <c r="E32" s="696"/>
      <c r="F32" s="695"/>
      <c r="G32" s="695"/>
      <c r="H32" s="695"/>
      <c r="I32" s="695"/>
      <c r="J32" s="695"/>
      <c r="K32" s="695"/>
      <c r="L32" s="697"/>
      <c r="M32" s="695"/>
      <c r="N32" s="696"/>
      <c r="O32" s="22"/>
      <c r="P32" s="22"/>
      <c r="Q32" s="22"/>
      <c r="R32" s="22"/>
      <c r="S32" s="22"/>
      <c r="T32" s="22"/>
      <c r="U32" s="22"/>
      <c r="V32" s="22"/>
      <c r="W32" s="22"/>
      <c r="X32" s="22"/>
    </row>
    <row r="33" spans="1:24">
      <c r="A33" s="22"/>
      <c r="B33" s="695" t="s">
        <v>544</v>
      </c>
      <c r="C33" s="695"/>
      <c r="D33" s="695"/>
      <c r="E33" s="696"/>
      <c r="F33" s="695"/>
      <c r="G33" s="695"/>
      <c r="H33" s="695"/>
      <c r="I33" s="695"/>
      <c r="J33" s="695"/>
      <c r="K33" s="695"/>
      <c r="L33" s="697"/>
      <c r="M33" s="695"/>
      <c r="N33" s="696"/>
      <c r="O33" s="22"/>
      <c r="P33" s="22"/>
      <c r="Q33" s="22"/>
      <c r="R33" s="22"/>
      <c r="S33" s="22"/>
      <c r="T33" s="22"/>
      <c r="U33" s="22"/>
      <c r="V33" s="22"/>
      <c r="W33" s="22"/>
      <c r="X33" s="22"/>
    </row>
    <row r="34" spans="1:24">
      <c r="A34" s="22"/>
      <c r="B34" s="437" t="s">
        <v>545</v>
      </c>
      <c r="C34" s="437"/>
      <c r="D34" s="437"/>
      <c r="E34" s="437"/>
      <c r="F34" s="437"/>
      <c r="G34" s="437"/>
      <c r="H34" s="437"/>
      <c r="I34" s="437"/>
      <c r="J34" s="437"/>
      <c r="K34" s="437"/>
      <c r="L34" s="437"/>
      <c r="M34" s="437"/>
      <c r="N34" s="437"/>
      <c r="O34" s="22"/>
      <c r="P34" s="22"/>
      <c r="Q34" s="22"/>
      <c r="R34" s="22"/>
      <c r="S34" s="22"/>
      <c r="T34" s="22"/>
      <c r="U34" s="22"/>
      <c r="V34" s="22"/>
      <c r="W34" s="22"/>
      <c r="X34" s="22"/>
    </row>
    <row r="35" spans="1:24">
      <c r="A35" s="22"/>
      <c r="B35" s="437" t="s">
        <v>773</v>
      </c>
      <c r="C35" s="22"/>
      <c r="D35" s="22"/>
      <c r="E35" s="22"/>
      <c r="F35" s="22"/>
      <c r="G35" s="22"/>
      <c r="H35" s="22"/>
      <c r="I35" s="22"/>
      <c r="J35" s="22"/>
      <c r="K35" s="22"/>
      <c r="L35" s="22"/>
      <c r="M35" s="22"/>
      <c r="N35" s="22"/>
      <c r="O35" s="22"/>
      <c r="P35" s="22"/>
      <c r="Q35" s="22"/>
      <c r="R35" s="22"/>
      <c r="S35" s="22"/>
      <c r="T35" s="22"/>
      <c r="U35" s="22"/>
      <c r="V35" s="22"/>
      <c r="W35" s="22"/>
      <c r="X35" s="22"/>
    </row>
    <row r="36" spans="1:24">
      <c r="A36" s="22"/>
      <c r="B36" s="437" t="s">
        <v>774</v>
      </c>
      <c r="C36" s="22"/>
      <c r="D36" s="22"/>
      <c r="E36" s="22"/>
      <c r="F36" s="22"/>
      <c r="G36" s="22"/>
      <c r="H36" s="22"/>
      <c r="I36" s="22"/>
      <c r="J36" s="22"/>
      <c r="K36" s="22"/>
      <c r="L36" s="22"/>
      <c r="M36" s="22"/>
      <c r="N36" s="22"/>
      <c r="O36" s="22"/>
      <c r="P36" s="22"/>
      <c r="Q36" s="22"/>
      <c r="R36" s="22"/>
      <c r="S36" s="22"/>
      <c r="T36" s="22"/>
      <c r="U36" s="22"/>
      <c r="V36" s="22"/>
      <c r="W36" s="22"/>
      <c r="X36" s="22"/>
    </row>
    <row r="37" spans="1:24">
      <c r="A37" s="695"/>
      <c r="B37" s="22"/>
      <c r="C37" s="22"/>
      <c r="D37" s="22"/>
      <c r="E37" s="22"/>
      <c r="F37" s="22"/>
      <c r="G37" s="22"/>
      <c r="H37" s="22"/>
      <c r="I37" s="22"/>
      <c r="J37" s="22"/>
      <c r="K37" s="22"/>
      <c r="L37" s="22"/>
      <c r="M37" s="22"/>
      <c r="N37" s="22"/>
      <c r="O37" s="22"/>
      <c r="P37" s="22"/>
      <c r="Q37" s="22"/>
      <c r="R37" s="22"/>
      <c r="S37" s="22"/>
      <c r="T37" s="22"/>
      <c r="U37" s="22"/>
      <c r="V37" s="22"/>
      <c r="W37" s="22"/>
      <c r="X37" s="22"/>
    </row>
    <row r="38" spans="1:24">
      <c r="A38" s="22"/>
      <c r="B38" s="22"/>
      <c r="C38" s="22"/>
      <c r="D38" s="22"/>
      <c r="E38" s="22"/>
      <c r="F38" s="22"/>
      <c r="G38" s="22"/>
      <c r="H38" s="22"/>
      <c r="I38" s="22"/>
      <c r="J38" s="22"/>
      <c r="K38" s="22"/>
      <c r="L38" s="22"/>
      <c r="M38" s="22"/>
      <c r="N38" s="22"/>
      <c r="O38" s="22"/>
      <c r="P38" s="22"/>
      <c r="Q38" s="22"/>
      <c r="R38" s="22"/>
      <c r="S38" s="22"/>
      <c r="T38" s="22"/>
      <c r="U38" s="22"/>
      <c r="V38" s="22"/>
      <c r="W38" s="22"/>
      <c r="X38" s="22"/>
    </row>
    <row r="39" spans="1:24">
      <c r="A39" s="22"/>
      <c r="B39" s="22"/>
      <c r="C39" s="22"/>
      <c r="D39" s="22"/>
      <c r="E39" s="22"/>
      <c r="F39" s="22"/>
      <c r="G39" s="22"/>
      <c r="H39" s="22"/>
      <c r="I39" s="22"/>
      <c r="J39" s="22"/>
      <c r="K39" s="22"/>
      <c r="L39" s="22"/>
      <c r="M39" s="22"/>
      <c r="N39" s="22"/>
      <c r="O39" s="22"/>
      <c r="P39" s="22"/>
      <c r="Q39" s="22"/>
      <c r="R39" s="22"/>
      <c r="S39" s="22"/>
      <c r="T39" s="22"/>
      <c r="U39" s="22"/>
      <c r="V39" s="22"/>
      <c r="W39" s="22"/>
      <c r="X39" s="22"/>
    </row>
    <row r="40" spans="1:24">
      <c r="A40" s="22"/>
      <c r="B40" s="22"/>
      <c r="C40" s="22"/>
      <c r="D40" s="22"/>
      <c r="E40" s="22"/>
      <c r="F40" s="22"/>
      <c r="G40" s="22"/>
      <c r="H40" s="22"/>
      <c r="I40" s="22"/>
      <c r="J40" s="22"/>
      <c r="K40" s="22"/>
      <c r="L40" s="22"/>
      <c r="M40" s="22"/>
      <c r="N40" s="22"/>
      <c r="O40" s="22"/>
      <c r="P40" s="22"/>
      <c r="Q40" s="22"/>
      <c r="R40" s="22"/>
      <c r="S40" s="22"/>
      <c r="T40" s="22"/>
      <c r="U40" s="22"/>
      <c r="V40" s="22"/>
      <c r="W40" s="22"/>
      <c r="X40" s="22"/>
    </row>
    <row r="41" spans="1:24">
      <c r="A41" s="22"/>
      <c r="B41" s="22"/>
      <c r="C41" s="22"/>
      <c r="D41" s="22"/>
      <c r="E41" s="22"/>
      <c r="F41" s="22"/>
      <c r="G41" s="22"/>
      <c r="H41" s="22"/>
      <c r="I41" s="22"/>
      <c r="J41" s="22"/>
      <c r="K41" s="22"/>
      <c r="L41" s="22"/>
      <c r="M41" s="22"/>
      <c r="N41" s="22"/>
      <c r="O41" s="22"/>
      <c r="P41" s="22"/>
      <c r="Q41" s="22"/>
      <c r="R41" s="22"/>
      <c r="S41" s="22"/>
      <c r="T41" s="22"/>
      <c r="U41" s="22"/>
      <c r="V41" s="22"/>
      <c r="W41" s="22"/>
      <c r="X41" s="22"/>
    </row>
    <row r="42" spans="1:24">
      <c r="A42" s="22"/>
      <c r="B42" s="22"/>
      <c r="C42" s="22"/>
      <c r="D42" s="22"/>
      <c r="E42" s="22"/>
      <c r="F42" s="22"/>
      <c r="G42" s="22"/>
      <c r="H42" s="22"/>
      <c r="I42" s="22"/>
      <c r="J42" s="22"/>
      <c r="K42" s="22"/>
      <c r="L42" s="22"/>
      <c r="M42" s="22"/>
      <c r="N42" s="22"/>
      <c r="O42" s="22"/>
      <c r="P42" s="22"/>
      <c r="Q42" s="22"/>
      <c r="R42" s="22"/>
      <c r="S42" s="22"/>
      <c r="T42" s="22"/>
      <c r="U42" s="22"/>
      <c r="V42" s="22"/>
      <c r="W42" s="22"/>
      <c r="X42" s="22"/>
    </row>
    <row r="43" spans="1:24">
      <c r="A43" s="22"/>
      <c r="B43" s="22"/>
      <c r="C43" s="22"/>
      <c r="D43" s="22"/>
      <c r="E43" s="22"/>
      <c r="F43" s="22"/>
      <c r="G43" s="22"/>
      <c r="H43" s="22"/>
      <c r="I43" s="22"/>
      <c r="J43" s="22"/>
      <c r="K43" s="22"/>
      <c r="L43" s="22"/>
      <c r="M43" s="22"/>
      <c r="N43" s="22"/>
      <c r="O43" s="22"/>
      <c r="P43" s="22"/>
      <c r="Q43" s="22"/>
      <c r="R43" s="22"/>
      <c r="S43" s="22"/>
      <c r="T43" s="22"/>
      <c r="U43" s="22"/>
      <c r="V43" s="22"/>
      <c r="W43" s="22"/>
      <c r="X43" s="22"/>
    </row>
    <row r="44" spans="1:24">
      <c r="A44" s="22"/>
      <c r="B44" s="22"/>
      <c r="C44" s="22"/>
      <c r="D44" s="22"/>
      <c r="E44" s="22"/>
      <c r="F44" s="22"/>
      <c r="G44" s="22"/>
      <c r="H44" s="22"/>
      <c r="I44" s="22"/>
      <c r="J44" s="22"/>
      <c r="K44" s="22"/>
      <c r="L44" s="22"/>
      <c r="M44" s="22"/>
      <c r="N44" s="22"/>
      <c r="O44" s="22"/>
      <c r="P44" s="22"/>
      <c r="Q44" s="22"/>
      <c r="R44" s="22"/>
      <c r="S44" s="22"/>
      <c r="T44" s="22"/>
      <c r="U44" s="22"/>
      <c r="V44" s="22"/>
      <c r="W44" s="22"/>
      <c r="X44" s="22"/>
    </row>
    <row r="45" spans="1:24">
      <c r="A45" s="22"/>
      <c r="B45" s="22"/>
      <c r="C45" s="22"/>
      <c r="D45" s="22"/>
      <c r="E45" s="22"/>
      <c r="F45" s="22"/>
      <c r="G45" s="22"/>
      <c r="H45" s="22"/>
      <c r="I45" s="22"/>
      <c r="J45" s="22"/>
      <c r="K45" s="22"/>
      <c r="L45" s="22"/>
      <c r="M45" s="22"/>
      <c r="N45" s="22"/>
      <c r="O45" s="22"/>
      <c r="P45" s="22"/>
      <c r="Q45" s="22"/>
      <c r="R45" s="22"/>
      <c r="S45" s="22"/>
      <c r="T45" s="22"/>
      <c r="U45" s="22"/>
      <c r="V45" s="22"/>
      <c r="W45" s="22"/>
      <c r="X45" s="22"/>
    </row>
    <row r="46" spans="1:24">
      <c r="A46" s="22"/>
      <c r="B46" s="22"/>
      <c r="C46" s="22"/>
      <c r="D46" s="22"/>
      <c r="E46" s="22"/>
      <c r="F46" s="22"/>
      <c r="G46" s="22"/>
      <c r="H46" s="22"/>
      <c r="I46" s="22"/>
      <c r="J46" s="22"/>
      <c r="K46" s="22"/>
      <c r="L46" s="22"/>
      <c r="M46" s="22"/>
      <c r="N46" s="22"/>
      <c r="O46" s="22"/>
      <c r="P46" s="22"/>
      <c r="Q46" s="22"/>
      <c r="R46" s="22"/>
      <c r="S46" s="22"/>
      <c r="T46" s="22"/>
      <c r="U46" s="22"/>
      <c r="V46" s="22"/>
      <c r="W46" s="22"/>
      <c r="X46" s="22"/>
    </row>
    <row r="47" spans="1:24">
      <c r="A47" s="22"/>
      <c r="B47" s="22"/>
      <c r="C47" s="22"/>
      <c r="D47" s="22"/>
      <c r="E47" s="22"/>
      <c r="F47" s="22"/>
      <c r="G47" s="22"/>
      <c r="H47" s="22"/>
      <c r="I47" s="22"/>
      <c r="J47" s="22"/>
      <c r="K47" s="22"/>
      <c r="L47" s="22"/>
      <c r="M47" s="22"/>
      <c r="N47" s="22"/>
      <c r="O47" s="22"/>
      <c r="P47" s="22"/>
      <c r="Q47" s="22"/>
      <c r="R47" s="22"/>
      <c r="S47" s="22"/>
      <c r="T47" s="22"/>
      <c r="U47" s="22"/>
      <c r="V47" s="22"/>
      <c r="W47" s="22"/>
      <c r="X47" s="22"/>
    </row>
    <row r="48" spans="1:24">
      <c r="A48" s="22"/>
      <c r="B48" s="22"/>
      <c r="C48" s="22"/>
      <c r="D48" s="22"/>
      <c r="E48" s="22"/>
      <c r="F48" s="22"/>
      <c r="G48" s="22"/>
      <c r="H48" s="22"/>
      <c r="I48" s="22"/>
      <c r="J48" s="22"/>
      <c r="K48" s="22"/>
      <c r="L48" s="22"/>
      <c r="M48" s="22"/>
      <c r="N48" s="22"/>
      <c r="O48" s="22"/>
      <c r="P48" s="22"/>
      <c r="Q48" s="22"/>
      <c r="R48" s="22"/>
      <c r="S48" s="22"/>
      <c r="T48" s="22"/>
      <c r="U48" s="22"/>
      <c r="V48" s="22"/>
      <c r="W48" s="22"/>
      <c r="X48" s="22"/>
    </row>
  </sheetData>
  <phoneticPr fontId="0" type="noConversion"/>
  <hyperlinks>
    <hyperlink ref="C1" location="INDICE!A70" display="VOLVER A INDICE"/>
  </hyperlinks>
  <pageMargins left="0.75" right="0.75" top="1" bottom="1" header="0" footer="0"/>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0"/>
  <sheetViews>
    <sheetView zoomScale="70" workbookViewId="0">
      <pane xSplit="2" ySplit="7" topLeftCell="C8" activePane="bottomRight" state="frozen"/>
      <selection pane="topRight" activeCell="C1" sqref="C1"/>
      <selection pane="bottomLeft" activeCell="A8" sqref="A8"/>
      <selection pane="bottomRight" activeCell="Y74" sqref="Y74"/>
    </sheetView>
  </sheetViews>
  <sheetFormatPr baseColWidth="10" defaultRowHeight="12.75"/>
  <cols>
    <col min="1" max="1" width="11.42578125" style="898"/>
    <col min="2" max="2" width="26.42578125" style="898" customWidth="1"/>
    <col min="3" max="26" width="11.42578125" style="898"/>
    <col min="27" max="27" width="12.85546875" style="22" customWidth="1"/>
    <col min="28" max="38" width="11.42578125" style="22"/>
    <col min="39" max="16384" width="11.42578125" style="898"/>
  </cols>
  <sheetData>
    <row r="1" spans="1:38">
      <c r="A1" s="698"/>
      <c r="B1" s="699"/>
      <c r="C1" s="700"/>
      <c r="D1" s="700"/>
      <c r="E1" s="866" t="s">
        <v>683</v>
      </c>
      <c r="F1" s="700"/>
      <c r="G1" s="700"/>
      <c r="H1" s="700"/>
      <c r="I1" s="700"/>
      <c r="J1" s="700"/>
      <c r="K1" s="700"/>
      <c r="L1" s="700"/>
      <c r="M1" s="700"/>
      <c r="N1" s="700"/>
      <c r="O1" s="700"/>
      <c r="P1" s="700"/>
      <c r="Q1" s="700"/>
      <c r="R1" s="700" t="s">
        <v>298</v>
      </c>
      <c r="S1" s="700"/>
      <c r="T1" s="700"/>
      <c r="U1" s="700"/>
      <c r="V1" s="700"/>
      <c r="W1" s="700"/>
      <c r="X1" s="700"/>
      <c r="Y1" s="700"/>
      <c r="Z1" s="22"/>
    </row>
    <row r="2" spans="1:38">
      <c r="A2" s="698"/>
      <c r="B2" s="698"/>
      <c r="C2" s="700"/>
      <c r="D2" s="700"/>
      <c r="E2" s="700"/>
      <c r="F2" s="700"/>
      <c r="G2" s="700"/>
      <c r="H2" s="720"/>
      <c r="I2" s="720"/>
      <c r="J2" s="720"/>
      <c r="K2" s="700"/>
      <c r="L2" s="700"/>
      <c r="M2" s="700"/>
      <c r="N2" s="700">
        <v>100</v>
      </c>
      <c r="O2" s="700"/>
      <c r="P2" s="700"/>
      <c r="Q2" s="700"/>
      <c r="R2" s="700" t="s">
        <v>298</v>
      </c>
      <c r="S2" s="700"/>
      <c r="T2" s="700"/>
      <c r="U2" s="700"/>
      <c r="V2" s="700"/>
      <c r="W2" s="721"/>
      <c r="X2" s="700" t="s">
        <v>299</v>
      </c>
      <c r="Y2" s="700"/>
      <c r="Z2" s="22"/>
    </row>
    <row r="3" spans="1:38">
      <c r="A3" s="698"/>
      <c r="B3" s="698"/>
      <c r="C3" s="700"/>
      <c r="D3" s="700"/>
      <c r="E3" s="700"/>
      <c r="F3" s="700"/>
      <c r="G3" s="700"/>
      <c r="H3" s="720"/>
      <c r="I3" s="720" t="s">
        <v>570</v>
      </c>
      <c r="J3" s="720"/>
      <c r="K3" s="700"/>
      <c r="L3" s="700"/>
      <c r="M3" s="700"/>
      <c r="N3" s="700">
        <f>N2-3.4</f>
        <v>96.6</v>
      </c>
      <c r="O3" s="700"/>
      <c r="P3" s="700"/>
      <c r="Q3" s="700"/>
      <c r="R3" s="700" t="s">
        <v>298</v>
      </c>
      <c r="S3" s="700"/>
      <c r="T3" s="700"/>
      <c r="U3" s="700" t="s">
        <v>301</v>
      </c>
      <c r="V3" s="700"/>
      <c r="W3" s="700"/>
      <c r="X3" s="700" t="s">
        <v>302</v>
      </c>
      <c r="Y3" s="700"/>
      <c r="Z3" s="22"/>
    </row>
    <row r="4" spans="1:38" ht="13.5" thickBot="1">
      <c r="A4" s="698"/>
      <c r="B4" s="698"/>
      <c r="C4" s="1327" t="s">
        <v>303</v>
      </c>
      <c r="D4" s="1328"/>
      <c r="E4" s="1328"/>
      <c r="F4" s="1328"/>
      <c r="G4" s="1328"/>
      <c r="H4" s="1328"/>
      <c r="I4" s="1328"/>
      <c r="J4" s="1328"/>
      <c r="K4" s="1328"/>
      <c r="L4" s="1329"/>
      <c r="M4" s="1327" t="s">
        <v>304</v>
      </c>
      <c r="N4" s="1328"/>
      <c r="O4" s="1328"/>
      <c r="P4" s="1328"/>
      <c r="Q4" s="1328"/>
      <c r="R4" s="1328"/>
      <c r="S4" s="1328"/>
      <c r="T4" s="1328"/>
      <c r="U4" s="1328"/>
      <c r="V4" s="1328"/>
      <c r="W4" s="1328"/>
      <c r="X4" s="1328"/>
      <c r="Y4" s="1329"/>
      <c r="Z4" s="22"/>
    </row>
    <row r="5" spans="1:38">
      <c r="A5" s="704"/>
      <c r="B5" s="707" t="s">
        <v>305</v>
      </c>
      <c r="C5" s="736" t="s">
        <v>556</v>
      </c>
      <c r="D5" s="737" t="s">
        <v>306</v>
      </c>
      <c r="E5" s="736" t="s">
        <v>7</v>
      </c>
      <c r="F5" s="737" t="s">
        <v>307</v>
      </c>
      <c r="G5" s="737" t="s">
        <v>308</v>
      </c>
      <c r="H5" s="738"/>
      <c r="I5" s="736" t="s">
        <v>309</v>
      </c>
      <c r="J5" s="739" t="s">
        <v>310</v>
      </c>
      <c r="K5" s="736" t="s">
        <v>311</v>
      </c>
      <c r="L5" s="737" t="s">
        <v>312</v>
      </c>
      <c r="M5" s="736" t="s">
        <v>313</v>
      </c>
      <c r="N5" s="737" t="s">
        <v>306</v>
      </c>
      <c r="O5" s="736" t="s">
        <v>314</v>
      </c>
      <c r="P5" s="737" t="s">
        <v>315</v>
      </c>
      <c r="Q5" s="736" t="s">
        <v>56</v>
      </c>
      <c r="R5" s="737" t="s">
        <v>316</v>
      </c>
      <c r="S5" s="736" t="s">
        <v>317</v>
      </c>
      <c r="T5" s="737" t="s">
        <v>7</v>
      </c>
      <c r="U5" s="736" t="s">
        <v>318</v>
      </c>
      <c r="V5" s="737" t="s">
        <v>311</v>
      </c>
      <c r="W5" s="736" t="s">
        <v>319</v>
      </c>
      <c r="X5" s="737" t="s">
        <v>312</v>
      </c>
      <c r="Y5" s="714" t="s">
        <v>11</v>
      </c>
      <c r="Z5" s="22"/>
    </row>
    <row r="6" spans="1:38">
      <c r="A6" s="705"/>
      <c r="B6" s="708">
        <v>2004</v>
      </c>
      <c r="C6" s="740" t="s">
        <v>320</v>
      </c>
      <c r="D6" s="739" t="s">
        <v>557</v>
      </c>
      <c r="E6" s="740" t="s">
        <v>558</v>
      </c>
      <c r="F6" s="739" t="s">
        <v>559</v>
      </c>
      <c r="G6" s="739" t="s">
        <v>551</v>
      </c>
      <c r="H6" s="739" t="s">
        <v>552</v>
      </c>
      <c r="I6" s="740" t="s">
        <v>298</v>
      </c>
      <c r="J6" s="739" t="s">
        <v>321</v>
      </c>
      <c r="K6" s="740" t="s">
        <v>298</v>
      </c>
      <c r="L6" s="739" t="s">
        <v>560</v>
      </c>
      <c r="M6" s="740" t="s">
        <v>561</v>
      </c>
      <c r="N6" s="739" t="s">
        <v>562</v>
      </c>
      <c r="O6" s="740" t="s">
        <v>322</v>
      </c>
      <c r="P6" s="739" t="s">
        <v>323</v>
      </c>
      <c r="Q6" s="740" t="s">
        <v>324</v>
      </c>
      <c r="R6" s="739" t="s">
        <v>324</v>
      </c>
      <c r="S6" s="740"/>
      <c r="T6" s="739" t="s">
        <v>325</v>
      </c>
      <c r="U6" s="740"/>
      <c r="V6" s="739" t="s">
        <v>298</v>
      </c>
      <c r="W6" s="740" t="s">
        <v>326</v>
      </c>
      <c r="X6" s="739" t="s">
        <v>327</v>
      </c>
      <c r="Y6" s="722"/>
      <c r="Z6" s="22"/>
    </row>
    <row r="7" spans="1:38" ht="13.5" thickBot="1">
      <c r="A7" s="705"/>
      <c r="B7" s="709"/>
      <c r="C7" s="740"/>
      <c r="D7" s="739"/>
      <c r="E7" s="740"/>
      <c r="F7" s="739"/>
      <c r="G7" s="741"/>
      <c r="H7" s="739" t="s">
        <v>298</v>
      </c>
      <c r="I7" s="740"/>
      <c r="J7" s="739" t="s">
        <v>328</v>
      </c>
      <c r="K7" s="740" t="s">
        <v>298</v>
      </c>
      <c r="L7" s="739"/>
      <c r="M7" s="740"/>
      <c r="N7" s="739"/>
      <c r="O7" s="740" t="s">
        <v>329</v>
      </c>
      <c r="P7" s="739" t="s">
        <v>330</v>
      </c>
      <c r="Q7" s="740"/>
      <c r="R7" s="739" t="s">
        <v>298</v>
      </c>
      <c r="S7" s="740"/>
      <c r="T7" s="742"/>
      <c r="U7" s="740"/>
      <c r="V7" s="739" t="s">
        <v>298</v>
      </c>
      <c r="W7" s="740" t="s">
        <v>331</v>
      </c>
      <c r="X7" s="739" t="s">
        <v>776</v>
      </c>
      <c r="Y7" s="722"/>
      <c r="Z7" s="22"/>
    </row>
    <row r="8" spans="1:38">
      <c r="A8" s="1330" t="s">
        <v>575</v>
      </c>
      <c r="B8" s="701" t="s">
        <v>25</v>
      </c>
      <c r="C8" s="573">
        <f>CUADRO3!C10</f>
        <v>1872.5733734700002</v>
      </c>
      <c r="D8" s="570">
        <f>CUADRO3!C12</f>
        <v>19656.938851999999</v>
      </c>
      <c r="E8" s="573">
        <f>CUADRO3!C14</f>
        <v>1326.691276</v>
      </c>
      <c r="F8" s="570">
        <f>CUADRO3!C16</f>
        <v>18688.827290862151</v>
      </c>
      <c r="G8" s="573">
        <v>0</v>
      </c>
      <c r="H8" s="570">
        <v>0</v>
      </c>
      <c r="I8" s="573">
        <f>CUADRO3!C18</f>
        <v>43111.334473362855</v>
      </c>
      <c r="J8" s="570">
        <v>0</v>
      </c>
      <c r="K8" s="573">
        <v>0</v>
      </c>
      <c r="L8" s="731">
        <f>SUM(C8:K8)</f>
        <v>84656.365265695</v>
      </c>
      <c r="M8" s="573">
        <f>CUADRO4!C33</f>
        <v>44038.721771461052</v>
      </c>
      <c r="N8" s="570">
        <f>CUADRO4!C22</f>
        <v>6559.6032370000003</v>
      </c>
      <c r="O8" s="573">
        <f>CUADRO4!C16+CUADRO4!C18+CUADRO4!C24</f>
        <v>26763.408728000002</v>
      </c>
      <c r="P8" s="570">
        <f>CUADRO4!C20+CUADRO4!C26</f>
        <v>8285.754708243001</v>
      </c>
      <c r="Q8" s="573">
        <f>CUADRO4!C14</f>
        <v>40258.731483599993</v>
      </c>
      <c r="R8" s="570">
        <f>CUADRO4!C12</f>
        <v>24091.988429249999</v>
      </c>
      <c r="S8" s="573">
        <f>CUADRO4!C37</f>
        <v>5268.3845000000001</v>
      </c>
      <c r="T8" s="570">
        <v>0</v>
      </c>
      <c r="U8" s="573">
        <f>CUADRO4!C30+CUADRO4!C41+CUADRO4!C43</f>
        <v>5579.4541100952229</v>
      </c>
      <c r="V8" s="570">
        <f>CUADRO4!C28+CUADRO4!C47+CUADRO4!C39</f>
        <v>16781.741405000001</v>
      </c>
      <c r="W8" s="573">
        <f>CUADRO11!C26</f>
        <v>2846.3070120399998</v>
      </c>
      <c r="X8" s="570">
        <f>SUM(M8:W8)</f>
        <v>180474.09538468925</v>
      </c>
      <c r="Y8" s="723">
        <f>X8+L8</f>
        <v>265130.46065038425</v>
      </c>
      <c r="Z8" s="70"/>
    </row>
    <row r="9" spans="1:38">
      <c r="A9" s="1331"/>
      <c r="B9" s="702"/>
      <c r="C9" s="573"/>
      <c r="D9" s="570"/>
      <c r="E9" s="573"/>
      <c r="F9" s="570"/>
      <c r="G9" s="573"/>
      <c r="H9" s="857"/>
      <c r="I9" s="570"/>
      <c r="J9" s="575"/>
      <c r="K9" s="573"/>
      <c r="L9" s="731"/>
      <c r="M9" s="573"/>
      <c r="N9" s="570"/>
      <c r="O9" s="573"/>
      <c r="P9" s="570"/>
      <c r="Q9" s="573"/>
      <c r="R9" s="570"/>
      <c r="S9" s="573"/>
      <c r="T9" s="570"/>
      <c r="U9" s="573"/>
      <c r="V9" s="570"/>
      <c r="W9" s="573"/>
      <c r="X9" s="570"/>
      <c r="Y9" s="723"/>
      <c r="Z9" s="22"/>
    </row>
    <row r="10" spans="1:38">
      <c r="A10" s="1331"/>
      <c r="B10" s="702" t="s">
        <v>26</v>
      </c>
      <c r="C10" s="573">
        <f>CUADRO3!D10</f>
        <v>113057.12754486001</v>
      </c>
      <c r="D10" s="570">
        <f>CUADRO3!D12</f>
        <v>63594.469517934303</v>
      </c>
      <c r="E10" s="573">
        <f>CUADRO3!D14</f>
        <v>27136.97183364</v>
      </c>
      <c r="F10" s="857">
        <f>CUADRO3!D16</f>
        <v>0</v>
      </c>
      <c r="G10" s="570">
        <v>0</v>
      </c>
      <c r="H10" s="573">
        <v>0</v>
      </c>
      <c r="I10" s="570">
        <v>0</v>
      </c>
      <c r="J10" s="570">
        <v>0</v>
      </c>
      <c r="K10" s="573">
        <v>0</v>
      </c>
      <c r="L10" s="731">
        <f>SUM(C10:K10)</f>
        <v>203788.56889643433</v>
      </c>
      <c r="M10" s="573">
        <f>CUADRO4!D33</f>
        <v>1636.7164992000003</v>
      </c>
      <c r="N10" s="570">
        <f>CUADRO4!D22</f>
        <v>7494.4298407000006</v>
      </c>
      <c r="O10" s="573">
        <f>CUADRO4!D16+CUADRO4!D18+CUADRO4!D24</f>
        <v>5156.66550112</v>
      </c>
      <c r="P10" s="570">
        <f>CUADRO4!D20+CUADRO4!D26</f>
        <v>371.55460347000007</v>
      </c>
      <c r="Q10" s="573">
        <f>CUADRO4!D14</f>
        <v>13490.604751848001</v>
      </c>
      <c r="R10" s="570">
        <f>CUADRO4!D12</f>
        <v>0</v>
      </c>
      <c r="S10" s="573">
        <f>CUADRO4!D37</f>
        <v>4722.1878899999992</v>
      </c>
      <c r="T10" s="570">
        <v>0</v>
      </c>
      <c r="U10" s="573">
        <f>CUADRO4!D30+CUADRO4!D41+CUADRO4!D43</f>
        <v>0</v>
      </c>
      <c r="V10" s="570">
        <f>CUADRO4!D28+CUADRO4!D47+CUADRO4!D39</f>
        <v>0</v>
      </c>
      <c r="W10" s="573">
        <v>0</v>
      </c>
      <c r="X10" s="570">
        <f>SUM(M10:W10)</f>
        <v>32872.159086338004</v>
      </c>
      <c r="Y10" s="723">
        <f>X10+L10</f>
        <v>236660.72798277234</v>
      </c>
      <c r="Z10" s="70"/>
    </row>
    <row r="11" spans="1:38">
      <c r="A11" s="1331"/>
      <c r="B11" s="702"/>
      <c r="C11" s="573"/>
      <c r="D11" s="857"/>
      <c r="E11" s="570"/>
      <c r="F11" s="573"/>
      <c r="G11" s="570"/>
      <c r="H11" s="573"/>
      <c r="I11" s="570"/>
      <c r="J11" s="570"/>
      <c r="K11" s="573"/>
      <c r="L11" s="731"/>
      <c r="M11" s="573"/>
      <c r="N11" s="570"/>
      <c r="O11" s="573"/>
      <c r="P11" s="570"/>
      <c r="Q11" s="573"/>
      <c r="R11" s="570"/>
      <c r="S11" s="573"/>
      <c r="T11" s="570"/>
      <c r="U11" s="573"/>
      <c r="V11" s="570"/>
      <c r="W11" s="573"/>
      <c r="X11" s="570"/>
      <c r="Y11" s="723"/>
      <c r="Z11" s="70"/>
    </row>
    <row r="12" spans="1:38" s="904" customFormat="1" ht="11.25">
      <c r="A12" s="1331"/>
      <c r="B12" s="749" t="s">
        <v>571</v>
      </c>
      <c r="C12" s="750">
        <f>0.621*C10</f>
        <v>70208.476205358063</v>
      </c>
      <c r="D12" s="858">
        <f>D10</f>
        <v>63594.469517934303</v>
      </c>
      <c r="E12" s="751">
        <f>0.147*E10</f>
        <v>3989.13485954508</v>
      </c>
      <c r="F12" s="750">
        <v>0</v>
      </c>
      <c r="G12" s="751">
        <v>0</v>
      </c>
      <c r="H12" s="750">
        <v>0</v>
      </c>
      <c r="I12" s="751">
        <v>0</v>
      </c>
      <c r="J12" s="751">
        <v>0</v>
      </c>
      <c r="K12" s="750">
        <v>0</v>
      </c>
      <c r="L12" s="752">
        <f>SUM(C12:K12)</f>
        <v>137792.08058283743</v>
      </c>
      <c r="M12" s="750">
        <f>M10</f>
        <v>1636.7164992000003</v>
      </c>
      <c r="N12" s="751">
        <f>N10-N14</f>
        <v>7239.6192261162005</v>
      </c>
      <c r="O12" s="750">
        <f>0.475*O10</f>
        <v>2449.4161130319999</v>
      </c>
      <c r="P12" s="751">
        <f>0</f>
        <v>0</v>
      </c>
      <c r="Q12" s="750">
        <f>0.33*Q10</f>
        <v>4451.8995681098404</v>
      </c>
      <c r="R12" s="751">
        <v>0</v>
      </c>
      <c r="S12" s="750">
        <v>0</v>
      </c>
      <c r="T12" s="751">
        <v>0</v>
      </c>
      <c r="U12" s="750">
        <v>0</v>
      </c>
      <c r="V12" s="751">
        <v>0</v>
      </c>
      <c r="W12" s="750">
        <v>0</v>
      </c>
      <c r="X12" s="751">
        <f>SUM(M12:W12)</f>
        <v>15777.651406458042</v>
      </c>
      <c r="Y12" s="755">
        <f>X12+L12</f>
        <v>153569.73198929548</v>
      </c>
      <c r="Z12" s="753"/>
      <c r="AA12" s="409"/>
      <c r="AB12" s="409"/>
      <c r="AC12" s="409"/>
      <c r="AD12" s="409"/>
      <c r="AE12" s="409"/>
      <c r="AF12" s="409"/>
      <c r="AG12" s="409"/>
      <c r="AH12" s="409"/>
      <c r="AI12" s="409"/>
      <c r="AJ12" s="409"/>
      <c r="AK12" s="409"/>
      <c r="AL12" s="409"/>
    </row>
    <row r="13" spans="1:38" s="904" customFormat="1" ht="11.25">
      <c r="A13" s="1331"/>
      <c r="B13" s="749"/>
      <c r="C13" s="750"/>
      <c r="D13" s="858"/>
      <c r="E13" s="751"/>
      <c r="F13" s="750"/>
      <c r="G13" s="751"/>
      <c r="H13" s="750"/>
      <c r="I13" s="751"/>
      <c r="J13" s="751"/>
      <c r="K13" s="750"/>
      <c r="L13" s="752"/>
      <c r="M13" s="750"/>
      <c r="N13" s="751"/>
      <c r="O13" s="750"/>
      <c r="P13" s="751"/>
      <c r="Q13" s="750"/>
      <c r="R13" s="751"/>
      <c r="S13" s="750"/>
      <c r="T13" s="751"/>
      <c r="U13" s="750"/>
      <c r="V13" s="751"/>
      <c r="W13" s="750"/>
      <c r="X13" s="751"/>
      <c r="Y13" s="755"/>
      <c r="Z13" s="753"/>
      <c r="AA13" s="409"/>
      <c r="AB13" s="409"/>
      <c r="AC13" s="409"/>
      <c r="AD13" s="409"/>
      <c r="AE13" s="409"/>
      <c r="AF13" s="409"/>
      <c r="AG13" s="409"/>
      <c r="AH13" s="409"/>
      <c r="AI13" s="409"/>
      <c r="AJ13" s="409"/>
      <c r="AK13" s="409"/>
      <c r="AL13" s="409"/>
    </row>
    <row r="14" spans="1:38" s="904" customFormat="1" ht="11.25">
      <c r="A14" s="1331"/>
      <c r="B14" s="749" t="s">
        <v>572</v>
      </c>
      <c r="C14" s="750">
        <f>C10-C12</f>
        <v>42848.651339501943</v>
      </c>
      <c r="D14" s="858">
        <v>0</v>
      </c>
      <c r="E14" s="751">
        <f>E10-E12</f>
        <v>23147.83697409492</v>
      </c>
      <c r="F14" s="750">
        <v>0</v>
      </c>
      <c r="G14" s="751">
        <v>0</v>
      </c>
      <c r="H14" s="750">
        <v>0</v>
      </c>
      <c r="I14" s="751">
        <v>0</v>
      </c>
      <c r="J14" s="751">
        <v>0</v>
      </c>
      <c r="K14" s="750">
        <v>0</v>
      </c>
      <c r="L14" s="752">
        <f>SUM(C14:K14)</f>
        <v>65996.48831359687</v>
      </c>
      <c r="M14" s="750">
        <v>0</v>
      </c>
      <c r="N14" s="751">
        <f>0.034*N10</f>
        <v>254.81061458380003</v>
      </c>
      <c r="O14" s="750">
        <f>O10-O12</f>
        <v>2707.2493880880002</v>
      </c>
      <c r="P14" s="751">
        <f>P10</f>
        <v>371.55460347000007</v>
      </c>
      <c r="Q14" s="750">
        <f>Q10-Q12</f>
        <v>9038.7051837381605</v>
      </c>
      <c r="R14" s="751">
        <f>R10</f>
        <v>0</v>
      </c>
      <c r="S14" s="750">
        <f>S10</f>
        <v>4722.1878899999992</v>
      </c>
      <c r="T14" s="751">
        <v>0</v>
      </c>
      <c r="U14" s="750">
        <v>0</v>
      </c>
      <c r="V14" s="751">
        <v>0</v>
      </c>
      <c r="W14" s="750">
        <v>0</v>
      </c>
      <c r="X14" s="751">
        <f>SUM(M14:W14)</f>
        <v>17094.50767987996</v>
      </c>
      <c r="Y14" s="755">
        <f>X14+L14</f>
        <v>83090.995993476827</v>
      </c>
      <c r="Z14" s="753"/>
      <c r="AA14" s="409"/>
      <c r="AB14" s="409"/>
      <c r="AC14" s="409"/>
      <c r="AD14" s="409"/>
      <c r="AE14" s="409"/>
      <c r="AF14" s="409"/>
      <c r="AG14" s="409"/>
      <c r="AH14" s="409"/>
      <c r="AI14" s="409"/>
      <c r="AJ14" s="409"/>
      <c r="AK14" s="409"/>
      <c r="AL14" s="409"/>
    </row>
    <row r="15" spans="1:38">
      <c r="A15" s="1331"/>
      <c r="B15" s="702"/>
      <c r="C15" s="573"/>
      <c r="D15" s="857"/>
      <c r="E15" s="570"/>
      <c r="F15" s="573"/>
      <c r="G15" s="570"/>
      <c r="H15" s="573"/>
      <c r="I15" s="570"/>
      <c r="J15" s="570"/>
      <c r="K15" s="573"/>
      <c r="L15" s="731"/>
      <c r="M15" s="573"/>
      <c r="N15" s="570"/>
      <c r="O15" s="573"/>
      <c r="P15" s="570"/>
      <c r="Q15" s="573"/>
      <c r="R15" s="570"/>
      <c r="S15" s="573"/>
      <c r="T15" s="570"/>
      <c r="U15" s="573"/>
      <c r="V15" s="570"/>
      <c r="W15" s="573"/>
      <c r="X15" s="570"/>
      <c r="Y15" s="723"/>
      <c r="Z15" s="22"/>
    </row>
    <row r="16" spans="1:38">
      <c r="A16" s="1331"/>
      <c r="B16" s="702" t="s">
        <v>27</v>
      </c>
      <c r="C16" s="573">
        <f>CUADRO3!E10</f>
        <v>0</v>
      </c>
      <c r="D16" s="857">
        <f>CUADRO3!E12</f>
        <v>0</v>
      </c>
      <c r="E16" s="570">
        <f>CUADRO3!E14</f>
        <v>0</v>
      </c>
      <c r="F16" s="573">
        <f>CUADRO3!E16</f>
        <v>0</v>
      </c>
      <c r="G16" s="570">
        <v>0</v>
      </c>
      <c r="H16" s="573">
        <v>0</v>
      </c>
      <c r="I16" s="570">
        <v>0</v>
      </c>
      <c r="J16" s="570">
        <v>0</v>
      </c>
      <c r="K16" s="573">
        <v>0</v>
      </c>
      <c r="L16" s="731">
        <f>SUM(C16:K16)</f>
        <v>0</v>
      </c>
      <c r="M16" s="573">
        <v>0</v>
      </c>
      <c r="N16" s="1221">
        <f>CUADRO4!E22</f>
        <v>1990.0445660948599</v>
      </c>
      <c r="O16" s="1222">
        <f>CUADRO4!E16+CUADRO4!E18+CUADRO4!E24</f>
        <v>7853.0970559999987</v>
      </c>
      <c r="P16" s="1221">
        <f>CUADRO4!E20+CUADRO4!E26</f>
        <v>0</v>
      </c>
      <c r="Q16" s="1222">
        <f>CUADRO4!E14</f>
        <v>628.77404410800011</v>
      </c>
      <c r="R16" s="1221">
        <f>CUADRO4!E12</f>
        <v>5067.4430758140006</v>
      </c>
      <c r="S16" s="1222">
        <f>CUADRO4!E37</f>
        <v>264.05279999999999</v>
      </c>
      <c r="T16" s="570">
        <v>0</v>
      </c>
      <c r="U16" s="573">
        <f>CUADRO4!E30+CUADRO4!E41+CUADRO4!E43</f>
        <v>0</v>
      </c>
      <c r="V16" s="570">
        <f>CUADRO4!E28+CUADRO4!E47+CUADRO4!E39</f>
        <v>14571.57948</v>
      </c>
      <c r="W16" s="573">
        <v>0</v>
      </c>
      <c r="X16" s="570">
        <f>SUM(M16:W16)</f>
        <v>30374.99102201686</v>
      </c>
      <c r="Y16" s="723">
        <f>X16+L16</f>
        <v>30374.99102201686</v>
      </c>
      <c r="Z16" s="70"/>
    </row>
    <row r="17" spans="1:38">
      <c r="A17" s="1331"/>
      <c r="B17" s="702"/>
      <c r="C17" s="573"/>
      <c r="D17" s="857"/>
      <c r="E17" s="570"/>
      <c r="F17" s="573"/>
      <c r="G17" s="570"/>
      <c r="H17" s="573"/>
      <c r="I17" s="570"/>
      <c r="J17" s="570"/>
      <c r="K17" s="573"/>
      <c r="L17" s="731"/>
      <c r="M17" s="573"/>
      <c r="N17" s="570"/>
      <c r="O17" s="573"/>
      <c r="P17" s="570"/>
      <c r="Q17" s="573"/>
      <c r="R17" s="570"/>
      <c r="S17" s="573"/>
      <c r="T17" s="570"/>
      <c r="U17" s="573"/>
      <c r="V17" s="570"/>
      <c r="W17" s="573"/>
      <c r="X17" s="570"/>
      <c r="Y17" s="723"/>
      <c r="Z17" s="70"/>
    </row>
    <row r="18" spans="1:38" s="904" customFormat="1" ht="11.25">
      <c r="A18" s="1331"/>
      <c r="B18" s="749" t="s">
        <v>571</v>
      </c>
      <c r="C18" s="856">
        <v>0</v>
      </c>
      <c r="D18" s="750">
        <v>0</v>
      </c>
      <c r="E18" s="751">
        <v>0</v>
      </c>
      <c r="F18" s="750">
        <v>0</v>
      </c>
      <c r="G18" s="751">
        <v>0</v>
      </c>
      <c r="H18" s="750">
        <v>0</v>
      </c>
      <c r="I18" s="751">
        <v>0</v>
      </c>
      <c r="J18" s="751">
        <v>0</v>
      </c>
      <c r="K18" s="750">
        <v>0</v>
      </c>
      <c r="L18" s="752">
        <f>SUM(C18:K18)</f>
        <v>0</v>
      </c>
      <c r="M18" s="750">
        <v>0</v>
      </c>
      <c r="N18" s="751">
        <f>0.904*N16</f>
        <v>1799.0002877497534</v>
      </c>
      <c r="O18" s="750">
        <f>O16*0.107</f>
        <v>840.28138499199986</v>
      </c>
      <c r="P18" s="751">
        <v>0</v>
      </c>
      <c r="Q18" s="750">
        <f>Q16-Q20</f>
        <v>567.15418778541607</v>
      </c>
      <c r="R18" s="751">
        <f>0.165*R16</f>
        <v>836.1281075093101</v>
      </c>
      <c r="S18" s="750">
        <f>S16</f>
        <v>264.05279999999999</v>
      </c>
      <c r="T18" s="751">
        <v>0</v>
      </c>
      <c r="U18" s="750">
        <v>0</v>
      </c>
      <c r="V18" s="751">
        <f>0.1*V16</f>
        <v>1457.157948</v>
      </c>
      <c r="W18" s="750">
        <v>0</v>
      </c>
      <c r="X18" s="751">
        <f>SUM(M18:W18)</f>
        <v>5763.7747160364797</v>
      </c>
      <c r="Y18" s="755">
        <f>X18+L18</f>
        <v>5763.7747160364797</v>
      </c>
      <c r="Z18" s="753"/>
      <c r="AA18" s="409"/>
      <c r="AB18" s="409"/>
      <c r="AC18" s="409"/>
      <c r="AD18" s="409"/>
      <c r="AE18" s="409"/>
      <c r="AF18" s="409"/>
      <c r="AG18" s="409"/>
      <c r="AH18" s="409"/>
      <c r="AI18" s="409"/>
      <c r="AJ18" s="409"/>
      <c r="AK18" s="409"/>
      <c r="AL18" s="409"/>
    </row>
    <row r="19" spans="1:38" s="904" customFormat="1" ht="11.25">
      <c r="A19" s="1331"/>
      <c r="B19" s="749"/>
      <c r="C19" s="856"/>
      <c r="D19" s="750"/>
      <c r="E19" s="751"/>
      <c r="F19" s="750"/>
      <c r="G19" s="751"/>
      <c r="H19" s="750"/>
      <c r="I19" s="751"/>
      <c r="J19" s="751"/>
      <c r="K19" s="750"/>
      <c r="L19" s="752"/>
      <c r="M19" s="750"/>
      <c r="N19" s="751"/>
      <c r="O19" s="750"/>
      <c r="P19" s="751"/>
      <c r="Q19" s="750"/>
      <c r="R19" s="751"/>
      <c r="S19" s="750"/>
      <c r="T19" s="751"/>
      <c r="U19" s="750"/>
      <c r="V19" s="751"/>
      <c r="W19" s="750"/>
      <c r="X19" s="751"/>
      <c r="Y19" s="755"/>
      <c r="Z19" s="753"/>
      <c r="AA19" s="409"/>
      <c r="AB19" s="409"/>
      <c r="AC19" s="409"/>
      <c r="AD19" s="409"/>
      <c r="AE19" s="409"/>
      <c r="AF19" s="409"/>
      <c r="AG19" s="409"/>
      <c r="AH19" s="409"/>
      <c r="AI19" s="409"/>
      <c r="AJ19" s="409"/>
      <c r="AK19" s="409"/>
      <c r="AL19" s="409"/>
    </row>
    <row r="20" spans="1:38" s="904" customFormat="1" ht="11.25">
      <c r="A20" s="1331"/>
      <c r="B20" s="749" t="s">
        <v>572</v>
      </c>
      <c r="C20" s="856">
        <v>0</v>
      </c>
      <c r="D20" s="750">
        <v>0</v>
      </c>
      <c r="E20" s="751">
        <v>0</v>
      </c>
      <c r="F20" s="750">
        <v>0</v>
      </c>
      <c r="G20" s="751">
        <v>0</v>
      </c>
      <c r="H20" s="750">
        <v>0</v>
      </c>
      <c r="I20" s="751">
        <v>0</v>
      </c>
      <c r="J20" s="751">
        <v>0</v>
      </c>
      <c r="K20" s="750">
        <v>0</v>
      </c>
      <c r="L20" s="752">
        <f>SUM(C20:K20)</f>
        <v>0</v>
      </c>
      <c r="M20" s="750">
        <v>0</v>
      </c>
      <c r="N20" s="751">
        <f>N16-N18</f>
        <v>191.04427834510648</v>
      </c>
      <c r="O20" s="750">
        <f>O16-O18</f>
        <v>7012.8156710079984</v>
      </c>
      <c r="P20" s="751">
        <v>0</v>
      </c>
      <c r="Q20" s="750">
        <f>0.098*Q16</f>
        <v>61.619856322584013</v>
      </c>
      <c r="R20" s="751">
        <f>R16-R18</f>
        <v>4231.3149683046904</v>
      </c>
      <c r="S20" s="750">
        <f>0</f>
        <v>0</v>
      </c>
      <c r="T20" s="751">
        <v>0</v>
      </c>
      <c r="U20" s="750">
        <v>0</v>
      </c>
      <c r="V20" s="751">
        <f>0.9*V16</f>
        <v>13114.421532</v>
      </c>
      <c r="W20" s="750">
        <v>0</v>
      </c>
      <c r="X20" s="751">
        <f>SUM(M20:W20)</f>
        <v>24611.216305980379</v>
      </c>
      <c r="Y20" s="755">
        <f>X20+L20</f>
        <v>24611.216305980379</v>
      </c>
      <c r="Z20" s="753"/>
      <c r="AA20" s="409"/>
      <c r="AB20" s="409"/>
      <c r="AC20" s="409"/>
      <c r="AD20" s="409"/>
      <c r="AE20" s="409"/>
      <c r="AF20" s="409"/>
      <c r="AG20" s="409"/>
      <c r="AH20" s="409"/>
      <c r="AI20" s="409"/>
      <c r="AJ20" s="409"/>
      <c r="AK20" s="409"/>
      <c r="AL20" s="409"/>
    </row>
    <row r="21" spans="1:38">
      <c r="A21" s="1331"/>
      <c r="B21" s="702"/>
      <c r="C21" s="573"/>
      <c r="D21" s="857"/>
      <c r="E21" s="570"/>
      <c r="F21" s="573"/>
      <c r="G21" s="570"/>
      <c r="H21" s="575"/>
      <c r="I21" s="573"/>
      <c r="J21" s="570"/>
      <c r="K21" s="573"/>
      <c r="L21" s="731"/>
      <c r="M21" s="573"/>
      <c r="N21" s="570"/>
      <c r="O21" s="573"/>
      <c r="P21" s="570"/>
      <c r="Q21" s="573"/>
      <c r="R21" s="570"/>
      <c r="S21" s="573"/>
      <c r="T21" s="570"/>
      <c r="U21" s="573"/>
      <c r="V21" s="570"/>
      <c r="W21" s="573"/>
      <c r="X21" s="570"/>
      <c r="Y21" s="723"/>
      <c r="Z21" s="22"/>
    </row>
    <row r="22" spans="1:38">
      <c r="A22" s="1331"/>
      <c r="B22" s="702" t="s">
        <v>333</v>
      </c>
      <c r="C22" s="573">
        <f>CUADRO3!F10</f>
        <v>3215.9449691172485</v>
      </c>
      <c r="D22" s="857">
        <v>0</v>
      </c>
      <c r="E22" s="570">
        <f>CUADRO3!F14</f>
        <v>326.59771652495192</v>
      </c>
      <c r="F22" s="575">
        <v>0</v>
      </c>
      <c r="G22" s="573">
        <v>0</v>
      </c>
      <c r="H22" s="570">
        <v>0</v>
      </c>
      <c r="I22" s="573">
        <v>0</v>
      </c>
      <c r="J22" s="570">
        <v>0</v>
      </c>
      <c r="K22" s="573">
        <v>0</v>
      </c>
      <c r="L22" s="731">
        <f>SUM(C22:K22)</f>
        <v>3542.5426856422005</v>
      </c>
      <c r="M22" s="573">
        <f>CUADRO4!F33</f>
        <v>3469.5569740296719</v>
      </c>
      <c r="N22" s="570">
        <f>CUADRO4!F22</f>
        <v>-247.44588409485647</v>
      </c>
      <c r="O22" s="573">
        <f>CUADRO4!F16+CUADRO4!F18+CUADRO4!F24</f>
        <v>370.08326443200622</v>
      </c>
      <c r="P22" s="570">
        <f>CUADRO4!F20+CUADRO4!F26</f>
        <v>1083.9906812429999</v>
      </c>
      <c r="Q22" s="573">
        <f>CUADRO4!F14</f>
        <v>3627.3236753039878</v>
      </c>
      <c r="R22" s="570">
        <f>CUADRO4!F12</f>
        <v>1934.590265705998</v>
      </c>
      <c r="S22" s="573">
        <f>CUADRO4!F37</f>
        <v>106.84749874999738</v>
      </c>
      <c r="T22" s="570">
        <v>0</v>
      </c>
      <c r="U22" s="573">
        <f>CUADRO4!F30+CUADRO4!F41+CUADRO4!F43</f>
        <v>377.43242603004973</v>
      </c>
      <c r="V22" s="570">
        <f>CUADRO4!F28+CUADRO4!F39+CUADRO4!F47</f>
        <v>49.616675050000161</v>
      </c>
      <c r="W22" s="573">
        <v>0</v>
      </c>
      <c r="X22" s="570">
        <f>SUM(M22:W22)</f>
        <v>10771.995576449854</v>
      </c>
      <c r="Y22" s="723">
        <f>X22+L22</f>
        <v>14314.538262092054</v>
      </c>
      <c r="Z22" s="70"/>
    </row>
    <row r="23" spans="1:38">
      <c r="A23" s="1331"/>
      <c r="B23" s="702"/>
      <c r="C23" s="573"/>
      <c r="D23" s="570"/>
      <c r="E23" s="573"/>
      <c r="F23" s="570"/>
      <c r="G23" s="573"/>
      <c r="H23" s="570"/>
      <c r="I23" s="573"/>
      <c r="J23" s="570"/>
      <c r="K23" s="573"/>
      <c r="L23" s="731"/>
      <c r="M23" s="573"/>
      <c r="N23" s="570"/>
      <c r="O23" s="573"/>
      <c r="P23" s="570"/>
      <c r="Q23" s="573"/>
      <c r="R23" s="570"/>
      <c r="S23" s="573"/>
      <c r="T23" s="570"/>
      <c r="U23" s="573"/>
      <c r="V23" s="570"/>
      <c r="W23" s="573"/>
      <c r="X23" s="570"/>
      <c r="Y23" s="723"/>
      <c r="Z23" s="22"/>
    </row>
    <row r="24" spans="1:38">
      <c r="A24" s="1331"/>
      <c r="B24" s="702" t="s">
        <v>334</v>
      </c>
      <c r="C24" s="573">
        <v>0</v>
      </c>
      <c r="D24" s="570">
        <f>CUADRO3!F12</f>
        <v>2296.8238442493084</v>
      </c>
      <c r="E24" s="573">
        <v>0</v>
      </c>
      <c r="F24" s="570">
        <f>CUADRO3!F16</f>
        <v>74.779402151999989</v>
      </c>
      <c r="G24" s="573">
        <v>0</v>
      </c>
      <c r="H24" s="570">
        <v>0</v>
      </c>
      <c r="I24" s="573">
        <v>0</v>
      </c>
      <c r="J24" s="570">
        <v>0</v>
      </c>
      <c r="K24" s="573">
        <v>0</v>
      </c>
      <c r="L24" s="731">
        <f>SUM(C24:K24)</f>
        <v>2371.6032464013083</v>
      </c>
      <c r="M24" s="573">
        <v>0</v>
      </c>
      <c r="N24" s="570">
        <v>0</v>
      </c>
      <c r="O24" s="573">
        <v>0</v>
      </c>
      <c r="P24" s="570">
        <v>0</v>
      </c>
      <c r="Q24" s="573">
        <v>0</v>
      </c>
      <c r="R24" s="570">
        <v>0</v>
      </c>
      <c r="S24" s="573">
        <v>0</v>
      </c>
      <c r="T24" s="570">
        <v>0</v>
      </c>
      <c r="U24" s="573">
        <v>0</v>
      </c>
      <c r="V24" s="570">
        <v>0</v>
      </c>
      <c r="W24" s="573">
        <v>0</v>
      </c>
      <c r="X24" s="570">
        <f>SUM(M24:W24)</f>
        <v>0</v>
      </c>
      <c r="Y24" s="723">
        <f>X24+L24</f>
        <v>2371.6032464013083</v>
      </c>
      <c r="Z24" s="70"/>
    </row>
    <row r="25" spans="1:38" ht="13.5" thickBot="1">
      <c r="A25" s="1332"/>
      <c r="B25" s="703"/>
      <c r="C25" s="710"/>
      <c r="D25" s="724"/>
      <c r="E25" s="710"/>
      <c r="F25" s="724"/>
      <c r="G25" s="710"/>
      <c r="H25" s="724"/>
      <c r="I25" s="710"/>
      <c r="J25" s="724"/>
      <c r="K25" s="710"/>
      <c r="L25" s="726"/>
      <c r="M25" s="710"/>
      <c r="N25" s="724"/>
      <c r="O25" s="710"/>
      <c r="P25" s="724"/>
      <c r="Q25" s="710"/>
      <c r="R25" s="724"/>
      <c r="S25" s="710"/>
      <c r="T25" s="724"/>
      <c r="U25" s="710"/>
      <c r="V25" s="724"/>
      <c r="W25" s="710"/>
      <c r="X25" s="724"/>
      <c r="Y25" s="725"/>
      <c r="Z25" s="70"/>
    </row>
    <row r="26" spans="1:38" ht="13.5" thickBot="1">
      <c r="A26" s="706"/>
      <c r="B26" s="703" t="s">
        <v>335</v>
      </c>
      <c r="C26" s="715">
        <f>CUADRO3!G10</f>
        <v>111713.75594921276</v>
      </c>
      <c r="D26" s="726">
        <f>CUADRO3!G12</f>
        <v>80954.584525685001</v>
      </c>
      <c r="E26" s="715">
        <f>CUADRO3!G14</f>
        <v>28137.065393115052</v>
      </c>
      <c r="F26" s="726">
        <f>CUADRO3!G16</f>
        <v>18614.047888710153</v>
      </c>
      <c r="G26" s="715">
        <v>0</v>
      </c>
      <c r="H26" s="726">
        <v>0</v>
      </c>
      <c r="I26" s="715">
        <f>I8</f>
        <v>43111.334473362855</v>
      </c>
      <c r="J26" s="726">
        <v>0</v>
      </c>
      <c r="K26" s="715">
        <f>K8+K10-K16-K22-K24</f>
        <v>0</v>
      </c>
      <c r="L26" s="726">
        <f>L8+L10-L16-L22-L24</f>
        <v>282530.7882300858</v>
      </c>
      <c r="M26" s="715">
        <f>CUADRO4!I33</f>
        <v>42205.881296631385</v>
      </c>
      <c r="N26" s="726">
        <f>CUADRO4!I22</f>
        <v>12311.420383900004</v>
      </c>
      <c r="O26" s="715">
        <f>CUADRO4!I16+CUADRO4!I18+CUADRO4!I24</f>
        <v>23696.893908687998</v>
      </c>
      <c r="P26" s="726">
        <f>CUADRO4!I20+CUADRO4!I26</f>
        <v>7573.3186304700012</v>
      </c>
      <c r="Q26" s="715">
        <f>CUADRO4!I14</f>
        <v>49493.238516035999</v>
      </c>
      <c r="R26" s="726">
        <f>CUADRO4!I12</f>
        <v>17089.955087730003</v>
      </c>
      <c r="S26" s="715">
        <f>CUADRO4!I37</f>
        <v>9619.6720912500004</v>
      </c>
      <c r="T26" s="726">
        <f>T8+T10-T16-T22-T24</f>
        <v>0</v>
      </c>
      <c r="U26" s="715">
        <f>CUADRO4!I30+CUADRO4!I41+CUADRO4!I43</f>
        <v>5202.0216840651728</v>
      </c>
      <c r="V26" s="726">
        <f>CUADRO4!I28+CUADRO4!I47+CUADRO4!I39</f>
        <v>2160.5452499499997</v>
      </c>
      <c r="W26" s="715">
        <f>W8</f>
        <v>2846.3070120399998</v>
      </c>
      <c r="X26" s="726">
        <f>X8+X10-X16-X22-X24</f>
        <v>172199.26787256057</v>
      </c>
      <c r="Y26" s="725">
        <f>X26+L26</f>
        <v>454730.0561026464</v>
      </c>
      <c r="Z26" s="70"/>
    </row>
    <row r="27" spans="1:38">
      <c r="A27" s="1333" t="s">
        <v>576</v>
      </c>
      <c r="B27" s="701"/>
      <c r="C27" s="711"/>
      <c r="D27" s="727"/>
      <c r="E27" s="711"/>
      <c r="F27" s="727"/>
      <c r="G27" s="711"/>
      <c r="H27" s="727"/>
      <c r="I27" s="711"/>
      <c r="J27" s="727"/>
      <c r="K27" s="711"/>
      <c r="L27" s="729"/>
      <c r="M27" s="711"/>
      <c r="N27" s="727"/>
      <c r="O27" s="711"/>
      <c r="P27" s="727"/>
      <c r="Q27" s="711"/>
      <c r="R27" s="727"/>
      <c r="S27" s="711"/>
      <c r="T27" s="727"/>
      <c r="U27" s="711"/>
      <c r="V27" s="727"/>
      <c r="W27" s="711"/>
      <c r="X27" s="727"/>
      <c r="Y27" s="728"/>
      <c r="Z27" s="70"/>
    </row>
    <row r="28" spans="1:38">
      <c r="A28" s="1334"/>
      <c r="B28" s="702" t="s">
        <v>336</v>
      </c>
      <c r="C28" s="573">
        <v>0</v>
      </c>
      <c r="D28" s="570">
        <f>CUADRO10!E22</f>
        <v>2229.5532317366915</v>
      </c>
      <c r="E28" s="573">
        <v>0</v>
      </c>
      <c r="F28" s="570">
        <v>0</v>
      </c>
      <c r="G28" s="573">
        <v>0</v>
      </c>
      <c r="H28" s="570">
        <v>0</v>
      </c>
      <c r="I28" s="573">
        <v>0</v>
      </c>
      <c r="J28" s="570">
        <v>0</v>
      </c>
      <c r="K28" s="573">
        <v>0</v>
      </c>
      <c r="L28" s="731">
        <f>SUM(C28:K28)</f>
        <v>2229.5532317366915</v>
      </c>
      <c r="M28" s="573">
        <v>0</v>
      </c>
      <c r="N28" s="570">
        <f>CUADRO10!E14</f>
        <v>0</v>
      </c>
      <c r="O28" s="573">
        <v>0</v>
      </c>
      <c r="P28" s="570">
        <v>0</v>
      </c>
      <c r="Q28" s="573">
        <v>0</v>
      </c>
      <c r="R28" s="570">
        <f>CUADRO10!E12</f>
        <v>0</v>
      </c>
      <c r="S28" s="573">
        <v>0</v>
      </c>
      <c r="T28" s="570">
        <v>0</v>
      </c>
      <c r="U28" s="573">
        <v>0</v>
      </c>
      <c r="V28" s="570">
        <v>0</v>
      </c>
      <c r="W28" s="573">
        <v>0</v>
      </c>
      <c r="X28" s="570">
        <f>SUM(M28:W28)</f>
        <v>0</v>
      </c>
      <c r="Y28" s="723">
        <f>X28+L28</f>
        <v>2229.5532317366915</v>
      </c>
      <c r="Z28" s="70"/>
    </row>
    <row r="29" spans="1:38">
      <c r="A29" s="1334"/>
      <c r="B29" s="702"/>
      <c r="C29" s="573"/>
      <c r="D29" s="570"/>
      <c r="E29" s="573"/>
      <c r="F29" s="570"/>
      <c r="G29" s="573"/>
      <c r="H29" s="570"/>
      <c r="I29" s="573"/>
      <c r="J29" s="570"/>
      <c r="K29" s="573"/>
      <c r="L29" s="731"/>
      <c r="M29" s="573"/>
      <c r="N29" s="570"/>
      <c r="O29" s="573"/>
      <c r="P29" s="570"/>
      <c r="Q29" s="573"/>
      <c r="R29" s="570"/>
      <c r="S29" s="573"/>
      <c r="T29" s="570"/>
      <c r="U29" s="573"/>
      <c r="V29" s="570"/>
      <c r="W29" s="573"/>
      <c r="X29" s="570"/>
      <c r="Y29" s="723"/>
      <c r="Z29" s="22"/>
    </row>
    <row r="30" spans="1:38">
      <c r="A30" s="1334"/>
      <c r="B30" s="702" t="s">
        <v>337</v>
      </c>
      <c r="C30" s="573">
        <v>0</v>
      </c>
      <c r="D30" s="570">
        <f>SECT_TERAC.!T50</f>
        <v>31781.28655592446</v>
      </c>
      <c r="E30" s="573">
        <f>SECT_TERAC.!O50</f>
        <v>17716.267733054887</v>
      </c>
      <c r="F30" s="570">
        <v>0</v>
      </c>
      <c r="G30" s="573">
        <v>0</v>
      </c>
      <c r="H30" s="570">
        <v>0</v>
      </c>
      <c r="I30" s="573">
        <f>SECT_TERAC.!W50</f>
        <v>123.92507461299536</v>
      </c>
      <c r="J30" s="570">
        <v>0</v>
      </c>
      <c r="K30" s="573">
        <v>0</v>
      </c>
      <c r="L30" s="731">
        <f>SUM(C30:K30)</f>
        <v>49621.479363592342</v>
      </c>
      <c r="M30" s="573">
        <v>0</v>
      </c>
      <c r="N30" s="570">
        <f>SECT_TERAC.!H49</f>
        <v>0.43379105000000001</v>
      </c>
      <c r="O30" s="573">
        <v>0</v>
      </c>
      <c r="P30" s="570">
        <v>0</v>
      </c>
      <c r="Q30" s="573">
        <f>SECT_TERAC.!C50</f>
        <v>779.46365429999992</v>
      </c>
      <c r="R30" s="570">
        <f>SECT_TERAC.!D50</f>
        <v>116.14339747500003</v>
      </c>
      <c r="S30" s="573">
        <f>SECT_TERAC.!P50</f>
        <v>5588.9669552500009</v>
      </c>
      <c r="T30" s="570">
        <v>0</v>
      </c>
      <c r="U30" s="573">
        <f>SECT_TERAC.!R37+SECT_TERAC.!S37+SECT_TERAC.!L50</f>
        <v>0</v>
      </c>
      <c r="V30" s="570">
        <v>0</v>
      </c>
      <c r="W30" s="573">
        <v>0</v>
      </c>
      <c r="X30" s="570">
        <f>SUM(M30:W30)</f>
        <v>6485.0077980750011</v>
      </c>
      <c r="Y30" s="723">
        <f>X30+L30</f>
        <v>56106.487161667341</v>
      </c>
      <c r="Z30" s="70"/>
    </row>
    <row r="31" spans="1:38">
      <c r="A31" s="1334"/>
      <c r="B31" s="702"/>
      <c r="C31" s="573"/>
      <c r="D31" s="570"/>
      <c r="E31" s="573"/>
      <c r="F31" s="570"/>
      <c r="G31" s="573"/>
      <c r="H31" s="570"/>
      <c r="I31" s="573"/>
      <c r="J31" s="570"/>
      <c r="K31" s="573"/>
      <c r="L31" s="731"/>
      <c r="M31" s="573"/>
      <c r="N31" s="570"/>
      <c r="O31" s="573"/>
      <c r="P31" s="570"/>
      <c r="Q31" s="573"/>
      <c r="R31" s="570"/>
      <c r="S31" s="573"/>
      <c r="T31" s="570"/>
      <c r="U31" s="573"/>
      <c r="V31" s="570"/>
      <c r="W31" s="573"/>
      <c r="X31" s="570"/>
      <c r="Y31" s="723"/>
      <c r="Z31" s="70"/>
    </row>
    <row r="32" spans="1:38" s="904" customFormat="1" ht="11.25">
      <c r="A32" s="1334"/>
      <c r="B32" s="749" t="s">
        <v>573</v>
      </c>
      <c r="C32" s="750">
        <v>0</v>
      </c>
      <c r="D32" s="751">
        <v>0</v>
      </c>
      <c r="E32" s="750">
        <v>0</v>
      </c>
      <c r="F32" s="751">
        <f>F30</f>
        <v>0</v>
      </c>
      <c r="G32" s="750">
        <v>0</v>
      </c>
      <c r="H32" s="751">
        <v>0</v>
      </c>
      <c r="I32" s="750">
        <v>0</v>
      </c>
      <c r="J32" s="751">
        <v>0</v>
      </c>
      <c r="K32" s="750">
        <v>0</v>
      </c>
      <c r="L32" s="752">
        <v>0</v>
      </c>
      <c r="M32" s="750">
        <v>457.2</v>
      </c>
      <c r="N32" s="751">
        <v>0</v>
      </c>
      <c r="O32" s="751">
        <v>0</v>
      </c>
      <c r="P32" s="751">
        <v>0</v>
      </c>
      <c r="Q32" s="751">
        <v>0</v>
      </c>
      <c r="R32" s="751">
        <v>0</v>
      </c>
      <c r="S32" s="751">
        <v>0</v>
      </c>
      <c r="T32" s="751">
        <v>0</v>
      </c>
      <c r="U32" s="751">
        <v>0</v>
      </c>
      <c r="V32" s="751">
        <v>0</v>
      </c>
      <c r="W32" s="751">
        <v>0</v>
      </c>
      <c r="X32" s="751">
        <f>SUM(M32:W32)</f>
        <v>457.2</v>
      </c>
      <c r="Y32" s="755">
        <f>X32+L32</f>
        <v>457.2</v>
      </c>
      <c r="Z32" s="753"/>
      <c r="AA32" s="409"/>
      <c r="AB32" s="409"/>
      <c r="AC32" s="409"/>
      <c r="AD32" s="409"/>
      <c r="AE32" s="409"/>
      <c r="AF32" s="409"/>
      <c r="AG32" s="409"/>
      <c r="AH32" s="409"/>
      <c r="AI32" s="409"/>
      <c r="AJ32" s="409"/>
      <c r="AK32" s="409"/>
      <c r="AL32" s="409"/>
    </row>
    <row r="33" spans="1:38" s="904" customFormat="1" ht="11.25">
      <c r="A33" s="1334"/>
      <c r="B33" s="749"/>
      <c r="C33" s="750"/>
      <c r="D33" s="751"/>
      <c r="E33" s="750"/>
      <c r="F33" s="754"/>
      <c r="G33" s="750"/>
      <c r="H33" s="751"/>
      <c r="I33" s="750"/>
      <c r="J33" s="751"/>
      <c r="K33" s="750"/>
      <c r="L33" s="752"/>
      <c r="M33" s="750"/>
      <c r="N33" s="751"/>
      <c r="O33" s="751"/>
      <c r="P33" s="751"/>
      <c r="Q33" s="751"/>
      <c r="R33" s="751"/>
      <c r="S33" s="751"/>
      <c r="T33" s="751"/>
      <c r="U33" s="751"/>
      <c r="V33" s="751"/>
      <c r="W33" s="751"/>
      <c r="X33" s="751"/>
      <c r="Y33" s="752"/>
      <c r="Z33" s="753"/>
      <c r="AA33" s="409"/>
      <c r="AB33" s="409"/>
      <c r="AC33" s="409"/>
      <c r="AD33" s="409"/>
      <c r="AE33" s="409"/>
      <c r="AF33" s="409"/>
      <c r="AG33" s="409"/>
      <c r="AH33" s="409"/>
      <c r="AI33" s="409"/>
      <c r="AJ33" s="409"/>
      <c r="AK33" s="409"/>
      <c r="AL33" s="409"/>
    </row>
    <row r="34" spans="1:38" s="904" customFormat="1" ht="11.25">
      <c r="A34" s="1334"/>
      <c r="B34" s="749" t="s">
        <v>574</v>
      </c>
      <c r="C34" s="750">
        <f>C30</f>
        <v>0</v>
      </c>
      <c r="D34" s="751">
        <f t="shared" ref="D34:L34" si="0">D30</f>
        <v>31781.28655592446</v>
      </c>
      <c r="E34" s="750">
        <f t="shared" si="0"/>
        <v>17716.267733054887</v>
      </c>
      <c r="F34" s="751">
        <v>0</v>
      </c>
      <c r="G34" s="750">
        <f t="shared" si="0"/>
        <v>0</v>
      </c>
      <c r="H34" s="751">
        <f t="shared" si="0"/>
        <v>0</v>
      </c>
      <c r="I34" s="750">
        <f t="shared" si="0"/>
        <v>123.92507461299536</v>
      </c>
      <c r="J34" s="751">
        <f t="shared" si="0"/>
        <v>0</v>
      </c>
      <c r="K34" s="750">
        <f t="shared" si="0"/>
        <v>0</v>
      </c>
      <c r="L34" s="752">
        <f t="shared" si="0"/>
        <v>49621.479363592342</v>
      </c>
      <c r="M34" s="750">
        <v>0</v>
      </c>
      <c r="N34" s="751">
        <f>N30</f>
        <v>0.43379105000000001</v>
      </c>
      <c r="O34" s="751">
        <f t="shared" ref="O34:W34" si="1">O30</f>
        <v>0</v>
      </c>
      <c r="P34" s="751">
        <f t="shared" si="1"/>
        <v>0</v>
      </c>
      <c r="Q34" s="751">
        <f t="shared" si="1"/>
        <v>779.46365429999992</v>
      </c>
      <c r="R34" s="751">
        <f t="shared" si="1"/>
        <v>116.14339747500003</v>
      </c>
      <c r="S34" s="751">
        <f t="shared" si="1"/>
        <v>5588.9669552500009</v>
      </c>
      <c r="T34" s="751">
        <f t="shared" si="1"/>
        <v>0</v>
      </c>
      <c r="U34" s="751">
        <f t="shared" si="1"/>
        <v>0</v>
      </c>
      <c r="V34" s="751">
        <f t="shared" si="1"/>
        <v>0</v>
      </c>
      <c r="W34" s="751">
        <f t="shared" si="1"/>
        <v>0</v>
      </c>
      <c r="X34" s="751">
        <f>SUM(M34:W34)</f>
        <v>6485.0077980750011</v>
      </c>
      <c r="Y34" s="755">
        <f>X34+L34</f>
        <v>56106.487161667341</v>
      </c>
      <c r="Z34" s="753"/>
      <c r="AA34" s="409"/>
      <c r="AB34" s="409"/>
      <c r="AC34" s="409"/>
      <c r="AD34" s="409"/>
      <c r="AE34" s="409"/>
      <c r="AF34" s="409"/>
      <c r="AG34" s="409"/>
      <c r="AH34" s="409"/>
      <c r="AI34" s="409"/>
      <c r="AJ34" s="409"/>
      <c r="AK34" s="409"/>
      <c r="AL34" s="409"/>
    </row>
    <row r="35" spans="1:38">
      <c r="A35" s="1334"/>
      <c r="B35" s="702"/>
      <c r="C35" s="573"/>
      <c r="D35" s="570"/>
      <c r="E35" s="573"/>
      <c r="F35" s="570"/>
      <c r="G35" s="573"/>
      <c r="H35" s="570"/>
      <c r="I35" s="573"/>
      <c r="J35" s="570"/>
      <c r="K35" s="573"/>
      <c r="L35" s="731"/>
      <c r="M35" s="573"/>
      <c r="N35" s="570"/>
      <c r="O35" s="573"/>
      <c r="P35" s="570"/>
      <c r="Q35" s="573"/>
      <c r="R35" s="570"/>
      <c r="S35" s="573"/>
      <c r="T35" s="570"/>
      <c r="U35" s="573"/>
      <c r="V35" s="570"/>
      <c r="W35" s="573"/>
      <c r="X35" s="570"/>
      <c r="Y35" s="723"/>
      <c r="Z35" s="22"/>
    </row>
    <row r="36" spans="1:38">
      <c r="A36" s="1334"/>
      <c r="B36" s="702" t="s">
        <v>338</v>
      </c>
      <c r="C36" s="573">
        <v>0</v>
      </c>
      <c r="D36" s="570">
        <f>SECT_TERAC.!T49</f>
        <v>475.36879568800003</v>
      </c>
      <c r="E36" s="573">
        <f>SECT_TERAC.!O49</f>
        <v>85.131494662607835</v>
      </c>
      <c r="F36" s="570">
        <v>0</v>
      </c>
      <c r="G36" s="573">
        <v>0</v>
      </c>
      <c r="H36" s="570">
        <v>0</v>
      </c>
      <c r="I36" s="573">
        <f>SECT_TERAC.!W49</f>
        <v>4391.4619999587903</v>
      </c>
      <c r="J36" s="570">
        <v>0</v>
      </c>
      <c r="K36" s="573">
        <v>0</v>
      </c>
      <c r="L36" s="731">
        <f>SUM(C36:K36)</f>
        <v>4951.9622903093987</v>
      </c>
      <c r="M36" s="573">
        <v>0</v>
      </c>
      <c r="N36" s="570">
        <f>SECT_TERAC.!H50</f>
        <v>1.0579017900000001</v>
      </c>
      <c r="O36" s="573">
        <v>0</v>
      </c>
      <c r="P36" s="570">
        <v>0</v>
      </c>
      <c r="Q36" s="573">
        <f>SECT_TERAC.!C49</f>
        <v>162.75657587039322</v>
      </c>
      <c r="R36" s="570">
        <f>SECT_TERAC.!D49</f>
        <v>795.75700736002921</v>
      </c>
      <c r="S36" s="573">
        <f>SECT_TERAC.!P49</f>
        <v>0</v>
      </c>
      <c r="T36" s="570">
        <v>0</v>
      </c>
      <c r="U36" s="573">
        <f>SECT_TERAC.!L49+SECT_TERAC.!R36+SECT_TERAC.!S36</f>
        <v>86.544364999999985</v>
      </c>
      <c r="V36" s="570">
        <v>0</v>
      </c>
      <c r="W36" s="573">
        <v>0</v>
      </c>
      <c r="X36" s="570">
        <f>SUM(M36:W36)</f>
        <v>1046.1158500204224</v>
      </c>
      <c r="Y36" s="723">
        <f>X36+L36</f>
        <v>5998.0781403298206</v>
      </c>
      <c r="Z36" s="70"/>
    </row>
    <row r="37" spans="1:38">
      <c r="A37" s="1334"/>
      <c r="B37" s="702"/>
      <c r="C37" s="573"/>
      <c r="D37" s="570"/>
      <c r="E37" s="573"/>
      <c r="F37" s="570"/>
      <c r="G37" s="573"/>
      <c r="H37" s="570"/>
      <c r="I37" s="573"/>
      <c r="J37" s="570"/>
      <c r="K37" s="573"/>
      <c r="L37" s="731"/>
      <c r="M37" s="573"/>
      <c r="N37" s="570"/>
      <c r="O37" s="573"/>
      <c r="P37" s="570"/>
      <c r="Q37" s="573"/>
      <c r="R37" s="570"/>
      <c r="S37" s="573"/>
      <c r="T37" s="570"/>
      <c r="U37" s="573"/>
      <c r="V37" s="570"/>
      <c r="W37" s="573"/>
      <c r="X37" s="570"/>
      <c r="Y37" s="723"/>
      <c r="Z37" s="22"/>
    </row>
    <row r="38" spans="1:38">
      <c r="A38" s="1334"/>
      <c r="B38" s="702" t="s">
        <v>339</v>
      </c>
      <c r="C38" s="573">
        <v>0</v>
      </c>
      <c r="D38" s="570">
        <v>0</v>
      </c>
      <c r="E38" s="571">
        <v>0</v>
      </c>
      <c r="F38" s="570">
        <v>0</v>
      </c>
      <c r="G38" s="573">
        <v>0</v>
      </c>
      <c r="H38" s="570">
        <v>0</v>
      </c>
      <c r="I38" s="573">
        <v>0</v>
      </c>
      <c r="J38" s="570">
        <v>0</v>
      </c>
      <c r="K38" s="573">
        <v>0</v>
      </c>
      <c r="L38" s="731">
        <f>SUM(C38:K38)</f>
        <v>0</v>
      </c>
      <c r="M38" s="573">
        <v>0</v>
      </c>
      <c r="N38" s="570">
        <v>0</v>
      </c>
      <c r="O38" s="573">
        <v>0</v>
      </c>
      <c r="P38" s="570">
        <v>0</v>
      </c>
      <c r="Q38" s="573">
        <v>0</v>
      </c>
      <c r="R38" s="570">
        <v>0</v>
      </c>
      <c r="S38" s="571">
        <v>0</v>
      </c>
      <c r="T38" s="570">
        <v>0</v>
      </c>
      <c r="U38" s="573">
        <v>0</v>
      </c>
      <c r="V38" s="570">
        <v>0</v>
      </c>
      <c r="W38" s="573">
        <v>0</v>
      </c>
      <c r="X38" s="570">
        <f>SUM(M38:W38)</f>
        <v>0</v>
      </c>
      <c r="Y38" s="723">
        <f>X38+L38</f>
        <v>0</v>
      </c>
      <c r="Z38" s="70"/>
    </row>
    <row r="39" spans="1:38">
      <c r="A39" s="1334"/>
      <c r="B39" s="702"/>
      <c r="C39" s="573"/>
      <c r="D39" s="570"/>
      <c r="E39" s="573"/>
      <c r="F39" s="570"/>
      <c r="G39" s="573"/>
      <c r="H39" s="570"/>
      <c r="I39" s="573"/>
      <c r="J39" s="570"/>
      <c r="K39" s="573"/>
      <c r="L39" s="731"/>
      <c r="M39" s="573"/>
      <c r="N39" s="570"/>
      <c r="O39" s="573"/>
      <c r="P39" s="570"/>
      <c r="Q39" s="573"/>
      <c r="R39" s="570"/>
      <c r="S39" s="573"/>
      <c r="T39" s="570"/>
      <c r="U39" s="573"/>
      <c r="V39" s="570"/>
      <c r="W39" s="573"/>
      <c r="X39" s="570"/>
      <c r="Y39" s="723"/>
      <c r="Z39" s="22"/>
    </row>
    <row r="40" spans="1:38">
      <c r="A40" s="1334"/>
      <c r="B40" s="702" t="s">
        <v>340</v>
      </c>
      <c r="C40" s="573">
        <v>0</v>
      </c>
      <c r="D40" s="570">
        <v>0</v>
      </c>
      <c r="E40" s="573">
        <f>CUADRO10!F18</f>
        <v>0</v>
      </c>
      <c r="F40" s="570">
        <v>0</v>
      </c>
      <c r="G40" s="573">
        <v>0</v>
      </c>
      <c r="H40" s="570">
        <v>0</v>
      </c>
      <c r="I40" s="573">
        <v>0</v>
      </c>
      <c r="J40" s="570">
        <v>0</v>
      </c>
      <c r="K40" s="573">
        <v>0</v>
      </c>
      <c r="L40" s="731">
        <f>SUM(C40:K40)</f>
        <v>0</v>
      </c>
      <c r="M40" s="573">
        <v>0</v>
      </c>
      <c r="N40" s="570">
        <v>0</v>
      </c>
      <c r="O40" s="573">
        <v>0</v>
      </c>
      <c r="P40" s="570">
        <v>0</v>
      </c>
      <c r="Q40" s="573">
        <v>0</v>
      </c>
      <c r="R40" s="570">
        <v>0</v>
      </c>
      <c r="S40" s="573">
        <v>0</v>
      </c>
      <c r="T40" s="570">
        <v>0</v>
      </c>
      <c r="U40" s="573">
        <v>0</v>
      </c>
      <c r="V40" s="570">
        <v>0</v>
      </c>
      <c r="W40" s="573">
        <v>0</v>
      </c>
      <c r="X40" s="570">
        <f>SUM(M40:W40)</f>
        <v>0</v>
      </c>
      <c r="Y40" s="723">
        <f>X40+L40</f>
        <v>0</v>
      </c>
      <c r="Z40" s="70"/>
    </row>
    <row r="41" spans="1:38">
      <c r="A41" s="1334"/>
      <c r="B41" s="702"/>
      <c r="C41" s="573"/>
      <c r="D41" s="570"/>
      <c r="E41" s="573"/>
      <c r="F41" s="570"/>
      <c r="G41" s="573"/>
      <c r="H41" s="570"/>
      <c r="I41" s="573"/>
      <c r="J41" s="570"/>
      <c r="K41" s="573"/>
      <c r="L41" s="731"/>
      <c r="M41" s="573"/>
      <c r="N41" s="570"/>
      <c r="O41" s="573"/>
      <c r="P41" s="570"/>
      <c r="Q41" s="573"/>
      <c r="R41" s="570"/>
      <c r="S41" s="573"/>
      <c r="T41" s="570"/>
      <c r="U41" s="573"/>
      <c r="V41" s="570"/>
      <c r="W41" s="573"/>
      <c r="X41" s="570"/>
      <c r="Y41" s="723"/>
      <c r="Z41" s="22"/>
    </row>
    <row r="42" spans="1:38">
      <c r="A42" s="1334"/>
      <c r="B42" s="702" t="s">
        <v>341</v>
      </c>
      <c r="C42" s="573">
        <v>0</v>
      </c>
      <c r="D42" s="570">
        <v>0</v>
      </c>
      <c r="E42" s="573">
        <f>CUADRO10!D18</f>
        <v>5082.796800000001</v>
      </c>
      <c r="F42" s="570">
        <v>0</v>
      </c>
      <c r="G42" s="573">
        <v>0</v>
      </c>
      <c r="H42" s="570">
        <v>0</v>
      </c>
      <c r="I42" s="573">
        <v>0</v>
      </c>
      <c r="J42" s="570">
        <v>0</v>
      </c>
      <c r="K42" s="573">
        <v>0</v>
      </c>
      <c r="L42" s="731">
        <f>SUM(C42:K42)</f>
        <v>5082.796800000001</v>
      </c>
      <c r="M42" s="573">
        <v>0</v>
      </c>
      <c r="N42" s="570">
        <f>CUADRO10!D14</f>
        <v>27.668561800000006</v>
      </c>
      <c r="O42" s="573">
        <v>0</v>
      </c>
      <c r="P42" s="570">
        <v>0</v>
      </c>
      <c r="Q42" s="573">
        <v>0</v>
      </c>
      <c r="R42" s="570">
        <v>0</v>
      </c>
      <c r="S42" s="573">
        <f>CUADRO10!D20</f>
        <v>2033.3929999999996</v>
      </c>
      <c r="T42" s="570">
        <v>0</v>
      </c>
      <c r="U42" s="573">
        <v>0</v>
      </c>
      <c r="V42" s="570">
        <v>0</v>
      </c>
      <c r="W42" s="573">
        <v>0</v>
      </c>
      <c r="X42" s="570">
        <f>SUM(M42:W42)</f>
        <v>2061.0615617999997</v>
      </c>
      <c r="Y42" s="723">
        <f>X42+L42</f>
        <v>7143.8583618000011</v>
      </c>
      <c r="Z42" s="70"/>
    </row>
    <row r="43" spans="1:38">
      <c r="A43" s="1334"/>
      <c r="B43" s="702"/>
      <c r="C43" s="573"/>
      <c r="D43" s="570"/>
      <c r="E43" s="573"/>
      <c r="F43" s="570"/>
      <c r="G43" s="573"/>
      <c r="H43" s="570"/>
      <c r="I43" s="573"/>
      <c r="J43" s="570"/>
      <c r="K43" s="573"/>
      <c r="L43" s="731"/>
      <c r="M43" s="573"/>
      <c r="N43" s="570"/>
      <c r="O43" s="573"/>
      <c r="P43" s="570"/>
      <c r="Q43" s="573"/>
      <c r="R43" s="570"/>
      <c r="S43" s="573"/>
      <c r="T43" s="570"/>
      <c r="U43" s="573"/>
      <c r="V43" s="570"/>
      <c r="W43" s="573"/>
      <c r="X43" s="570"/>
      <c r="Y43" s="723"/>
      <c r="Z43" s="22"/>
    </row>
    <row r="44" spans="1:38">
      <c r="A44" s="1334"/>
      <c r="B44" s="702" t="s">
        <v>343</v>
      </c>
      <c r="C44" s="573">
        <v>0</v>
      </c>
      <c r="D44" s="570">
        <v>0</v>
      </c>
      <c r="E44" s="573">
        <v>0</v>
      </c>
      <c r="F44" s="570">
        <v>0</v>
      </c>
      <c r="G44" s="573">
        <v>0</v>
      </c>
      <c r="H44" s="570">
        <v>0</v>
      </c>
      <c r="I44" s="573">
        <v>0</v>
      </c>
      <c r="J44" s="570">
        <v>0</v>
      </c>
      <c r="K44" s="573">
        <v>0</v>
      </c>
      <c r="L44" s="731">
        <f>SUM(C44:K44)</f>
        <v>0</v>
      </c>
      <c r="M44" s="573">
        <v>0</v>
      </c>
      <c r="N44" s="570">
        <v>0</v>
      </c>
      <c r="O44" s="573">
        <v>0</v>
      </c>
      <c r="P44" s="570">
        <v>0</v>
      </c>
      <c r="Q44" s="573">
        <v>0</v>
      </c>
      <c r="R44" s="570">
        <v>0</v>
      </c>
      <c r="S44" s="573">
        <v>0</v>
      </c>
      <c r="T44" s="570">
        <v>0</v>
      </c>
      <c r="U44" s="573">
        <v>0</v>
      </c>
      <c r="V44" s="570">
        <v>0</v>
      </c>
      <c r="W44" s="573">
        <v>0</v>
      </c>
      <c r="X44" s="570">
        <f>SUM(M44:W44)</f>
        <v>0</v>
      </c>
      <c r="Y44" s="723">
        <f>X44+L44</f>
        <v>0</v>
      </c>
      <c r="Z44" s="70"/>
    </row>
    <row r="45" spans="1:38">
      <c r="A45" s="1334"/>
      <c r="B45" s="702"/>
      <c r="C45" s="573"/>
      <c r="D45" s="570"/>
      <c r="E45" s="573"/>
      <c r="F45" s="570"/>
      <c r="G45" s="573"/>
      <c r="H45" s="570"/>
      <c r="I45" s="573"/>
      <c r="J45" s="570"/>
      <c r="K45" s="573"/>
      <c r="L45" s="731"/>
      <c r="M45" s="573"/>
      <c r="N45" s="570"/>
      <c r="O45" s="573"/>
      <c r="P45" s="570"/>
      <c r="Q45" s="573"/>
      <c r="R45" s="570"/>
      <c r="S45" s="573"/>
      <c r="T45" s="570"/>
      <c r="U45" s="573"/>
      <c r="V45" s="570"/>
      <c r="W45" s="573"/>
      <c r="X45" s="570"/>
      <c r="Y45" s="723"/>
      <c r="Z45" s="22"/>
    </row>
    <row r="46" spans="1:38">
      <c r="A46" s="1334"/>
      <c r="B46" s="702" t="s">
        <v>344</v>
      </c>
      <c r="C46" s="573">
        <v>0</v>
      </c>
      <c r="D46" s="570">
        <f>CUADRO10!G22</f>
        <v>24785.521033810026</v>
      </c>
      <c r="E46" s="573">
        <v>0</v>
      </c>
      <c r="F46" s="570">
        <v>0</v>
      </c>
      <c r="G46" s="573">
        <v>0</v>
      </c>
      <c r="H46" s="570">
        <v>0</v>
      </c>
      <c r="I46" s="573">
        <v>0</v>
      </c>
      <c r="J46" s="570">
        <v>0</v>
      </c>
      <c r="K46" s="573">
        <v>0</v>
      </c>
      <c r="L46" s="731">
        <f>SUM(C46:K46)</f>
        <v>24785.521033810026</v>
      </c>
      <c r="M46" s="573">
        <v>0</v>
      </c>
      <c r="N46" s="570">
        <v>0</v>
      </c>
      <c r="O46" s="573">
        <v>0</v>
      </c>
      <c r="P46" s="570">
        <v>0</v>
      </c>
      <c r="Q46" s="573">
        <v>0</v>
      </c>
      <c r="R46" s="570">
        <v>0</v>
      </c>
      <c r="S46" s="573">
        <v>0</v>
      </c>
      <c r="T46" s="570">
        <v>0</v>
      </c>
      <c r="U46" s="573">
        <v>0</v>
      </c>
      <c r="V46" s="570">
        <v>0</v>
      </c>
      <c r="W46" s="573">
        <v>0</v>
      </c>
      <c r="X46" s="570">
        <f>SUM(M46:W46)</f>
        <v>0</v>
      </c>
      <c r="Y46" s="723">
        <f>X46+L46</f>
        <v>24785.521033810026</v>
      </c>
      <c r="Z46" s="70"/>
    </row>
    <row r="47" spans="1:38" ht="13.5" thickBot="1">
      <c r="A47" s="1335"/>
      <c r="B47" s="703"/>
      <c r="C47" s="573"/>
      <c r="D47" s="570"/>
      <c r="E47" s="573"/>
      <c r="F47" s="570"/>
      <c r="G47" s="573"/>
      <c r="H47" s="570"/>
      <c r="I47" s="573"/>
      <c r="J47" s="570"/>
      <c r="K47" s="573"/>
      <c r="L47" s="726"/>
      <c r="M47" s="710"/>
      <c r="N47" s="724"/>
      <c r="O47" s="710"/>
      <c r="P47" s="724"/>
      <c r="Q47" s="710"/>
      <c r="R47" s="724"/>
      <c r="S47" s="710"/>
      <c r="T47" s="724"/>
      <c r="U47" s="710"/>
      <c r="V47" s="724"/>
      <c r="W47" s="710"/>
      <c r="X47" s="724"/>
      <c r="Y47" s="725"/>
      <c r="Z47" s="70"/>
    </row>
    <row r="48" spans="1:38" ht="13.5" thickBot="1">
      <c r="A48" s="716"/>
      <c r="B48" s="703" t="s">
        <v>345</v>
      </c>
      <c r="C48" s="1253">
        <f>C28</f>
        <v>0</v>
      </c>
      <c r="D48" s="734">
        <f>SUM(D28:D46)-D32-D34</f>
        <v>59271.729617159181</v>
      </c>
      <c r="E48" s="734">
        <f t="shared" ref="E48:Y48" si="2">SUM(E28:E46)-E32-E34</f>
        <v>22884.196027717499</v>
      </c>
      <c r="F48" s="734">
        <f t="shared" si="2"/>
        <v>0</v>
      </c>
      <c r="G48" s="1255">
        <f t="shared" si="2"/>
        <v>0</v>
      </c>
      <c r="H48" s="734">
        <f t="shared" si="2"/>
        <v>0</v>
      </c>
      <c r="I48" s="743">
        <f t="shared" si="2"/>
        <v>4515.3870745717859</v>
      </c>
      <c r="J48" s="734">
        <f t="shared" si="2"/>
        <v>0</v>
      </c>
      <c r="K48" s="1254">
        <f t="shared" si="2"/>
        <v>0</v>
      </c>
      <c r="L48" s="1247">
        <f t="shared" si="2"/>
        <v>86671.31271944844</v>
      </c>
      <c r="M48" s="726">
        <f t="shared" si="2"/>
        <v>0</v>
      </c>
      <c r="N48" s="726">
        <f t="shared" si="2"/>
        <v>29.160254640000005</v>
      </c>
      <c r="O48" s="726">
        <f t="shared" si="2"/>
        <v>0</v>
      </c>
      <c r="P48" s="726">
        <f t="shared" si="2"/>
        <v>0</v>
      </c>
      <c r="Q48" s="726">
        <f t="shared" si="2"/>
        <v>942.22023017039305</v>
      </c>
      <c r="R48" s="726">
        <f t="shared" si="2"/>
        <v>911.90040483502912</v>
      </c>
      <c r="S48" s="726">
        <f t="shared" si="2"/>
        <v>7622.3599552500009</v>
      </c>
      <c r="T48" s="726">
        <f t="shared" si="2"/>
        <v>0</v>
      </c>
      <c r="U48" s="726">
        <f t="shared" si="2"/>
        <v>86.544364999999985</v>
      </c>
      <c r="V48" s="726">
        <f t="shared" si="2"/>
        <v>0</v>
      </c>
      <c r="W48" s="726">
        <f t="shared" si="2"/>
        <v>0</v>
      </c>
      <c r="X48" s="726">
        <f t="shared" si="2"/>
        <v>9592.1852098954241</v>
      </c>
      <c r="Y48" s="726">
        <f t="shared" si="2"/>
        <v>96263.497929343837</v>
      </c>
      <c r="Z48" s="70"/>
    </row>
    <row r="49" spans="1:27">
      <c r="A49" s="744"/>
      <c r="B49" s="1256"/>
      <c r="C49" s="1257"/>
      <c r="D49" s="727"/>
      <c r="E49" s="711"/>
      <c r="F49" s="727"/>
      <c r="G49" s="711"/>
      <c r="H49" s="727"/>
      <c r="I49" s="711"/>
      <c r="J49" s="727"/>
      <c r="K49" s="1248"/>
      <c r="L49" s="1245"/>
      <c r="M49" s="711"/>
      <c r="N49" s="727"/>
      <c r="O49" s="711"/>
      <c r="P49" s="727"/>
      <c r="Q49" s="711"/>
      <c r="R49" s="727"/>
      <c r="S49" s="711"/>
      <c r="T49" s="727"/>
      <c r="U49" s="711"/>
      <c r="V49" s="727"/>
      <c r="W49" s="711"/>
      <c r="X49" s="727"/>
      <c r="Y49" s="728"/>
      <c r="Z49" s="70"/>
    </row>
    <row r="50" spans="1:27">
      <c r="A50" s="744"/>
      <c r="B50" s="1243" t="s">
        <v>346</v>
      </c>
      <c r="C50" s="857">
        <v>0</v>
      </c>
      <c r="D50" s="570">
        <f>SECT_TERAC.!T44</f>
        <v>5157.322722770331</v>
      </c>
      <c r="E50" s="573">
        <f>SECT_TERAC.!O44</f>
        <v>6.9009904999999989</v>
      </c>
      <c r="F50" s="570">
        <v>0</v>
      </c>
      <c r="G50" s="573">
        <v>0</v>
      </c>
      <c r="H50" s="570">
        <v>0</v>
      </c>
      <c r="I50" s="573">
        <v>0</v>
      </c>
      <c r="J50" s="570">
        <v>0</v>
      </c>
      <c r="K50" s="1249">
        <v>0</v>
      </c>
      <c r="L50" s="731">
        <f>SUM(C50:K50)</f>
        <v>5164.2237132703312</v>
      </c>
      <c r="M50" s="573">
        <f>SECT_TERAC.!N44</f>
        <v>1858.5513414212944</v>
      </c>
      <c r="N50" s="570">
        <f>SECT_TERAC.!H44</f>
        <v>314.34043079999998</v>
      </c>
      <c r="O50" s="573">
        <v>0</v>
      </c>
      <c r="P50" s="570">
        <f>SECT_TERAC.!J44+SECT_TERAC.!G44</f>
        <v>0.2571426</v>
      </c>
      <c r="Q50" s="573">
        <f>SECT_TERAC.!C44</f>
        <v>22.881066490799999</v>
      </c>
      <c r="R50" s="570">
        <f>SECT_TERAC.!D44</f>
        <v>219.743685</v>
      </c>
      <c r="S50" s="573">
        <v>0</v>
      </c>
      <c r="T50" s="570">
        <v>0</v>
      </c>
      <c r="U50" s="573">
        <f>SECT_TERAC.!L44+SECT_TERAC.!R44+SECT_TERAC.!S44</f>
        <v>3695.8955471196782</v>
      </c>
      <c r="V50" s="570">
        <f>SECT_TERAC.!K44+SECT_TERAC.!U44+SECT_TERAC.!Q44</f>
        <v>2140.8573729999998</v>
      </c>
      <c r="W50" s="573">
        <v>0</v>
      </c>
      <c r="X50" s="570">
        <f>SUM(M50:W50)</f>
        <v>8252.5265864317735</v>
      </c>
      <c r="Y50" s="723">
        <f>X50+L50</f>
        <v>13416.750299702104</v>
      </c>
      <c r="Z50" s="70"/>
    </row>
    <row r="51" spans="1:27">
      <c r="A51" s="744"/>
      <c r="B51" s="1243" t="s">
        <v>347</v>
      </c>
      <c r="C51" s="857">
        <v>0</v>
      </c>
      <c r="D51" s="570">
        <f>CUADRO3!E32</f>
        <v>733.92237000002933</v>
      </c>
      <c r="E51" s="573">
        <v>0</v>
      </c>
      <c r="F51" s="570">
        <v>0</v>
      </c>
      <c r="G51" s="573">
        <v>0</v>
      </c>
      <c r="H51" s="570">
        <v>0</v>
      </c>
      <c r="I51" s="573">
        <v>0</v>
      </c>
      <c r="J51" s="570">
        <v>0</v>
      </c>
      <c r="K51" s="1249">
        <v>0</v>
      </c>
      <c r="L51" s="731">
        <f>SUM(C51:K51)</f>
        <v>733.92237000002933</v>
      </c>
      <c r="M51" s="573">
        <f>CUADRO4!F33</f>
        <v>3469.5569740296719</v>
      </c>
      <c r="N51" s="570">
        <v>0</v>
      </c>
      <c r="O51" s="573">
        <v>0</v>
      </c>
      <c r="P51" s="570">
        <v>0</v>
      </c>
      <c r="Q51" s="573">
        <v>0</v>
      </c>
      <c r="R51" s="570">
        <v>0</v>
      </c>
      <c r="S51" s="573">
        <v>0</v>
      </c>
      <c r="T51" s="570">
        <v>0</v>
      </c>
      <c r="U51" s="573">
        <v>0</v>
      </c>
      <c r="V51" s="570">
        <v>0</v>
      </c>
      <c r="W51" s="573">
        <v>0</v>
      </c>
      <c r="X51" s="570">
        <f>SUM(M51:W51)</f>
        <v>3469.5569740296719</v>
      </c>
      <c r="Y51" s="723">
        <f>X51+L51</f>
        <v>4203.4793440297017</v>
      </c>
      <c r="Z51" s="70"/>
      <c r="AA51" s="70"/>
    </row>
    <row r="52" spans="1:27" ht="13.5" thickBot="1">
      <c r="A52" s="716"/>
      <c r="B52" s="1244" t="s">
        <v>348</v>
      </c>
      <c r="C52" s="1252">
        <f t="shared" ref="C52:K52" si="3">C26-C48-C51-C70</f>
        <v>111713.75594921276</v>
      </c>
      <c r="D52" s="578">
        <f t="shared" si="3"/>
        <v>276.90079287198387</v>
      </c>
      <c r="E52" s="581">
        <f t="shared" si="3"/>
        <v>0.41300000000319415</v>
      </c>
      <c r="F52" s="578">
        <f t="shared" si="3"/>
        <v>18614.047888710153</v>
      </c>
      <c r="G52" s="581">
        <f t="shared" si="3"/>
        <v>0</v>
      </c>
      <c r="H52" s="578">
        <f t="shared" si="3"/>
        <v>0</v>
      </c>
      <c r="I52" s="581">
        <f t="shared" si="3"/>
        <v>0</v>
      </c>
      <c r="J52" s="578">
        <f t="shared" si="3"/>
        <v>0</v>
      </c>
      <c r="K52" s="1258">
        <f t="shared" si="3"/>
        <v>0</v>
      </c>
      <c r="L52" s="731">
        <f>SUM(C52:K52)</f>
        <v>130605.11763079489</v>
      </c>
      <c r="M52" s="710">
        <f>M26-M48-M51-M70+M22</f>
        <v>0</v>
      </c>
      <c r="N52" s="724">
        <f>N26-N48-N51-N70</f>
        <v>0</v>
      </c>
      <c r="O52" s="710">
        <f>O26-O48-O50-O51-O70</f>
        <v>0</v>
      </c>
      <c r="P52" s="724">
        <f>P26-P48-P51-P70</f>
        <v>8.9909999998781132E-2</v>
      </c>
      <c r="Q52" s="710">
        <f>Q26-Q48-Q51-Q70</f>
        <v>0</v>
      </c>
      <c r="R52" s="724">
        <f>R26-R48-R51-R70</f>
        <v>0</v>
      </c>
      <c r="S52" s="710">
        <f>S26-S48-S51-S70</f>
        <v>8.4839999985888426E-3</v>
      </c>
      <c r="T52" s="724">
        <f>T26-T48-T50-T51-T70</f>
        <v>0</v>
      </c>
      <c r="U52" s="710">
        <f>U26-U48-U51-U70</f>
        <v>0</v>
      </c>
      <c r="V52" s="724">
        <f>V26-V48-V51-V70</f>
        <v>0.26955988500003514</v>
      </c>
      <c r="W52" s="710">
        <f>W26-W48-W50-W51-W70</f>
        <v>0</v>
      </c>
      <c r="X52" s="570">
        <f>SUM(M52:W52)</f>
        <v>0.36795388499740511</v>
      </c>
      <c r="Y52" s="723">
        <f>X52+L52</f>
        <v>130605.48558467989</v>
      </c>
      <c r="Z52" s="70"/>
    </row>
    <row r="53" spans="1:27">
      <c r="A53" s="1333" t="s">
        <v>555</v>
      </c>
      <c r="B53" s="1256"/>
      <c r="C53" s="1251"/>
      <c r="D53" s="562"/>
      <c r="E53" s="565"/>
      <c r="F53" s="562"/>
      <c r="G53" s="565"/>
      <c r="H53" s="562"/>
      <c r="I53" s="565"/>
      <c r="J53" s="562"/>
      <c r="K53" s="1259"/>
      <c r="L53" s="1245"/>
      <c r="M53" s="711"/>
      <c r="N53" s="727"/>
      <c r="O53" s="711"/>
      <c r="P53" s="727"/>
      <c r="Q53" s="711"/>
      <c r="R53" s="727"/>
      <c r="S53" s="711"/>
      <c r="T53" s="727"/>
      <c r="U53" s="711"/>
      <c r="V53" s="727"/>
      <c r="W53" s="711"/>
      <c r="X53" s="727"/>
      <c r="Y53" s="728"/>
      <c r="Z53" s="70"/>
    </row>
    <row r="54" spans="1:27">
      <c r="A54" s="1334"/>
      <c r="B54" s="1243" t="s">
        <v>349</v>
      </c>
      <c r="C54" s="857">
        <v>0</v>
      </c>
      <c r="D54" s="570">
        <f>CUADRO5!C42</f>
        <v>293.82739268138204</v>
      </c>
      <c r="E54" s="573">
        <v>0</v>
      </c>
      <c r="F54" s="570">
        <v>0</v>
      </c>
      <c r="G54" s="573">
        <v>0</v>
      </c>
      <c r="H54" s="570">
        <v>0</v>
      </c>
      <c r="I54" s="573">
        <v>0</v>
      </c>
      <c r="J54" s="570">
        <v>0</v>
      </c>
      <c r="K54" s="1249">
        <v>0</v>
      </c>
      <c r="L54" s="1246">
        <f>SUM(C54:K54)</f>
        <v>293.82739268138204</v>
      </c>
      <c r="M54" s="573">
        <f>CUADRO5!C30</f>
        <v>200.23799765999999</v>
      </c>
      <c r="N54" s="570">
        <f>CUADRO5!C20</f>
        <v>19.104992500000002</v>
      </c>
      <c r="O54" s="573">
        <f>CUADRO5!C14+CUADRO5!C16+CUADRO5!C22</f>
        <v>23696.893908687998</v>
      </c>
      <c r="P54" s="570">
        <f>CUADRO5!C18+CUADRO5!C24</f>
        <v>6428.7658589400016</v>
      </c>
      <c r="Q54" s="573">
        <f>CUADRO5!C12</f>
        <v>31694.870622912</v>
      </c>
      <c r="R54" s="570">
        <f>CUADRO5!C10</f>
        <v>11125.202178846002</v>
      </c>
      <c r="S54" s="573">
        <v>0</v>
      </c>
      <c r="T54" s="570">
        <v>0</v>
      </c>
      <c r="U54" s="573">
        <v>0</v>
      </c>
      <c r="V54" s="570">
        <v>0</v>
      </c>
      <c r="W54" s="573">
        <v>0</v>
      </c>
      <c r="X54" s="570">
        <f>SUM(M54:W54)</f>
        <v>73165.075559545992</v>
      </c>
      <c r="Y54" s="723">
        <f>X54+L54</f>
        <v>73458.902952227378</v>
      </c>
      <c r="Z54" s="70"/>
    </row>
    <row r="55" spans="1:27">
      <c r="A55" s="1334"/>
      <c r="B55" s="1243"/>
      <c r="C55" s="857"/>
      <c r="D55" s="570"/>
      <c r="E55" s="573"/>
      <c r="F55" s="570"/>
      <c r="G55" s="573"/>
      <c r="H55" s="570"/>
      <c r="I55" s="573"/>
      <c r="J55" s="570"/>
      <c r="K55" s="1249"/>
      <c r="L55" s="1246"/>
      <c r="M55" s="573"/>
      <c r="N55" s="570"/>
      <c r="O55" s="573"/>
      <c r="P55" s="570"/>
      <c r="Q55" s="573"/>
      <c r="R55" s="570"/>
      <c r="S55" s="573"/>
      <c r="T55" s="570"/>
      <c r="U55" s="573"/>
      <c r="V55" s="570"/>
      <c r="W55" s="573"/>
      <c r="X55" s="570"/>
      <c r="Y55" s="723"/>
      <c r="Z55" s="22"/>
    </row>
    <row r="56" spans="1:27">
      <c r="A56" s="1334"/>
      <c r="B56" s="1243" t="s">
        <v>350</v>
      </c>
      <c r="C56" s="857">
        <v>0</v>
      </c>
      <c r="D56" s="570">
        <f>CUADRO5!D42</f>
        <v>10864.226700135794</v>
      </c>
      <c r="E56" s="573">
        <f>CUADRO5!D32</f>
        <v>5190.2183450767716</v>
      </c>
      <c r="F56" s="570">
        <v>0</v>
      </c>
      <c r="G56" s="573">
        <v>0</v>
      </c>
      <c r="H56" s="570">
        <v>0</v>
      </c>
      <c r="I56" s="573">
        <f>CUADRO5!D46</f>
        <v>9596.2198227862773</v>
      </c>
      <c r="J56" s="570">
        <v>0</v>
      </c>
      <c r="K56" s="1249">
        <v>0</v>
      </c>
      <c r="L56" s="1246">
        <f>SUM(C56:K56)</f>
        <v>25650.664867998843</v>
      </c>
      <c r="M56" s="573">
        <f>CUADRO5!D30</f>
        <v>27666.741884812778</v>
      </c>
      <c r="N56" s="570">
        <f>CUADRO5!D20</f>
        <v>1507.8519616600001</v>
      </c>
      <c r="O56" s="573">
        <f>CUADRO5!D14+CUADRO5!D16+CUADRO5!D22</f>
        <v>0</v>
      </c>
      <c r="P56" s="570">
        <f>CUADRO5!D18+CUADRO5!D24</f>
        <v>267.36608628000005</v>
      </c>
      <c r="Q56" s="573">
        <f>CUADRO5!D12</f>
        <v>15446.698071022802</v>
      </c>
      <c r="R56" s="570">
        <f>CUADRO5!D10</f>
        <v>4778.4418436649703</v>
      </c>
      <c r="S56" s="573">
        <f>CUADRO5!D34</f>
        <v>1997.303652000001</v>
      </c>
      <c r="T56" s="570">
        <v>0</v>
      </c>
      <c r="U56" s="573">
        <f>CUADRO5!D28+CUADRO5!D38+CUADRO5!D40</f>
        <v>1202.9885498119997</v>
      </c>
      <c r="V56" s="570">
        <f>CUADRO5!D26+CUADRO5!D36</f>
        <v>18.849343064999999</v>
      </c>
      <c r="W56" s="573">
        <v>0</v>
      </c>
      <c r="X56" s="570">
        <f>SUM(M56:W56)</f>
        <v>52886.241392317548</v>
      </c>
      <c r="Y56" s="723">
        <f>X56+L56</f>
        <v>78536.906260316391</v>
      </c>
      <c r="Z56" s="70"/>
    </row>
    <row r="57" spans="1:27">
      <c r="A57" s="1334"/>
      <c r="B57" s="1243"/>
      <c r="C57" s="857"/>
      <c r="D57" s="570"/>
      <c r="E57" s="573"/>
      <c r="F57" s="570"/>
      <c r="G57" s="573"/>
      <c r="H57" s="570"/>
      <c r="I57" s="573"/>
      <c r="J57" s="570"/>
      <c r="K57" s="1249"/>
      <c r="L57" s="1246"/>
      <c r="M57" s="573"/>
      <c r="N57" s="570"/>
      <c r="O57" s="573"/>
      <c r="P57" s="570"/>
      <c r="Q57" s="573"/>
      <c r="R57" s="570"/>
      <c r="S57" s="573"/>
      <c r="T57" s="570"/>
      <c r="U57" s="573"/>
      <c r="V57" s="570"/>
      <c r="W57" s="573"/>
      <c r="X57" s="570"/>
      <c r="Y57" s="723"/>
      <c r="Z57" s="22"/>
    </row>
    <row r="58" spans="1:27">
      <c r="A58" s="1334"/>
      <c r="B58" s="1243" t="s">
        <v>123</v>
      </c>
      <c r="C58" s="857">
        <v>0</v>
      </c>
      <c r="D58" s="570">
        <f>CUADRO8!E27</f>
        <v>3438.7154163247237</v>
      </c>
      <c r="E58" s="573">
        <f>CUADRO8!E23</f>
        <v>1.243347</v>
      </c>
      <c r="F58" s="570">
        <v>0</v>
      </c>
      <c r="G58" s="573">
        <v>0</v>
      </c>
      <c r="H58" s="570">
        <v>0</v>
      </c>
      <c r="I58" s="573">
        <f>CUADRO8!E29</f>
        <v>28922.415474093956</v>
      </c>
      <c r="J58" s="570">
        <v>0</v>
      </c>
      <c r="K58" s="1249">
        <v>0</v>
      </c>
      <c r="L58" s="1246">
        <f>SUM(C58:K58)</f>
        <v>32362.37423741868</v>
      </c>
      <c r="M58" s="573">
        <f>CUADRO8!E21</f>
        <v>6737.1462601291951</v>
      </c>
      <c r="N58" s="570">
        <f>CUADRO8!E17</f>
        <v>9168.6934581000005</v>
      </c>
      <c r="O58" s="573">
        <f>0</f>
        <v>0</v>
      </c>
      <c r="P58" s="570">
        <f>CUADRO8!E15</f>
        <v>801.69285464999996</v>
      </c>
      <c r="Q58" s="573">
        <f>CUADRO8!E13</f>
        <v>113.31026111999998</v>
      </c>
      <c r="R58" s="570">
        <f>CUADRO8!E11</f>
        <v>0.94414950000000009</v>
      </c>
      <c r="S58" s="573">
        <v>0</v>
      </c>
      <c r="T58" s="570">
        <v>0</v>
      </c>
      <c r="U58" s="573">
        <f>CUADRO8!E25</f>
        <v>111.11381450206302</v>
      </c>
      <c r="V58" s="570">
        <v>0</v>
      </c>
      <c r="W58" s="573">
        <v>0</v>
      </c>
      <c r="X58" s="570">
        <f>SUM(M58:W58)</f>
        <v>16932.900798001257</v>
      </c>
      <c r="Y58" s="723">
        <f>X58+L58</f>
        <v>49295.275035419938</v>
      </c>
      <c r="Z58" s="70"/>
    </row>
    <row r="59" spans="1:27">
      <c r="A59" s="1334"/>
      <c r="B59" s="1243" t="s">
        <v>298</v>
      </c>
      <c r="C59" s="857"/>
      <c r="D59" s="570"/>
      <c r="E59" s="573"/>
      <c r="F59" s="570"/>
      <c r="G59" s="573"/>
      <c r="H59" s="570"/>
      <c r="I59" s="573"/>
      <c r="J59" s="570"/>
      <c r="K59" s="1249"/>
      <c r="L59" s="1246"/>
      <c r="M59" s="573"/>
      <c r="N59" s="570"/>
      <c r="O59" s="573"/>
      <c r="P59" s="570"/>
      <c r="Q59" s="573"/>
      <c r="R59" s="570"/>
      <c r="S59" s="573"/>
      <c r="T59" s="570"/>
      <c r="U59" s="573"/>
      <c r="V59" s="570"/>
      <c r="W59" s="573"/>
      <c r="X59" s="570"/>
      <c r="Y59" s="723"/>
      <c r="Z59" s="22"/>
    </row>
    <row r="60" spans="1:27">
      <c r="A60" s="1334"/>
      <c r="B60" s="1243" t="s">
        <v>351</v>
      </c>
      <c r="C60" s="857">
        <v>0</v>
      </c>
      <c r="D60" s="570">
        <f>CUADRO8!C27+CUADRO8!D27</f>
        <v>917.93951374157723</v>
      </c>
      <c r="E60" s="573">
        <f>CUADRO8!C23+CUADRO8!D23</f>
        <v>54.093682820778582</v>
      </c>
      <c r="F60" s="570">
        <v>0</v>
      </c>
      <c r="G60" s="573">
        <v>0</v>
      </c>
      <c r="H60" s="570">
        <v>0</v>
      </c>
      <c r="I60" s="573">
        <f>CUADRO8!C29+CUADRO8!D29</f>
        <v>77.312101910828034</v>
      </c>
      <c r="J60" s="570">
        <v>0</v>
      </c>
      <c r="K60" s="1249">
        <v>0</v>
      </c>
      <c r="L60" s="1246">
        <f>SUM(C60:K60)</f>
        <v>1049.3452984731839</v>
      </c>
      <c r="M60" s="573">
        <f>CUADRO8!C21+CUADRO8!D21</f>
        <v>5743.2038126081225</v>
      </c>
      <c r="N60" s="570">
        <f>CUADRO8!C17+CUADRO8!D17</f>
        <v>1272.2692862000004</v>
      </c>
      <c r="O60" s="573">
        <v>0</v>
      </c>
      <c r="P60" s="570">
        <f>CUADRO8!C15+CUADRO8!D15</f>
        <v>75.146777999999998</v>
      </c>
      <c r="Q60" s="573">
        <f>CUADRO8!C13+CUADRO8!D13</f>
        <v>1273.2582643199999</v>
      </c>
      <c r="R60" s="570">
        <f>CUADRO8!C11+CUADRO8!D11</f>
        <v>53.722825884000002</v>
      </c>
      <c r="S60" s="573">
        <v>0</v>
      </c>
      <c r="T60" s="570">
        <v>0</v>
      </c>
      <c r="U60" s="573">
        <f>CUADRO8!C25+CUADRO8!D25</f>
        <v>105.47940763143227</v>
      </c>
      <c r="V60" s="570">
        <f>CUADRO8!D19</f>
        <v>0.56897400000000009</v>
      </c>
      <c r="W60" s="573">
        <v>0</v>
      </c>
      <c r="X60" s="570">
        <f>SUM(M60:W60)</f>
        <v>8523.6493486435556</v>
      </c>
      <c r="Y60" s="723">
        <f>X60+L60</f>
        <v>9572.9946471167386</v>
      </c>
      <c r="Z60" s="70"/>
    </row>
    <row r="61" spans="1:27">
      <c r="A61" s="1334"/>
      <c r="B61" s="1243" t="s">
        <v>298</v>
      </c>
      <c r="C61" s="857"/>
      <c r="D61" s="570"/>
      <c r="E61" s="573"/>
      <c r="F61" s="570"/>
      <c r="G61" s="573"/>
      <c r="H61" s="570"/>
      <c r="I61" s="573"/>
      <c r="J61" s="570"/>
      <c r="K61" s="1249"/>
      <c r="L61" s="1246"/>
      <c r="M61" s="573"/>
      <c r="N61" s="570"/>
      <c r="O61" s="573"/>
      <c r="P61" s="570"/>
      <c r="Q61" s="573"/>
      <c r="R61" s="570"/>
      <c r="S61" s="573"/>
      <c r="T61" s="570"/>
      <c r="U61" s="573"/>
      <c r="V61" s="570"/>
      <c r="W61" s="573"/>
      <c r="X61" s="570"/>
      <c r="Y61" s="723"/>
      <c r="Z61" s="22"/>
    </row>
    <row r="62" spans="1:27">
      <c r="A62" s="1334"/>
      <c r="B62" s="1243" t="s">
        <v>352</v>
      </c>
      <c r="C62" s="857">
        <v>0</v>
      </c>
      <c r="D62" s="570">
        <v>0</v>
      </c>
      <c r="E62" s="573">
        <v>0</v>
      </c>
      <c r="F62" s="570">
        <v>0</v>
      </c>
      <c r="G62" s="573">
        <v>0</v>
      </c>
      <c r="H62" s="570">
        <v>0</v>
      </c>
      <c r="I62" s="573">
        <v>0</v>
      </c>
      <c r="J62" s="570">
        <v>0</v>
      </c>
      <c r="K62" s="1249">
        <v>0</v>
      </c>
      <c r="L62" s="1246">
        <f>SUM(C62:K62)</f>
        <v>0</v>
      </c>
      <c r="M62" s="573">
        <v>0</v>
      </c>
      <c r="N62" s="570">
        <v>0</v>
      </c>
      <c r="O62" s="573">
        <v>0</v>
      </c>
      <c r="P62" s="570">
        <v>0</v>
      </c>
      <c r="Q62" s="573">
        <v>0</v>
      </c>
      <c r="R62" s="570">
        <v>0</v>
      </c>
      <c r="S62" s="573">
        <v>0</v>
      </c>
      <c r="T62" s="570">
        <v>0</v>
      </c>
      <c r="U62" s="573">
        <v>0</v>
      </c>
      <c r="V62" s="570">
        <v>0</v>
      </c>
      <c r="W62" s="573">
        <v>0</v>
      </c>
      <c r="X62" s="570">
        <f>SUM(M62:W62)</f>
        <v>0</v>
      </c>
      <c r="Y62" s="723">
        <f>X62+L62</f>
        <v>0</v>
      </c>
      <c r="Z62" s="70"/>
    </row>
    <row r="63" spans="1:27">
      <c r="A63" s="1334"/>
      <c r="B63" s="1243" t="s">
        <v>298</v>
      </c>
      <c r="C63" s="857"/>
      <c r="D63" s="570"/>
      <c r="E63" s="573"/>
      <c r="F63" s="570"/>
      <c r="G63" s="573"/>
      <c r="H63" s="570"/>
      <c r="I63" s="573"/>
      <c r="J63" s="570"/>
      <c r="K63" s="1249"/>
      <c r="L63" s="1246"/>
      <c r="M63" s="573"/>
      <c r="N63" s="570"/>
      <c r="O63" s="573"/>
      <c r="P63" s="570"/>
      <c r="Q63" s="573"/>
      <c r="R63" s="570"/>
      <c r="S63" s="573"/>
      <c r="T63" s="570"/>
      <c r="U63" s="573"/>
      <c r="V63" s="570"/>
      <c r="W63" s="573"/>
      <c r="X63" s="570"/>
      <c r="Y63" s="723"/>
      <c r="Z63" s="22"/>
    </row>
    <row r="64" spans="1:27">
      <c r="A64" s="1334"/>
      <c r="B64" s="1243" t="s">
        <v>353</v>
      </c>
      <c r="C64" s="857">
        <v>0</v>
      </c>
      <c r="D64" s="570">
        <v>0</v>
      </c>
      <c r="E64" s="573">
        <v>0</v>
      </c>
      <c r="F64" s="570">
        <v>0</v>
      </c>
      <c r="G64" s="573">
        <v>0</v>
      </c>
      <c r="H64" s="570">
        <v>0</v>
      </c>
      <c r="I64" s="573">
        <v>0</v>
      </c>
      <c r="J64" s="570">
        <v>0</v>
      </c>
      <c r="K64" s="1249">
        <v>0</v>
      </c>
      <c r="L64" s="1246">
        <f>SUM(C64:K64)</f>
        <v>0</v>
      </c>
      <c r="M64" s="573">
        <v>0</v>
      </c>
      <c r="N64" s="570">
        <v>0</v>
      </c>
      <c r="O64" s="573">
        <v>0</v>
      </c>
      <c r="P64" s="570">
        <v>0</v>
      </c>
      <c r="Q64" s="573">
        <v>0</v>
      </c>
      <c r="R64" s="570">
        <v>0</v>
      </c>
      <c r="S64" s="573">
        <v>0</v>
      </c>
      <c r="T64" s="570">
        <v>0</v>
      </c>
      <c r="U64" s="573">
        <v>0</v>
      </c>
      <c r="V64" s="570">
        <v>0</v>
      </c>
      <c r="W64" s="573">
        <v>0</v>
      </c>
      <c r="X64" s="570">
        <f>SUM(M64:W64)</f>
        <v>0</v>
      </c>
      <c r="Y64" s="723">
        <f>X64+L64</f>
        <v>0</v>
      </c>
      <c r="Z64" s="70"/>
    </row>
    <row r="65" spans="1:27" ht="13.5" thickBot="1">
      <c r="A65" s="1334"/>
      <c r="B65" s="1244" t="s">
        <v>298</v>
      </c>
      <c r="C65" s="1260"/>
      <c r="D65" s="724"/>
      <c r="E65" s="710"/>
      <c r="F65" s="724"/>
      <c r="G65" s="710"/>
      <c r="H65" s="724"/>
      <c r="I65" s="710"/>
      <c r="J65" s="724"/>
      <c r="K65" s="1250"/>
      <c r="L65" s="1247"/>
      <c r="M65" s="710"/>
      <c r="N65" s="724"/>
      <c r="O65" s="710"/>
      <c r="P65" s="724"/>
      <c r="Q65" s="710"/>
      <c r="R65" s="724"/>
      <c r="S65" s="710"/>
      <c r="T65" s="724"/>
      <c r="U65" s="710"/>
      <c r="V65" s="724"/>
      <c r="W65" s="710"/>
      <c r="X65" s="724"/>
      <c r="Y65" s="725"/>
      <c r="Z65" s="22"/>
    </row>
    <row r="66" spans="1:27">
      <c r="A66" s="1334"/>
      <c r="B66" s="702" t="s">
        <v>354</v>
      </c>
      <c r="C66" s="718">
        <v>0</v>
      </c>
      <c r="D66" s="731">
        <f>SUM(D54:D64)+D50</f>
        <v>20672.031745653807</v>
      </c>
      <c r="E66" s="731">
        <f t="shared" ref="E66:W66" si="4">SUM(E54:E64)+E50</f>
        <v>5252.4563653975501</v>
      </c>
      <c r="F66" s="731">
        <f t="shared" si="4"/>
        <v>0</v>
      </c>
      <c r="G66" s="731">
        <f t="shared" si="4"/>
        <v>0</v>
      </c>
      <c r="H66" s="731">
        <f t="shared" si="4"/>
        <v>0</v>
      </c>
      <c r="I66" s="731">
        <f t="shared" si="4"/>
        <v>38595.947398791061</v>
      </c>
      <c r="J66" s="731">
        <f t="shared" si="4"/>
        <v>0</v>
      </c>
      <c r="K66" s="731">
        <f t="shared" si="4"/>
        <v>0</v>
      </c>
      <c r="L66" s="1246">
        <f>SUM(C66:K66)</f>
        <v>64520.435509842413</v>
      </c>
      <c r="M66" s="729">
        <f t="shared" si="4"/>
        <v>42205.881296631385</v>
      </c>
      <c r="N66" s="729">
        <f t="shared" si="4"/>
        <v>12282.260129260001</v>
      </c>
      <c r="O66" s="729">
        <f t="shared" si="4"/>
        <v>23696.893908687998</v>
      </c>
      <c r="P66" s="729">
        <f t="shared" si="4"/>
        <v>7573.2287204700024</v>
      </c>
      <c r="Q66" s="729">
        <f t="shared" si="4"/>
        <v>48551.018285865604</v>
      </c>
      <c r="R66" s="729">
        <f t="shared" si="4"/>
        <v>16178.054682894972</v>
      </c>
      <c r="S66" s="729">
        <f t="shared" si="4"/>
        <v>1997.303652000001</v>
      </c>
      <c r="T66" s="729">
        <f t="shared" si="4"/>
        <v>0</v>
      </c>
      <c r="U66" s="729">
        <f t="shared" si="4"/>
        <v>5115.4773190651731</v>
      </c>
      <c r="V66" s="729">
        <f t="shared" si="4"/>
        <v>2160.2756900649997</v>
      </c>
      <c r="W66" s="729">
        <f t="shared" si="4"/>
        <v>0</v>
      </c>
      <c r="X66" s="729">
        <f>SUM(X54:X64)+X50</f>
        <v>159760.39368494012</v>
      </c>
      <c r="Y66" s="1241">
        <f>X66+L66</f>
        <v>224280.82919478253</v>
      </c>
      <c r="Z66" s="70"/>
    </row>
    <row r="67" spans="1:27">
      <c r="A67" s="1334"/>
      <c r="B67" s="702"/>
      <c r="C67" s="718"/>
      <c r="D67" s="731"/>
      <c r="E67" s="732"/>
      <c r="F67" s="731"/>
      <c r="G67" s="732"/>
      <c r="H67" s="731"/>
      <c r="I67" s="732"/>
      <c r="J67" s="731"/>
      <c r="K67" s="732"/>
      <c r="L67" s="731"/>
      <c r="M67" s="732"/>
      <c r="N67" s="731"/>
      <c r="O67" s="732"/>
      <c r="P67" s="731"/>
      <c r="Q67" s="732"/>
      <c r="R67" s="731"/>
      <c r="S67" s="732"/>
      <c r="T67" s="731"/>
      <c r="U67" s="732"/>
      <c r="V67" s="731"/>
      <c r="W67" s="732"/>
      <c r="X67" s="731"/>
      <c r="Y67" s="723"/>
      <c r="Z67" s="22"/>
    </row>
    <row r="68" spans="1:27">
      <c r="A68" s="1334"/>
      <c r="B68" s="702" t="s">
        <v>355</v>
      </c>
      <c r="C68" s="718">
        <v>0</v>
      </c>
      <c r="D68" s="731">
        <v>0</v>
      </c>
      <c r="E68" s="732">
        <v>0</v>
      </c>
      <c r="F68" s="731">
        <v>0</v>
      </c>
      <c r="G68" s="732">
        <v>0</v>
      </c>
      <c r="H68" s="731">
        <v>0</v>
      </c>
      <c r="I68" s="732">
        <v>0</v>
      </c>
      <c r="J68" s="731">
        <v>0</v>
      </c>
      <c r="K68" s="732">
        <v>0</v>
      </c>
      <c r="L68" s="731">
        <v>0</v>
      </c>
      <c r="M68" s="732">
        <v>0</v>
      </c>
      <c r="N68" s="731">
        <v>0</v>
      </c>
      <c r="O68" s="732">
        <v>0</v>
      </c>
      <c r="P68" s="731">
        <v>0</v>
      </c>
      <c r="Q68" s="732">
        <v>0</v>
      </c>
      <c r="R68" s="731">
        <v>0</v>
      </c>
      <c r="S68" s="732">
        <v>0</v>
      </c>
      <c r="T68" s="731">
        <v>0</v>
      </c>
      <c r="U68" s="732">
        <v>0</v>
      </c>
      <c r="V68" s="731">
        <v>0</v>
      </c>
      <c r="W68" s="732">
        <f>W26</f>
        <v>2846.3070120399998</v>
      </c>
      <c r="X68" s="731">
        <f>SUM(M68:W68)</f>
        <v>2846.3070120399998</v>
      </c>
      <c r="Y68" s="723">
        <f>X68+L68</f>
        <v>2846.3070120399998</v>
      </c>
      <c r="Z68" s="70"/>
    </row>
    <row r="69" spans="1:27" ht="13.5" thickBot="1">
      <c r="A69" s="1334"/>
      <c r="B69" s="703"/>
      <c r="C69" s="719"/>
      <c r="D69" s="726"/>
      <c r="E69" s="715"/>
      <c r="F69" s="726"/>
      <c r="G69" s="715"/>
      <c r="H69" s="726"/>
      <c r="I69" s="715"/>
      <c r="J69" s="726"/>
      <c r="K69" s="715"/>
      <c r="L69" s="726"/>
      <c r="M69" s="715"/>
      <c r="N69" s="726"/>
      <c r="O69" s="715"/>
      <c r="P69" s="726"/>
      <c r="Q69" s="715"/>
      <c r="R69" s="726"/>
      <c r="S69" s="715"/>
      <c r="T69" s="726"/>
      <c r="U69" s="715"/>
      <c r="V69" s="726"/>
      <c r="W69" s="715"/>
      <c r="X69" s="726"/>
      <c r="Y69" s="725"/>
      <c r="Z69" s="70"/>
    </row>
    <row r="70" spans="1:27" ht="13.5" thickBot="1">
      <c r="A70" s="1335"/>
      <c r="B70" s="747" t="s">
        <v>356</v>
      </c>
      <c r="C70" s="734">
        <v>0</v>
      </c>
      <c r="D70" s="733">
        <f t="shared" ref="D70:X70" si="5">D66+D68</f>
        <v>20672.031745653807</v>
      </c>
      <c r="E70" s="734">
        <f t="shared" si="5"/>
        <v>5252.4563653975501</v>
      </c>
      <c r="F70" s="733">
        <f t="shared" si="5"/>
        <v>0</v>
      </c>
      <c r="G70" s="734">
        <f t="shared" si="5"/>
        <v>0</v>
      </c>
      <c r="H70" s="733">
        <f t="shared" si="5"/>
        <v>0</v>
      </c>
      <c r="I70" s="734">
        <f t="shared" si="5"/>
        <v>38595.947398791061</v>
      </c>
      <c r="J70" s="733">
        <f t="shared" si="5"/>
        <v>0</v>
      </c>
      <c r="K70" s="734">
        <f t="shared" si="5"/>
        <v>0</v>
      </c>
      <c r="L70" s="733">
        <f>SUM(C70:K70)</f>
        <v>64520.435509842413</v>
      </c>
      <c r="M70" s="734">
        <f t="shared" si="5"/>
        <v>42205.881296631385</v>
      </c>
      <c r="N70" s="733">
        <f t="shared" si="5"/>
        <v>12282.260129260001</v>
      </c>
      <c r="O70" s="734">
        <f t="shared" si="5"/>
        <v>23696.893908687998</v>
      </c>
      <c r="P70" s="743">
        <f t="shared" si="5"/>
        <v>7573.2287204700024</v>
      </c>
      <c r="Q70" s="734">
        <f t="shared" si="5"/>
        <v>48551.018285865604</v>
      </c>
      <c r="R70" s="743">
        <f t="shared" si="5"/>
        <v>16178.054682894972</v>
      </c>
      <c r="S70" s="733">
        <f t="shared" si="5"/>
        <v>1997.303652000001</v>
      </c>
      <c r="T70" s="734">
        <f t="shared" si="5"/>
        <v>0</v>
      </c>
      <c r="U70" s="733">
        <f t="shared" si="5"/>
        <v>5115.4773190651731</v>
      </c>
      <c r="V70" s="734">
        <f t="shared" si="5"/>
        <v>2160.2756900649997</v>
      </c>
      <c r="W70" s="733">
        <f t="shared" si="5"/>
        <v>2846.3070120399998</v>
      </c>
      <c r="X70" s="734">
        <f t="shared" si="5"/>
        <v>162606.70069698012</v>
      </c>
      <c r="Y70" s="735">
        <f>X70+L70</f>
        <v>227127.13620682253</v>
      </c>
      <c r="Z70" s="70"/>
      <c r="AA70" s="70"/>
    </row>
    <row r="71" spans="1:27" ht="13.5" thickBot="1">
      <c r="A71" s="746"/>
      <c r="B71" s="748" t="s">
        <v>563</v>
      </c>
      <c r="C71" s="734">
        <f>C70+C48</f>
        <v>0</v>
      </c>
      <c r="D71" s="733">
        <f t="shared" ref="D71:Y71" si="6">D70+D48</f>
        <v>79943.761362812991</v>
      </c>
      <c r="E71" s="734">
        <f t="shared" si="6"/>
        <v>28136.652393115048</v>
      </c>
      <c r="F71" s="733">
        <f t="shared" si="6"/>
        <v>0</v>
      </c>
      <c r="G71" s="734">
        <f t="shared" si="6"/>
        <v>0</v>
      </c>
      <c r="H71" s="733">
        <f t="shared" si="6"/>
        <v>0</v>
      </c>
      <c r="I71" s="734">
        <f t="shared" si="6"/>
        <v>43111.334473362847</v>
      </c>
      <c r="J71" s="733">
        <f t="shared" si="6"/>
        <v>0</v>
      </c>
      <c r="K71" s="734">
        <f t="shared" si="6"/>
        <v>0</v>
      </c>
      <c r="L71" s="733">
        <f>SUM(C71:K71)</f>
        <v>151191.74822929088</v>
      </c>
      <c r="M71" s="734">
        <f t="shared" si="6"/>
        <v>42205.881296631385</v>
      </c>
      <c r="N71" s="733">
        <f t="shared" si="6"/>
        <v>12311.420383900002</v>
      </c>
      <c r="O71" s="734">
        <f t="shared" si="6"/>
        <v>23696.893908687998</v>
      </c>
      <c r="P71" s="743">
        <f t="shared" si="6"/>
        <v>7573.2287204700024</v>
      </c>
      <c r="Q71" s="734">
        <f t="shared" si="6"/>
        <v>49493.238516035999</v>
      </c>
      <c r="R71" s="743">
        <f t="shared" si="6"/>
        <v>17089.955087730003</v>
      </c>
      <c r="S71" s="733">
        <f t="shared" si="6"/>
        <v>9619.6636072500023</v>
      </c>
      <c r="T71" s="734">
        <f t="shared" si="6"/>
        <v>0</v>
      </c>
      <c r="U71" s="733">
        <f t="shared" si="6"/>
        <v>5202.0216840651728</v>
      </c>
      <c r="V71" s="734">
        <f t="shared" si="6"/>
        <v>2160.2756900649997</v>
      </c>
      <c r="W71" s="733">
        <f t="shared" si="6"/>
        <v>2846.3070120399998</v>
      </c>
      <c r="X71" s="734">
        <f t="shared" si="6"/>
        <v>172198.88590687554</v>
      </c>
      <c r="Y71" s="1242">
        <f t="shared" si="6"/>
        <v>323390.63413616637</v>
      </c>
      <c r="Z71" s="22"/>
    </row>
    <row r="72" spans="1:27">
      <c r="A72" s="22"/>
      <c r="B72" s="22"/>
      <c r="C72" s="435"/>
      <c r="D72" s="435"/>
      <c r="E72" s="435"/>
      <c r="F72" s="435"/>
      <c r="G72" s="435"/>
      <c r="H72" s="435"/>
      <c r="I72" s="435"/>
      <c r="J72" s="435"/>
      <c r="K72" s="435"/>
      <c r="L72" s="435"/>
      <c r="M72" s="435"/>
      <c r="N72" s="435"/>
      <c r="O72" s="435"/>
      <c r="P72" s="435"/>
      <c r="Q72" s="435"/>
      <c r="R72" s="435"/>
      <c r="S72" s="435"/>
      <c r="T72" s="435"/>
      <c r="U72" s="435"/>
      <c r="V72" s="435"/>
      <c r="W72" s="435"/>
      <c r="X72" s="593"/>
      <c r="Y72" s="435"/>
      <c r="Z72" s="70"/>
    </row>
    <row r="73" spans="1:27">
      <c r="A73" s="22"/>
      <c r="B73" s="22"/>
      <c r="C73" s="435"/>
      <c r="D73" s="435"/>
      <c r="E73" s="593"/>
      <c r="F73" s="435"/>
      <c r="G73" s="435"/>
      <c r="H73" s="435"/>
      <c r="I73" s="435"/>
      <c r="J73" s="435"/>
      <c r="K73" s="435"/>
      <c r="L73" s="593"/>
      <c r="M73" s="435"/>
      <c r="N73" s="435"/>
      <c r="O73" s="435"/>
      <c r="P73" s="435"/>
      <c r="Q73" s="435"/>
      <c r="R73" s="435"/>
      <c r="S73" s="435"/>
      <c r="T73" s="435"/>
      <c r="U73" s="435"/>
      <c r="V73" s="435"/>
      <c r="W73" s="435"/>
      <c r="X73" s="435"/>
      <c r="Y73" s="593"/>
      <c r="Z73" s="22"/>
    </row>
    <row r="74" spans="1:27">
      <c r="A74" s="22"/>
      <c r="B74" s="22"/>
      <c r="C74" s="22" t="s">
        <v>564</v>
      </c>
      <c r="D74" s="435"/>
      <c r="E74" s="435"/>
      <c r="F74" s="435"/>
      <c r="G74" s="435"/>
      <c r="H74" s="435"/>
      <c r="I74" s="435"/>
      <c r="J74" s="435"/>
      <c r="K74" s="435"/>
      <c r="L74" s="435"/>
      <c r="M74" s="593"/>
      <c r="N74" s="435"/>
      <c r="O74" s="435"/>
      <c r="P74" s="435"/>
      <c r="Q74" s="435"/>
      <c r="R74" s="435"/>
      <c r="S74" s="435"/>
      <c r="T74" s="435"/>
      <c r="U74" s="435"/>
      <c r="V74" s="435"/>
      <c r="W74" s="435"/>
      <c r="X74" s="435"/>
      <c r="Y74" s="593"/>
      <c r="Z74" s="22"/>
    </row>
    <row r="75" spans="1:27">
      <c r="A75" s="22"/>
      <c r="B75" s="22"/>
      <c r="C75" s="22" t="s">
        <v>565</v>
      </c>
      <c r="D75" s="435"/>
      <c r="E75" s="435"/>
      <c r="F75" s="435"/>
      <c r="G75" s="435"/>
      <c r="H75" s="435"/>
      <c r="I75" s="435"/>
      <c r="J75" s="435"/>
      <c r="K75" s="435"/>
      <c r="L75" s="435"/>
      <c r="M75" s="435"/>
      <c r="N75" s="435"/>
      <c r="O75" s="435"/>
      <c r="P75" s="435"/>
      <c r="Q75" s="435"/>
      <c r="R75" s="435"/>
      <c r="S75" s="435"/>
      <c r="T75" s="435"/>
      <c r="U75" s="435"/>
      <c r="V75" s="435"/>
      <c r="W75" s="435"/>
      <c r="X75" s="435"/>
      <c r="Y75" s="435"/>
      <c r="Z75" s="22"/>
    </row>
    <row r="76" spans="1:27">
      <c r="A76" s="22"/>
      <c r="B76" s="22"/>
      <c r="C76" s="22" t="s">
        <v>566</v>
      </c>
      <c r="D76" s="435"/>
      <c r="E76" s="435"/>
      <c r="F76" s="435"/>
      <c r="G76" s="435"/>
      <c r="H76" s="435"/>
      <c r="I76" s="435"/>
      <c r="J76" s="435"/>
      <c r="K76" s="435"/>
      <c r="L76" s="435"/>
      <c r="M76" s="435"/>
      <c r="N76" s="435"/>
      <c r="O76" s="435"/>
      <c r="P76" s="435"/>
      <c r="Q76" s="435"/>
      <c r="R76" s="435"/>
      <c r="S76" s="435"/>
      <c r="T76" s="435"/>
      <c r="U76" s="435"/>
      <c r="V76" s="435"/>
      <c r="W76" s="435"/>
      <c r="X76" s="435"/>
      <c r="Y76" s="435"/>
      <c r="Z76" s="22"/>
    </row>
    <row r="77" spans="1:27">
      <c r="A77" s="22"/>
      <c r="B77" s="22"/>
      <c r="C77" s="22" t="s">
        <v>567</v>
      </c>
      <c r="D77" s="435"/>
      <c r="E77" s="435"/>
      <c r="F77" s="435"/>
      <c r="G77" s="435"/>
      <c r="H77" s="435"/>
      <c r="I77" s="435"/>
      <c r="J77" s="435"/>
      <c r="K77" s="435"/>
      <c r="L77" s="435"/>
      <c r="M77" s="435"/>
      <c r="N77" s="435"/>
      <c r="O77" s="435"/>
      <c r="P77" s="435"/>
      <c r="Q77" s="435"/>
      <c r="R77" s="435"/>
      <c r="S77" s="435"/>
      <c r="T77" s="435"/>
      <c r="U77" s="435"/>
      <c r="V77" s="435"/>
      <c r="W77" s="435"/>
      <c r="X77" s="435"/>
      <c r="Y77" s="435"/>
      <c r="Z77" s="22"/>
    </row>
    <row r="78" spans="1:27">
      <c r="A78" s="22"/>
      <c r="B78" s="22"/>
      <c r="C78" s="22" t="s">
        <v>568</v>
      </c>
      <c r="D78" s="435"/>
      <c r="E78" s="435"/>
      <c r="F78" s="435"/>
      <c r="G78" s="435"/>
      <c r="H78" s="435"/>
      <c r="I78" s="435"/>
      <c r="J78" s="435"/>
      <c r="K78" s="435"/>
      <c r="L78" s="435"/>
      <c r="M78" s="435"/>
      <c r="N78" s="435"/>
      <c r="O78" s="435"/>
      <c r="P78" s="435"/>
      <c r="Q78" s="435"/>
      <c r="R78" s="435"/>
      <c r="S78" s="435"/>
      <c r="T78" s="435"/>
      <c r="U78" s="435"/>
      <c r="V78" s="435"/>
      <c r="W78" s="435"/>
      <c r="X78" s="435"/>
      <c r="Y78" s="435"/>
      <c r="Z78" s="22"/>
    </row>
    <row r="79" spans="1:27">
      <c r="A79" s="22"/>
      <c r="B79" s="22"/>
      <c r="C79" s="745" t="s">
        <v>569</v>
      </c>
      <c r="D79" s="435"/>
      <c r="E79" s="435"/>
      <c r="F79" s="435"/>
      <c r="G79" s="435"/>
      <c r="H79" s="435"/>
      <c r="I79" s="435"/>
      <c r="J79" s="435"/>
      <c r="K79" s="435"/>
      <c r="L79" s="435"/>
      <c r="M79" s="435"/>
      <c r="N79" s="435"/>
      <c r="O79" s="435"/>
      <c r="P79" s="435"/>
      <c r="Q79" s="435"/>
      <c r="R79" s="435"/>
      <c r="S79" s="435"/>
      <c r="T79" s="435"/>
      <c r="U79" s="435"/>
      <c r="V79" s="435"/>
      <c r="W79" s="435"/>
      <c r="X79" s="435"/>
      <c r="Y79" s="435"/>
      <c r="Z79" s="22"/>
    </row>
    <row r="80" spans="1:27">
      <c r="A80" s="22"/>
      <c r="B80" s="22"/>
      <c r="C80" s="745" t="s">
        <v>578</v>
      </c>
      <c r="D80" s="435"/>
      <c r="E80" s="435"/>
      <c r="F80" s="435"/>
      <c r="G80" s="435"/>
      <c r="H80" s="435"/>
      <c r="I80" s="435"/>
      <c r="J80" s="435"/>
      <c r="K80" s="435"/>
      <c r="L80" s="435"/>
      <c r="M80" s="435"/>
      <c r="N80" s="435"/>
      <c r="O80" s="435"/>
      <c r="P80" s="435"/>
      <c r="Q80" s="435"/>
      <c r="R80" s="435"/>
      <c r="S80" s="435"/>
      <c r="T80" s="435"/>
      <c r="U80" s="435"/>
      <c r="V80" s="435"/>
      <c r="W80" s="435"/>
      <c r="X80" s="435"/>
      <c r="Y80" s="435"/>
      <c r="Z80" s="22"/>
    </row>
    <row r="81" spans="1:26">
      <c r="A81" s="22"/>
      <c r="B81" s="22"/>
      <c r="C81" s="745" t="s">
        <v>577</v>
      </c>
      <c r="D81" s="435"/>
      <c r="E81" s="435"/>
      <c r="F81" s="435"/>
      <c r="G81" s="435"/>
      <c r="H81" s="435"/>
      <c r="I81" s="435"/>
      <c r="J81" s="435"/>
      <c r="K81" s="435"/>
      <c r="L81" s="435"/>
      <c r="M81" s="435"/>
      <c r="N81" s="435"/>
      <c r="O81" s="435"/>
      <c r="P81" s="435"/>
      <c r="Q81" s="435"/>
      <c r="R81" s="435"/>
      <c r="S81" s="435"/>
      <c r="T81" s="435"/>
      <c r="U81" s="435"/>
      <c r="V81" s="435"/>
      <c r="W81" s="435"/>
      <c r="X81" s="435"/>
      <c r="Y81" s="435"/>
      <c r="Z81" s="22"/>
    </row>
    <row r="82" spans="1:26">
      <c r="A82" s="22"/>
      <c r="B82" s="22"/>
      <c r="C82" s="745" t="s">
        <v>679</v>
      </c>
      <c r="D82" s="435"/>
      <c r="E82" s="435"/>
      <c r="F82" s="435"/>
      <c r="G82" s="435"/>
      <c r="H82" s="435"/>
      <c r="I82" s="435"/>
      <c r="J82" s="435"/>
      <c r="K82" s="435"/>
      <c r="L82" s="435"/>
      <c r="M82" s="435"/>
      <c r="N82" s="435"/>
      <c r="O82" s="435"/>
      <c r="P82" s="435"/>
      <c r="Q82" s="435"/>
      <c r="R82" s="435"/>
      <c r="S82" s="435"/>
      <c r="T82" s="435"/>
      <c r="U82" s="435"/>
      <c r="V82" s="435"/>
      <c r="W82" s="435"/>
      <c r="X82" s="435"/>
      <c r="Y82" s="435"/>
      <c r="Z82" s="22"/>
    </row>
    <row r="83" spans="1:26">
      <c r="A83" s="22"/>
      <c r="B83" s="22"/>
      <c r="C83" s="22" t="s">
        <v>678</v>
      </c>
      <c r="D83" s="22"/>
      <c r="E83" s="22"/>
      <c r="F83" s="22"/>
      <c r="G83" s="22"/>
      <c r="H83" s="22"/>
      <c r="I83" s="22"/>
      <c r="J83" s="22"/>
      <c r="K83" s="22"/>
      <c r="L83" s="22"/>
      <c r="M83" s="22"/>
      <c r="N83" s="22"/>
      <c r="O83" s="22"/>
      <c r="P83" s="22"/>
      <c r="Q83" s="22"/>
      <c r="R83" s="22"/>
      <c r="S83" s="22"/>
      <c r="T83" s="22"/>
      <c r="U83" s="22"/>
      <c r="V83" s="22"/>
      <c r="W83" s="22"/>
      <c r="X83" s="22"/>
      <c r="Y83" s="22"/>
      <c r="Z83" s="22"/>
    </row>
    <row r="84" spans="1:26">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sheetData>
  <mergeCells count="5">
    <mergeCell ref="A53:A70"/>
    <mergeCell ref="C4:L4"/>
    <mergeCell ref="M4:Y4"/>
    <mergeCell ref="A8:A25"/>
    <mergeCell ref="A27:A47"/>
  </mergeCells>
  <phoneticPr fontId="0" type="noConversion"/>
  <hyperlinks>
    <hyperlink ref="E1" location="INDICE!A60" display="VOLVER A INDICE"/>
  </hyperlinks>
  <pageMargins left="0.75" right="0.75" top="1" bottom="1" header="0" footer="0"/>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0"/>
  <sheetViews>
    <sheetView workbookViewId="0">
      <selection activeCell="E61" sqref="E61"/>
    </sheetView>
  </sheetViews>
  <sheetFormatPr baseColWidth="10" defaultRowHeight="12.75"/>
  <cols>
    <col min="1" max="1" width="1.5703125" style="898" customWidth="1"/>
    <col min="2" max="2" width="40.7109375" style="898" customWidth="1"/>
    <col min="3" max="3" width="13.85546875" style="905" customWidth="1"/>
    <col min="4" max="4" width="11.5703125" style="905" customWidth="1"/>
    <col min="5" max="5" width="9.85546875" style="905" customWidth="1"/>
    <col min="6" max="6" width="9.85546875" style="22" customWidth="1"/>
    <col min="7" max="15" width="11.42578125" style="22"/>
    <col min="16" max="16384" width="11.42578125" style="898"/>
  </cols>
  <sheetData>
    <row r="1" spans="2:8" ht="7.5" customHeight="1" thickBot="1"/>
    <row r="2" spans="2:8">
      <c r="B2" s="643"/>
      <c r="C2" s="814"/>
      <c r="D2" s="814"/>
      <c r="E2" s="814"/>
      <c r="F2" s="815"/>
      <c r="G2" s="404"/>
      <c r="H2" s="859" t="s">
        <v>683</v>
      </c>
    </row>
    <row r="3" spans="2:8">
      <c r="B3" s="816"/>
      <c r="C3" s="802" t="s">
        <v>357</v>
      </c>
      <c r="D3" s="808"/>
      <c r="E3" s="808"/>
      <c r="F3" s="817"/>
      <c r="G3" s="404"/>
      <c r="H3" s="404"/>
    </row>
    <row r="4" spans="2:8">
      <c r="B4" s="403"/>
      <c r="C4" s="801" t="s">
        <v>781</v>
      </c>
      <c r="D4" s="808"/>
      <c r="E4" s="808"/>
      <c r="F4" s="817"/>
      <c r="G4" s="404"/>
      <c r="H4" s="404"/>
    </row>
    <row r="5" spans="2:8">
      <c r="B5" s="403"/>
      <c r="C5" s="802"/>
      <c r="D5" s="809" t="s">
        <v>358</v>
      </c>
      <c r="E5" s="809"/>
      <c r="F5" s="817"/>
      <c r="G5" s="404"/>
      <c r="H5" s="404"/>
    </row>
    <row r="6" spans="2:8" ht="13.5" thickBot="1">
      <c r="B6" s="403"/>
      <c r="C6" s="802"/>
      <c r="D6" s="808" t="s">
        <v>359</v>
      </c>
      <c r="E6" s="808" t="s">
        <v>360</v>
      </c>
      <c r="F6" s="817"/>
      <c r="G6" s="404"/>
      <c r="H6" s="404"/>
    </row>
    <row r="7" spans="2:8">
      <c r="B7" s="1125" t="s">
        <v>361</v>
      </c>
      <c r="C7" s="803">
        <f>C10+C15</f>
        <v>12487.798000000001</v>
      </c>
      <c r="D7" s="810">
        <v>1</v>
      </c>
      <c r="E7" s="810"/>
      <c r="F7" s="824"/>
      <c r="G7" s="404"/>
      <c r="H7" s="404"/>
    </row>
    <row r="8" spans="2:8">
      <c r="B8" s="1126" t="s">
        <v>362</v>
      </c>
      <c r="C8" s="804"/>
      <c r="D8" s="811"/>
      <c r="E8" s="811"/>
      <c r="F8" s="818"/>
      <c r="G8" s="404"/>
      <c r="H8" s="404"/>
    </row>
    <row r="9" spans="2:8">
      <c r="B9" s="1126"/>
      <c r="C9" s="804"/>
      <c r="D9" s="811"/>
      <c r="E9" s="811"/>
      <c r="F9" s="818"/>
      <c r="G9" s="405"/>
      <c r="H9" s="404"/>
    </row>
    <row r="10" spans="2:8">
      <c r="B10" s="1126" t="s">
        <v>363</v>
      </c>
      <c r="C10" s="805">
        <f>C11+C12+C13</f>
        <v>7682.3420000000006</v>
      </c>
      <c r="D10" s="811">
        <f>C10/C7</f>
        <v>0.61518788180270056</v>
      </c>
      <c r="E10" s="811"/>
      <c r="F10" s="818"/>
      <c r="G10" s="406"/>
      <c r="H10" s="404"/>
    </row>
    <row r="11" spans="2:8">
      <c r="B11" s="1127" t="s">
        <v>364</v>
      </c>
      <c r="C11" s="804">
        <v>346.666</v>
      </c>
      <c r="D11" s="811"/>
      <c r="E11" s="811">
        <f>C11/C10</f>
        <v>4.5125041296000618E-2</v>
      </c>
      <c r="F11" s="818"/>
      <c r="G11" s="404"/>
      <c r="H11" s="404"/>
    </row>
    <row r="12" spans="2:8">
      <c r="B12" s="1127" t="s">
        <v>365</v>
      </c>
      <c r="C12" s="804">
        <v>501.96499999999997</v>
      </c>
      <c r="D12" s="811"/>
      <c r="E12" s="811">
        <f>C12/C10</f>
        <v>6.5340100714079113E-2</v>
      </c>
      <c r="F12" s="818"/>
      <c r="G12" s="406"/>
      <c r="H12" s="404"/>
    </row>
    <row r="13" spans="2:8">
      <c r="B13" s="1127" t="s">
        <v>366</v>
      </c>
      <c r="C13" s="804">
        <v>6833.7110000000002</v>
      </c>
      <c r="D13" s="811"/>
      <c r="E13" s="811">
        <f>C13/C10</f>
        <v>0.88953485798992027</v>
      </c>
      <c r="F13" s="818"/>
      <c r="G13" s="406"/>
      <c r="H13" s="404"/>
    </row>
    <row r="14" spans="2:8">
      <c r="B14" s="1126"/>
      <c r="C14" s="804"/>
      <c r="D14" s="811"/>
      <c r="E14" s="811"/>
      <c r="F14" s="818"/>
      <c r="G14" s="404"/>
      <c r="H14" s="404"/>
    </row>
    <row r="15" spans="2:8">
      <c r="B15" s="1126" t="s">
        <v>367</v>
      </c>
      <c r="C15" s="805">
        <f>C16+C17</f>
        <v>4805.4560000000001</v>
      </c>
      <c r="D15" s="811">
        <f>1-D10</f>
        <v>0.38481211819729944</v>
      </c>
      <c r="E15" s="811"/>
      <c r="F15" s="818"/>
      <c r="G15" s="404"/>
      <c r="H15" s="404"/>
    </row>
    <row r="16" spans="2:8">
      <c r="B16" s="1127" t="s">
        <v>364</v>
      </c>
      <c r="C16" s="804">
        <v>77.804000000000002</v>
      </c>
      <c r="D16" s="811"/>
      <c r="E16" s="811">
        <f>C16/C15</f>
        <v>1.6190763165868129E-2</v>
      </c>
      <c r="F16" s="818"/>
      <c r="G16" s="404"/>
      <c r="H16" s="405"/>
    </row>
    <row r="17" spans="2:8">
      <c r="B17" s="1127" t="s">
        <v>366</v>
      </c>
      <c r="C17" s="804">
        <v>4727.652</v>
      </c>
      <c r="D17" s="811"/>
      <c r="E17" s="811">
        <v>0.98036776756890898</v>
      </c>
      <c r="F17" s="818"/>
      <c r="G17" s="406"/>
      <c r="H17" s="404"/>
    </row>
    <row r="18" spans="2:8">
      <c r="B18" s="1128"/>
      <c r="C18" s="804"/>
      <c r="D18" s="811"/>
      <c r="E18" s="811"/>
      <c r="F18" s="818"/>
      <c r="G18" s="404"/>
      <c r="H18" s="404"/>
    </row>
    <row r="19" spans="2:8">
      <c r="B19" s="1128" t="s">
        <v>368</v>
      </c>
      <c r="C19" s="804"/>
      <c r="D19" s="811"/>
      <c r="E19" s="811"/>
      <c r="F19" s="818"/>
      <c r="G19" s="404"/>
      <c r="H19" s="404"/>
    </row>
    <row r="20" spans="2:8">
      <c r="B20" s="1126" t="s">
        <v>369</v>
      </c>
      <c r="C20" s="805">
        <f>C21+C26</f>
        <v>52854.285640718816</v>
      </c>
      <c r="D20" s="811">
        <v>1</v>
      </c>
      <c r="E20" s="811"/>
      <c r="F20" s="818"/>
      <c r="G20" s="406"/>
      <c r="H20" s="404"/>
    </row>
    <row r="21" spans="2:8">
      <c r="B21" s="1126" t="s">
        <v>363</v>
      </c>
      <c r="C21" s="805">
        <f>C22+C23+C24</f>
        <v>31271.017640718816</v>
      </c>
      <c r="D21" s="811">
        <f>C21/C20</f>
        <v>0.591645828935917</v>
      </c>
      <c r="E21" s="811"/>
      <c r="F21" s="818"/>
      <c r="G21" s="407"/>
      <c r="H21" s="404"/>
    </row>
    <row r="22" spans="2:8">
      <c r="B22" s="1127" t="s">
        <v>364</v>
      </c>
      <c r="C22" s="804">
        <v>1308.006645030315</v>
      </c>
      <c r="D22" s="811"/>
      <c r="E22" s="811">
        <f>C22/C21</f>
        <v>4.1828080558757544E-2</v>
      </c>
      <c r="F22" s="818"/>
      <c r="G22" s="404"/>
      <c r="H22" s="404"/>
    </row>
    <row r="23" spans="2:8">
      <c r="B23" s="1127" t="s">
        <v>365</v>
      </c>
      <c r="C23" s="804">
        <v>2032.5109956885001</v>
      </c>
      <c r="D23" s="811"/>
      <c r="E23" s="811">
        <f>C23/C21</f>
        <v>6.4996637430881493E-2</v>
      </c>
      <c r="F23" s="818"/>
      <c r="G23" s="404"/>
      <c r="H23" s="404"/>
    </row>
    <row r="24" spans="2:8">
      <c r="B24" s="1127" t="s">
        <v>366</v>
      </c>
      <c r="C24" s="804">
        <v>27930.5</v>
      </c>
      <c r="D24" s="811"/>
      <c r="E24" s="811">
        <f>C24/C21</f>
        <v>0.89317528201036089</v>
      </c>
      <c r="F24" s="818"/>
      <c r="G24" s="406"/>
      <c r="H24" s="404"/>
    </row>
    <row r="25" spans="2:8">
      <c r="B25" s="1126"/>
      <c r="C25" s="804"/>
      <c r="D25" s="811"/>
      <c r="E25" s="811"/>
      <c r="F25" s="818"/>
      <c r="G25" s="404"/>
      <c r="H25" s="404"/>
    </row>
    <row r="26" spans="2:8">
      <c r="B26" s="1126" t="s">
        <v>367</v>
      </c>
      <c r="C26" s="805">
        <f>C27+C28</f>
        <v>21583.268</v>
      </c>
      <c r="D26" s="811">
        <f>1-D21</f>
        <v>0.408354171064083</v>
      </c>
      <c r="E26" s="811"/>
      <c r="F26" s="818"/>
      <c r="G26" s="404"/>
      <c r="H26" s="404"/>
    </row>
    <row r="27" spans="2:8">
      <c r="B27" s="1127" t="s">
        <v>364</v>
      </c>
      <c r="C27" s="804">
        <v>543.56799999999998</v>
      </c>
      <c r="D27" s="811"/>
      <c r="E27" s="811">
        <f>C27/C26</f>
        <v>2.5184693995367151E-2</v>
      </c>
      <c r="F27" s="818"/>
      <c r="G27" s="404"/>
      <c r="H27" s="404"/>
    </row>
    <row r="28" spans="2:8">
      <c r="B28" s="1127" t="s">
        <v>366</v>
      </c>
      <c r="C28" s="804">
        <v>21039.7</v>
      </c>
      <c r="D28" s="811"/>
      <c r="E28" s="811">
        <f>C28/C26</f>
        <v>0.97481530600463284</v>
      </c>
      <c r="F28" s="818"/>
      <c r="G28" s="406"/>
      <c r="H28" s="404"/>
    </row>
    <row r="29" spans="2:8">
      <c r="B29" s="1129"/>
      <c r="C29" s="804"/>
      <c r="D29" s="811"/>
      <c r="E29" s="811"/>
      <c r="F29" s="818"/>
      <c r="G29" s="404"/>
      <c r="H29" s="404"/>
    </row>
    <row r="30" spans="2:8">
      <c r="B30" s="1129" t="s">
        <v>763</v>
      </c>
      <c r="C30" s="804"/>
      <c r="D30" s="811"/>
      <c r="E30" s="811"/>
      <c r="F30" s="818"/>
      <c r="G30" s="404"/>
      <c r="H30" s="404"/>
    </row>
    <row r="31" spans="2:8">
      <c r="B31" s="1129" t="s">
        <v>370</v>
      </c>
      <c r="C31" s="804"/>
      <c r="D31" s="812"/>
      <c r="E31" s="811"/>
      <c r="F31" s="818"/>
      <c r="G31" s="404"/>
      <c r="H31" s="404"/>
    </row>
    <row r="32" spans="2:8">
      <c r="B32" s="1126" t="s">
        <v>371</v>
      </c>
      <c r="C32" s="805">
        <f>SUM(C33:C37)</f>
        <v>320822.00887088338</v>
      </c>
      <c r="D32" s="811">
        <v>1</v>
      </c>
      <c r="E32" s="811"/>
      <c r="F32" s="818"/>
      <c r="G32" s="404"/>
      <c r="H32" s="404"/>
    </row>
    <row r="33" spans="2:8">
      <c r="B33" s="1126" t="s">
        <v>372</v>
      </c>
      <c r="C33" s="804">
        <f>CUADRO4!I33</f>
        <v>42205.881296631385</v>
      </c>
      <c r="D33" s="811">
        <f>C33/$C$32</f>
        <v>0.13155544236248884</v>
      </c>
      <c r="E33" s="811"/>
      <c r="F33" s="818"/>
      <c r="G33" s="404"/>
      <c r="H33" s="404"/>
    </row>
    <row r="34" spans="2:8">
      <c r="B34" s="1126" t="s">
        <v>373</v>
      </c>
      <c r="C34" s="804">
        <f>CUADRO4!I35+CUADRO4!I37+CUADRO4!I39</f>
        <v>37948.150484365047</v>
      </c>
      <c r="D34" s="811">
        <f>C34/$C$32</f>
        <v>0.11828412463945856</v>
      </c>
      <c r="E34" s="811"/>
      <c r="F34" s="818"/>
      <c r="G34" s="404"/>
      <c r="H34" s="404"/>
    </row>
    <row r="35" spans="2:8">
      <c r="B35" s="1130" t="s">
        <v>374</v>
      </c>
      <c r="C35" s="804">
        <f>CUADRO4!I10</f>
        <v>114677.052977774</v>
      </c>
      <c r="D35" s="811">
        <f>C35/$C$32</f>
        <v>0.35744758715704705</v>
      </c>
      <c r="E35" s="811"/>
      <c r="F35" s="818"/>
      <c r="G35" s="404"/>
      <c r="H35" s="404"/>
    </row>
    <row r="36" spans="2:8">
      <c r="B36" s="1130" t="s">
        <v>375</v>
      </c>
      <c r="C36" s="804">
        <f>CUADRO4!I45+CUADRO4!I41+CUADRO4!I47+CUADRO4!I43</f>
        <v>82879.589638750142</v>
      </c>
      <c r="D36" s="811">
        <f>C36/$C$32</f>
        <v>0.25833511214034416</v>
      </c>
      <c r="E36" s="811"/>
      <c r="F36" s="818"/>
      <c r="G36" s="404"/>
      <c r="H36" s="404"/>
    </row>
    <row r="37" spans="2:8">
      <c r="B37" s="1126" t="s">
        <v>376</v>
      </c>
      <c r="C37" s="804">
        <f>CUADRO4!I49</f>
        <v>43111.334473362847</v>
      </c>
      <c r="D37" s="811">
        <f>C37/$C$32</f>
        <v>0.13437773370066156</v>
      </c>
      <c r="E37" s="811"/>
      <c r="F37" s="818"/>
      <c r="G37" s="404"/>
      <c r="H37" s="404"/>
    </row>
    <row r="38" spans="2:8">
      <c r="B38" s="1128"/>
      <c r="C38" s="804"/>
      <c r="D38" s="811"/>
      <c r="E38" s="811"/>
      <c r="F38" s="819"/>
      <c r="G38" s="404"/>
      <c r="H38" s="404"/>
    </row>
    <row r="39" spans="2:8">
      <c r="B39" s="1128" t="s">
        <v>377</v>
      </c>
      <c r="C39" s="804"/>
      <c r="D39" s="811"/>
      <c r="E39" s="811"/>
      <c r="F39" s="818"/>
      <c r="G39" s="404"/>
      <c r="H39" s="404"/>
    </row>
    <row r="40" spans="2:8">
      <c r="B40" s="1128" t="s">
        <v>378</v>
      </c>
      <c r="C40" s="804"/>
      <c r="D40" s="811"/>
      <c r="E40" s="811"/>
      <c r="F40" s="818"/>
      <c r="G40" s="404"/>
      <c r="H40" s="404"/>
    </row>
    <row r="41" spans="2:8">
      <c r="B41" s="1128" t="s">
        <v>369</v>
      </c>
      <c r="C41" s="805">
        <f>SUM(C42:C52)</f>
        <v>32170.630098619513</v>
      </c>
      <c r="D41" s="812">
        <v>1</v>
      </c>
      <c r="E41" s="811"/>
      <c r="F41" s="818"/>
      <c r="G41" s="404"/>
      <c r="H41" s="404"/>
    </row>
    <row r="42" spans="2:8">
      <c r="B42" s="1126" t="s">
        <v>263</v>
      </c>
      <c r="C42" s="804">
        <v>480.91421547574566</v>
      </c>
      <c r="D42" s="813">
        <f>C42/$C$41</f>
        <v>1.4948859068084661E-2</v>
      </c>
      <c r="E42" s="811"/>
      <c r="F42" s="820"/>
      <c r="G42" s="407"/>
      <c r="H42" s="404"/>
    </row>
    <row r="43" spans="2:8">
      <c r="B43" s="1126" t="s">
        <v>256</v>
      </c>
      <c r="C43" s="804">
        <v>15697.866186262178</v>
      </c>
      <c r="D43" s="813">
        <f t="shared" ref="D43:D52" si="0">C43/$C$41</f>
        <v>0.48795644157855012</v>
      </c>
      <c r="E43" s="811"/>
      <c r="F43" s="820"/>
      <c r="G43" s="407"/>
      <c r="H43" s="404"/>
    </row>
    <row r="44" spans="2:8">
      <c r="B44" s="1126" t="s">
        <v>260</v>
      </c>
      <c r="C44" s="804">
        <v>4042.4569947188284</v>
      </c>
      <c r="D44" s="813">
        <f t="shared" si="0"/>
        <v>0.12565675531771123</v>
      </c>
      <c r="E44" s="811"/>
      <c r="F44" s="820"/>
      <c r="G44" s="407"/>
      <c r="H44" s="404"/>
    </row>
    <row r="45" spans="2:8">
      <c r="B45" s="1126" t="s">
        <v>262</v>
      </c>
      <c r="C45" s="804">
        <v>634.48765399799424</v>
      </c>
      <c r="D45" s="813">
        <f t="shared" si="0"/>
        <v>1.9722574660582137E-2</v>
      </c>
      <c r="E45" s="811"/>
      <c r="F45" s="820"/>
      <c r="G45" s="407"/>
      <c r="H45" s="404"/>
    </row>
    <row r="46" spans="2:8">
      <c r="B46" s="1126" t="s">
        <v>261</v>
      </c>
      <c r="C46" s="804">
        <v>581.52285399999982</v>
      </c>
      <c r="D46" s="813">
        <f t="shared" si="0"/>
        <v>1.8076203425836965E-2</v>
      </c>
      <c r="E46" s="811"/>
      <c r="F46" s="820"/>
      <c r="G46" s="407"/>
      <c r="H46" s="404"/>
    </row>
    <row r="47" spans="2:8">
      <c r="B47" s="1126" t="s">
        <v>379</v>
      </c>
      <c r="C47" s="804">
        <v>94.86925100000002</v>
      </c>
      <c r="D47" s="813">
        <f t="shared" si="0"/>
        <v>2.9489397848030023E-3</v>
      </c>
      <c r="E47" s="811"/>
      <c r="F47" s="820"/>
      <c r="G47" s="407"/>
      <c r="H47" s="404"/>
    </row>
    <row r="48" spans="2:8">
      <c r="B48" s="1126" t="s">
        <v>259</v>
      </c>
      <c r="C48" s="804">
        <v>363.1282480000001</v>
      </c>
      <c r="D48" s="813">
        <f t="shared" si="0"/>
        <v>1.1287570274092407E-2</v>
      </c>
      <c r="E48" s="811"/>
      <c r="F48" s="820"/>
      <c r="G48" s="407"/>
      <c r="H48" s="404"/>
    </row>
    <row r="49" spans="2:8">
      <c r="B49" s="1126" t="s">
        <v>265</v>
      </c>
      <c r="C49" s="804">
        <v>135.474109</v>
      </c>
      <c r="D49" s="813">
        <f t="shared" si="0"/>
        <v>4.2111114573977022E-3</v>
      </c>
      <c r="E49" s="811"/>
      <c r="F49" s="820"/>
      <c r="G49" s="407"/>
      <c r="H49" s="404"/>
    </row>
    <row r="50" spans="2:8">
      <c r="B50" s="1126" t="s">
        <v>258</v>
      </c>
      <c r="C50" s="804">
        <v>374.27803336500011</v>
      </c>
      <c r="D50" s="813">
        <f t="shared" si="0"/>
        <v>1.1634153021487164E-2</v>
      </c>
      <c r="E50" s="811"/>
      <c r="F50" s="820"/>
      <c r="G50" s="407"/>
      <c r="H50" s="404"/>
    </row>
    <row r="51" spans="2:8">
      <c r="B51" s="1126" t="s">
        <v>266</v>
      </c>
      <c r="C51" s="804">
        <v>8203.5676671651418</v>
      </c>
      <c r="D51" s="813">
        <f t="shared" si="0"/>
        <v>0.25500177155427145</v>
      </c>
      <c r="E51" s="811"/>
      <c r="F51" s="820"/>
      <c r="G51" s="407"/>
      <c r="H51" s="404"/>
    </row>
    <row r="52" spans="2:8">
      <c r="B52" s="1126" t="s">
        <v>267</v>
      </c>
      <c r="C52" s="804">
        <v>1562.0648856346252</v>
      </c>
      <c r="D52" s="813">
        <f t="shared" si="0"/>
        <v>4.8555619857183201E-2</v>
      </c>
      <c r="E52" s="811"/>
      <c r="F52" s="820"/>
      <c r="G52" s="407"/>
      <c r="H52" s="404"/>
    </row>
    <row r="53" spans="2:8">
      <c r="B53" s="1128"/>
      <c r="C53" s="804"/>
      <c r="D53" s="811"/>
      <c r="E53" s="811"/>
      <c r="F53" s="821"/>
      <c r="G53" s="407"/>
      <c r="H53" s="404"/>
    </row>
    <row r="54" spans="2:8">
      <c r="B54" s="1128" t="s">
        <v>380</v>
      </c>
      <c r="C54" s="804"/>
      <c r="D54" s="811"/>
      <c r="E54" s="811"/>
      <c r="F54" s="818"/>
      <c r="G54" s="404"/>
      <c r="H54" s="404"/>
    </row>
    <row r="55" spans="2:8">
      <c r="B55" s="1131" t="s">
        <v>386</v>
      </c>
      <c r="C55" s="804"/>
      <c r="D55" s="811"/>
      <c r="E55" s="811"/>
      <c r="F55" s="818"/>
      <c r="G55" s="404"/>
      <c r="H55" s="404"/>
    </row>
    <row r="56" spans="2:8" ht="13.5" thickBot="1">
      <c r="B56" s="1132" t="s">
        <v>381</v>
      </c>
      <c r="C56" s="806">
        <f>(1000000000*C33/860)/16093378</f>
        <v>3049.4906761572183</v>
      </c>
      <c r="D56" s="800"/>
      <c r="E56" s="822"/>
      <c r="F56" s="823"/>
      <c r="G56" s="404"/>
      <c r="H56" s="404"/>
    </row>
    <row r="57" spans="2:8">
      <c r="B57" s="405" t="s">
        <v>382</v>
      </c>
      <c r="C57" s="807"/>
      <c r="D57" s="807"/>
      <c r="E57" s="807"/>
    </row>
    <row r="58" spans="2:8">
      <c r="B58" s="22" t="s">
        <v>792</v>
      </c>
      <c r="C58" s="435"/>
      <c r="D58" s="435"/>
      <c r="E58" s="435"/>
    </row>
    <row r="59" spans="2:8">
      <c r="B59" s="22" t="s">
        <v>383</v>
      </c>
      <c r="C59" s="435"/>
      <c r="D59" s="435"/>
      <c r="E59" s="435"/>
    </row>
    <row r="60" spans="2:8">
      <c r="B60" s="22" t="s">
        <v>796</v>
      </c>
      <c r="C60" s="435"/>
      <c r="D60" s="435"/>
      <c r="E60" s="435"/>
    </row>
    <row r="61" spans="2:8">
      <c r="B61" s="22" t="s">
        <v>795</v>
      </c>
      <c r="C61" s="435"/>
      <c r="D61" s="435"/>
      <c r="E61" s="435"/>
    </row>
    <row r="62" spans="2:8">
      <c r="B62" s="408" t="s">
        <v>384</v>
      </c>
      <c r="C62" s="435"/>
      <c r="D62" s="435"/>
      <c r="E62" s="435"/>
    </row>
    <row r="63" spans="2:8">
      <c r="B63" s="409" t="s">
        <v>793</v>
      </c>
      <c r="C63" s="435"/>
      <c r="D63" s="435"/>
      <c r="E63" s="435"/>
    </row>
    <row r="64" spans="2:8">
      <c r="B64" s="409" t="s">
        <v>794</v>
      </c>
      <c r="C64" s="435"/>
      <c r="D64" s="435"/>
      <c r="E64" s="435"/>
    </row>
    <row r="65" spans="2:8">
      <c r="B65" s="409" t="s">
        <v>385</v>
      </c>
      <c r="C65" s="807"/>
      <c r="D65" s="807"/>
      <c r="E65" s="807"/>
      <c r="F65" s="404"/>
      <c r="G65" s="404"/>
      <c r="H65" s="404"/>
    </row>
    <row r="66" spans="2:8">
      <c r="B66" s="404"/>
      <c r="C66" s="807"/>
      <c r="D66" s="807"/>
      <c r="E66" s="807"/>
      <c r="F66" s="404"/>
      <c r="G66" s="404"/>
      <c r="H66" s="404"/>
    </row>
    <row r="67" spans="2:8">
      <c r="B67" s="404"/>
      <c r="C67" s="807"/>
      <c r="D67" s="807"/>
      <c r="E67" s="807"/>
      <c r="F67" s="404"/>
      <c r="G67" s="404"/>
      <c r="H67" s="404"/>
    </row>
    <row r="68" spans="2:8">
      <c r="B68" s="404"/>
      <c r="C68" s="807"/>
      <c r="D68" s="807"/>
      <c r="E68" s="807"/>
      <c r="F68" s="404"/>
      <c r="G68" s="404"/>
      <c r="H68" s="404"/>
    </row>
    <row r="69" spans="2:8">
      <c r="B69" s="404"/>
      <c r="C69" s="807"/>
      <c r="D69" s="807"/>
      <c r="E69" s="807"/>
      <c r="F69" s="404"/>
      <c r="G69" s="404"/>
      <c r="H69" s="404"/>
    </row>
    <row r="70" spans="2:8">
      <c r="B70" s="404"/>
      <c r="C70" s="807"/>
      <c r="D70" s="807"/>
      <c r="E70" s="807"/>
      <c r="F70" s="404"/>
      <c r="G70" s="404"/>
      <c r="H70" s="404"/>
    </row>
    <row r="71" spans="2:8">
      <c r="B71" s="404"/>
      <c r="C71" s="807"/>
      <c r="D71" s="807"/>
      <c r="E71" s="807"/>
      <c r="F71" s="404"/>
      <c r="G71" s="404"/>
      <c r="H71" s="404"/>
    </row>
    <row r="72" spans="2:8">
      <c r="B72" s="22"/>
      <c r="C72" s="435"/>
      <c r="D72" s="435"/>
      <c r="E72" s="435"/>
    </row>
    <row r="73" spans="2:8">
      <c r="B73" s="22"/>
      <c r="C73" s="435"/>
      <c r="D73" s="435"/>
      <c r="E73" s="435"/>
    </row>
    <row r="74" spans="2:8">
      <c r="B74" s="22"/>
      <c r="C74" s="435"/>
      <c r="D74" s="435"/>
      <c r="E74" s="435"/>
    </row>
    <row r="75" spans="2:8">
      <c r="B75" s="22"/>
      <c r="C75" s="435"/>
      <c r="D75" s="435"/>
      <c r="E75" s="435"/>
    </row>
    <row r="76" spans="2:8">
      <c r="B76" s="22"/>
      <c r="C76" s="435"/>
      <c r="D76" s="435"/>
      <c r="E76" s="435"/>
    </row>
    <row r="77" spans="2:8">
      <c r="B77" s="22"/>
      <c r="C77" s="435"/>
      <c r="D77" s="435"/>
      <c r="E77" s="435"/>
    </row>
    <row r="78" spans="2:8">
      <c r="B78" s="22"/>
      <c r="C78" s="435"/>
      <c r="D78" s="435"/>
      <c r="E78" s="435"/>
    </row>
    <row r="79" spans="2:8">
      <c r="B79" s="22"/>
      <c r="C79" s="435"/>
      <c r="D79" s="435"/>
      <c r="E79" s="435"/>
    </row>
    <row r="80" spans="2:8">
      <c r="B80" s="22"/>
      <c r="C80" s="435"/>
      <c r="D80" s="435"/>
      <c r="E80" s="435"/>
    </row>
    <row r="81" spans="2:5">
      <c r="B81" s="22"/>
      <c r="C81" s="435"/>
      <c r="D81" s="435"/>
      <c r="E81" s="435"/>
    </row>
    <row r="82" spans="2:5" s="22" customFormat="1">
      <c r="C82" s="435"/>
      <c r="D82" s="435"/>
      <c r="E82" s="435"/>
    </row>
    <row r="83" spans="2:5" s="22" customFormat="1">
      <c r="C83" s="435"/>
      <c r="D83" s="435"/>
      <c r="E83" s="435"/>
    </row>
    <row r="84" spans="2:5" s="22" customFormat="1">
      <c r="C84" s="435"/>
      <c r="D84" s="435"/>
      <c r="E84" s="435"/>
    </row>
    <row r="85" spans="2:5" s="22" customFormat="1">
      <c r="C85" s="435"/>
      <c r="D85" s="435"/>
      <c r="E85" s="435"/>
    </row>
    <row r="86" spans="2:5" s="22" customFormat="1">
      <c r="C86" s="435"/>
      <c r="D86" s="435"/>
      <c r="E86" s="435"/>
    </row>
    <row r="87" spans="2:5" s="22" customFormat="1">
      <c r="C87" s="435"/>
      <c r="D87" s="435"/>
      <c r="E87" s="435"/>
    </row>
    <row r="88" spans="2:5" s="22" customFormat="1">
      <c r="C88" s="435"/>
      <c r="D88" s="435"/>
      <c r="E88" s="435"/>
    </row>
    <row r="89" spans="2:5" s="22" customFormat="1">
      <c r="C89" s="435"/>
      <c r="D89" s="435"/>
      <c r="E89" s="435"/>
    </row>
    <row r="90" spans="2:5" s="22" customFormat="1">
      <c r="C90" s="435"/>
      <c r="D90" s="435"/>
      <c r="E90" s="435"/>
    </row>
    <row r="91" spans="2:5">
      <c r="C91" s="435"/>
      <c r="D91" s="435"/>
      <c r="E91" s="435"/>
    </row>
    <row r="92" spans="2:5">
      <c r="C92" s="435"/>
      <c r="D92" s="435"/>
      <c r="E92" s="435"/>
    </row>
    <row r="93" spans="2:5">
      <c r="C93" s="435"/>
      <c r="D93" s="435"/>
      <c r="E93" s="435"/>
    </row>
    <row r="94" spans="2:5">
      <c r="C94" s="435"/>
      <c r="D94" s="435"/>
      <c r="E94" s="435"/>
    </row>
    <row r="95" spans="2:5">
      <c r="C95" s="435"/>
      <c r="D95" s="435"/>
      <c r="E95" s="435"/>
    </row>
    <row r="96" spans="2:5">
      <c r="C96" s="435"/>
      <c r="D96" s="435"/>
      <c r="E96" s="435"/>
    </row>
    <row r="97" spans="3:5">
      <c r="C97" s="435"/>
      <c r="D97" s="435"/>
      <c r="E97" s="435"/>
    </row>
    <row r="98" spans="3:5">
      <c r="C98" s="435"/>
      <c r="D98" s="435"/>
      <c r="E98" s="435"/>
    </row>
    <row r="99" spans="3:5">
      <c r="C99" s="435"/>
      <c r="D99" s="435"/>
      <c r="E99" s="435"/>
    </row>
    <row r="100" spans="3:5">
      <c r="C100" s="435"/>
      <c r="D100" s="435"/>
      <c r="E100" s="435"/>
    </row>
    <row r="101" spans="3:5">
      <c r="C101" s="435"/>
      <c r="D101" s="435"/>
      <c r="E101" s="435"/>
    </row>
    <row r="102" spans="3:5">
      <c r="C102" s="435"/>
      <c r="D102" s="435"/>
      <c r="E102" s="435"/>
    </row>
    <row r="103" spans="3:5">
      <c r="C103" s="435"/>
      <c r="D103" s="435"/>
      <c r="E103" s="435"/>
    </row>
    <row r="104" spans="3:5">
      <c r="C104" s="435"/>
      <c r="D104" s="435"/>
      <c r="E104" s="435"/>
    </row>
    <row r="105" spans="3:5">
      <c r="C105" s="435"/>
      <c r="D105" s="435"/>
      <c r="E105" s="435"/>
    </row>
    <row r="106" spans="3:5">
      <c r="C106" s="435"/>
      <c r="D106" s="435"/>
      <c r="E106" s="435"/>
    </row>
    <row r="107" spans="3:5">
      <c r="C107" s="435"/>
      <c r="D107" s="435"/>
      <c r="E107" s="435"/>
    </row>
    <row r="108" spans="3:5">
      <c r="C108" s="435"/>
      <c r="D108" s="435"/>
      <c r="E108" s="435"/>
    </row>
    <row r="109" spans="3:5">
      <c r="C109" s="435"/>
      <c r="D109" s="435"/>
      <c r="E109" s="435"/>
    </row>
    <row r="110" spans="3:5">
      <c r="C110" s="435"/>
      <c r="D110" s="435"/>
      <c r="E110" s="435"/>
    </row>
  </sheetData>
  <phoneticPr fontId="0" type="noConversion"/>
  <hyperlinks>
    <hyperlink ref="H2" location="INDICE!A80" display="VOLVER A INDICE"/>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95"/>
  <sheetViews>
    <sheetView workbookViewId="0">
      <pane xSplit="2" ySplit="8" topLeftCell="C21" activePane="bottomRight" state="frozen"/>
      <selection pane="topRight" activeCell="B1" sqref="B1"/>
      <selection pane="bottomLeft" activeCell="A9" sqref="A9"/>
      <selection pane="bottomRight" activeCell="I72" sqref="I72"/>
    </sheetView>
  </sheetViews>
  <sheetFormatPr baseColWidth="10" defaultRowHeight="12.75"/>
  <cols>
    <col min="1" max="1" width="2" style="898" customWidth="1"/>
    <col min="2" max="2" width="18.28515625" style="898" customWidth="1"/>
    <col min="3" max="4" width="11.42578125" style="905"/>
    <col min="5" max="5" width="11.42578125" style="898"/>
    <col min="6" max="6" width="13.42578125" style="905" customWidth="1"/>
    <col min="7" max="7" width="11.42578125" style="905"/>
    <col min="8" max="8" width="16.85546875" style="905" customWidth="1"/>
    <col min="9" max="9" width="12.140625" style="905" customWidth="1"/>
    <col min="10" max="22" width="11.42578125" style="22"/>
    <col min="23" max="16384" width="11.42578125" style="898"/>
  </cols>
  <sheetData>
    <row r="1" spans="2:9" ht="15.75">
      <c r="B1" s="434" t="s">
        <v>387</v>
      </c>
      <c r="C1" s="435"/>
      <c r="D1" s="435"/>
      <c r="E1" s="22"/>
      <c r="F1" s="435"/>
      <c r="G1" s="867" t="s">
        <v>683</v>
      </c>
      <c r="H1" s="435"/>
      <c r="I1" s="435"/>
    </row>
    <row r="2" spans="2:9">
      <c r="B2" s="22"/>
      <c r="C2" s="435"/>
      <c r="D2" s="435"/>
      <c r="E2" s="22"/>
      <c r="F2" s="435"/>
      <c r="G2" s="435"/>
      <c r="H2" s="435"/>
      <c r="I2" s="435"/>
    </row>
    <row r="3" spans="2:9">
      <c r="B3" s="436" t="s">
        <v>388</v>
      </c>
      <c r="C3" s="830"/>
      <c r="D3" s="830"/>
      <c r="E3" s="436"/>
      <c r="F3" s="438"/>
      <c r="G3" s="438"/>
      <c r="H3" s="438"/>
      <c r="I3" s="435"/>
    </row>
    <row r="4" spans="2:9">
      <c r="B4" s="436" t="s">
        <v>389</v>
      </c>
      <c r="C4" s="830"/>
      <c r="D4" s="830"/>
      <c r="E4" s="436"/>
      <c r="F4" s="438"/>
      <c r="G4" s="438"/>
      <c r="H4" s="438"/>
      <c r="I4" s="435"/>
    </row>
    <row r="5" spans="2:9">
      <c r="B5" s="437"/>
      <c r="C5" s="438"/>
      <c r="D5" s="438"/>
      <c r="E5" s="437"/>
      <c r="F5" s="438"/>
      <c r="G5" s="438"/>
      <c r="H5" s="438"/>
      <c r="I5" s="438"/>
    </row>
    <row r="6" spans="2:9" ht="13.5" thickBot="1">
      <c r="B6" s="410"/>
      <c r="C6" s="427"/>
      <c r="D6" s="427"/>
      <c r="E6" s="410"/>
      <c r="F6" s="427"/>
      <c r="G6" s="427"/>
      <c r="H6" s="427"/>
      <c r="I6" s="427"/>
    </row>
    <row r="7" spans="2:9">
      <c r="B7" s="411"/>
      <c r="C7" s="412" t="s">
        <v>390</v>
      </c>
      <c r="D7" s="413" t="s">
        <v>391</v>
      </c>
      <c r="E7" s="424" t="s">
        <v>392</v>
      </c>
      <c r="F7" s="412" t="s">
        <v>392</v>
      </c>
      <c r="G7" s="414" t="s">
        <v>11</v>
      </c>
      <c r="H7" s="412" t="s">
        <v>338</v>
      </c>
      <c r="I7" s="414" t="s">
        <v>393</v>
      </c>
    </row>
    <row r="8" spans="2:9" ht="13.5" thickBot="1">
      <c r="B8" s="422"/>
      <c r="C8" s="428"/>
      <c r="D8" s="831"/>
      <c r="E8" s="425" t="s">
        <v>394</v>
      </c>
      <c r="F8" s="416" t="s">
        <v>395</v>
      </c>
      <c r="G8" s="426" t="s">
        <v>396</v>
      </c>
      <c r="H8" s="428"/>
      <c r="I8" s="829"/>
    </row>
    <row r="9" spans="2:9">
      <c r="B9" s="1206" t="s">
        <v>397</v>
      </c>
      <c r="C9" s="1208" t="s">
        <v>398</v>
      </c>
      <c r="D9" s="825">
        <v>3195.1</v>
      </c>
      <c r="E9" s="1208" t="s">
        <v>398</v>
      </c>
      <c r="F9" s="825">
        <v>45.5</v>
      </c>
      <c r="G9" s="429">
        <v>3240.6</v>
      </c>
      <c r="H9" s="825">
        <v>1185.4000000000001</v>
      </c>
      <c r="I9" s="429">
        <v>4426</v>
      </c>
    </row>
    <row r="10" spans="2:9">
      <c r="B10" s="1207" t="s">
        <v>399</v>
      </c>
      <c r="C10" s="430"/>
      <c r="D10" s="826">
        <v>0.27400000000000002</v>
      </c>
      <c r="E10" s="1209"/>
      <c r="F10" s="826">
        <v>1</v>
      </c>
      <c r="G10" s="430">
        <v>0.302587567244471</v>
      </c>
      <c r="H10" s="826">
        <v>0.91900000000000004</v>
      </c>
      <c r="I10" s="430">
        <v>0.45300000000000001</v>
      </c>
    </row>
    <row r="11" spans="2:9">
      <c r="B11" s="1207" t="s">
        <v>400</v>
      </c>
      <c r="C11" s="430"/>
      <c r="D11" s="826">
        <v>0.72599999999999998</v>
      </c>
      <c r="E11" s="1210"/>
      <c r="F11" s="826" t="s">
        <v>401</v>
      </c>
      <c r="G11" s="430">
        <v>0.697412432755529</v>
      </c>
      <c r="H11" s="826">
        <v>8.1000000000000003E-2</v>
      </c>
      <c r="I11" s="430">
        <v>0.54700000000000004</v>
      </c>
    </row>
    <row r="12" spans="2:9">
      <c r="B12" s="1207"/>
      <c r="C12" s="419"/>
      <c r="D12" s="423"/>
      <c r="E12" s="418"/>
      <c r="F12" s="423"/>
      <c r="G12" s="419"/>
      <c r="H12" s="423"/>
      <c r="I12" s="419"/>
    </row>
    <row r="13" spans="2:9">
      <c r="B13" s="1207" t="s">
        <v>402</v>
      </c>
      <c r="C13" s="419" t="s">
        <v>398</v>
      </c>
      <c r="D13" s="827">
        <v>3831.1</v>
      </c>
      <c r="E13" s="419" t="s">
        <v>398</v>
      </c>
      <c r="F13" s="827">
        <v>45.5</v>
      </c>
      <c r="G13" s="431">
        <v>3876.6</v>
      </c>
      <c r="H13" s="827">
        <v>1208.4000000000001</v>
      </c>
      <c r="I13" s="431">
        <v>5085</v>
      </c>
    </row>
    <row r="14" spans="2:9">
      <c r="B14" s="1207" t="s">
        <v>403</v>
      </c>
      <c r="C14" s="430"/>
      <c r="D14" s="826">
        <v>0.223</v>
      </c>
      <c r="E14" s="1209"/>
      <c r="F14" s="826">
        <v>1</v>
      </c>
      <c r="G14" s="430">
        <v>0.24829984932194876</v>
      </c>
      <c r="H14" s="826">
        <v>0.92</v>
      </c>
      <c r="I14" s="430">
        <v>0.39400000000000002</v>
      </c>
    </row>
    <row r="15" spans="2:9">
      <c r="B15" s="1207" t="s">
        <v>404</v>
      </c>
      <c r="C15" s="430"/>
      <c r="D15" s="826">
        <v>0.77700000000000002</v>
      </c>
      <c r="E15" s="1209"/>
      <c r="F15" s="826" t="s">
        <v>401</v>
      </c>
      <c r="G15" s="430">
        <v>0.75170015067805129</v>
      </c>
      <c r="H15" s="826">
        <v>0.08</v>
      </c>
      <c r="I15" s="430">
        <v>0.60599999999999998</v>
      </c>
    </row>
    <row r="16" spans="2:9">
      <c r="B16" s="1207"/>
      <c r="C16" s="419"/>
      <c r="D16" s="423"/>
      <c r="E16" s="418"/>
      <c r="F16" s="423"/>
      <c r="G16" s="419"/>
      <c r="H16" s="423"/>
      <c r="I16" s="419"/>
    </row>
    <row r="17" spans="2:9">
      <c r="B17" s="1204" t="s">
        <v>405</v>
      </c>
      <c r="C17" s="419" t="s">
        <v>398</v>
      </c>
      <c r="D17" s="827">
        <v>3831.1</v>
      </c>
      <c r="E17" s="419" t="s">
        <v>398</v>
      </c>
      <c r="F17" s="827">
        <v>46.4</v>
      </c>
      <c r="G17" s="431">
        <v>3877.5</v>
      </c>
      <c r="H17" s="827">
        <v>1317.5</v>
      </c>
      <c r="I17" s="431">
        <v>5195</v>
      </c>
    </row>
    <row r="18" spans="2:9">
      <c r="B18" s="1204" t="s">
        <v>403</v>
      </c>
      <c r="C18" s="430"/>
      <c r="D18" s="826">
        <v>0.218</v>
      </c>
      <c r="E18" s="1209"/>
      <c r="F18" s="826">
        <v>1</v>
      </c>
      <c r="G18" s="430">
        <v>0.2451202913108991</v>
      </c>
      <c r="H18" s="826">
        <v>0.91700000000000004</v>
      </c>
      <c r="I18" s="430">
        <v>0.40200000000000002</v>
      </c>
    </row>
    <row r="19" spans="2:9">
      <c r="B19" s="1204" t="s">
        <v>404</v>
      </c>
      <c r="C19" s="430"/>
      <c r="D19" s="826">
        <v>0.78200000000000003</v>
      </c>
      <c r="E19" s="1209"/>
      <c r="F19" s="826" t="s">
        <v>401</v>
      </c>
      <c r="G19" s="430">
        <v>0.75487970868910081</v>
      </c>
      <c r="H19" s="826">
        <v>8.3000000000000004E-2</v>
      </c>
      <c r="I19" s="430">
        <v>0.59799999999999998</v>
      </c>
    </row>
    <row r="20" spans="2:9">
      <c r="B20" s="1204"/>
      <c r="C20" s="419"/>
      <c r="D20" s="423"/>
      <c r="E20" s="418"/>
      <c r="F20" s="423"/>
      <c r="G20" s="419"/>
      <c r="H20" s="423"/>
      <c r="I20" s="419"/>
    </row>
    <row r="21" spans="2:9">
      <c r="B21" s="1204">
        <v>1993</v>
      </c>
      <c r="C21" s="431">
        <v>799.1</v>
      </c>
      <c r="D21" s="827">
        <v>3889.9</v>
      </c>
      <c r="E21" s="419" t="s">
        <v>398</v>
      </c>
      <c r="F21" s="827">
        <v>46.4</v>
      </c>
      <c r="G21" s="431">
        <v>4735.3999999999996</v>
      </c>
      <c r="H21" s="827">
        <v>668.6</v>
      </c>
      <c r="I21" s="431">
        <v>5404</v>
      </c>
    </row>
    <row r="22" spans="2:9">
      <c r="B22" s="1204" t="s">
        <v>403</v>
      </c>
      <c r="C22" s="430">
        <v>0.94399999999999995</v>
      </c>
      <c r="D22" s="826">
        <v>0.19600000000000001</v>
      </c>
      <c r="E22" s="1209"/>
      <c r="F22" s="826">
        <v>1</v>
      </c>
      <c r="G22" s="430">
        <v>0.32762831858407077</v>
      </c>
      <c r="H22" s="826">
        <v>0.92200000000000004</v>
      </c>
      <c r="I22" s="430">
        <v>0.4</v>
      </c>
    </row>
    <row r="23" spans="2:9">
      <c r="B23" s="1204" t="s">
        <v>404</v>
      </c>
      <c r="C23" s="430">
        <v>5.6000000000000001E-2</v>
      </c>
      <c r="D23" s="826">
        <v>0.80400000000000005</v>
      </c>
      <c r="E23" s="1209"/>
      <c r="F23" s="826" t="s">
        <v>401</v>
      </c>
      <c r="G23" s="430">
        <v>0.67237168141592918</v>
      </c>
      <c r="H23" s="826">
        <v>7.8E-2</v>
      </c>
      <c r="I23" s="430">
        <v>0.6</v>
      </c>
    </row>
    <row r="24" spans="2:9">
      <c r="B24" s="1204"/>
      <c r="C24" s="419"/>
      <c r="D24" s="423"/>
      <c r="E24" s="418"/>
      <c r="F24" s="423"/>
      <c r="G24" s="419"/>
      <c r="H24" s="423"/>
      <c r="I24" s="419"/>
    </row>
    <row r="25" spans="2:9">
      <c r="B25" s="1204">
        <v>1994</v>
      </c>
      <c r="C25" s="431">
        <v>799.1</v>
      </c>
      <c r="D25" s="827">
        <v>3893.4</v>
      </c>
      <c r="E25" s="419" t="s">
        <v>398</v>
      </c>
      <c r="F25" s="827">
        <v>49.3</v>
      </c>
      <c r="G25" s="431">
        <v>4741.8</v>
      </c>
      <c r="H25" s="827">
        <v>693.2</v>
      </c>
      <c r="I25" s="431">
        <v>5435</v>
      </c>
    </row>
    <row r="26" spans="2:9">
      <c r="B26" s="1204" t="s">
        <v>403</v>
      </c>
      <c r="C26" s="430">
        <v>0.98699999999999999</v>
      </c>
      <c r="D26" s="826">
        <v>0.19</v>
      </c>
      <c r="E26" s="1209"/>
      <c r="F26" s="826">
        <v>1</v>
      </c>
      <c r="G26" s="430">
        <v>0.33217213804713802</v>
      </c>
      <c r="H26" s="826">
        <v>0.85599999999999998</v>
      </c>
      <c r="I26" s="430">
        <v>0.39800000000000002</v>
      </c>
    </row>
    <row r="27" spans="2:9">
      <c r="B27" s="1204" t="s">
        <v>404</v>
      </c>
      <c r="C27" s="430">
        <v>1.2999999999999999E-2</v>
      </c>
      <c r="D27" s="826">
        <v>0.81</v>
      </c>
      <c r="E27" s="1209"/>
      <c r="F27" s="826" t="s">
        <v>401</v>
      </c>
      <c r="G27" s="430">
        <v>0.66782786195286192</v>
      </c>
      <c r="H27" s="826">
        <v>0.14399999999999999</v>
      </c>
      <c r="I27" s="430">
        <v>0.60199999999999998</v>
      </c>
    </row>
    <row r="28" spans="2:9">
      <c r="B28" s="1204"/>
      <c r="C28" s="419"/>
      <c r="D28" s="423"/>
      <c r="E28" s="418"/>
      <c r="F28" s="423"/>
      <c r="G28" s="419"/>
      <c r="H28" s="423"/>
      <c r="I28" s="419"/>
    </row>
    <row r="29" spans="2:9">
      <c r="B29" s="1204">
        <v>1995</v>
      </c>
      <c r="C29" s="431">
        <v>1156.9000000000001</v>
      </c>
      <c r="D29" s="827">
        <v>4083.6</v>
      </c>
      <c r="E29" s="419" t="s">
        <v>398</v>
      </c>
      <c r="F29" s="827">
        <v>49.3</v>
      </c>
      <c r="G29" s="431">
        <v>5289.8</v>
      </c>
      <c r="H29" s="827">
        <v>659.2</v>
      </c>
      <c r="I29" s="431">
        <v>5949</v>
      </c>
    </row>
    <row r="30" spans="2:9">
      <c r="B30" s="1204" t="s">
        <v>403</v>
      </c>
      <c r="C30" s="430">
        <v>0.98799999999999999</v>
      </c>
      <c r="D30" s="826">
        <v>0.224</v>
      </c>
      <c r="E30" s="1209"/>
      <c r="F30" s="826">
        <v>1</v>
      </c>
      <c r="G30" s="430">
        <v>0.39807548594074355</v>
      </c>
      <c r="H30" s="826">
        <v>0.85499999999999998</v>
      </c>
      <c r="I30" s="430">
        <v>0.44800000000000001</v>
      </c>
    </row>
    <row r="31" spans="2:9">
      <c r="B31" s="1204" t="s">
        <v>404</v>
      </c>
      <c r="C31" s="430">
        <v>1.2E-2</v>
      </c>
      <c r="D31" s="826">
        <v>0.77600000000000002</v>
      </c>
      <c r="E31" s="1209"/>
      <c r="F31" s="826" t="s">
        <v>401</v>
      </c>
      <c r="G31" s="430">
        <v>0.60192451405925651</v>
      </c>
      <c r="H31" s="826">
        <v>0.14499999999999999</v>
      </c>
      <c r="I31" s="430">
        <v>0.55200000000000005</v>
      </c>
    </row>
    <row r="32" spans="2:9">
      <c r="B32" s="1204"/>
      <c r="C32" s="419"/>
      <c r="D32" s="423"/>
      <c r="E32" s="418"/>
      <c r="F32" s="423"/>
      <c r="G32" s="419"/>
      <c r="H32" s="423"/>
      <c r="I32" s="419"/>
    </row>
    <row r="33" spans="2:9">
      <c r="B33" s="1204">
        <v>1996</v>
      </c>
      <c r="C33" s="431">
        <v>1159.5999999999999</v>
      </c>
      <c r="D33" s="827">
        <v>4858.5</v>
      </c>
      <c r="E33" s="419" t="s">
        <v>398</v>
      </c>
      <c r="F33" s="827">
        <v>60.2</v>
      </c>
      <c r="G33" s="431">
        <v>6078.3</v>
      </c>
      <c r="H33" s="827">
        <v>631.70000000000005</v>
      </c>
      <c r="I33" s="431">
        <v>6710</v>
      </c>
    </row>
    <row r="34" spans="2:9">
      <c r="B34" s="1207" t="s">
        <v>403</v>
      </c>
      <c r="C34" s="430">
        <v>0.98799999999999999</v>
      </c>
      <c r="D34" s="826">
        <v>0.245</v>
      </c>
      <c r="E34" s="1209"/>
      <c r="F34" s="826">
        <v>1</v>
      </c>
      <c r="G34" s="430">
        <v>0.39500114961405813</v>
      </c>
      <c r="H34" s="826">
        <v>0.83799999999999997</v>
      </c>
      <c r="I34" s="430">
        <v>0.436</v>
      </c>
    </row>
    <row r="35" spans="2:9">
      <c r="B35" s="1207" t="s">
        <v>404</v>
      </c>
      <c r="C35" s="430">
        <v>1.2E-2</v>
      </c>
      <c r="D35" s="826">
        <v>0.755</v>
      </c>
      <c r="E35" s="1209"/>
      <c r="F35" s="826" t="s">
        <v>401</v>
      </c>
      <c r="G35" s="430">
        <v>0.60499885038594192</v>
      </c>
      <c r="H35" s="826">
        <v>0.16200000000000001</v>
      </c>
      <c r="I35" s="430">
        <v>0.56399999999999995</v>
      </c>
    </row>
    <row r="36" spans="2:9">
      <c r="B36" s="1207"/>
      <c r="C36" s="419"/>
      <c r="D36" s="423"/>
      <c r="E36" s="418"/>
      <c r="F36" s="423"/>
      <c r="G36" s="419"/>
      <c r="H36" s="423"/>
      <c r="I36" s="419"/>
    </row>
    <row r="37" spans="2:9">
      <c r="B37" s="1204">
        <v>1997</v>
      </c>
      <c r="C37" s="431">
        <v>1276.9000000000001</v>
      </c>
      <c r="D37" s="827">
        <v>5266.8</v>
      </c>
      <c r="E37" s="419" t="s">
        <v>398</v>
      </c>
      <c r="F37" s="827">
        <v>60.2</v>
      </c>
      <c r="G37" s="431">
        <v>6603.9</v>
      </c>
      <c r="H37" s="827">
        <v>668.1</v>
      </c>
      <c r="I37" s="431">
        <v>7272</v>
      </c>
    </row>
    <row r="38" spans="2:9">
      <c r="B38" s="1204" t="s">
        <v>403</v>
      </c>
      <c r="C38" s="430">
        <v>0.99</v>
      </c>
      <c r="D38" s="826">
        <v>0.29699999999999999</v>
      </c>
      <c r="E38" s="1209"/>
      <c r="F38" s="826">
        <v>1</v>
      </c>
      <c r="G38" s="430">
        <v>0.43701571946795642</v>
      </c>
      <c r="H38" s="826">
        <v>0.84699999999999998</v>
      </c>
      <c r="I38" s="430">
        <v>0.47399999999999998</v>
      </c>
    </row>
    <row r="39" spans="2:9">
      <c r="B39" s="1204" t="s">
        <v>404</v>
      </c>
      <c r="C39" s="430">
        <v>0.01</v>
      </c>
      <c r="D39" s="826">
        <v>0.70299999999999996</v>
      </c>
      <c r="E39" s="1209"/>
      <c r="F39" s="826" t="s">
        <v>401</v>
      </c>
      <c r="G39" s="430">
        <v>0.56298428053204352</v>
      </c>
      <c r="H39" s="826">
        <v>0.153</v>
      </c>
      <c r="I39" s="430">
        <v>0.52600000000000002</v>
      </c>
    </row>
    <row r="40" spans="2:9">
      <c r="B40" s="1204"/>
      <c r="C40" s="419"/>
      <c r="D40" s="423"/>
      <c r="E40" s="418"/>
      <c r="F40" s="423"/>
      <c r="G40" s="419"/>
      <c r="H40" s="423"/>
      <c r="I40" s="419"/>
    </row>
    <row r="41" spans="2:9">
      <c r="B41" s="1204">
        <v>1998</v>
      </c>
      <c r="C41" s="431">
        <v>1475.7</v>
      </c>
      <c r="D41" s="827">
        <v>6242.4</v>
      </c>
      <c r="E41" s="1211">
        <v>16.2</v>
      </c>
      <c r="F41" s="827">
        <v>64.5</v>
      </c>
      <c r="G41" s="431">
        <v>7798.8</v>
      </c>
      <c r="H41" s="827">
        <v>616.20000000000005</v>
      </c>
      <c r="I41" s="431">
        <v>8415</v>
      </c>
    </row>
    <row r="42" spans="2:9">
      <c r="B42" s="1204" t="s">
        <v>403</v>
      </c>
      <c r="C42" s="430">
        <v>0.99099999999999999</v>
      </c>
      <c r="D42" s="826">
        <v>0.377</v>
      </c>
      <c r="E42" s="1209">
        <v>0.66700000000000004</v>
      </c>
      <c r="F42" s="826">
        <v>1</v>
      </c>
      <c r="G42" s="430">
        <v>0.49849672783267035</v>
      </c>
      <c r="H42" s="826">
        <v>0.83</v>
      </c>
      <c r="I42" s="430">
        <v>0.52300000000000002</v>
      </c>
    </row>
    <row r="43" spans="2:9">
      <c r="B43" s="1204" t="s">
        <v>404</v>
      </c>
      <c r="C43" s="430">
        <v>8.9999999999999993E-3</v>
      </c>
      <c r="D43" s="826">
        <v>0.623</v>
      </c>
      <c r="E43" s="1209">
        <v>0.33300000000000002</v>
      </c>
      <c r="F43" s="826" t="s">
        <v>401</v>
      </c>
      <c r="G43" s="430">
        <v>0.50150327216732971</v>
      </c>
      <c r="H43" s="826">
        <v>0.17</v>
      </c>
      <c r="I43" s="430">
        <v>0.47699999999999998</v>
      </c>
    </row>
    <row r="44" spans="2:9">
      <c r="B44" s="1204"/>
      <c r="C44" s="430"/>
      <c r="D44" s="826"/>
      <c r="E44" s="1209"/>
      <c r="F44" s="826"/>
      <c r="G44" s="430"/>
      <c r="H44" s="826"/>
      <c r="I44" s="430"/>
    </row>
    <row r="45" spans="2:9">
      <c r="B45" s="1204">
        <v>1999</v>
      </c>
      <c r="C45" s="431">
        <v>2637.3</v>
      </c>
      <c r="D45" s="827">
        <v>6695.1</v>
      </c>
      <c r="E45" s="1211">
        <v>17.8</v>
      </c>
      <c r="F45" s="827">
        <v>64.5</v>
      </c>
      <c r="G45" s="431">
        <v>9414.7000000000007</v>
      </c>
      <c r="H45" s="827">
        <v>605.29999999999995</v>
      </c>
      <c r="I45" s="431">
        <v>10020</v>
      </c>
    </row>
    <row r="46" spans="2:9">
      <c r="B46" s="1204" t="s">
        <v>406</v>
      </c>
      <c r="C46" s="430">
        <v>0.995</v>
      </c>
      <c r="D46" s="826">
        <v>0.41699999999999998</v>
      </c>
      <c r="E46" s="1209">
        <v>0.67</v>
      </c>
      <c r="F46" s="826">
        <v>1</v>
      </c>
      <c r="G46" s="430">
        <v>0.57957073015198224</v>
      </c>
      <c r="H46" s="826">
        <v>0.84899999999999998</v>
      </c>
      <c r="I46" s="430">
        <v>0.59599999999999997</v>
      </c>
    </row>
    <row r="47" spans="2:9">
      <c r="B47" s="1204" t="s">
        <v>404</v>
      </c>
      <c r="C47" s="430">
        <v>5.0000000000000001E-3</v>
      </c>
      <c r="D47" s="826">
        <v>0.58299999999999996</v>
      </c>
      <c r="E47" s="1209">
        <v>0.33</v>
      </c>
      <c r="F47" s="826" t="s">
        <v>401</v>
      </c>
      <c r="G47" s="430">
        <v>0.42042926984801787</v>
      </c>
      <c r="H47" s="826">
        <v>0.151</v>
      </c>
      <c r="I47" s="430">
        <v>0.40400000000000003</v>
      </c>
    </row>
    <row r="48" spans="2:9">
      <c r="B48" s="1204"/>
      <c r="C48" s="430"/>
      <c r="D48" s="826"/>
      <c r="E48" s="1209"/>
      <c r="F48" s="826"/>
      <c r="G48" s="430"/>
      <c r="H48" s="826"/>
      <c r="I48" s="430"/>
    </row>
    <row r="49" spans="2:9">
      <c r="B49" s="1204" t="s">
        <v>407</v>
      </c>
      <c r="C49" s="431">
        <v>3040.9</v>
      </c>
      <c r="D49" s="827">
        <v>6652.8</v>
      </c>
      <c r="E49" s="1211">
        <v>20.100000000000001</v>
      </c>
      <c r="F49" s="827">
        <v>64.5</v>
      </c>
      <c r="G49" s="431">
        <v>9778.2999999999993</v>
      </c>
      <c r="H49" s="827">
        <v>591.70000000000005</v>
      </c>
      <c r="I49" s="431">
        <v>10370</v>
      </c>
    </row>
    <row r="50" spans="2:9">
      <c r="B50" s="1204" t="s">
        <v>406</v>
      </c>
      <c r="C50" s="430">
        <v>0.996</v>
      </c>
      <c r="D50" s="826">
        <v>0.4</v>
      </c>
      <c r="E50" s="1209">
        <v>0.76300000000000001</v>
      </c>
      <c r="F50" s="826">
        <v>1</v>
      </c>
      <c r="G50" s="430">
        <v>0.58600128927953832</v>
      </c>
      <c r="H50" s="826">
        <v>0.86399999999999999</v>
      </c>
      <c r="I50" s="430">
        <v>0.60199999999999998</v>
      </c>
    </row>
    <row r="51" spans="2:9">
      <c r="B51" s="1204" t="s">
        <v>404</v>
      </c>
      <c r="C51" s="430">
        <v>4.0000000000000001E-3</v>
      </c>
      <c r="D51" s="826">
        <v>0.6</v>
      </c>
      <c r="E51" s="1209">
        <v>0.23699999999999999</v>
      </c>
      <c r="F51" s="826" t="s">
        <v>401</v>
      </c>
      <c r="G51" s="430">
        <v>0.41400894309774994</v>
      </c>
      <c r="H51" s="826">
        <v>0.13600000000000001</v>
      </c>
      <c r="I51" s="430">
        <v>0.39800000000000002</v>
      </c>
    </row>
    <row r="52" spans="2:9">
      <c r="B52" s="1204"/>
      <c r="C52" s="430"/>
      <c r="D52" s="826"/>
      <c r="E52" s="1209"/>
      <c r="F52" s="826"/>
      <c r="G52" s="430"/>
      <c r="H52" s="826"/>
      <c r="I52" s="430"/>
    </row>
    <row r="53" spans="2:9">
      <c r="B53" s="1204" t="s">
        <v>408</v>
      </c>
      <c r="C53" s="431">
        <v>3440.9</v>
      </c>
      <c r="D53" s="827">
        <v>6579.2</v>
      </c>
      <c r="E53" s="1211">
        <v>22.9</v>
      </c>
      <c r="F53" s="827">
        <v>64.5</v>
      </c>
      <c r="G53" s="431">
        <v>10107.5</v>
      </c>
      <c r="H53" s="827">
        <v>796.5</v>
      </c>
      <c r="I53" s="431">
        <v>10904</v>
      </c>
    </row>
    <row r="54" spans="2:9">
      <c r="B54" s="1204" t="s">
        <v>406</v>
      </c>
      <c r="C54" s="430">
        <v>0.996</v>
      </c>
      <c r="D54" s="826">
        <v>0.38700000000000001</v>
      </c>
      <c r="E54" s="1209">
        <v>0.73099999999999998</v>
      </c>
      <c r="F54" s="826">
        <v>1</v>
      </c>
      <c r="G54" s="430">
        <v>0.60008176796673918</v>
      </c>
      <c r="H54" s="826">
        <v>0.89900000000000002</v>
      </c>
      <c r="I54" s="430">
        <v>0.6220675</v>
      </c>
    </row>
    <row r="55" spans="2:9">
      <c r="B55" s="1204" t="s">
        <v>404</v>
      </c>
      <c r="C55" s="430">
        <v>4.0000000000000001E-3</v>
      </c>
      <c r="D55" s="826">
        <v>0.61299999999999999</v>
      </c>
      <c r="E55" s="1209">
        <v>0.26900000000000002</v>
      </c>
      <c r="F55" s="826" t="s">
        <v>401</v>
      </c>
      <c r="G55" s="430">
        <v>0.39991823203326077</v>
      </c>
      <c r="H55" s="826">
        <v>0.10100000000000001</v>
      </c>
      <c r="I55" s="430">
        <v>0.3779325</v>
      </c>
    </row>
    <row r="56" spans="2:9">
      <c r="B56" s="1204"/>
      <c r="C56" s="430"/>
      <c r="D56" s="826"/>
      <c r="E56" s="1209"/>
      <c r="F56" s="826"/>
      <c r="G56" s="430"/>
      <c r="H56" s="826"/>
      <c r="I56" s="430"/>
    </row>
    <row r="57" spans="2:9">
      <c r="B57" s="1204" t="s">
        <v>409</v>
      </c>
      <c r="C57" s="431">
        <v>3633.2</v>
      </c>
      <c r="D57" s="827">
        <v>6737.2</v>
      </c>
      <c r="E57" s="1211">
        <v>22.6</v>
      </c>
      <c r="F57" s="827">
        <v>64.5</v>
      </c>
      <c r="G57" s="431">
        <v>10457.5</v>
      </c>
      <c r="H57" s="827">
        <v>678.5</v>
      </c>
      <c r="I57" s="431">
        <v>11136</v>
      </c>
    </row>
    <row r="58" spans="2:9">
      <c r="B58" s="1204" t="s">
        <v>406</v>
      </c>
      <c r="C58" s="430">
        <v>0.996</v>
      </c>
      <c r="D58" s="826">
        <v>0.38800000000000001</v>
      </c>
      <c r="E58" s="1209">
        <v>0.58199999999999996</v>
      </c>
      <c r="F58" s="826">
        <v>1</v>
      </c>
      <c r="G58" s="430">
        <v>0.61006597474167612</v>
      </c>
      <c r="H58" s="826">
        <v>0.89900000000000002</v>
      </c>
      <c r="I58" s="430">
        <v>0.62781299999999995</v>
      </c>
    </row>
    <row r="59" spans="2:9">
      <c r="B59" s="1204" t="s">
        <v>410</v>
      </c>
      <c r="C59" s="430">
        <v>4.0000000000000001E-3</v>
      </c>
      <c r="D59" s="826">
        <v>0.61199999999999999</v>
      </c>
      <c r="E59" s="1209">
        <v>0.41799999999999998</v>
      </c>
      <c r="F59" s="826" t="s">
        <v>401</v>
      </c>
      <c r="G59" s="430">
        <v>0.38993402525832382</v>
      </c>
      <c r="H59" s="826">
        <v>0.10100000000000001</v>
      </c>
      <c r="I59" s="430">
        <v>0.37218699999999999</v>
      </c>
    </row>
    <row r="60" spans="2:9">
      <c r="B60" s="1204"/>
      <c r="C60" s="430"/>
      <c r="D60" s="826"/>
      <c r="E60" s="1209"/>
      <c r="F60" s="826"/>
      <c r="G60" s="430"/>
      <c r="H60" s="826"/>
      <c r="I60" s="430"/>
    </row>
    <row r="61" spans="2:9">
      <c r="B61" s="1204" t="s">
        <v>411</v>
      </c>
      <c r="C61" s="431">
        <v>3640.7</v>
      </c>
      <c r="D61" s="827">
        <v>6996.2</v>
      </c>
      <c r="E61" s="1211">
        <v>33.1</v>
      </c>
      <c r="F61" s="827">
        <v>65</v>
      </c>
      <c r="G61" s="431">
        <v>10735</v>
      </c>
      <c r="H61" s="827">
        <v>719</v>
      </c>
      <c r="I61" s="431">
        <v>11454</v>
      </c>
    </row>
    <row r="62" spans="2:9">
      <c r="B62" s="1204" t="s">
        <v>406</v>
      </c>
      <c r="C62" s="430">
        <v>0.996</v>
      </c>
      <c r="D62" s="826">
        <v>0.42</v>
      </c>
      <c r="E62" s="1209">
        <v>0.441</v>
      </c>
      <c r="F62" s="826">
        <v>1</v>
      </c>
      <c r="G62" s="430">
        <v>0.61970109050237676</v>
      </c>
      <c r="H62" s="826">
        <v>0.89300000000000002</v>
      </c>
      <c r="I62" s="430">
        <v>0.63700000000000001</v>
      </c>
    </row>
    <row r="63" spans="2:9">
      <c r="B63" s="1204" t="s">
        <v>410</v>
      </c>
      <c r="C63" s="430">
        <v>4.0000000000000001E-3</v>
      </c>
      <c r="D63" s="826">
        <v>0.57999999999999996</v>
      </c>
      <c r="E63" s="1209">
        <v>0.55900000000000005</v>
      </c>
      <c r="F63" s="826" t="s">
        <v>401</v>
      </c>
      <c r="G63" s="430">
        <v>0.38029890949762324</v>
      </c>
      <c r="H63" s="826">
        <v>0.107</v>
      </c>
      <c r="I63" s="430">
        <v>0.36299999999999999</v>
      </c>
    </row>
    <row r="64" spans="2:9">
      <c r="B64" s="1204"/>
      <c r="C64" s="430"/>
      <c r="D64" s="826"/>
      <c r="E64" s="1209"/>
      <c r="F64" s="826"/>
      <c r="G64" s="430"/>
      <c r="H64" s="826"/>
      <c r="I64" s="430"/>
    </row>
    <row r="65" spans="2:9">
      <c r="B65" s="1204" t="s">
        <v>414</v>
      </c>
      <c r="C65" s="431">
        <v>3595.7950000000001</v>
      </c>
      <c r="D65" s="827">
        <v>7867.4</v>
      </c>
      <c r="E65" s="1211">
        <v>33.463000000000001</v>
      </c>
      <c r="F65" s="827">
        <v>64.704999999999998</v>
      </c>
      <c r="G65" s="431">
        <v>11561.363000000001</v>
      </c>
      <c r="H65" s="827">
        <v>926.43499999999995</v>
      </c>
      <c r="I65" s="431">
        <f>H65+G65</f>
        <v>12487.798000000001</v>
      </c>
    </row>
    <row r="66" spans="2:9">
      <c r="B66" s="1204" t="s">
        <v>406</v>
      </c>
      <c r="C66" s="430">
        <v>0.9964397302960819</v>
      </c>
      <c r="D66" s="826">
        <v>0.40319927803340366</v>
      </c>
      <c r="E66" s="1209">
        <v>0.41487613184711469</v>
      </c>
      <c r="F66" s="826">
        <v>1</v>
      </c>
      <c r="G66" s="430">
        <v>0.59108177816058538</v>
      </c>
      <c r="H66" s="826">
        <v>0.91601785338420938</v>
      </c>
      <c r="I66" s="430">
        <f>BALANCE_ELECT!D10</f>
        <v>0.61518788180270056</v>
      </c>
    </row>
    <row r="67" spans="2:9" ht="13.5" thickBot="1">
      <c r="B67" s="1205" t="s">
        <v>410</v>
      </c>
      <c r="C67" s="432">
        <v>3.5602697039180484E-3</v>
      </c>
      <c r="D67" s="828">
        <v>0.59680072196659628</v>
      </c>
      <c r="E67" s="1212">
        <v>0.58512386815288531</v>
      </c>
      <c r="F67" s="828">
        <v>0</v>
      </c>
      <c r="G67" s="432">
        <v>0.40891822183941456</v>
      </c>
      <c r="H67" s="828">
        <v>8.3982146615790648E-2</v>
      </c>
      <c r="I67" s="432">
        <f>BALANCE_ELECT!D15</f>
        <v>0.38481211819729944</v>
      </c>
    </row>
    <row r="68" spans="2:9">
      <c r="B68" s="420"/>
      <c r="C68" s="433"/>
      <c r="D68" s="433"/>
      <c r="E68" s="421"/>
      <c r="F68" s="433"/>
      <c r="G68" s="433"/>
      <c r="H68" s="433"/>
      <c r="I68" s="433"/>
    </row>
    <row r="69" spans="2:9">
      <c r="B69" s="22"/>
      <c r="C69" s="409" t="s">
        <v>412</v>
      </c>
      <c r="D69" s="435"/>
      <c r="E69" s="22"/>
      <c r="F69" s="435"/>
      <c r="G69" s="435"/>
      <c r="H69" s="435"/>
      <c r="I69" s="593"/>
    </row>
    <row r="70" spans="2:9">
      <c r="B70" s="22"/>
      <c r="C70" s="409" t="s">
        <v>413</v>
      </c>
      <c r="D70" s="435"/>
      <c r="E70" s="22"/>
      <c r="F70" s="435"/>
      <c r="G70" s="435"/>
      <c r="H70" s="435"/>
      <c r="I70" s="593"/>
    </row>
    <row r="71" spans="2:9">
      <c r="B71" s="22"/>
      <c r="C71" s="409" t="s">
        <v>415</v>
      </c>
      <c r="D71" s="439"/>
      <c r="E71" s="409"/>
      <c r="F71" s="439"/>
      <c r="G71" s="439"/>
      <c r="H71" s="439"/>
      <c r="I71" s="435"/>
    </row>
    <row r="72" spans="2:9">
      <c r="B72" s="22"/>
      <c r="C72" s="409" t="s">
        <v>741</v>
      </c>
      <c r="D72" s="439"/>
      <c r="E72" s="409"/>
      <c r="F72" s="439"/>
      <c r="G72" s="439"/>
      <c r="H72" s="439"/>
      <c r="I72" s="435"/>
    </row>
    <row r="73" spans="2:9">
      <c r="B73" s="22"/>
      <c r="C73" s="408" t="s">
        <v>384</v>
      </c>
      <c r="D73" s="439"/>
      <c r="E73" s="409"/>
      <c r="F73" s="439"/>
      <c r="G73" s="439"/>
      <c r="H73" s="439"/>
      <c r="I73" s="435"/>
    </row>
    <row r="74" spans="2:9">
      <c r="B74" s="22"/>
      <c r="C74" s="409" t="s">
        <v>793</v>
      </c>
      <c r="D74" s="439"/>
      <c r="E74" s="409"/>
      <c r="F74" s="439"/>
      <c r="G74" s="439"/>
      <c r="H74" s="439"/>
      <c r="I74" s="435"/>
    </row>
    <row r="75" spans="2:9">
      <c r="B75" s="22"/>
      <c r="C75" s="409" t="s">
        <v>794</v>
      </c>
      <c r="D75" s="439"/>
      <c r="E75" s="409"/>
      <c r="F75" s="439"/>
      <c r="G75" s="439"/>
      <c r="H75" s="439"/>
      <c r="I75" s="435"/>
    </row>
    <row r="76" spans="2:9">
      <c r="B76" s="22"/>
      <c r="C76" s="409" t="s">
        <v>385</v>
      </c>
      <c r="D76" s="439"/>
      <c r="E76" s="409"/>
      <c r="F76" s="439"/>
      <c r="G76" s="439"/>
      <c r="H76" s="439"/>
      <c r="I76" s="435"/>
    </row>
    <row r="77" spans="2:9">
      <c r="B77" s="22"/>
      <c r="C77" s="409"/>
      <c r="D77" s="439"/>
      <c r="E77" s="409"/>
      <c r="F77" s="439"/>
      <c r="G77" s="439"/>
      <c r="H77" s="439"/>
      <c r="I77" s="435"/>
    </row>
    <row r="78" spans="2:9">
      <c r="B78" s="22"/>
      <c r="C78" s="409"/>
      <c r="D78" s="439"/>
      <c r="E78" s="409"/>
      <c r="F78" s="439"/>
      <c r="G78" s="439"/>
      <c r="H78" s="439"/>
      <c r="I78" s="435"/>
    </row>
    <row r="79" spans="2:9">
      <c r="B79" s="22"/>
      <c r="C79" s="409"/>
      <c r="D79" s="439"/>
      <c r="E79" s="409"/>
      <c r="F79" s="439"/>
      <c r="G79" s="439"/>
      <c r="H79" s="439"/>
      <c r="I79" s="435"/>
    </row>
    <row r="80" spans="2:9">
      <c r="B80" s="22"/>
      <c r="C80" s="409"/>
      <c r="D80" s="439"/>
      <c r="E80" s="409"/>
      <c r="F80" s="439"/>
      <c r="G80" s="439"/>
      <c r="H80" s="439"/>
      <c r="I80" s="435"/>
    </row>
    <row r="81" spans="3:9" s="22" customFormat="1">
      <c r="C81" s="435"/>
      <c r="D81" s="435"/>
      <c r="F81" s="435"/>
      <c r="G81" s="435"/>
      <c r="H81" s="435"/>
      <c r="I81" s="435"/>
    </row>
    <row r="82" spans="3:9" s="22" customFormat="1">
      <c r="C82" s="435"/>
      <c r="D82" s="435"/>
      <c r="F82" s="435"/>
      <c r="G82" s="435"/>
      <c r="H82" s="435"/>
      <c r="I82" s="435"/>
    </row>
    <row r="83" spans="3:9" s="22" customFormat="1">
      <c r="C83" s="435"/>
      <c r="D83" s="435"/>
      <c r="F83" s="435"/>
      <c r="G83" s="435"/>
      <c r="H83" s="435"/>
      <c r="I83" s="435"/>
    </row>
    <row r="84" spans="3:9" s="22" customFormat="1">
      <c r="C84" s="435"/>
      <c r="D84" s="435"/>
      <c r="F84" s="435"/>
      <c r="G84" s="435"/>
      <c r="H84" s="435"/>
      <c r="I84" s="435"/>
    </row>
    <row r="85" spans="3:9" s="22" customFormat="1">
      <c r="C85" s="435"/>
      <c r="D85" s="435"/>
      <c r="F85" s="435"/>
      <c r="G85" s="435"/>
      <c r="H85" s="435"/>
      <c r="I85" s="435"/>
    </row>
    <row r="86" spans="3:9" s="22" customFormat="1">
      <c r="C86" s="435"/>
      <c r="D86" s="435"/>
      <c r="F86" s="435"/>
      <c r="G86" s="435"/>
      <c r="H86" s="435"/>
      <c r="I86" s="435"/>
    </row>
    <row r="87" spans="3:9" s="22" customFormat="1">
      <c r="C87" s="435"/>
      <c r="D87" s="435"/>
      <c r="F87" s="435"/>
      <c r="G87" s="435"/>
      <c r="H87" s="435"/>
      <c r="I87" s="435"/>
    </row>
    <row r="88" spans="3:9" s="22" customFormat="1">
      <c r="C88" s="435"/>
      <c r="D88" s="435"/>
      <c r="F88" s="435"/>
      <c r="G88" s="435"/>
      <c r="H88" s="435"/>
      <c r="I88" s="435"/>
    </row>
    <row r="89" spans="3:9" s="22" customFormat="1">
      <c r="C89" s="435"/>
      <c r="D89" s="435"/>
      <c r="F89" s="435"/>
      <c r="G89" s="435"/>
      <c r="H89" s="435"/>
      <c r="I89" s="435"/>
    </row>
    <row r="90" spans="3:9" s="22" customFormat="1">
      <c r="C90" s="435"/>
      <c r="D90" s="435"/>
      <c r="F90" s="435"/>
      <c r="G90" s="435"/>
      <c r="H90" s="435"/>
      <c r="I90" s="435"/>
    </row>
    <row r="91" spans="3:9" s="22" customFormat="1">
      <c r="C91" s="435"/>
      <c r="D91" s="435"/>
      <c r="F91" s="435"/>
      <c r="G91" s="435"/>
      <c r="H91" s="435"/>
      <c r="I91" s="435"/>
    </row>
    <row r="92" spans="3:9" s="22" customFormat="1">
      <c r="C92" s="435"/>
      <c r="D92" s="435"/>
      <c r="F92" s="435"/>
      <c r="G92" s="435"/>
      <c r="H92" s="435"/>
      <c r="I92" s="435"/>
    </row>
    <row r="93" spans="3:9" s="22" customFormat="1">
      <c r="C93" s="435"/>
      <c r="D93" s="435"/>
      <c r="F93" s="435"/>
      <c r="G93" s="435"/>
      <c r="H93" s="435"/>
      <c r="I93" s="435"/>
    </row>
    <row r="94" spans="3:9" s="22" customFormat="1">
      <c r="C94" s="435"/>
      <c r="D94" s="435"/>
      <c r="F94" s="435"/>
      <c r="G94" s="435"/>
      <c r="H94" s="435"/>
      <c r="I94" s="435"/>
    </row>
    <row r="95" spans="3:9" s="22" customFormat="1">
      <c r="C95" s="435"/>
      <c r="D95" s="435"/>
      <c r="F95" s="435"/>
      <c r="G95" s="435"/>
      <c r="H95" s="435"/>
      <c r="I95" s="435"/>
    </row>
  </sheetData>
  <phoneticPr fontId="0" type="noConversion"/>
  <hyperlinks>
    <hyperlink ref="G1" location="INDICE!A70" display="VOLVER A INDICE"/>
  </hyperlinks>
  <pageMargins left="0.75" right="0.75" top="1" bottom="1" header="0" footer="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16"/>
  <sheetViews>
    <sheetView workbookViewId="0">
      <pane xSplit="2" ySplit="8" topLeftCell="C51" activePane="bottomRight" state="frozen"/>
      <selection pane="topRight" activeCell="B1" sqref="B1"/>
      <selection pane="bottomLeft" activeCell="A9" sqref="A9"/>
      <selection pane="bottomRight" activeCell="C71" sqref="C71"/>
    </sheetView>
  </sheetViews>
  <sheetFormatPr baseColWidth="10" defaultRowHeight="12.75"/>
  <cols>
    <col min="1" max="1" width="2.28515625" style="898" customWidth="1"/>
    <col min="2" max="2" width="13.28515625" style="898" customWidth="1"/>
    <col min="3" max="3" width="11.42578125" style="898"/>
    <col min="4" max="4" width="12.140625" style="898" customWidth="1"/>
    <col min="5" max="5" width="11.42578125" style="898"/>
    <col min="6" max="6" width="12" style="898" customWidth="1"/>
    <col min="7" max="7" width="17.85546875" style="898" customWidth="1"/>
    <col min="8" max="8" width="12.42578125" style="898" customWidth="1"/>
    <col min="9" max="20" width="11.42578125" style="22"/>
    <col min="21" max="16384" width="11.42578125" style="898"/>
  </cols>
  <sheetData>
    <row r="1" spans="2:9" ht="15.75">
      <c r="B1" s="434" t="s">
        <v>416</v>
      </c>
      <c r="C1" s="22"/>
      <c r="D1" s="22"/>
      <c r="E1" s="22"/>
      <c r="F1" s="22"/>
      <c r="G1" s="22"/>
      <c r="H1" s="859" t="s">
        <v>683</v>
      </c>
    </row>
    <row r="2" spans="2:9">
      <c r="B2" s="437"/>
      <c r="C2" s="437"/>
      <c r="D2" s="437"/>
      <c r="E2" s="437"/>
      <c r="F2" s="437"/>
      <c r="G2" s="437"/>
      <c r="H2" s="437"/>
    </row>
    <row r="3" spans="2:9">
      <c r="B3" s="436" t="s">
        <v>417</v>
      </c>
      <c r="C3" s="436"/>
      <c r="D3" s="436"/>
      <c r="E3" s="436"/>
      <c r="F3" s="437"/>
      <c r="G3" s="437"/>
      <c r="H3" s="437"/>
    </row>
    <row r="4" spans="2:9">
      <c r="B4" s="436" t="s">
        <v>418</v>
      </c>
      <c r="C4" s="436"/>
      <c r="D4" s="436"/>
      <c r="E4" s="436"/>
      <c r="F4" s="437"/>
      <c r="G4" s="437"/>
      <c r="H4" s="437"/>
    </row>
    <row r="5" spans="2:9" ht="13.5" thickBot="1">
      <c r="B5" s="436"/>
      <c r="C5" s="436"/>
      <c r="D5" s="436"/>
      <c r="E5" s="436"/>
      <c r="F5" s="437"/>
      <c r="G5" s="437"/>
      <c r="H5" s="437"/>
    </row>
    <row r="6" spans="2:9" ht="13.5" thickBot="1">
      <c r="B6" s="1133"/>
      <c r="C6" s="1134"/>
      <c r="D6" s="1134"/>
      <c r="E6" s="1134"/>
      <c r="F6" s="1134"/>
      <c r="G6" s="1134"/>
      <c r="H6" s="1135"/>
    </row>
    <row r="7" spans="2:9">
      <c r="B7" s="411" t="s">
        <v>419</v>
      </c>
      <c r="C7" s="412" t="s">
        <v>390</v>
      </c>
      <c r="D7" s="413" t="s">
        <v>391</v>
      </c>
      <c r="E7" s="412" t="s">
        <v>392</v>
      </c>
      <c r="F7" s="413" t="s">
        <v>420</v>
      </c>
      <c r="G7" s="412" t="s">
        <v>338</v>
      </c>
      <c r="H7" s="414" t="s">
        <v>393</v>
      </c>
    </row>
    <row r="8" spans="2:9" ht="13.5" thickBot="1">
      <c r="B8" s="415" t="s">
        <v>421</v>
      </c>
      <c r="C8" s="440"/>
      <c r="D8" s="441"/>
      <c r="E8" s="416" t="s">
        <v>422</v>
      </c>
      <c r="F8" s="442" t="s">
        <v>395</v>
      </c>
      <c r="G8" s="416"/>
      <c r="H8" s="417"/>
    </row>
    <row r="9" spans="2:9">
      <c r="B9" s="443" t="s">
        <v>397</v>
      </c>
      <c r="C9" s="444" t="s">
        <v>398</v>
      </c>
      <c r="D9" s="445">
        <v>13666.6</v>
      </c>
      <c r="E9" s="444" t="s">
        <v>398</v>
      </c>
      <c r="F9" s="445">
        <v>97</v>
      </c>
      <c r="G9" s="444">
        <v>4634.3999999999996</v>
      </c>
      <c r="H9" s="446">
        <v>18398</v>
      </c>
      <c r="I9" s="470"/>
    </row>
    <row r="10" spans="2:9">
      <c r="B10" s="443" t="s">
        <v>403</v>
      </c>
      <c r="C10" s="447"/>
      <c r="D10" s="448">
        <v>0.4</v>
      </c>
      <c r="E10" s="447"/>
      <c r="F10" s="448">
        <v>1</v>
      </c>
      <c r="G10" s="447">
        <v>0.84599999999999997</v>
      </c>
      <c r="H10" s="449">
        <v>0.51400000000000001</v>
      </c>
    </row>
    <row r="11" spans="2:9">
      <c r="B11" s="443" t="s">
        <v>404</v>
      </c>
      <c r="C11" s="447"/>
      <c r="D11" s="448">
        <v>0.6</v>
      </c>
      <c r="E11" s="447"/>
      <c r="F11" s="448">
        <v>0</v>
      </c>
      <c r="G11" s="447">
        <v>0.154</v>
      </c>
      <c r="H11" s="449">
        <v>0.48599999999999999</v>
      </c>
    </row>
    <row r="12" spans="2:9">
      <c r="B12" s="450"/>
      <c r="C12" s="451"/>
      <c r="D12" s="452"/>
      <c r="E12" s="451"/>
      <c r="F12" s="452"/>
      <c r="G12" s="451"/>
      <c r="H12" s="453"/>
    </row>
    <row r="13" spans="2:9">
      <c r="B13" s="443" t="s">
        <v>402</v>
      </c>
      <c r="C13" s="444" t="s">
        <v>398</v>
      </c>
      <c r="D13" s="445">
        <v>14734.7</v>
      </c>
      <c r="E13" s="444" t="s">
        <v>398</v>
      </c>
      <c r="F13" s="445">
        <v>100.7</v>
      </c>
      <c r="G13" s="444">
        <v>5127.6000000000004</v>
      </c>
      <c r="H13" s="446">
        <v>19963</v>
      </c>
      <c r="I13" s="470"/>
    </row>
    <row r="14" spans="2:9">
      <c r="B14" s="443" t="s">
        <v>403</v>
      </c>
      <c r="C14" s="447"/>
      <c r="D14" s="448">
        <v>0.16500000000000001</v>
      </c>
      <c r="E14" s="447"/>
      <c r="F14" s="448">
        <v>1</v>
      </c>
      <c r="G14" s="447">
        <v>0.85799999999999998</v>
      </c>
      <c r="H14" s="449">
        <v>0.34200000000000003</v>
      </c>
    </row>
    <row r="15" spans="2:9">
      <c r="B15" s="443" t="s">
        <v>404</v>
      </c>
      <c r="C15" s="447"/>
      <c r="D15" s="448">
        <v>0.83499999999999996</v>
      </c>
      <c r="E15" s="447"/>
      <c r="F15" s="448" t="s">
        <v>401</v>
      </c>
      <c r="G15" s="447">
        <v>0.14199999999999999</v>
      </c>
      <c r="H15" s="449">
        <v>0.65800000000000003</v>
      </c>
    </row>
    <row r="16" spans="2:9">
      <c r="B16" s="443"/>
      <c r="C16" s="451"/>
      <c r="D16" s="452"/>
      <c r="E16" s="451"/>
      <c r="F16" s="452"/>
      <c r="G16" s="451"/>
      <c r="H16" s="453"/>
    </row>
    <row r="17" spans="2:9">
      <c r="B17" s="454">
        <v>1992</v>
      </c>
      <c r="C17" s="455" t="s">
        <v>398</v>
      </c>
      <c r="D17" s="456">
        <v>16290.1</v>
      </c>
      <c r="E17" s="444" t="s">
        <v>398</v>
      </c>
      <c r="F17" s="456">
        <v>108.2</v>
      </c>
      <c r="G17" s="455">
        <v>5951.6</v>
      </c>
      <c r="H17" s="457">
        <v>22350</v>
      </c>
      <c r="I17" s="470"/>
    </row>
    <row r="18" spans="2:9">
      <c r="B18" s="443" t="s">
        <v>403</v>
      </c>
      <c r="C18" s="447"/>
      <c r="D18" s="448">
        <v>2.8000000000000001E-2</v>
      </c>
      <c r="E18" s="447"/>
      <c r="F18" s="448">
        <v>1</v>
      </c>
      <c r="G18" s="447">
        <v>0.86199999999999999</v>
      </c>
      <c r="H18" s="449">
        <v>0.251</v>
      </c>
    </row>
    <row r="19" spans="2:9">
      <c r="B19" s="443" t="s">
        <v>404</v>
      </c>
      <c r="C19" s="447"/>
      <c r="D19" s="448">
        <v>0.97199999999999998</v>
      </c>
      <c r="E19" s="447"/>
      <c r="F19" s="448" t="s">
        <v>401</v>
      </c>
      <c r="G19" s="447">
        <v>0.13800000000000001</v>
      </c>
      <c r="H19" s="449">
        <v>0.749</v>
      </c>
    </row>
    <row r="20" spans="2:9">
      <c r="B20" s="450"/>
      <c r="C20" s="451"/>
      <c r="D20" s="452"/>
      <c r="E20" s="451"/>
      <c r="F20" s="452"/>
      <c r="G20" s="451"/>
      <c r="H20" s="453"/>
    </row>
    <row r="21" spans="2:9">
      <c r="B21" s="443">
        <v>1993</v>
      </c>
      <c r="C21" s="444">
        <f>3350-1903</f>
        <v>1447</v>
      </c>
      <c r="D21" s="445">
        <v>17670.3</v>
      </c>
      <c r="E21" s="444" t="s">
        <v>398</v>
      </c>
      <c r="F21" s="445">
        <v>116.4</v>
      </c>
      <c r="G21" s="444">
        <v>4779.3</v>
      </c>
      <c r="H21" s="446">
        <v>24013</v>
      </c>
      <c r="I21" s="470"/>
    </row>
    <row r="22" spans="2:9">
      <c r="B22" s="443" t="s">
        <v>403</v>
      </c>
      <c r="C22" s="447">
        <v>0.80400000000000005</v>
      </c>
      <c r="D22" s="448">
        <v>7.2999999999999995E-2</v>
      </c>
      <c r="E22" s="447"/>
      <c r="F22" s="448">
        <v>1</v>
      </c>
      <c r="G22" s="447">
        <v>0.873</v>
      </c>
      <c r="H22" s="449">
        <v>0.28299999999999997</v>
      </c>
    </row>
    <row r="23" spans="2:9">
      <c r="B23" s="443" t="s">
        <v>404</v>
      </c>
      <c r="C23" s="447">
        <v>0.19600000000000001</v>
      </c>
      <c r="D23" s="448">
        <v>0.92700000000000005</v>
      </c>
      <c r="E23" s="447"/>
      <c r="F23" s="448" t="s">
        <v>401</v>
      </c>
      <c r="G23" s="447">
        <v>0.127</v>
      </c>
      <c r="H23" s="449">
        <v>0.71699999999999997</v>
      </c>
    </row>
    <row r="24" spans="2:9">
      <c r="B24" s="443"/>
      <c r="C24" s="451"/>
      <c r="D24" s="452"/>
      <c r="E24" s="451"/>
      <c r="F24" s="452"/>
      <c r="G24" s="451"/>
      <c r="H24" s="453"/>
    </row>
    <row r="25" spans="2:9">
      <c r="B25" s="454">
        <v>1994</v>
      </c>
      <c r="C25" s="455">
        <v>3745.3</v>
      </c>
      <c r="D25" s="456">
        <v>18985.400000000001</v>
      </c>
      <c r="E25" s="444" t="s">
        <v>398</v>
      </c>
      <c r="F25" s="456">
        <v>125</v>
      </c>
      <c r="G25" s="455">
        <v>2420.3000000000002</v>
      </c>
      <c r="H25" s="457">
        <v>25276</v>
      </c>
      <c r="I25" s="470"/>
    </row>
    <row r="26" spans="2:9">
      <c r="B26" s="443" t="s">
        <v>403</v>
      </c>
      <c r="C26" s="447">
        <v>0.98799999999999999</v>
      </c>
      <c r="D26" s="448">
        <v>0.13300000000000001</v>
      </c>
      <c r="E26" s="447"/>
      <c r="F26" s="448">
        <v>1</v>
      </c>
      <c r="G26" s="447">
        <v>0.81489999999999996</v>
      </c>
      <c r="H26" s="449">
        <v>0.32800000000000001</v>
      </c>
    </row>
    <row r="27" spans="2:9">
      <c r="B27" s="443" t="s">
        <v>404</v>
      </c>
      <c r="C27" s="447">
        <v>1.2E-2</v>
      </c>
      <c r="D27" s="448">
        <v>0.86699999999999999</v>
      </c>
      <c r="E27" s="447"/>
      <c r="F27" s="448" t="s">
        <v>401</v>
      </c>
      <c r="G27" s="447">
        <v>0.18509999999999999</v>
      </c>
      <c r="H27" s="449">
        <v>0.67200000000000004</v>
      </c>
    </row>
    <row r="28" spans="2:9">
      <c r="B28" s="450"/>
      <c r="C28" s="451"/>
      <c r="D28" s="452"/>
      <c r="E28" s="451"/>
      <c r="F28" s="452"/>
      <c r="G28" s="451"/>
      <c r="H28" s="453"/>
    </row>
    <row r="29" spans="2:9">
      <c r="B29" s="443">
        <v>1995</v>
      </c>
      <c r="C29" s="444">
        <v>4403.6000000000004</v>
      </c>
      <c r="D29" s="445">
        <v>20506.5</v>
      </c>
      <c r="E29" s="444" t="s">
        <v>398</v>
      </c>
      <c r="F29" s="445">
        <v>129.4</v>
      </c>
      <c r="G29" s="444">
        <v>2987.5</v>
      </c>
      <c r="H29" s="446">
        <v>28027</v>
      </c>
      <c r="I29" s="470"/>
    </row>
    <row r="30" spans="2:9">
      <c r="B30" s="443" t="s">
        <v>403</v>
      </c>
      <c r="C30" s="447">
        <v>0.99139999999999995</v>
      </c>
      <c r="D30" s="448">
        <v>0.14199999999999999</v>
      </c>
      <c r="E30" s="447"/>
      <c r="F30" s="448">
        <v>1</v>
      </c>
      <c r="G30" s="447">
        <v>0.73929999999999996</v>
      </c>
      <c r="H30" s="449">
        <v>0.34300000000000003</v>
      </c>
    </row>
    <row r="31" spans="2:9">
      <c r="B31" s="443" t="s">
        <v>404</v>
      </c>
      <c r="C31" s="447">
        <v>8.6E-3</v>
      </c>
      <c r="D31" s="448">
        <v>0.85799999999999998</v>
      </c>
      <c r="E31" s="447"/>
      <c r="F31" s="448" t="s">
        <v>401</v>
      </c>
      <c r="G31" s="447">
        <v>0.26069999999999999</v>
      </c>
      <c r="H31" s="449">
        <v>0.65700000000000003</v>
      </c>
    </row>
    <row r="32" spans="2:9">
      <c r="B32" s="443"/>
      <c r="C32" s="451"/>
      <c r="D32" s="452"/>
      <c r="E32" s="451"/>
      <c r="F32" s="452"/>
      <c r="G32" s="451"/>
      <c r="H32" s="453"/>
    </row>
    <row r="33" spans="2:9">
      <c r="B33" s="454">
        <v>1996</v>
      </c>
      <c r="C33" s="455">
        <v>5544.6</v>
      </c>
      <c r="D33" s="456">
        <v>22424.7</v>
      </c>
      <c r="E33" s="444" t="s">
        <v>398</v>
      </c>
      <c r="F33" s="456">
        <v>139.30000000000001</v>
      </c>
      <c r="G33" s="455">
        <v>2682.4</v>
      </c>
      <c r="H33" s="457">
        <v>30791</v>
      </c>
      <c r="I33" s="470"/>
    </row>
    <row r="34" spans="2:9">
      <c r="B34" s="443" t="s">
        <v>403</v>
      </c>
      <c r="C34" s="447">
        <v>0.99399999999999999</v>
      </c>
      <c r="D34" s="448">
        <v>0.28199999999999997</v>
      </c>
      <c r="E34" s="447"/>
      <c r="F34" s="448">
        <v>1</v>
      </c>
      <c r="G34" s="447">
        <v>0.72860000000000003</v>
      </c>
      <c r="H34" s="449">
        <v>0.45200000000000001</v>
      </c>
    </row>
    <row r="35" spans="2:9">
      <c r="B35" s="443" t="s">
        <v>404</v>
      </c>
      <c r="C35" s="447">
        <v>6.0000000000000001E-3</v>
      </c>
      <c r="D35" s="448">
        <v>0.71799999999999997</v>
      </c>
      <c r="E35" s="447"/>
      <c r="F35" s="448" t="s">
        <v>401</v>
      </c>
      <c r="G35" s="447">
        <v>0.27139999999999997</v>
      </c>
      <c r="H35" s="449">
        <v>0.54800000000000004</v>
      </c>
    </row>
    <row r="36" spans="2:9">
      <c r="B36" s="450"/>
      <c r="C36" s="451"/>
      <c r="D36" s="452"/>
      <c r="E36" s="451"/>
      <c r="F36" s="452"/>
      <c r="G36" s="451"/>
      <c r="H36" s="453"/>
    </row>
    <row r="37" spans="2:9">
      <c r="B37" s="443">
        <v>1997</v>
      </c>
      <c r="C37" s="444">
        <v>6392.4</v>
      </c>
      <c r="D37" s="445">
        <v>23959.1</v>
      </c>
      <c r="E37" s="444" t="s">
        <v>398</v>
      </c>
      <c r="F37" s="445">
        <v>142.69999999999999</v>
      </c>
      <c r="G37" s="444">
        <v>2797.8</v>
      </c>
      <c r="H37" s="446">
        <v>33292</v>
      </c>
      <c r="I37" s="470"/>
    </row>
    <row r="38" spans="2:9">
      <c r="B38" s="443" t="s">
        <v>403</v>
      </c>
      <c r="C38" s="447">
        <v>0.99099999999999999</v>
      </c>
      <c r="D38" s="448">
        <v>0.245</v>
      </c>
      <c r="E38" s="447"/>
      <c r="F38" s="448">
        <v>1</v>
      </c>
      <c r="G38" s="447">
        <v>0.71699999999999997</v>
      </c>
      <c r="H38" s="449">
        <v>0.43099999999999999</v>
      </c>
    </row>
    <row r="39" spans="2:9">
      <c r="B39" s="443" t="s">
        <v>404</v>
      </c>
      <c r="C39" s="447">
        <v>8.9999999999999993E-3</v>
      </c>
      <c r="D39" s="448">
        <v>0.755</v>
      </c>
      <c r="E39" s="447"/>
      <c r="F39" s="448" t="s">
        <v>401</v>
      </c>
      <c r="G39" s="447">
        <v>0.28299999999999997</v>
      </c>
      <c r="H39" s="449">
        <v>0.56899999999999995</v>
      </c>
    </row>
    <row r="40" spans="2:9">
      <c r="B40" s="443"/>
      <c r="C40" s="451"/>
      <c r="D40" s="452"/>
      <c r="E40" s="451"/>
      <c r="F40" s="452"/>
      <c r="G40" s="451"/>
      <c r="H40" s="453"/>
    </row>
    <row r="41" spans="2:9">
      <c r="B41" s="454">
        <v>1998</v>
      </c>
      <c r="C41" s="455">
        <v>7357.5</v>
      </c>
      <c r="D41" s="456">
        <v>25649.7</v>
      </c>
      <c r="E41" s="455">
        <v>66.7</v>
      </c>
      <c r="F41" s="456">
        <v>151.69999999999999</v>
      </c>
      <c r="G41" s="455">
        <v>2269.4</v>
      </c>
      <c r="H41" s="457">
        <v>35495</v>
      </c>
      <c r="I41" s="470"/>
    </row>
    <row r="42" spans="2:9">
      <c r="B42" s="443" t="s">
        <v>403</v>
      </c>
      <c r="C42" s="447">
        <v>0.99299999999999999</v>
      </c>
      <c r="D42" s="448">
        <v>0.41</v>
      </c>
      <c r="E42" s="447">
        <v>0.434</v>
      </c>
      <c r="F42" s="448">
        <v>1</v>
      </c>
      <c r="G42" s="447">
        <v>0.68200000000000005</v>
      </c>
      <c r="H42" s="449">
        <v>0.55100000000000005</v>
      </c>
    </row>
    <row r="43" spans="2:9">
      <c r="B43" s="443" t="s">
        <v>404</v>
      </c>
      <c r="C43" s="447">
        <v>7.0000000000000001E-3</v>
      </c>
      <c r="D43" s="448">
        <v>0.59</v>
      </c>
      <c r="E43" s="447">
        <v>0.56599999999999995</v>
      </c>
      <c r="F43" s="448" t="s">
        <v>401</v>
      </c>
      <c r="G43" s="447">
        <v>0.318</v>
      </c>
      <c r="H43" s="449">
        <v>0.44900000000000001</v>
      </c>
    </row>
    <row r="44" spans="2:9">
      <c r="B44" s="450"/>
      <c r="C44" s="458"/>
      <c r="D44" s="459"/>
      <c r="E44" s="458"/>
      <c r="F44" s="459"/>
      <c r="G44" s="458"/>
      <c r="H44" s="460"/>
    </row>
    <row r="45" spans="2:9">
      <c r="B45" s="443">
        <v>1999</v>
      </c>
      <c r="C45" s="444">
        <v>9001</v>
      </c>
      <c r="D45" s="445">
        <v>26915</v>
      </c>
      <c r="E45" s="444">
        <v>71.599999999999994</v>
      </c>
      <c r="F45" s="445">
        <v>154.80000000000001</v>
      </c>
      <c r="G45" s="444">
        <v>2241.6</v>
      </c>
      <c r="H45" s="446">
        <v>38384</v>
      </c>
      <c r="I45" s="470"/>
    </row>
    <row r="46" spans="2:9">
      <c r="B46" s="443" t="s">
        <v>403</v>
      </c>
      <c r="C46" s="447">
        <v>0.99299999999999999</v>
      </c>
      <c r="D46" s="448">
        <v>0.52400000000000002</v>
      </c>
      <c r="E46" s="447">
        <v>0.48799999999999999</v>
      </c>
      <c r="F46" s="448">
        <v>1</v>
      </c>
      <c r="G46" s="447">
        <v>0.69799999999999995</v>
      </c>
      <c r="H46" s="449">
        <v>0.64600000000000002</v>
      </c>
    </row>
    <row r="47" spans="2:9">
      <c r="B47" s="443" t="s">
        <v>404</v>
      </c>
      <c r="C47" s="447">
        <v>7.0000000000000001E-3</v>
      </c>
      <c r="D47" s="448">
        <v>0.47599999999999998</v>
      </c>
      <c r="E47" s="447">
        <v>0.51200000000000001</v>
      </c>
      <c r="F47" s="448" t="s">
        <v>401</v>
      </c>
      <c r="G47" s="447">
        <v>0.30199999999999999</v>
      </c>
      <c r="H47" s="449">
        <v>0.35399999999999998</v>
      </c>
    </row>
    <row r="48" spans="2:9">
      <c r="B48" s="443"/>
      <c r="C48" s="447"/>
      <c r="D48" s="448"/>
      <c r="E48" s="447"/>
      <c r="F48" s="448"/>
      <c r="G48" s="447"/>
      <c r="H48" s="449"/>
    </row>
    <row r="49" spans="2:9">
      <c r="B49" s="454" t="s">
        <v>407</v>
      </c>
      <c r="C49" s="455">
        <v>9327.4</v>
      </c>
      <c r="D49" s="456">
        <v>29576.6</v>
      </c>
      <c r="E49" s="455">
        <v>75.400000000000006</v>
      </c>
      <c r="F49" s="456">
        <v>163</v>
      </c>
      <c r="G49" s="455">
        <v>2125.6</v>
      </c>
      <c r="H49" s="457">
        <v>41268</v>
      </c>
      <c r="I49" s="470"/>
    </row>
    <row r="50" spans="2:9">
      <c r="B50" s="443" t="s">
        <v>403</v>
      </c>
      <c r="C50" s="447">
        <v>0.99399999999999999</v>
      </c>
      <c r="D50" s="448">
        <v>0.377</v>
      </c>
      <c r="E50" s="447">
        <v>0.40100000000000002</v>
      </c>
      <c r="F50" s="448">
        <v>1</v>
      </c>
      <c r="G50" s="447">
        <v>0.73699999999999999</v>
      </c>
      <c r="H50" s="449">
        <v>0.53800000000000003</v>
      </c>
    </row>
    <row r="51" spans="2:9">
      <c r="B51" s="443" t="s">
        <v>404</v>
      </c>
      <c r="C51" s="447">
        <v>6.0000000000000001E-3</v>
      </c>
      <c r="D51" s="448">
        <v>0.623</v>
      </c>
      <c r="E51" s="447">
        <v>0.50900000000000001</v>
      </c>
      <c r="F51" s="448" t="s">
        <v>401</v>
      </c>
      <c r="G51" s="447">
        <v>0.26300000000000001</v>
      </c>
      <c r="H51" s="449">
        <v>0.46200000000000002</v>
      </c>
    </row>
    <row r="52" spans="2:9">
      <c r="B52" s="450"/>
      <c r="C52" s="458"/>
      <c r="D52" s="459"/>
      <c r="E52" s="458"/>
      <c r="F52" s="459"/>
      <c r="G52" s="458"/>
      <c r="H52" s="460"/>
    </row>
    <row r="53" spans="2:9">
      <c r="B53" s="443" t="s">
        <v>408</v>
      </c>
      <c r="C53" s="444">
        <v>9851.4</v>
      </c>
      <c r="D53" s="445">
        <v>30765</v>
      </c>
      <c r="E53" s="444">
        <v>77.7</v>
      </c>
      <c r="F53" s="445">
        <v>170.4</v>
      </c>
      <c r="G53" s="444">
        <v>3052.5</v>
      </c>
      <c r="H53" s="446">
        <v>43917</v>
      </c>
      <c r="I53" s="470"/>
    </row>
    <row r="54" spans="2:9">
      <c r="B54" s="443" t="s">
        <v>403</v>
      </c>
      <c r="C54" s="447">
        <v>0.99399999999999999</v>
      </c>
      <c r="D54" s="448">
        <v>0.316</v>
      </c>
      <c r="E54" s="447">
        <v>0.51400000000000001</v>
      </c>
      <c r="F54" s="448">
        <v>1</v>
      </c>
      <c r="G54" s="447">
        <v>0.80400000000000005</v>
      </c>
      <c r="H54" s="449">
        <v>0.50600000000000001</v>
      </c>
    </row>
    <row r="55" spans="2:9">
      <c r="B55" s="450" t="s">
        <v>404</v>
      </c>
      <c r="C55" s="458">
        <v>6.0000000000000001E-3</v>
      </c>
      <c r="D55" s="459">
        <v>0.68400000000000005</v>
      </c>
      <c r="E55" s="458">
        <v>0.48599999999999999</v>
      </c>
      <c r="F55" s="459" t="s">
        <v>401</v>
      </c>
      <c r="G55" s="458">
        <v>0.19600000000000001</v>
      </c>
      <c r="H55" s="460">
        <v>0.49399999999999999</v>
      </c>
    </row>
    <row r="56" spans="2:9">
      <c r="B56" s="443"/>
      <c r="C56" s="447"/>
      <c r="D56" s="448"/>
      <c r="E56" s="447"/>
      <c r="F56" s="448"/>
      <c r="G56" s="447"/>
      <c r="H56" s="449"/>
      <c r="I56" s="470"/>
    </row>
    <row r="57" spans="2:9">
      <c r="B57" s="443" t="s">
        <v>409</v>
      </c>
      <c r="C57" s="444">
        <v>10399.6</v>
      </c>
      <c r="D57" s="445">
        <v>31971.3</v>
      </c>
      <c r="E57" s="444">
        <v>86.3</v>
      </c>
      <c r="F57" s="445">
        <v>176.5</v>
      </c>
      <c r="G57" s="444">
        <v>2850.3</v>
      </c>
      <c r="H57" s="446">
        <v>45484</v>
      </c>
      <c r="I57" s="470"/>
    </row>
    <row r="58" spans="2:9">
      <c r="B58" s="443" t="s">
        <v>403</v>
      </c>
      <c r="C58" s="447">
        <v>0.99399999999999999</v>
      </c>
      <c r="D58" s="448">
        <v>0.29799999999999999</v>
      </c>
      <c r="E58" s="447">
        <v>0.40899999999999997</v>
      </c>
      <c r="F58" s="448">
        <v>1</v>
      </c>
      <c r="G58" s="447">
        <v>0.78100000000000003</v>
      </c>
      <c r="H58" s="449">
        <v>0.49</v>
      </c>
    </row>
    <row r="59" spans="2:9" ht="13.5" thickBot="1">
      <c r="B59" s="461" t="s">
        <v>404</v>
      </c>
      <c r="C59" s="462">
        <v>6.0000000000000001E-3</v>
      </c>
      <c r="D59" s="463">
        <v>0.70199999999999996</v>
      </c>
      <c r="E59" s="462">
        <v>0.59099999999999997</v>
      </c>
      <c r="F59" s="463" t="s">
        <v>401</v>
      </c>
      <c r="G59" s="462">
        <v>0.219</v>
      </c>
      <c r="H59" s="464">
        <v>0.51</v>
      </c>
    </row>
    <row r="60" spans="2:9">
      <c r="B60" s="454"/>
      <c r="C60" s="465"/>
      <c r="D60" s="466"/>
      <c r="E60" s="465"/>
      <c r="F60" s="466"/>
      <c r="G60" s="465"/>
      <c r="H60" s="467"/>
    </row>
    <row r="61" spans="2:9">
      <c r="B61" s="443" t="s">
        <v>411</v>
      </c>
      <c r="C61" s="444">
        <v>11424.1</v>
      </c>
      <c r="D61" s="445">
        <v>33708.1</v>
      </c>
      <c r="E61" s="444">
        <v>89.3</v>
      </c>
      <c r="F61" s="445">
        <v>184.5</v>
      </c>
      <c r="G61" s="444">
        <v>3374</v>
      </c>
      <c r="H61" s="446">
        <v>48780</v>
      </c>
      <c r="I61" s="470"/>
    </row>
    <row r="62" spans="2:9">
      <c r="B62" s="443" t="s">
        <v>403</v>
      </c>
      <c r="C62" s="447">
        <v>0.99399999999999999</v>
      </c>
      <c r="D62" s="448">
        <v>0.35199999999999998</v>
      </c>
      <c r="E62" s="447">
        <v>0.15</v>
      </c>
      <c r="F62" s="448">
        <v>1</v>
      </c>
      <c r="G62" s="447">
        <v>0.54500000000000004</v>
      </c>
      <c r="H62" s="449">
        <v>0.53659999999999997</v>
      </c>
    </row>
    <row r="63" spans="2:9" ht="13.5" thickBot="1">
      <c r="B63" s="461" t="s">
        <v>404</v>
      </c>
      <c r="C63" s="462">
        <v>6.0000000000000001E-3</v>
      </c>
      <c r="D63" s="463">
        <v>0.64800000000000002</v>
      </c>
      <c r="E63" s="462">
        <v>0.85</v>
      </c>
      <c r="F63" s="463" t="s">
        <v>401</v>
      </c>
      <c r="G63" s="462">
        <v>0.45450000000000002</v>
      </c>
      <c r="H63" s="464">
        <v>0.46300000000000002</v>
      </c>
    </row>
    <row r="64" spans="2:9">
      <c r="B64" s="473"/>
      <c r="C64" s="478"/>
      <c r="D64" s="476"/>
      <c r="E64" s="478"/>
      <c r="F64" s="476"/>
      <c r="G64" s="478"/>
      <c r="H64" s="476"/>
    </row>
    <row r="65" spans="2:8">
      <c r="B65" s="474" t="s">
        <v>414</v>
      </c>
      <c r="C65" s="445">
        <v>12330</v>
      </c>
      <c r="D65" s="444">
        <v>36344</v>
      </c>
      <c r="E65" s="445">
        <v>96.9</v>
      </c>
      <c r="F65" s="444">
        <v>199.3</v>
      </c>
      <c r="G65" s="445">
        <v>3884.0856407188148</v>
      </c>
      <c r="H65" s="477">
        <f>BALANCE_ELECT!C20</f>
        <v>52854.285640718816</v>
      </c>
    </row>
    <row r="66" spans="2:8">
      <c r="B66" s="474" t="s">
        <v>403</v>
      </c>
      <c r="C66" s="448">
        <v>0.99464720194647205</v>
      </c>
      <c r="D66" s="447">
        <v>0.42527239709443099</v>
      </c>
      <c r="E66" s="448">
        <v>0.11455108359133127</v>
      </c>
      <c r="F66" s="447">
        <v>1</v>
      </c>
      <c r="G66" s="448">
        <v>0.86005251936221383</v>
      </c>
      <c r="H66" s="447">
        <f>BALANCE_ELECT!D21</f>
        <v>0.591645828935917</v>
      </c>
    </row>
    <row r="67" spans="2:8" ht="13.5" thickBot="1">
      <c r="B67" s="475" t="s">
        <v>404</v>
      </c>
      <c r="C67" s="463">
        <v>5.3527980535279804E-3</v>
      </c>
      <c r="D67" s="462">
        <v>0.57472760290556901</v>
      </c>
      <c r="E67" s="463">
        <v>0.88544891640866874</v>
      </c>
      <c r="F67" s="462">
        <v>0</v>
      </c>
      <c r="G67" s="463">
        <v>0.13994748063778625</v>
      </c>
      <c r="H67" s="462">
        <f>BALANCE_ELECT!D26</f>
        <v>0.408354171064083</v>
      </c>
    </row>
    <row r="68" spans="2:8">
      <c r="B68" s="468"/>
      <c r="C68" s="469"/>
      <c r="D68" s="469"/>
      <c r="E68" s="469"/>
      <c r="F68" s="469"/>
      <c r="G68" s="469"/>
      <c r="H68" s="469"/>
    </row>
    <row r="69" spans="2:8">
      <c r="B69" s="468"/>
      <c r="C69" s="469"/>
      <c r="D69" s="469"/>
      <c r="E69" s="469"/>
      <c r="F69" s="469"/>
      <c r="G69" s="469"/>
      <c r="H69" s="469"/>
    </row>
    <row r="70" spans="2:8">
      <c r="B70" s="22"/>
      <c r="C70" s="471" t="s">
        <v>800</v>
      </c>
      <c r="D70" s="22"/>
      <c r="E70" s="22"/>
      <c r="F70" s="22"/>
      <c r="G70" s="22"/>
      <c r="H70" s="22"/>
    </row>
    <row r="71" spans="2:8">
      <c r="B71" s="22"/>
      <c r="C71" s="22" t="s">
        <v>799</v>
      </c>
      <c r="D71" s="22"/>
      <c r="E71" s="22"/>
      <c r="F71" s="22"/>
      <c r="G71" s="22"/>
      <c r="H71" s="22"/>
    </row>
    <row r="72" spans="2:8">
      <c r="B72" s="22"/>
      <c r="C72" s="22" t="s">
        <v>423</v>
      </c>
      <c r="D72" s="22"/>
      <c r="E72" s="22"/>
      <c r="F72" s="22"/>
      <c r="G72" s="22"/>
      <c r="H72" s="22"/>
    </row>
    <row r="73" spans="2:8">
      <c r="B73" s="22"/>
      <c r="C73" s="22" t="s">
        <v>797</v>
      </c>
      <c r="D73" s="22"/>
      <c r="E73" s="22"/>
      <c r="F73" s="22"/>
      <c r="G73" s="22"/>
      <c r="H73" s="22"/>
    </row>
    <row r="74" spans="2:8">
      <c r="B74" s="22"/>
      <c r="C74" s="22" t="s">
        <v>798</v>
      </c>
      <c r="D74" s="22"/>
      <c r="E74" s="22"/>
      <c r="F74" s="22"/>
      <c r="G74" s="22"/>
      <c r="H74" s="22"/>
    </row>
    <row r="75" spans="2:8">
      <c r="B75" s="22"/>
      <c r="C75" s="22" t="s">
        <v>424</v>
      </c>
      <c r="D75" s="22"/>
      <c r="E75" s="22"/>
      <c r="F75" s="22"/>
      <c r="G75" s="22"/>
      <c r="H75" s="22"/>
    </row>
    <row r="76" spans="2:8">
      <c r="B76" s="22"/>
      <c r="C76" s="472"/>
      <c r="D76" s="22"/>
      <c r="E76" s="22"/>
      <c r="F76" s="22"/>
      <c r="G76" s="22"/>
      <c r="H76" s="22"/>
    </row>
    <row r="77" spans="2:8">
      <c r="B77" s="22"/>
      <c r="C77" s="22"/>
      <c r="D77" s="22"/>
      <c r="E77" s="22"/>
      <c r="F77" s="22"/>
      <c r="G77" s="22"/>
      <c r="H77" s="22"/>
    </row>
    <row r="78" spans="2:8">
      <c r="B78" s="22"/>
      <c r="C78" s="22"/>
      <c r="D78" s="22"/>
      <c r="E78" s="22"/>
      <c r="F78" s="22"/>
      <c r="G78" s="22"/>
      <c r="H78" s="22"/>
    </row>
    <row r="79" spans="2:8">
      <c r="B79" s="22"/>
      <c r="C79" s="22"/>
      <c r="D79" s="22"/>
      <c r="E79" s="22"/>
      <c r="F79" s="22"/>
      <c r="G79" s="22"/>
      <c r="H79" s="22"/>
    </row>
    <row r="80" spans="2:8">
      <c r="B80" s="22"/>
      <c r="C80" s="22"/>
      <c r="D80" s="22"/>
      <c r="E80" s="22"/>
      <c r="F80" s="22"/>
      <c r="G80" s="22"/>
      <c r="H80" s="22"/>
    </row>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sheetData>
  <phoneticPr fontId="0" type="noConversion"/>
  <hyperlinks>
    <hyperlink ref="H1" location="INDICE!A70" display="VOLVER A INDICE"/>
  </hyperlinks>
  <pageMargins left="0.75" right="0.75" top="1" bottom="1" header="0" footer="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topLeftCell="A7" workbookViewId="0">
      <selection activeCell="F19" sqref="F19"/>
    </sheetView>
  </sheetViews>
  <sheetFormatPr baseColWidth="10" defaultRowHeight="12.75"/>
  <cols>
    <col min="1" max="1" width="1.7109375" style="22" customWidth="1"/>
    <col min="2" max="2" width="26.5703125" style="898" customWidth="1"/>
    <col min="3" max="3" width="11.42578125" style="898"/>
    <col min="4" max="4" width="21" style="898" customWidth="1"/>
    <col min="5" max="22" width="11.42578125" style="22"/>
    <col min="23" max="16384" width="11.42578125" style="898"/>
  </cols>
  <sheetData>
    <row r="1" spans="1:6" ht="9" customHeight="1"/>
    <row r="2" spans="1:6">
      <c r="A2" s="834"/>
      <c r="B2" s="835"/>
      <c r="C2" s="836"/>
      <c r="D2" s="837"/>
      <c r="E2" s="834"/>
      <c r="F2" s="859" t="s">
        <v>683</v>
      </c>
    </row>
    <row r="3" spans="1:6">
      <c r="A3" s="834"/>
      <c r="B3" s="842"/>
      <c r="C3" s="833"/>
      <c r="D3" s="843"/>
      <c r="E3" s="834"/>
    </row>
    <row r="4" spans="1:6">
      <c r="A4" s="834"/>
      <c r="B4" s="838"/>
      <c r="C4" s="832" t="s">
        <v>593</v>
      </c>
      <c r="D4" s="839"/>
      <c r="E4" s="834"/>
    </row>
    <row r="5" spans="1:6">
      <c r="A5" s="834"/>
      <c r="B5" s="840"/>
      <c r="C5" s="832" t="s">
        <v>594</v>
      </c>
      <c r="D5" s="841"/>
      <c r="E5" s="834"/>
    </row>
    <row r="6" spans="1:6">
      <c r="A6" s="834"/>
      <c r="B6" s="844"/>
      <c r="C6" s="845"/>
      <c r="D6" s="846"/>
      <c r="E6" s="834"/>
    </row>
    <row r="7" spans="1:6">
      <c r="A7" s="834"/>
      <c r="B7" s="1136" t="s">
        <v>595</v>
      </c>
      <c r="C7" s="1137" t="s">
        <v>596</v>
      </c>
      <c r="D7" s="1138" t="s">
        <v>597</v>
      </c>
      <c r="E7" s="834"/>
    </row>
    <row r="8" spans="1:6">
      <c r="A8" s="834"/>
      <c r="B8" s="1136"/>
      <c r="C8" s="1137" t="s">
        <v>598</v>
      </c>
      <c r="D8" s="1138" t="s">
        <v>599</v>
      </c>
      <c r="E8" s="834"/>
    </row>
    <row r="9" spans="1:6">
      <c r="A9" s="834"/>
      <c r="B9" s="1136" t="s">
        <v>600</v>
      </c>
      <c r="C9" s="1139">
        <v>0.82450000000000001</v>
      </c>
      <c r="D9" s="1140">
        <v>10963</v>
      </c>
      <c r="E9" s="834" t="s">
        <v>548</v>
      </c>
    </row>
    <row r="10" spans="1:6">
      <c r="A10" s="834"/>
      <c r="B10" s="1136" t="s">
        <v>601</v>
      </c>
      <c r="C10" s="1139">
        <v>0.85499999999999998</v>
      </c>
      <c r="D10" s="1140">
        <v>10860</v>
      </c>
      <c r="E10" s="834"/>
    </row>
    <row r="11" spans="1:6">
      <c r="A11" s="834"/>
      <c r="B11" s="1136" t="s">
        <v>602</v>
      </c>
      <c r="C11" s="1139">
        <v>0.92700000000000005</v>
      </c>
      <c r="D11" s="1140">
        <v>10500</v>
      </c>
      <c r="E11" s="834"/>
    </row>
    <row r="12" spans="1:6">
      <c r="A12" s="834"/>
      <c r="B12" s="1136" t="s">
        <v>603</v>
      </c>
      <c r="C12" s="1139">
        <v>0.93600000000000005</v>
      </c>
      <c r="D12" s="1140">
        <v>10500</v>
      </c>
      <c r="E12" s="834"/>
    </row>
    <row r="13" spans="1:6">
      <c r="A13" s="834"/>
      <c r="B13" s="1136" t="s">
        <v>604</v>
      </c>
      <c r="C13" s="1139">
        <v>0.94499999999999995</v>
      </c>
      <c r="D13" s="1140">
        <v>10500</v>
      </c>
      <c r="E13" s="834"/>
    </row>
    <row r="14" spans="1:6">
      <c r="A14" s="834"/>
      <c r="B14" s="1136" t="s">
        <v>63</v>
      </c>
      <c r="C14" s="1139">
        <v>0.7</v>
      </c>
      <c r="D14" s="1140">
        <v>11500</v>
      </c>
      <c r="E14" s="834"/>
    </row>
    <row r="15" spans="1:6">
      <c r="A15" s="834"/>
      <c r="B15" s="1136" t="s">
        <v>60</v>
      </c>
      <c r="C15" s="1139">
        <v>0.55000000000000004</v>
      </c>
      <c r="D15" s="1140">
        <v>12100</v>
      </c>
      <c r="E15" s="834"/>
    </row>
    <row r="16" spans="1:6">
      <c r="A16" s="834"/>
      <c r="B16" s="1136" t="s">
        <v>605</v>
      </c>
      <c r="C16" s="1139">
        <v>0.73</v>
      </c>
      <c r="D16" s="1140">
        <v>11200</v>
      </c>
      <c r="E16" s="834"/>
    </row>
    <row r="17" spans="1:5">
      <c r="A17" s="834"/>
      <c r="B17" s="1136" t="s">
        <v>205</v>
      </c>
      <c r="C17" s="1139">
        <v>0.7</v>
      </c>
      <c r="D17" s="1140">
        <v>11400</v>
      </c>
      <c r="E17" s="834"/>
    </row>
    <row r="18" spans="1:5">
      <c r="A18" s="834"/>
      <c r="B18" s="1136" t="s">
        <v>62</v>
      </c>
      <c r="C18" s="1139">
        <v>0.81</v>
      </c>
      <c r="D18" s="1140">
        <v>11100</v>
      </c>
      <c r="E18" s="834"/>
    </row>
    <row r="19" spans="1:5">
      <c r="A19" s="834"/>
      <c r="B19" s="1136" t="s">
        <v>59</v>
      </c>
      <c r="C19" s="1139">
        <v>0.81</v>
      </c>
      <c r="D19" s="1140">
        <v>11100</v>
      </c>
      <c r="E19" s="834"/>
    </row>
    <row r="20" spans="1:5">
      <c r="A20" s="834"/>
      <c r="B20" s="1136" t="s">
        <v>56</v>
      </c>
      <c r="C20" s="1139">
        <v>0.84</v>
      </c>
      <c r="D20" s="1140">
        <v>10900</v>
      </c>
      <c r="E20" s="834"/>
    </row>
    <row r="21" spans="1:5">
      <c r="A21" s="834"/>
      <c r="B21" s="1136" t="s">
        <v>606</v>
      </c>
      <c r="C21" s="1141" t="s">
        <v>250</v>
      </c>
      <c r="D21" s="1140">
        <v>9341</v>
      </c>
      <c r="E21" s="834" t="s">
        <v>607</v>
      </c>
    </row>
    <row r="22" spans="1:5">
      <c r="A22" s="834"/>
      <c r="B22" s="1136" t="s">
        <v>9</v>
      </c>
      <c r="C22" s="1141" t="s">
        <v>250</v>
      </c>
      <c r="D22" s="1140">
        <v>3500</v>
      </c>
      <c r="E22" s="834"/>
    </row>
    <row r="23" spans="1:5">
      <c r="A23" s="834"/>
      <c r="B23" s="1136" t="s">
        <v>7</v>
      </c>
      <c r="C23" s="1141" t="s">
        <v>250</v>
      </c>
      <c r="D23" s="1140">
        <v>7000</v>
      </c>
      <c r="E23" s="834"/>
    </row>
    <row r="24" spans="1:5">
      <c r="A24" s="834"/>
      <c r="B24" s="1136" t="s">
        <v>10</v>
      </c>
      <c r="C24" s="1141" t="s">
        <v>250</v>
      </c>
      <c r="D24" s="1140">
        <v>4000</v>
      </c>
      <c r="E24" s="834" t="s">
        <v>607</v>
      </c>
    </row>
    <row r="25" spans="1:5">
      <c r="A25" s="834"/>
      <c r="B25" s="1136" t="s">
        <v>608</v>
      </c>
      <c r="C25" s="1141" t="s">
        <v>250</v>
      </c>
      <c r="D25" s="1140">
        <v>4260</v>
      </c>
      <c r="E25" s="834" t="s">
        <v>609</v>
      </c>
    </row>
    <row r="26" spans="1:5">
      <c r="A26" s="834"/>
      <c r="B26" s="1136" t="s">
        <v>18</v>
      </c>
      <c r="C26" s="1141" t="s">
        <v>250</v>
      </c>
      <c r="D26" s="1140">
        <v>860</v>
      </c>
      <c r="E26" s="834" t="s">
        <v>610</v>
      </c>
    </row>
    <row r="27" spans="1:5">
      <c r="A27" s="834"/>
      <c r="B27" s="1142" t="s">
        <v>611</v>
      </c>
      <c r="C27" s="1143"/>
      <c r="D27" s="1144"/>
      <c r="E27" s="834"/>
    </row>
    <row r="28" spans="1:5">
      <c r="A28" s="834"/>
      <c r="B28" s="1142" t="s">
        <v>612</v>
      </c>
      <c r="C28" s="1143"/>
      <c r="D28" s="1144"/>
      <c r="E28" s="834"/>
    </row>
    <row r="29" spans="1:5">
      <c r="A29" s="834"/>
      <c r="B29" s="1142" t="s">
        <v>613</v>
      </c>
      <c r="C29" s="1143"/>
      <c r="D29" s="1144"/>
      <c r="E29" s="834"/>
    </row>
    <row r="30" spans="1:5">
      <c r="A30" s="834"/>
      <c r="B30" s="1142" t="s">
        <v>614</v>
      </c>
      <c r="C30" s="1143"/>
      <c r="D30" s="1144"/>
      <c r="E30" s="834"/>
    </row>
    <row r="31" spans="1:5">
      <c r="A31" s="834"/>
      <c r="B31" s="1145" t="s">
        <v>615</v>
      </c>
      <c r="C31" s="1143"/>
      <c r="D31" s="1144"/>
      <c r="E31" s="834"/>
    </row>
    <row r="32" spans="1:5">
      <c r="A32" s="834"/>
      <c r="B32" s="1146" t="s">
        <v>616</v>
      </c>
      <c r="C32" s="1147"/>
      <c r="D32" s="1148"/>
      <c r="E32" s="834"/>
    </row>
    <row r="33" spans="1:5">
      <c r="A33" s="834"/>
      <c r="B33" s="834"/>
      <c r="C33" s="834"/>
      <c r="D33" s="834"/>
      <c r="E33" s="834"/>
    </row>
    <row r="34" spans="1:5">
      <c r="B34" s="22"/>
      <c r="C34" s="22"/>
      <c r="D34" s="22"/>
    </row>
    <row r="35" spans="1:5">
      <c r="B35" s="22"/>
      <c r="C35" s="22"/>
      <c r="D35" s="22"/>
    </row>
    <row r="36" spans="1:5">
      <c r="B36" s="22"/>
      <c r="C36" s="22"/>
      <c r="D36" s="22"/>
    </row>
    <row r="37" spans="1:5">
      <c r="B37" s="22"/>
      <c r="C37" s="22"/>
      <c r="D37" s="22"/>
    </row>
    <row r="38" spans="1:5">
      <c r="B38" s="22"/>
      <c r="C38" s="22"/>
      <c r="D38" s="22"/>
    </row>
    <row r="39" spans="1:5">
      <c r="B39" s="22"/>
      <c r="C39" s="22"/>
      <c r="D39" s="22"/>
    </row>
    <row r="40" spans="1:5">
      <c r="B40" s="22"/>
      <c r="C40" s="22"/>
      <c r="D40" s="22"/>
    </row>
    <row r="41" spans="1:5">
      <c r="B41" s="22"/>
      <c r="C41" s="22"/>
      <c r="D41" s="22"/>
    </row>
    <row r="42" spans="1:5">
      <c r="B42" s="22"/>
      <c r="C42" s="22"/>
      <c r="D42" s="22"/>
    </row>
    <row r="43" spans="1:5">
      <c r="B43" s="22"/>
      <c r="C43" s="22"/>
      <c r="D43" s="22"/>
    </row>
    <row r="44" spans="1:5">
      <c r="B44" s="22"/>
      <c r="C44" s="22"/>
      <c r="D44" s="22"/>
    </row>
    <row r="45" spans="1:5">
      <c r="B45" s="22"/>
      <c r="C45" s="22"/>
      <c r="D45" s="22"/>
    </row>
    <row r="46" spans="1:5">
      <c r="B46" s="22"/>
      <c r="C46" s="22"/>
      <c r="D46" s="22"/>
    </row>
    <row r="47" spans="1:5">
      <c r="B47" s="22"/>
      <c r="C47" s="22"/>
      <c r="D47" s="22"/>
    </row>
    <row r="48" spans="1:5">
      <c r="B48" s="22"/>
      <c r="C48" s="22"/>
      <c r="D48" s="22"/>
    </row>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sheetData>
  <phoneticPr fontId="0" type="noConversion"/>
  <hyperlinks>
    <hyperlink ref="F2" location="INDICE!A70" display="VOLVER A INDICE"/>
  </hyperlinks>
  <pageMargins left="0.75" right="0.75" top="1" bottom="1" header="0" footer="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9"/>
  <sheetViews>
    <sheetView workbookViewId="0">
      <selection activeCell="L3" sqref="L3"/>
    </sheetView>
  </sheetViews>
  <sheetFormatPr baseColWidth="10" defaultRowHeight="12.75"/>
  <cols>
    <col min="1" max="1" width="1.7109375" style="898" customWidth="1"/>
    <col min="2" max="11" width="11.42578125" style="898"/>
    <col min="12" max="22" width="11.42578125" style="22"/>
    <col min="23" max="16384" width="11.42578125" style="898"/>
  </cols>
  <sheetData>
    <row r="1" spans="2:15" ht="5.25" customHeight="1" thickBot="1"/>
    <row r="2" spans="2:15">
      <c r="B2" s="1149"/>
      <c r="C2" s="1150"/>
      <c r="D2" s="1150"/>
      <c r="E2" s="1150"/>
      <c r="F2" s="1150"/>
      <c r="G2" s="1150"/>
      <c r="H2" s="1150"/>
      <c r="I2" s="1150"/>
      <c r="J2" s="1150"/>
      <c r="K2" s="1151"/>
      <c r="L2" s="852"/>
      <c r="M2" s="852"/>
      <c r="N2" s="852"/>
      <c r="O2" s="852"/>
    </row>
    <row r="3" spans="2:15">
      <c r="B3" s="1152"/>
      <c r="C3" s="849"/>
      <c r="D3" s="850"/>
      <c r="E3" s="850"/>
      <c r="F3" s="850"/>
      <c r="G3" s="850"/>
      <c r="H3" s="850"/>
      <c r="I3" s="849"/>
      <c r="J3" s="849"/>
      <c r="K3" s="1153"/>
      <c r="L3" s="868" t="s">
        <v>683</v>
      </c>
      <c r="M3" s="852"/>
      <c r="N3" s="852"/>
      <c r="O3" s="852"/>
    </row>
    <row r="4" spans="2:15">
      <c r="B4" s="1154"/>
      <c r="C4" s="847"/>
      <c r="D4" s="848" t="s">
        <v>617</v>
      </c>
      <c r="E4" s="847"/>
      <c r="F4" s="847"/>
      <c r="G4" s="847"/>
      <c r="H4" s="847"/>
      <c r="I4" s="847"/>
      <c r="J4" s="847"/>
      <c r="K4" s="1155"/>
      <c r="L4" s="852"/>
      <c r="M4" s="852"/>
      <c r="N4" s="852"/>
      <c r="O4" s="852"/>
    </row>
    <row r="5" spans="2:15">
      <c r="B5" s="1154"/>
      <c r="C5" s="847"/>
      <c r="D5" s="847"/>
      <c r="E5" s="847" t="s">
        <v>618</v>
      </c>
      <c r="F5" s="847"/>
      <c r="G5" s="848" t="s">
        <v>619</v>
      </c>
      <c r="H5" s="847"/>
      <c r="I5" s="847"/>
      <c r="J5" s="847"/>
      <c r="K5" s="1155"/>
      <c r="L5" s="852"/>
      <c r="M5" s="852"/>
      <c r="N5" s="852"/>
      <c r="O5" s="852"/>
    </row>
    <row r="6" spans="2:15">
      <c r="B6" s="1156"/>
      <c r="C6" s="847"/>
      <c r="D6" s="847"/>
      <c r="E6" s="847"/>
      <c r="F6" s="847"/>
      <c r="G6" s="847"/>
      <c r="H6" s="847"/>
      <c r="I6" s="847"/>
      <c r="J6" s="847"/>
      <c r="K6" s="1155"/>
      <c r="L6" s="852"/>
      <c r="M6" s="852"/>
      <c r="N6" s="852"/>
      <c r="O6" s="852"/>
    </row>
    <row r="7" spans="2:15">
      <c r="B7" s="1157"/>
      <c r="C7" s="851" t="s">
        <v>620</v>
      </c>
      <c r="D7" s="851" t="s">
        <v>621</v>
      </c>
      <c r="E7" s="851" t="s">
        <v>550</v>
      </c>
      <c r="F7" s="851" t="s">
        <v>622</v>
      </c>
      <c r="G7" s="851" t="s">
        <v>623</v>
      </c>
      <c r="H7" s="851" t="s">
        <v>624</v>
      </c>
      <c r="I7" s="851" t="s">
        <v>625</v>
      </c>
      <c r="J7" s="851" t="s">
        <v>626</v>
      </c>
      <c r="K7" s="1158" t="s">
        <v>627</v>
      </c>
      <c r="L7" s="852"/>
      <c r="M7" s="852"/>
      <c r="N7" s="852"/>
      <c r="O7" s="852"/>
    </row>
    <row r="8" spans="2:15">
      <c r="B8" s="1159" t="s">
        <v>620</v>
      </c>
      <c r="C8" s="906">
        <v>1</v>
      </c>
      <c r="D8" s="906">
        <v>0.13780000000000001</v>
      </c>
      <c r="E8" s="906">
        <v>1.39E-3</v>
      </c>
      <c r="F8" s="906">
        <v>5.8100000000000001E-3</v>
      </c>
      <c r="G8" s="906">
        <v>5524.86</v>
      </c>
      <c r="H8" s="906">
        <v>1.613944</v>
      </c>
      <c r="I8" s="906">
        <v>131.0615</v>
      </c>
      <c r="J8" s="906">
        <v>167.2073</v>
      </c>
      <c r="K8" s="1160">
        <v>5917.1597000000002</v>
      </c>
      <c r="L8" s="852"/>
      <c r="M8" s="852"/>
      <c r="N8" s="852"/>
      <c r="O8" s="852"/>
    </row>
    <row r="9" spans="2:15">
      <c r="B9" s="1161"/>
      <c r="C9" s="907"/>
      <c r="D9" s="907"/>
      <c r="E9" s="907"/>
      <c r="F9" s="907"/>
      <c r="G9" s="907"/>
      <c r="H9" s="907"/>
      <c r="I9" s="907"/>
      <c r="J9" s="907"/>
      <c r="K9" s="1162"/>
      <c r="L9" s="852"/>
      <c r="M9" s="852"/>
      <c r="N9" s="852"/>
      <c r="O9" s="852"/>
    </row>
    <row r="10" spans="2:15">
      <c r="B10" s="1163" t="s">
        <v>621</v>
      </c>
      <c r="C10" s="909">
        <v>7.2056490000000002</v>
      </c>
      <c r="D10" s="909">
        <v>1</v>
      </c>
      <c r="E10" s="909">
        <v>0.01</v>
      </c>
      <c r="F10" s="909">
        <v>4.1840000000000002E-2</v>
      </c>
      <c r="G10" s="909">
        <v>39810.22</v>
      </c>
      <c r="H10" s="909">
        <v>11.62951</v>
      </c>
      <c r="I10" s="909">
        <v>944.38379999999995</v>
      </c>
      <c r="J10" s="909">
        <v>1204.837</v>
      </c>
      <c r="K10" s="1164">
        <v>42636.976000000002</v>
      </c>
      <c r="L10" s="852"/>
      <c r="M10" s="852"/>
      <c r="N10" s="852"/>
      <c r="O10" s="852"/>
    </row>
    <row r="11" spans="2:15">
      <c r="B11" s="1161"/>
      <c r="C11" s="907"/>
      <c r="D11" s="907"/>
      <c r="E11" s="907"/>
      <c r="F11" s="907"/>
      <c r="G11" s="907"/>
      <c r="H11" s="907"/>
      <c r="I11" s="907"/>
      <c r="J11" s="907"/>
      <c r="K11" s="1162"/>
      <c r="L11" s="852"/>
      <c r="M11" s="852"/>
      <c r="N11" s="852"/>
      <c r="O11" s="852"/>
    </row>
    <row r="12" spans="2:15">
      <c r="B12" s="1163" t="s">
        <v>550</v>
      </c>
      <c r="C12" s="909">
        <v>720.56489999999997</v>
      </c>
      <c r="D12" s="909">
        <v>100</v>
      </c>
      <c r="E12" s="909">
        <v>1</v>
      </c>
      <c r="F12" s="909">
        <v>4.1840000000000002</v>
      </c>
      <c r="G12" s="909">
        <v>3981022</v>
      </c>
      <c r="H12" s="909">
        <v>1162.952</v>
      </c>
      <c r="I12" s="909">
        <v>94438.38</v>
      </c>
      <c r="J12" s="909">
        <v>120483.7</v>
      </c>
      <c r="K12" s="1164">
        <v>4263697.5999999996</v>
      </c>
      <c r="L12" s="852"/>
      <c r="M12" s="852"/>
      <c r="N12" s="852"/>
      <c r="O12" s="852"/>
    </row>
    <row r="13" spans="2:15">
      <c r="B13" s="1161"/>
      <c r="C13" s="907"/>
      <c r="D13" s="907"/>
      <c r="E13" s="907"/>
      <c r="F13" s="907"/>
      <c r="G13" s="907"/>
      <c r="H13" s="907"/>
      <c r="I13" s="907"/>
      <c r="J13" s="907"/>
      <c r="K13" s="1162"/>
      <c r="L13" s="852"/>
      <c r="M13" s="852"/>
      <c r="N13" s="852"/>
      <c r="O13" s="852"/>
    </row>
    <row r="14" spans="2:15">
      <c r="B14" s="1163" t="s">
        <v>622</v>
      </c>
      <c r="C14" s="909">
        <v>172.2191</v>
      </c>
      <c r="D14" s="909">
        <v>23.900569999999998</v>
      </c>
      <c r="E14" s="909">
        <v>0.239005</v>
      </c>
      <c r="F14" s="909">
        <v>1</v>
      </c>
      <c r="G14" s="909">
        <v>952380.95238095243</v>
      </c>
      <c r="H14" s="909">
        <v>277.95209999999997</v>
      </c>
      <c r="I14" s="909">
        <v>22571.31</v>
      </c>
      <c r="J14" s="909">
        <v>28796.29</v>
      </c>
      <c r="K14" s="1164">
        <v>1019048.1</v>
      </c>
      <c r="L14" s="852"/>
      <c r="M14" s="852"/>
      <c r="N14" s="852"/>
      <c r="O14" s="852"/>
    </row>
    <row r="15" spans="2:15">
      <c r="B15" s="1161"/>
      <c r="C15" s="907"/>
      <c r="D15" s="907"/>
      <c r="E15" s="907"/>
      <c r="F15" s="907"/>
      <c r="G15" s="907"/>
      <c r="H15" s="907"/>
      <c r="I15" s="907"/>
      <c r="J15" s="907"/>
      <c r="K15" s="1162"/>
      <c r="L15" s="852"/>
      <c r="M15" s="852"/>
      <c r="N15" s="852"/>
      <c r="O15" s="852"/>
    </row>
    <row r="16" spans="2:15">
      <c r="B16" s="1163" t="s">
        <v>623</v>
      </c>
      <c r="C16" s="909">
        <v>1.8000000000000001E-4</v>
      </c>
      <c r="D16" s="909">
        <v>2.51E-5</v>
      </c>
      <c r="E16" s="909">
        <v>2.4999999999999999E-7</v>
      </c>
      <c r="F16" s="909">
        <v>1.0499999999999999E-6</v>
      </c>
      <c r="G16" s="909">
        <v>1</v>
      </c>
      <c r="H16" s="909">
        <v>2.9E-4</v>
      </c>
      <c r="I16" s="909">
        <v>2.3720000000000001E-2</v>
      </c>
      <c r="J16" s="909">
        <v>3.0265E-2</v>
      </c>
      <c r="K16" s="1164">
        <v>1.07101</v>
      </c>
      <c r="L16" s="852"/>
      <c r="M16" s="852"/>
      <c r="N16" s="852"/>
      <c r="O16" s="852"/>
    </row>
    <row r="17" spans="2:15">
      <c r="B17" s="1161"/>
      <c r="C17" s="907"/>
      <c r="D17" s="907"/>
      <c r="E17" s="907"/>
      <c r="F17" s="907"/>
      <c r="G17" s="907"/>
      <c r="H17" s="907"/>
      <c r="I17" s="907"/>
      <c r="J17" s="907"/>
      <c r="K17" s="1162"/>
      <c r="L17" s="852"/>
      <c r="M17" s="852"/>
      <c r="N17" s="852"/>
      <c r="O17" s="852"/>
    </row>
    <row r="18" spans="2:15">
      <c r="B18" s="1163" t="s">
        <v>624</v>
      </c>
      <c r="C18" s="909">
        <v>0.61960000000000004</v>
      </c>
      <c r="D18" s="909">
        <v>8.5989999999999997E-2</v>
      </c>
      <c r="E18" s="909">
        <v>8.5999999999999998E-4</v>
      </c>
      <c r="F18" s="909">
        <v>3.5999999999999999E-3</v>
      </c>
      <c r="G18" s="909">
        <v>3423.2</v>
      </c>
      <c r="H18" s="909">
        <v>1</v>
      </c>
      <c r="I18" s="909">
        <v>81.205770000000001</v>
      </c>
      <c r="J18" s="909">
        <v>103.6016</v>
      </c>
      <c r="K18" s="1164">
        <v>3666.2721000000001</v>
      </c>
      <c r="L18" s="852"/>
      <c r="M18" s="852"/>
      <c r="N18" s="852"/>
      <c r="O18" s="852"/>
    </row>
    <row r="19" spans="2:15">
      <c r="B19" s="1161"/>
      <c r="C19" s="907"/>
      <c r="D19" s="907"/>
      <c r="E19" s="907"/>
      <c r="F19" s="907"/>
      <c r="G19" s="907"/>
      <c r="H19" s="907"/>
      <c r="I19" s="907"/>
      <c r="J19" s="907"/>
      <c r="K19" s="1162"/>
      <c r="L19" s="852"/>
      <c r="M19" s="852"/>
      <c r="N19" s="852"/>
      <c r="O19" s="852"/>
    </row>
    <row r="20" spans="2:15">
      <c r="B20" s="1163" t="s">
        <v>625</v>
      </c>
      <c r="C20" s="909">
        <v>7.6299999999999996E-3</v>
      </c>
      <c r="D20" s="909">
        <v>1.06E-3</v>
      </c>
      <c r="E20" s="909">
        <v>1.06E-5</v>
      </c>
      <c r="F20" s="909">
        <v>4.4299999999999999E-5</v>
      </c>
      <c r="G20" s="909">
        <v>42.154690000000002</v>
      </c>
      <c r="H20" s="909">
        <v>1.2314E-2</v>
      </c>
      <c r="I20" s="909">
        <v>1</v>
      </c>
      <c r="J20" s="909">
        <v>1.2757909999999999</v>
      </c>
      <c r="K20" s="1164">
        <v>45.147928</v>
      </c>
      <c r="L20" s="852"/>
      <c r="M20" s="852"/>
      <c r="N20" s="852"/>
      <c r="O20" s="852"/>
    </row>
    <row r="21" spans="2:15">
      <c r="B21" s="1161"/>
      <c r="C21" s="907"/>
      <c r="D21" s="907"/>
      <c r="E21" s="907"/>
      <c r="F21" s="907"/>
      <c r="G21" s="907"/>
      <c r="H21" s="907"/>
      <c r="I21" s="907"/>
      <c r="J21" s="907"/>
      <c r="K21" s="1162"/>
      <c r="L21" s="852"/>
      <c r="M21" s="852"/>
      <c r="N21" s="852"/>
      <c r="O21" s="852"/>
    </row>
    <row r="22" spans="2:15">
      <c r="B22" s="1163" t="s">
        <v>628</v>
      </c>
      <c r="C22" s="909">
        <v>5.9800000000000001E-3</v>
      </c>
      <c r="D22" s="909">
        <v>8.3000000000000001E-4</v>
      </c>
      <c r="E22" s="909">
        <v>8.3000000000000002E-6</v>
      </c>
      <c r="F22" s="909">
        <v>3.4700000000000003E-5</v>
      </c>
      <c r="G22" s="909">
        <v>33.041980000000002</v>
      </c>
      <c r="H22" s="909">
        <v>9.6520000000000009E-3</v>
      </c>
      <c r="I22" s="909">
        <v>0.78382600000000002</v>
      </c>
      <c r="J22" s="909">
        <v>1</v>
      </c>
      <c r="K22" s="1164">
        <v>35.388165000000001</v>
      </c>
      <c r="L22" s="852"/>
      <c r="M22" s="852"/>
      <c r="N22" s="852"/>
      <c r="O22" s="852"/>
    </row>
    <row r="23" spans="2:15">
      <c r="B23" s="1161"/>
      <c r="C23" s="907"/>
      <c r="D23" s="907"/>
      <c r="E23" s="907"/>
      <c r="F23" s="907"/>
      <c r="G23" s="907"/>
      <c r="H23" s="907"/>
      <c r="I23" s="907"/>
      <c r="J23" s="907"/>
      <c r="K23" s="1162"/>
      <c r="L23" s="852"/>
      <c r="M23" s="852"/>
      <c r="N23" s="852"/>
      <c r="O23" s="852"/>
    </row>
    <row r="24" spans="2:15" ht="13.5" thickBot="1">
      <c r="B24" s="1165" t="s">
        <v>627</v>
      </c>
      <c r="C24" s="1166">
        <v>1.7000000000000001E-4</v>
      </c>
      <c r="D24" s="1166">
        <v>2.3499999999999999E-5</v>
      </c>
      <c r="E24" s="1166">
        <v>2.35E-7</v>
      </c>
      <c r="F24" s="1166">
        <v>9.8100000000000001E-7</v>
      </c>
      <c r="G24" s="1166">
        <v>0.933701</v>
      </c>
      <c r="H24" s="1166">
        <v>2.72E-4</v>
      </c>
      <c r="I24" s="1166">
        <v>2.2148999999999999E-2</v>
      </c>
      <c r="J24" s="1166">
        <v>2.8257999999999998E-2</v>
      </c>
      <c r="K24" s="1167">
        <v>1</v>
      </c>
      <c r="L24" s="852"/>
      <c r="M24" s="852"/>
      <c r="N24" s="852"/>
      <c r="O24" s="852"/>
    </row>
    <row r="25" spans="2:15">
      <c r="B25" s="853" t="s">
        <v>629</v>
      </c>
      <c r="C25" s="853"/>
      <c r="D25" s="853"/>
      <c r="E25" s="853"/>
      <c r="F25" s="853"/>
      <c r="G25" s="853"/>
      <c r="H25" s="853"/>
      <c r="I25" s="853"/>
      <c r="J25" s="853"/>
      <c r="K25" s="853"/>
      <c r="L25" s="852"/>
      <c r="M25" s="852"/>
      <c r="N25" s="852"/>
      <c r="O25" s="852"/>
    </row>
    <row r="26" spans="2:15">
      <c r="B26" s="853"/>
      <c r="C26" s="853"/>
      <c r="D26" s="853"/>
      <c r="E26" s="853"/>
      <c r="F26" s="853"/>
      <c r="G26" s="853"/>
      <c r="H26" s="853"/>
      <c r="I26" s="853"/>
      <c r="J26" s="853"/>
      <c r="K26" s="853"/>
      <c r="L26" s="852"/>
      <c r="M26" s="852"/>
      <c r="N26" s="852"/>
      <c r="O26" s="852"/>
    </row>
    <row r="27" spans="2:15">
      <c r="B27" s="853"/>
      <c r="C27" s="853"/>
      <c r="D27" s="853"/>
      <c r="E27" s="853"/>
      <c r="F27" s="853"/>
      <c r="G27" s="853"/>
      <c r="H27" s="853"/>
      <c r="I27" s="853"/>
      <c r="J27" s="853"/>
      <c r="K27" s="853"/>
      <c r="L27" s="852"/>
      <c r="M27" s="852"/>
      <c r="N27" s="852"/>
      <c r="O27" s="852"/>
    </row>
    <row r="28" spans="2:15">
      <c r="B28" s="912" t="s">
        <v>630</v>
      </c>
      <c r="C28" s="913"/>
      <c r="D28" s="914"/>
      <c r="E28" s="853"/>
      <c r="F28" s="915" t="s">
        <v>631</v>
      </c>
      <c r="G28" s="914"/>
      <c r="H28" s="853"/>
      <c r="I28" s="915" t="s">
        <v>632</v>
      </c>
      <c r="J28" s="913"/>
      <c r="K28" s="914"/>
      <c r="L28" s="852"/>
      <c r="M28" s="852"/>
      <c r="N28" s="852"/>
      <c r="O28" s="852"/>
    </row>
    <row r="29" spans="2:15">
      <c r="B29" s="916" t="s">
        <v>633</v>
      </c>
      <c r="C29" s="917"/>
      <c r="D29" s="918" t="s">
        <v>634</v>
      </c>
      <c r="E29" s="853"/>
      <c r="F29" s="919" t="s">
        <v>635</v>
      </c>
      <c r="G29" s="920" t="s">
        <v>636</v>
      </c>
      <c r="H29" s="853"/>
      <c r="I29" s="921" t="s">
        <v>637</v>
      </c>
      <c r="J29" s="922" t="s">
        <v>638</v>
      </c>
      <c r="K29" s="923"/>
      <c r="L29" s="852"/>
      <c r="M29" s="852"/>
      <c r="N29" s="852"/>
      <c r="O29" s="852"/>
    </row>
    <row r="30" spans="2:15">
      <c r="B30" s="924" t="s">
        <v>639</v>
      </c>
      <c r="C30" s="925"/>
      <c r="D30" s="926" t="s">
        <v>620</v>
      </c>
      <c r="E30" s="853"/>
      <c r="F30" s="927" t="s">
        <v>640</v>
      </c>
      <c r="G30" s="928" t="s">
        <v>641</v>
      </c>
      <c r="H30" s="853"/>
      <c r="I30" s="929" t="s">
        <v>642</v>
      </c>
      <c r="J30" s="930"/>
      <c r="K30" s="931"/>
      <c r="L30" s="852"/>
      <c r="M30" s="852"/>
      <c r="N30" s="852"/>
      <c r="O30" s="852"/>
    </row>
    <row r="31" spans="2:15">
      <c r="B31" s="932" t="s">
        <v>643</v>
      </c>
      <c r="C31" s="933"/>
      <c r="D31" s="934" t="s">
        <v>621</v>
      </c>
      <c r="E31" s="853"/>
      <c r="F31" s="919" t="s">
        <v>644</v>
      </c>
      <c r="G31" s="920" t="s">
        <v>645</v>
      </c>
      <c r="H31" s="853"/>
      <c r="I31" s="853" t="s">
        <v>646</v>
      </c>
      <c r="J31" s="853"/>
      <c r="K31" s="853"/>
      <c r="L31" s="852"/>
      <c r="M31" s="852"/>
      <c r="N31" s="852"/>
      <c r="O31" s="852"/>
    </row>
    <row r="32" spans="2:15">
      <c r="B32" s="924" t="s">
        <v>647</v>
      </c>
      <c r="C32" s="935"/>
      <c r="D32" s="936" t="s">
        <v>648</v>
      </c>
      <c r="E32" s="853"/>
      <c r="F32" s="929" t="s">
        <v>649</v>
      </c>
      <c r="G32" s="931" t="s">
        <v>650</v>
      </c>
      <c r="H32" s="853"/>
      <c r="I32" s="853"/>
      <c r="J32" s="853"/>
      <c r="K32" s="853"/>
      <c r="L32" s="852"/>
      <c r="M32" s="852"/>
      <c r="N32" s="852"/>
      <c r="O32" s="852"/>
    </row>
    <row r="33" spans="2:15">
      <c r="B33" s="932" t="s">
        <v>651</v>
      </c>
      <c r="C33" s="937"/>
      <c r="D33" s="938" t="s">
        <v>652</v>
      </c>
      <c r="E33" s="853"/>
      <c r="F33" s="853"/>
      <c r="G33" s="853"/>
      <c r="H33" s="853"/>
      <c r="I33" s="853"/>
      <c r="J33" s="853"/>
      <c r="K33" s="853"/>
      <c r="L33" s="852"/>
      <c r="M33" s="852"/>
      <c r="N33" s="852"/>
      <c r="O33" s="852"/>
    </row>
    <row r="34" spans="2:15">
      <c r="B34" s="924" t="s">
        <v>653</v>
      </c>
      <c r="C34" s="925"/>
      <c r="D34" s="926" t="s">
        <v>550</v>
      </c>
      <c r="E34" s="854"/>
      <c r="F34" s="912" t="s">
        <v>654</v>
      </c>
      <c r="G34" s="939"/>
      <c r="H34" s="940"/>
      <c r="I34" s="853"/>
      <c r="J34" s="853"/>
      <c r="K34" s="853"/>
      <c r="L34" s="852"/>
      <c r="M34" s="852"/>
      <c r="N34" s="852"/>
      <c r="O34" s="852"/>
    </row>
    <row r="35" spans="2:15">
      <c r="B35" s="932" t="s">
        <v>655</v>
      </c>
      <c r="C35" s="933"/>
      <c r="D35" s="934" t="s">
        <v>656</v>
      </c>
      <c r="E35" s="853"/>
      <c r="F35" s="941" t="s">
        <v>634</v>
      </c>
      <c r="G35" s="942" t="s">
        <v>657</v>
      </c>
      <c r="H35" s="943" t="s">
        <v>658</v>
      </c>
      <c r="I35" s="853"/>
      <c r="J35" s="853"/>
      <c r="K35" s="853"/>
      <c r="L35" s="852"/>
      <c r="M35" s="852"/>
      <c r="N35" s="852"/>
      <c r="O35" s="852"/>
    </row>
    <row r="36" spans="2:15">
      <c r="B36" s="924" t="s">
        <v>659</v>
      </c>
      <c r="C36" s="925"/>
      <c r="D36" s="926" t="s">
        <v>660</v>
      </c>
      <c r="E36" s="853"/>
      <c r="F36" s="944" t="s">
        <v>661</v>
      </c>
      <c r="G36" s="945" t="s">
        <v>662</v>
      </c>
      <c r="H36" s="910">
        <v>1000</v>
      </c>
      <c r="I36" s="853"/>
      <c r="J36" s="853"/>
      <c r="K36" s="853"/>
      <c r="L36" s="852"/>
      <c r="M36" s="852"/>
      <c r="N36" s="852"/>
      <c r="O36" s="852"/>
    </row>
    <row r="37" spans="2:15">
      <c r="B37" s="932" t="s">
        <v>663</v>
      </c>
      <c r="C37" s="946"/>
      <c r="D37" s="934" t="s">
        <v>664</v>
      </c>
      <c r="E37" s="853"/>
      <c r="F37" s="947" t="s">
        <v>342</v>
      </c>
      <c r="G37" s="948" t="s">
        <v>665</v>
      </c>
      <c r="H37" s="908">
        <v>1000000</v>
      </c>
      <c r="I37" s="853"/>
      <c r="J37" s="853"/>
      <c r="K37" s="853"/>
      <c r="L37" s="852"/>
      <c r="M37" s="852"/>
      <c r="N37" s="852"/>
      <c r="O37" s="852"/>
    </row>
    <row r="38" spans="2:15">
      <c r="B38" s="924" t="s">
        <v>666</v>
      </c>
      <c r="C38" s="925"/>
      <c r="D38" s="926" t="s">
        <v>667</v>
      </c>
      <c r="E38" s="855"/>
      <c r="F38" s="944" t="s">
        <v>668</v>
      </c>
      <c r="G38" s="945" t="s">
        <v>669</v>
      </c>
      <c r="H38" s="910">
        <v>1000000000</v>
      </c>
      <c r="I38" s="853"/>
      <c r="J38" s="853"/>
      <c r="K38" s="853"/>
      <c r="L38" s="852"/>
      <c r="M38" s="852"/>
      <c r="N38" s="852"/>
      <c r="O38" s="852"/>
    </row>
    <row r="39" spans="2:15">
      <c r="B39" s="932" t="s">
        <v>670</v>
      </c>
      <c r="C39" s="946"/>
      <c r="D39" s="934" t="s">
        <v>671</v>
      </c>
      <c r="E39" s="853"/>
      <c r="F39" s="947" t="s">
        <v>332</v>
      </c>
      <c r="G39" s="948" t="s">
        <v>672</v>
      </c>
      <c r="H39" s="908">
        <v>1000000000000</v>
      </c>
      <c r="I39" s="853"/>
      <c r="J39" s="853"/>
      <c r="K39" s="853"/>
      <c r="L39" s="852"/>
      <c r="M39" s="852"/>
      <c r="N39" s="852"/>
      <c r="O39" s="852"/>
    </row>
    <row r="40" spans="2:15">
      <c r="B40" s="949" t="s">
        <v>673</v>
      </c>
      <c r="C40" s="950"/>
      <c r="D40" s="951" t="s">
        <v>624</v>
      </c>
      <c r="E40" s="853"/>
      <c r="F40" s="952" t="s">
        <v>674</v>
      </c>
      <c r="G40" s="953" t="s">
        <v>675</v>
      </c>
      <c r="H40" s="911">
        <v>1000000000000000</v>
      </c>
      <c r="I40" s="853"/>
      <c r="J40" s="853"/>
      <c r="K40" s="853"/>
      <c r="L40" s="852"/>
      <c r="M40" s="852"/>
      <c r="N40" s="852"/>
      <c r="O40" s="852"/>
    </row>
    <row r="41" spans="2:15">
      <c r="B41" s="852"/>
      <c r="C41" s="852"/>
      <c r="D41" s="852"/>
      <c r="E41" s="852"/>
      <c r="F41" s="852"/>
      <c r="G41" s="852"/>
      <c r="H41" s="852"/>
      <c r="I41" s="852"/>
      <c r="J41" s="852"/>
      <c r="K41" s="852"/>
      <c r="L41" s="852"/>
      <c r="M41" s="852"/>
      <c r="N41" s="852"/>
      <c r="O41" s="852"/>
    </row>
    <row r="42" spans="2:15">
      <c r="B42" s="852"/>
      <c r="C42" s="852"/>
      <c r="D42" s="852"/>
      <c r="E42" s="852"/>
      <c r="F42" s="852"/>
      <c r="G42" s="852"/>
      <c r="H42" s="852"/>
      <c r="I42" s="852"/>
      <c r="J42" s="852"/>
      <c r="K42" s="852"/>
      <c r="L42" s="852"/>
      <c r="M42" s="852"/>
      <c r="N42" s="852"/>
      <c r="O42" s="852"/>
    </row>
    <row r="43" spans="2:15">
      <c r="B43" s="852"/>
      <c r="C43" s="852"/>
      <c r="D43" s="852"/>
      <c r="E43" s="852"/>
      <c r="F43" s="852"/>
      <c r="G43" s="852"/>
      <c r="H43" s="852"/>
      <c r="I43" s="852"/>
      <c r="J43" s="852"/>
      <c r="K43" s="852"/>
      <c r="L43" s="852"/>
      <c r="M43" s="852"/>
      <c r="N43" s="852"/>
      <c r="O43" s="852"/>
    </row>
    <row r="44" spans="2:15">
      <c r="B44" s="852" t="s">
        <v>676</v>
      </c>
      <c r="C44" s="852"/>
      <c r="D44" s="852"/>
      <c r="E44" s="852"/>
      <c r="F44" s="852"/>
      <c r="G44" s="852"/>
      <c r="H44" s="852"/>
      <c r="I44" s="852"/>
      <c r="J44" s="852"/>
      <c r="K44" s="852"/>
      <c r="L44" s="852"/>
      <c r="M44" s="852"/>
      <c r="N44" s="852"/>
      <c r="O44" s="852"/>
    </row>
    <row r="45" spans="2:15">
      <c r="B45" s="852" t="s">
        <v>677</v>
      </c>
      <c r="C45" s="852"/>
      <c r="D45" s="852"/>
      <c r="E45" s="852"/>
      <c r="F45" s="852"/>
      <c r="G45" s="852"/>
      <c r="H45" s="852"/>
      <c r="I45" s="852"/>
      <c r="J45" s="852"/>
      <c r="K45" s="852"/>
      <c r="L45" s="852"/>
      <c r="M45" s="852"/>
      <c r="N45" s="852"/>
      <c r="O45" s="852"/>
    </row>
    <row r="46" spans="2:15">
      <c r="B46" s="852"/>
      <c r="C46" s="852"/>
      <c r="D46" s="852"/>
      <c r="E46" s="852"/>
      <c r="F46" s="852"/>
      <c r="G46" s="852"/>
      <c r="H46" s="852"/>
      <c r="I46" s="852"/>
      <c r="J46" s="852"/>
      <c r="K46" s="852"/>
      <c r="L46" s="852"/>
      <c r="M46" s="852"/>
      <c r="N46" s="852"/>
      <c r="O46" s="852"/>
    </row>
    <row r="47" spans="2:15">
      <c r="B47" s="852"/>
      <c r="C47" s="852"/>
      <c r="D47" s="852"/>
      <c r="E47" s="852"/>
      <c r="F47" s="852"/>
      <c r="G47" s="852"/>
      <c r="H47" s="852"/>
      <c r="I47" s="852"/>
      <c r="J47" s="852"/>
      <c r="K47" s="852"/>
      <c r="L47" s="852"/>
      <c r="M47" s="852"/>
      <c r="N47" s="852"/>
      <c r="O47" s="852"/>
    </row>
    <row r="48" spans="2:15">
      <c r="B48" s="852"/>
      <c r="C48" s="852"/>
      <c r="D48" s="852"/>
      <c r="E48" s="852"/>
      <c r="F48" s="852"/>
      <c r="G48" s="852"/>
      <c r="H48" s="852"/>
      <c r="I48" s="852"/>
      <c r="J48" s="852"/>
      <c r="K48" s="852"/>
      <c r="L48" s="852"/>
      <c r="M48" s="852"/>
      <c r="N48" s="852"/>
      <c r="O48" s="852"/>
    </row>
    <row r="49" spans="2:15">
      <c r="B49" s="852"/>
      <c r="C49" s="852"/>
      <c r="D49" s="852"/>
      <c r="E49" s="852"/>
      <c r="F49" s="852"/>
      <c r="G49" s="852"/>
      <c r="H49" s="852"/>
      <c r="I49" s="852"/>
      <c r="J49" s="852"/>
      <c r="K49" s="852"/>
      <c r="L49" s="852"/>
      <c r="M49" s="852"/>
      <c r="N49" s="852"/>
      <c r="O49" s="852"/>
    </row>
    <row r="50" spans="2:15">
      <c r="B50" s="852"/>
      <c r="C50" s="852"/>
      <c r="D50" s="852"/>
      <c r="E50" s="852"/>
      <c r="F50" s="852"/>
      <c r="G50" s="852"/>
      <c r="H50" s="852"/>
      <c r="I50" s="852"/>
      <c r="J50" s="852"/>
      <c r="K50" s="852"/>
      <c r="L50" s="852"/>
      <c r="M50" s="852"/>
      <c r="N50" s="852"/>
      <c r="O50" s="852"/>
    </row>
    <row r="51" spans="2:15">
      <c r="B51" s="852"/>
      <c r="C51" s="852"/>
      <c r="D51" s="852"/>
      <c r="E51" s="852"/>
      <c r="F51" s="852"/>
      <c r="G51" s="852"/>
      <c r="H51" s="852"/>
      <c r="I51" s="852"/>
      <c r="J51" s="852"/>
      <c r="K51" s="852"/>
      <c r="L51" s="852"/>
      <c r="M51" s="852"/>
      <c r="N51" s="852"/>
      <c r="O51" s="852"/>
    </row>
    <row r="52" spans="2:15">
      <c r="B52" s="852"/>
      <c r="C52" s="852"/>
      <c r="D52" s="852"/>
      <c r="E52" s="852"/>
      <c r="F52" s="852"/>
      <c r="G52" s="852"/>
      <c r="H52" s="852"/>
      <c r="I52" s="852"/>
      <c r="J52" s="852"/>
      <c r="K52" s="852"/>
      <c r="L52" s="852"/>
      <c r="M52" s="852"/>
      <c r="N52" s="852"/>
      <c r="O52" s="852"/>
    </row>
    <row r="53" spans="2:15">
      <c r="B53" s="22"/>
      <c r="C53" s="22"/>
      <c r="D53" s="22"/>
      <c r="E53" s="22"/>
      <c r="F53" s="22"/>
      <c r="G53" s="22"/>
      <c r="H53" s="22"/>
      <c r="I53" s="22"/>
      <c r="J53" s="22"/>
      <c r="K53" s="22"/>
    </row>
    <row r="54" spans="2:15">
      <c r="B54" s="22"/>
      <c r="C54" s="22"/>
      <c r="D54" s="22"/>
      <c r="E54" s="22"/>
      <c r="F54" s="22"/>
      <c r="G54" s="22"/>
      <c r="H54" s="22"/>
      <c r="I54" s="22"/>
      <c r="J54" s="22"/>
      <c r="K54" s="22"/>
    </row>
    <row r="55" spans="2:15">
      <c r="B55" s="22"/>
      <c r="C55" s="22"/>
      <c r="D55" s="22"/>
      <c r="E55" s="22"/>
      <c r="F55" s="22"/>
      <c r="G55" s="22"/>
      <c r="H55" s="22"/>
      <c r="I55" s="22"/>
      <c r="J55" s="22"/>
      <c r="K55" s="22"/>
    </row>
    <row r="56" spans="2:15">
      <c r="B56" s="22"/>
      <c r="C56" s="22"/>
      <c r="D56" s="22"/>
      <c r="E56" s="22"/>
      <c r="F56" s="22"/>
      <c r="G56" s="22"/>
      <c r="H56" s="22"/>
      <c r="I56" s="22"/>
      <c r="J56" s="22"/>
      <c r="K56" s="22"/>
    </row>
    <row r="57" spans="2:15">
      <c r="B57" s="22"/>
      <c r="C57" s="22"/>
      <c r="D57" s="22"/>
      <c r="E57" s="22"/>
      <c r="F57" s="22"/>
      <c r="G57" s="22"/>
      <c r="H57" s="22"/>
      <c r="I57" s="22"/>
      <c r="J57" s="22"/>
      <c r="K57" s="22"/>
    </row>
    <row r="58" spans="2:15">
      <c r="B58" s="22"/>
      <c r="C58" s="22"/>
      <c r="D58" s="22"/>
      <c r="E58" s="22"/>
      <c r="F58" s="22"/>
      <c r="G58" s="22"/>
      <c r="H58" s="22"/>
      <c r="I58" s="22"/>
      <c r="J58" s="22"/>
      <c r="K58" s="22"/>
    </row>
    <row r="59" spans="2:15">
      <c r="B59" s="22"/>
      <c r="C59" s="22"/>
      <c r="D59" s="22"/>
      <c r="E59" s="22"/>
      <c r="F59" s="22"/>
      <c r="G59" s="22"/>
      <c r="H59" s="22"/>
      <c r="I59" s="22"/>
      <c r="J59" s="22"/>
      <c r="K59" s="22"/>
    </row>
    <row r="60" spans="2:15">
      <c r="B60" s="22"/>
      <c r="C60" s="22"/>
      <c r="D60" s="22"/>
      <c r="E60" s="22"/>
      <c r="F60" s="22"/>
      <c r="G60" s="22"/>
      <c r="H60" s="22"/>
      <c r="I60" s="22"/>
      <c r="J60" s="22"/>
      <c r="K60" s="22"/>
    </row>
    <row r="61" spans="2:15">
      <c r="B61" s="22"/>
      <c r="C61" s="22"/>
      <c r="D61" s="22"/>
      <c r="E61" s="22"/>
      <c r="F61" s="22"/>
      <c r="G61" s="22"/>
      <c r="H61" s="22"/>
      <c r="I61" s="22"/>
      <c r="J61" s="22"/>
      <c r="K61" s="22"/>
    </row>
    <row r="62" spans="2:15">
      <c r="B62" s="22"/>
      <c r="C62" s="22"/>
      <c r="D62" s="22"/>
      <c r="E62" s="22"/>
      <c r="F62" s="22"/>
      <c r="G62" s="22"/>
      <c r="H62" s="22"/>
      <c r="I62" s="22"/>
      <c r="J62" s="22"/>
      <c r="K62" s="22"/>
    </row>
    <row r="63" spans="2:15">
      <c r="B63" s="22"/>
      <c r="C63" s="22"/>
      <c r="D63" s="22"/>
      <c r="E63" s="22"/>
      <c r="F63" s="22"/>
      <c r="G63" s="22"/>
      <c r="H63" s="22"/>
      <c r="I63" s="22"/>
      <c r="J63" s="22"/>
      <c r="K63" s="22"/>
    </row>
    <row r="64" spans="2:15">
      <c r="B64" s="22"/>
      <c r="C64" s="22"/>
      <c r="D64" s="22"/>
      <c r="E64" s="22"/>
      <c r="F64" s="22"/>
      <c r="G64" s="22"/>
      <c r="H64" s="22"/>
      <c r="I64" s="22"/>
      <c r="J64" s="22"/>
      <c r="K64" s="22"/>
    </row>
    <row r="65" spans="2:11">
      <c r="B65" s="22"/>
      <c r="C65" s="22"/>
      <c r="D65" s="22"/>
      <c r="E65" s="22"/>
      <c r="F65" s="22"/>
      <c r="G65" s="22"/>
      <c r="H65" s="22"/>
      <c r="I65" s="22"/>
      <c r="J65" s="22"/>
      <c r="K65" s="22"/>
    </row>
    <row r="66" spans="2:11" s="22" customFormat="1"/>
    <row r="67" spans="2:11" s="22" customFormat="1"/>
    <row r="68" spans="2:11" s="22" customFormat="1"/>
    <row r="69" spans="2:11" s="22" customFormat="1"/>
    <row r="70" spans="2:11" s="22" customFormat="1"/>
    <row r="71" spans="2:11" s="22" customFormat="1"/>
    <row r="72" spans="2:11" s="22" customFormat="1"/>
    <row r="73" spans="2:11" s="22" customFormat="1"/>
    <row r="74" spans="2:11" s="22" customFormat="1"/>
    <row r="75" spans="2:11" s="22" customFormat="1"/>
    <row r="76" spans="2:11" s="22" customFormat="1"/>
    <row r="77" spans="2:11" s="22" customFormat="1"/>
    <row r="78" spans="2:11" s="22" customFormat="1"/>
    <row r="79" spans="2:11" s="22" customFormat="1"/>
    <row r="80" spans="2:11"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sheetData>
  <phoneticPr fontId="0" type="noConversion"/>
  <hyperlinks>
    <hyperlink ref="L3" location="INDICE!A70" display="VOLVER A INDICE"/>
  </hyperlinks>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tabSelected="1" workbookViewId="0">
      <selection activeCell="G11" sqref="G11"/>
    </sheetView>
  </sheetViews>
  <sheetFormatPr baseColWidth="10" defaultRowHeight="12.75"/>
  <cols>
    <col min="1" max="1" width="1.7109375" style="897" customWidth="1"/>
    <col min="2" max="2" width="23.28515625" style="897" customWidth="1"/>
    <col min="3" max="5" width="18.28515625" style="897" customWidth="1"/>
    <col min="6" max="21" width="11.42578125" style="308"/>
    <col min="22" max="16384" width="11.42578125" style="897"/>
  </cols>
  <sheetData>
    <row r="1" spans="2:10" ht="6.75" customHeight="1" thickBot="1"/>
    <row r="2" spans="2:10" ht="13.5" thickBot="1">
      <c r="B2" s="643"/>
      <c r="C2" s="644"/>
      <c r="D2" s="644"/>
      <c r="E2" s="645"/>
      <c r="G2" s="862" t="s">
        <v>683</v>
      </c>
    </row>
    <row r="3" spans="2:10" ht="15.75">
      <c r="B3" s="1"/>
      <c r="C3" s="2" t="s">
        <v>585</v>
      </c>
      <c r="D3" s="3"/>
      <c r="E3" s="4"/>
    </row>
    <row r="4" spans="2:10" ht="15.75">
      <c r="B4" s="5"/>
      <c r="C4" s="6" t="s">
        <v>586</v>
      </c>
      <c r="D4" s="6"/>
      <c r="E4" s="7"/>
    </row>
    <row r="5" spans="2:10" ht="15.75">
      <c r="B5" s="5"/>
      <c r="C5" s="6"/>
      <c r="D5" s="6"/>
      <c r="E5" s="7"/>
    </row>
    <row r="6" spans="2:10" ht="15.75">
      <c r="B6" s="5"/>
      <c r="C6" s="6"/>
      <c r="D6" s="6"/>
      <c r="E6" s="7"/>
    </row>
    <row r="7" spans="2:10" ht="15.75">
      <c r="B7" s="5"/>
      <c r="C7" s="6"/>
      <c r="D7" s="8" t="s">
        <v>1</v>
      </c>
      <c r="E7" s="7" t="s">
        <v>2</v>
      </c>
    </row>
    <row r="8" spans="2:10" ht="15.75">
      <c r="B8" s="9" t="s">
        <v>3</v>
      </c>
      <c r="C8" s="12">
        <v>2003</v>
      </c>
      <c r="D8" s="12">
        <v>2004</v>
      </c>
      <c r="E8" s="10" t="s">
        <v>4</v>
      </c>
    </row>
    <row r="9" spans="2:10" ht="13.5" thickBot="1">
      <c r="B9" s="959"/>
      <c r="C9" s="960"/>
      <c r="D9" s="961"/>
      <c r="E9" s="962"/>
    </row>
    <row r="10" spans="2:10">
      <c r="B10" s="963" t="s">
        <v>5</v>
      </c>
      <c r="C10" s="13">
        <v>111873</v>
      </c>
      <c r="D10" s="218">
        <v>111713.75594921276</v>
      </c>
      <c r="E10" s="14">
        <f>100*(D10-C10)/C10</f>
        <v>-0.14234359567298449</v>
      </c>
      <c r="F10" s="893"/>
      <c r="G10" s="893"/>
      <c r="H10" s="893"/>
      <c r="I10" s="893"/>
      <c r="J10" s="893"/>
    </row>
    <row r="11" spans="2:10">
      <c r="B11" s="964"/>
      <c r="C11" s="13"/>
      <c r="D11" s="218"/>
      <c r="E11" s="14"/>
      <c r="F11" s="893"/>
      <c r="G11" s="893"/>
      <c r="H11" s="893"/>
      <c r="I11" s="893"/>
      <c r="J11" s="893"/>
    </row>
    <row r="12" spans="2:10">
      <c r="B12" s="964" t="s">
        <v>6</v>
      </c>
      <c r="C12" s="13">
        <v>74582</v>
      </c>
      <c r="D12" s="218">
        <v>80954.584525685001</v>
      </c>
      <c r="E12" s="14">
        <f>100*(D12-C12)/C12</f>
        <v>8.5444001577927651</v>
      </c>
      <c r="F12" s="893"/>
      <c r="G12" s="893"/>
      <c r="H12" s="893"/>
      <c r="I12" s="893"/>
      <c r="J12" s="893"/>
    </row>
    <row r="13" spans="2:10">
      <c r="B13" s="964"/>
      <c r="C13" s="13"/>
      <c r="D13" s="218"/>
      <c r="E13" s="14"/>
      <c r="F13" s="893"/>
      <c r="G13" s="893"/>
      <c r="H13" s="893"/>
      <c r="I13" s="893"/>
      <c r="J13" s="893"/>
    </row>
    <row r="14" spans="2:10">
      <c r="B14" s="964" t="s">
        <v>7</v>
      </c>
      <c r="C14" s="13">
        <v>24291</v>
      </c>
      <c r="D14" s="218">
        <v>28137.065393115052</v>
      </c>
      <c r="E14" s="14">
        <f>100*(D14-C14)/C14</f>
        <v>15.833293784179538</v>
      </c>
      <c r="F14" s="893"/>
      <c r="G14" s="893"/>
      <c r="H14" s="893"/>
      <c r="I14" s="893"/>
      <c r="J14" s="893"/>
    </row>
    <row r="15" spans="2:10">
      <c r="B15" s="964"/>
      <c r="C15" s="13"/>
      <c r="D15" s="218"/>
      <c r="E15" s="14"/>
      <c r="F15" s="893"/>
      <c r="G15" s="893"/>
      <c r="H15" s="893"/>
      <c r="I15" s="893"/>
      <c r="J15" s="893"/>
    </row>
    <row r="16" spans="2:10">
      <c r="B16" s="964" t="s">
        <v>8</v>
      </c>
      <c r="C16" s="13">
        <v>19439</v>
      </c>
      <c r="D16" s="218">
        <v>18614.047888710153</v>
      </c>
      <c r="E16" s="14">
        <f>100*(D16-C16)/C16</f>
        <v>-4.2437991218161804</v>
      </c>
      <c r="F16" s="893"/>
      <c r="G16" s="893"/>
      <c r="H16" s="893"/>
      <c r="I16" s="893"/>
      <c r="J16" s="893"/>
    </row>
    <row r="17" spans="2:10">
      <c r="B17" s="964"/>
      <c r="C17" s="13"/>
      <c r="D17" s="218"/>
      <c r="E17" s="14"/>
      <c r="F17" s="893"/>
      <c r="G17" s="893"/>
      <c r="H17" s="893"/>
      <c r="I17" s="893"/>
      <c r="J17" s="893"/>
    </row>
    <row r="18" spans="2:10">
      <c r="B18" s="964" t="s">
        <v>9</v>
      </c>
      <c r="C18" s="13">
        <v>40754</v>
      </c>
      <c r="D18" s="218">
        <v>43111.334473362855</v>
      </c>
      <c r="E18" s="14">
        <f>100*(D18-C18)/C18</f>
        <v>5.7843020890289409</v>
      </c>
      <c r="F18" s="893"/>
      <c r="G18" s="893"/>
      <c r="H18" s="893"/>
      <c r="I18" s="893"/>
      <c r="J18" s="893"/>
    </row>
    <row r="19" spans="2:10">
      <c r="B19" s="964"/>
      <c r="C19" s="13"/>
      <c r="D19" s="218"/>
      <c r="E19" s="14"/>
      <c r="F19" s="893"/>
      <c r="G19" s="893"/>
      <c r="H19" s="893"/>
      <c r="I19" s="893"/>
      <c r="J19" s="893"/>
    </row>
    <row r="20" spans="2:10">
      <c r="B20" s="964" t="s">
        <v>10</v>
      </c>
      <c r="C20" s="13">
        <v>0</v>
      </c>
      <c r="D20" s="218">
        <v>0</v>
      </c>
      <c r="E20" s="14"/>
      <c r="F20" s="893"/>
      <c r="G20" s="893"/>
      <c r="H20" s="893"/>
      <c r="I20" s="893"/>
      <c r="J20" s="893"/>
    </row>
    <row r="21" spans="2:10">
      <c r="B21" s="964"/>
      <c r="C21" s="13"/>
      <c r="D21" s="13"/>
      <c r="E21" s="15"/>
      <c r="F21" s="893"/>
      <c r="G21" s="893"/>
      <c r="H21" s="893"/>
      <c r="I21" s="893"/>
      <c r="J21" s="893"/>
    </row>
    <row r="22" spans="2:10">
      <c r="B22" s="964"/>
      <c r="C22" s="13"/>
      <c r="D22" s="13"/>
      <c r="E22" s="14"/>
      <c r="F22" s="893"/>
      <c r="G22" s="893"/>
      <c r="H22" s="893"/>
      <c r="I22" s="893"/>
      <c r="J22" s="893"/>
    </row>
    <row r="23" spans="2:10">
      <c r="B23" s="965" t="s">
        <v>11</v>
      </c>
      <c r="C23" s="16">
        <v>270939</v>
      </c>
      <c r="D23" s="16">
        <f>SUM(D10:D20)</f>
        <v>282530.7882300858</v>
      </c>
      <c r="E23" s="17">
        <f>100*(D23-C23)/C23</f>
        <v>4.2783756602356267</v>
      </c>
      <c r="F23" s="893"/>
      <c r="G23" s="13"/>
      <c r="H23" s="895"/>
      <c r="I23" s="893"/>
      <c r="J23" s="893"/>
    </row>
    <row r="24" spans="2:10" ht="13.5" thickBot="1">
      <c r="B24" s="966"/>
      <c r="C24" s="18"/>
      <c r="D24" s="19"/>
      <c r="E24" s="20"/>
      <c r="F24" s="893"/>
      <c r="G24" s="893"/>
      <c r="H24" s="893"/>
      <c r="I24" s="893"/>
      <c r="J24" s="893"/>
    </row>
    <row r="25" spans="2:10">
      <c r="B25" s="894" t="s">
        <v>12</v>
      </c>
      <c r="C25" s="893"/>
      <c r="D25" s="895"/>
      <c r="E25" s="893"/>
      <c r="F25" s="893"/>
      <c r="G25" s="893"/>
      <c r="H25" s="893"/>
      <c r="I25" s="893"/>
      <c r="J25" s="893"/>
    </row>
    <row r="26" spans="2:10">
      <c r="B26" s="894" t="s">
        <v>13</v>
      </c>
      <c r="C26" s="893"/>
      <c r="D26" s="895"/>
      <c r="E26" s="893"/>
      <c r="F26" s="893"/>
      <c r="G26" s="893"/>
      <c r="H26" s="893"/>
      <c r="I26" s="893"/>
      <c r="J26" s="893"/>
    </row>
    <row r="27" spans="2:10">
      <c r="B27" s="896" t="s">
        <v>14</v>
      </c>
      <c r="C27" s="893"/>
      <c r="D27" s="893"/>
      <c r="E27" s="893"/>
      <c r="F27" s="893"/>
      <c r="G27" s="893"/>
      <c r="H27" s="893"/>
      <c r="I27" s="893"/>
      <c r="J27" s="893"/>
    </row>
    <row r="28" spans="2:10">
      <c r="B28" s="896" t="s">
        <v>777</v>
      </c>
      <c r="C28" s="893"/>
      <c r="D28" s="893"/>
      <c r="E28" s="893"/>
      <c r="F28" s="893"/>
      <c r="G28" s="893"/>
      <c r="H28" s="893"/>
      <c r="I28" s="893"/>
      <c r="J28" s="893"/>
    </row>
    <row r="29" spans="2:10">
      <c r="B29" s="308"/>
      <c r="C29" s="893"/>
      <c r="D29" s="893"/>
      <c r="E29" s="893"/>
      <c r="F29" s="893"/>
      <c r="G29" s="893"/>
      <c r="H29" s="893"/>
      <c r="I29" s="893"/>
      <c r="J29" s="893"/>
    </row>
    <row r="30" spans="2:10">
      <c r="B30" s="308"/>
      <c r="C30" s="893"/>
      <c r="D30" s="893"/>
      <c r="E30" s="893"/>
      <c r="F30" s="893"/>
      <c r="G30" s="893"/>
      <c r="H30" s="893"/>
      <c r="I30" s="893"/>
      <c r="J30" s="893"/>
    </row>
    <row r="31" spans="2:10">
      <c r="B31" s="308"/>
      <c r="C31" s="893"/>
      <c r="D31" s="893"/>
      <c r="E31" s="893"/>
      <c r="F31" s="893"/>
      <c r="G31" s="893"/>
      <c r="H31" s="893"/>
      <c r="I31" s="893"/>
      <c r="J31" s="893"/>
    </row>
    <row r="32" spans="2:10">
      <c r="B32" s="308"/>
      <c r="C32" s="893"/>
      <c r="D32" s="893"/>
      <c r="E32" s="893"/>
      <c r="F32" s="893"/>
      <c r="G32" s="893"/>
      <c r="H32" s="893"/>
      <c r="I32" s="893"/>
      <c r="J32" s="893"/>
    </row>
    <row r="33" spans="2:10">
      <c r="B33" s="308"/>
      <c r="C33" s="893"/>
      <c r="D33" s="893"/>
      <c r="E33" s="893"/>
      <c r="F33" s="893"/>
      <c r="G33" s="893"/>
      <c r="H33" s="893"/>
      <c r="I33" s="893"/>
      <c r="J33" s="893"/>
    </row>
    <row r="34" spans="2:10">
      <c r="B34" s="308"/>
      <c r="C34" s="893"/>
      <c r="D34" s="893"/>
      <c r="E34" s="893"/>
      <c r="F34" s="893"/>
      <c r="G34" s="893"/>
      <c r="H34" s="893"/>
      <c r="I34" s="893"/>
      <c r="J34" s="893"/>
    </row>
    <row r="35" spans="2:10">
      <c r="B35" s="308"/>
      <c r="C35" s="893"/>
      <c r="D35" s="893"/>
      <c r="E35" s="893"/>
      <c r="F35" s="893"/>
      <c r="G35" s="893"/>
      <c r="H35" s="893"/>
      <c r="I35" s="893"/>
      <c r="J35" s="893"/>
    </row>
    <row r="36" spans="2:10">
      <c r="B36" s="308"/>
      <c r="C36" s="893"/>
      <c r="D36" s="893"/>
      <c r="E36" s="893"/>
      <c r="F36" s="893"/>
      <c r="G36" s="893"/>
      <c r="H36" s="893"/>
      <c r="I36" s="893"/>
      <c r="J36" s="893"/>
    </row>
    <row r="37" spans="2:10">
      <c r="B37" s="308"/>
    </row>
    <row r="38" spans="2:10">
      <c r="B38" s="308"/>
    </row>
    <row r="39" spans="2:10">
      <c r="B39" s="308"/>
    </row>
    <row r="40" spans="2:10">
      <c r="B40" s="308"/>
    </row>
    <row r="41" spans="2:10">
      <c r="B41" s="308"/>
    </row>
    <row r="42" spans="2:10">
      <c r="B42" s="308"/>
    </row>
    <row r="43" spans="2:10">
      <c r="B43" s="308"/>
    </row>
    <row r="44" spans="2:10">
      <c r="B44" s="308"/>
    </row>
    <row r="45" spans="2:10">
      <c r="B45" s="308"/>
    </row>
    <row r="46" spans="2:10">
      <c r="B46" s="308"/>
    </row>
    <row r="47" spans="2:10">
      <c r="B47" s="308"/>
    </row>
    <row r="48" spans="2:10">
      <c r="B48" s="308"/>
    </row>
    <row r="49" spans="2:2">
      <c r="B49" s="308"/>
    </row>
    <row r="50" spans="2:2">
      <c r="B50" s="308"/>
    </row>
    <row r="51" spans="2:2">
      <c r="B51" s="308"/>
    </row>
    <row r="52" spans="2:2">
      <c r="B52" s="308"/>
    </row>
    <row r="53" spans="2:2">
      <c r="B53" s="308"/>
    </row>
    <row r="54" spans="2:2">
      <c r="B54" s="308"/>
    </row>
    <row r="55" spans="2:2">
      <c r="B55" s="308"/>
    </row>
    <row r="56" spans="2:2">
      <c r="B56" s="308"/>
    </row>
    <row r="57" spans="2:2">
      <c r="B57" s="308"/>
    </row>
    <row r="58" spans="2:2">
      <c r="B58" s="308"/>
    </row>
    <row r="59" spans="2:2">
      <c r="B59" s="308"/>
    </row>
    <row r="60" spans="2:2">
      <c r="B60" s="308"/>
    </row>
    <row r="61" spans="2:2">
      <c r="B61" s="308"/>
    </row>
    <row r="62" spans="2:2">
      <c r="B62" s="308"/>
    </row>
    <row r="63" spans="2:2">
      <c r="B63" s="308"/>
    </row>
    <row r="64" spans="2:2">
      <c r="B64" s="308"/>
    </row>
    <row r="65" spans="2:2">
      <c r="B65" s="308"/>
    </row>
    <row r="66" spans="2:2">
      <c r="B66" s="308"/>
    </row>
    <row r="67" spans="2:2">
      <c r="B67" s="308"/>
    </row>
    <row r="68" spans="2:2">
      <c r="B68" s="308"/>
    </row>
    <row r="69" spans="2:2">
      <c r="B69" s="308"/>
    </row>
    <row r="70" spans="2:2">
      <c r="B70" s="308"/>
    </row>
    <row r="71" spans="2:2">
      <c r="B71" s="308"/>
    </row>
    <row r="72" spans="2:2">
      <c r="B72" s="308"/>
    </row>
    <row r="73" spans="2:2">
      <c r="B73" s="308"/>
    </row>
    <row r="74" spans="2:2">
      <c r="B74" s="308"/>
    </row>
    <row r="75" spans="2:2">
      <c r="B75" s="308"/>
    </row>
    <row r="76" spans="2:2">
      <c r="B76" s="308"/>
    </row>
    <row r="77" spans="2:2">
      <c r="B77" s="308"/>
    </row>
    <row r="78" spans="2:2">
      <c r="B78" s="308"/>
    </row>
    <row r="79" spans="2:2">
      <c r="B79" s="308"/>
    </row>
    <row r="80" spans="2:2">
      <c r="B80" s="308"/>
    </row>
    <row r="81" spans="2:2">
      <c r="B81" s="308"/>
    </row>
    <row r="82" spans="2:2">
      <c r="B82" s="308"/>
    </row>
    <row r="83" spans="2:2">
      <c r="B83" s="308"/>
    </row>
    <row r="84" spans="2:2">
      <c r="B84" s="308"/>
    </row>
    <row r="85" spans="2:2">
      <c r="B85" s="308"/>
    </row>
    <row r="86" spans="2:2">
      <c r="B86" s="308"/>
    </row>
    <row r="87" spans="2:2">
      <c r="B87" s="308"/>
    </row>
    <row r="88" spans="2:2">
      <c r="B88" s="308"/>
    </row>
    <row r="89" spans="2:2">
      <c r="B89" s="308"/>
    </row>
    <row r="90" spans="2:2">
      <c r="B90" s="308"/>
    </row>
  </sheetData>
  <phoneticPr fontId="0" type="noConversion"/>
  <hyperlinks>
    <hyperlink ref="G2" location="INDICE!A1" display="VOLVER A INDICE"/>
  </hyperlinks>
  <pageMargins left="0.75" right="0.75" top="1" bottom="1"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8"/>
  <sheetViews>
    <sheetView topLeftCell="A7" zoomScale="85" workbookViewId="0">
      <selection activeCell="G24" sqref="G24"/>
    </sheetView>
  </sheetViews>
  <sheetFormatPr baseColWidth="10" defaultRowHeight="12.75"/>
  <cols>
    <col min="1" max="1" width="1.85546875" style="898" customWidth="1"/>
    <col min="2" max="2" width="25.140625" style="898" customWidth="1"/>
    <col min="3" max="5" width="17.85546875" style="898" customWidth="1"/>
    <col min="6" max="13" width="11.42578125" style="22"/>
    <col min="14" max="16384" width="11.42578125" style="898"/>
  </cols>
  <sheetData>
    <row r="1" spans="2:9" ht="8.25" customHeight="1" thickBot="1"/>
    <row r="2" spans="2:9" ht="13.5" thickBot="1">
      <c r="B2" s="954"/>
      <c r="C2" s="955"/>
      <c r="D2" s="955"/>
      <c r="E2" s="956"/>
      <c r="F2" s="35"/>
      <c r="G2" s="36"/>
      <c r="H2" s="35"/>
      <c r="I2" s="35"/>
    </row>
    <row r="3" spans="2:9">
      <c r="B3" s="23"/>
      <c r="C3" s="24" t="s">
        <v>771</v>
      </c>
      <c r="D3" s="25"/>
      <c r="E3" s="26"/>
      <c r="F3" s="35"/>
      <c r="G3" s="860" t="s">
        <v>683</v>
      </c>
      <c r="H3" s="35"/>
      <c r="I3" s="35"/>
    </row>
    <row r="4" spans="2:9">
      <c r="B4" s="27"/>
      <c r="C4" s="28" t="s">
        <v>15</v>
      </c>
      <c r="D4" s="29"/>
      <c r="E4" s="30"/>
      <c r="F4" s="35"/>
      <c r="G4" s="36"/>
      <c r="H4" s="35"/>
      <c r="I4" s="35"/>
    </row>
    <row r="5" spans="2:9">
      <c r="B5" s="27"/>
      <c r="C5" s="29"/>
      <c r="D5" s="29"/>
      <c r="E5" s="30"/>
      <c r="F5" s="35"/>
      <c r="G5" s="36"/>
      <c r="H5" s="35"/>
      <c r="I5" s="35"/>
    </row>
    <row r="6" spans="2:9">
      <c r="B6" s="27"/>
      <c r="C6" s="31" t="s">
        <v>1</v>
      </c>
      <c r="D6" s="31"/>
      <c r="E6" s="32" t="s">
        <v>2</v>
      </c>
      <c r="F6" s="35"/>
      <c r="G6" s="36"/>
      <c r="H6" s="35"/>
      <c r="I6" s="35"/>
    </row>
    <row r="7" spans="2:9" ht="16.5" thickBot="1">
      <c r="B7" s="971" t="s">
        <v>3</v>
      </c>
      <c r="C7" s="441">
        <v>2003</v>
      </c>
      <c r="D7" s="441">
        <v>2004</v>
      </c>
      <c r="E7" s="972" t="s">
        <v>4</v>
      </c>
      <c r="F7" s="35"/>
      <c r="G7" s="36"/>
      <c r="H7" s="35"/>
      <c r="I7" s="35"/>
    </row>
    <row r="8" spans="2:9">
      <c r="B8" s="967"/>
      <c r="C8" s="33"/>
      <c r="D8" s="308"/>
      <c r="E8" s="34"/>
      <c r="F8" s="35"/>
      <c r="G8" s="36"/>
      <c r="H8" s="35"/>
      <c r="I8" s="35"/>
    </row>
    <row r="9" spans="2:9">
      <c r="B9" s="967" t="s">
        <v>16</v>
      </c>
      <c r="C9" s="33"/>
      <c r="D9" s="308"/>
      <c r="E9" s="34"/>
      <c r="F9" s="35"/>
      <c r="G9" s="36"/>
      <c r="H9" s="35"/>
      <c r="I9" s="35"/>
    </row>
    <row r="10" spans="2:9">
      <c r="B10" s="967" t="s">
        <v>17</v>
      </c>
      <c r="C10" s="1317">
        <v>103693</v>
      </c>
      <c r="D10" s="957">
        <v>107748.42841935279</v>
      </c>
      <c r="E10" s="1319">
        <f>100*(D10-C10)/C10</f>
        <v>3.910995360682771</v>
      </c>
      <c r="F10" s="38"/>
      <c r="G10" s="1316"/>
      <c r="H10" s="35"/>
      <c r="I10" s="35"/>
    </row>
    <row r="11" spans="2:9">
      <c r="B11" s="968"/>
      <c r="C11" s="1317"/>
      <c r="D11" s="958"/>
      <c r="E11" s="1319"/>
      <c r="F11" s="35"/>
      <c r="G11" s="1316"/>
      <c r="H11" s="35"/>
      <c r="I11" s="35"/>
    </row>
    <row r="12" spans="2:9">
      <c r="B12" s="967" t="s">
        <v>18</v>
      </c>
      <c r="C12" s="1317">
        <v>38115</v>
      </c>
      <c r="D12" s="957">
        <v>40347.329955210094</v>
      </c>
      <c r="E12" s="1319">
        <f>100*(D12-C12)/C12</f>
        <v>5.8568279029518413</v>
      </c>
      <c r="F12" s="38"/>
      <c r="G12" s="1316"/>
      <c r="H12" s="35"/>
      <c r="I12" s="35"/>
    </row>
    <row r="13" spans="2:9">
      <c r="B13" s="967"/>
      <c r="C13" s="1317"/>
      <c r="D13" s="958"/>
      <c r="E13" s="1319"/>
      <c r="F13" s="35"/>
      <c r="G13" s="1316"/>
      <c r="H13" s="35"/>
      <c r="I13" s="35"/>
    </row>
    <row r="14" spans="2:9">
      <c r="B14" s="967" t="s">
        <v>7</v>
      </c>
      <c r="C14" s="1317">
        <v>4595</v>
      </c>
      <c r="D14" s="957">
        <v>5245.9683748975485</v>
      </c>
      <c r="E14" s="1319">
        <f>100*(D14-C14)/C14</f>
        <v>14.166885199076138</v>
      </c>
      <c r="F14" s="38"/>
      <c r="G14" s="1316"/>
      <c r="H14" s="35"/>
      <c r="I14" s="35"/>
    </row>
    <row r="15" spans="2:9">
      <c r="B15" s="967"/>
      <c r="C15" s="1317"/>
      <c r="D15" s="958"/>
      <c r="E15" s="1319"/>
      <c r="F15" s="35"/>
      <c r="G15" s="1316"/>
      <c r="H15" s="35"/>
      <c r="I15" s="35"/>
    </row>
    <row r="16" spans="2:9">
      <c r="B16" s="967" t="s">
        <v>19</v>
      </c>
      <c r="C16" s="1317">
        <v>2984</v>
      </c>
      <c r="D16" s="957">
        <v>2188.716652000001</v>
      </c>
      <c r="E16" s="1319">
        <f>100*(D16-C16)/C16</f>
        <v>-26.651586729222483</v>
      </c>
      <c r="F16" s="36"/>
      <c r="G16" s="1316"/>
      <c r="H16" s="35"/>
      <c r="I16" s="35"/>
    </row>
    <row r="17" spans="2:9">
      <c r="B17" s="967"/>
      <c r="C17" s="1317"/>
      <c r="D17" s="958"/>
      <c r="E17" s="1319"/>
      <c r="F17" s="35"/>
      <c r="G17" s="1316"/>
      <c r="H17" s="35"/>
      <c r="I17" s="35"/>
    </row>
    <row r="18" spans="2:9">
      <c r="B18" s="967" t="s">
        <v>20</v>
      </c>
      <c r="C18" s="1317">
        <v>1336</v>
      </c>
      <c r="D18" s="957">
        <v>1226.5620719454953</v>
      </c>
      <c r="E18" s="1319">
        <f>100*(D18-C18)/C18</f>
        <v>-8.1914616807264</v>
      </c>
      <c r="F18" s="36"/>
      <c r="G18" s="1316"/>
      <c r="H18" s="35"/>
      <c r="I18" s="35"/>
    </row>
    <row r="19" spans="2:9">
      <c r="B19" s="967"/>
      <c r="C19" s="1317"/>
      <c r="D19" s="958"/>
      <c r="E19" s="1319"/>
      <c r="F19" s="35"/>
      <c r="G19" s="1316"/>
      <c r="H19" s="35"/>
      <c r="I19" s="35"/>
    </row>
    <row r="20" spans="2:9">
      <c r="B20" s="967" t="s">
        <v>21</v>
      </c>
      <c r="C20" s="1317">
        <v>715</v>
      </c>
      <c r="D20" s="957">
        <v>943.58600000000001</v>
      </c>
      <c r="E20" s="1319">
        <f>100*(D20-C20)/C20</f>
        <v>31.970069930069933</v>
      </c>
      <c r="F20" s="36"/>
      <c r="G20" s="1316"/>
      <c r="H20" s="35"/>
      <c r="I20" s="35"/>
    </row>
    <row r="21" spans="2:9">
      <c r="B21" s="967"/>
      <c r="C21" s="1317"/>
      <c r="D21" s="958"/>
      <c r="E21" s="1319"/>
      <c r="F21" s="35"/>
      <c r="G21" s="1316"/>
      <c r="H21" s="35"/>
      <c r="I21" s="35"/>
    </row>
    <row r="22" spans="2:9">
      <c r="B22" s="967" t="s">
        <v>6</v>
      </c>
      <c r="C22" s="1317">
        <v>14232</v>
      </c>
      <c r="D22" s="957">
        <v>15514.709022883473</v>
      </c>
      <c r="E22" s="1319">
        <f>100*(D22-C22)/C22</f>
        <v>9.0128514817557122</v>
      </c>
      <c r="F22" s="36"/>
      <c r="G22" s="1316"/>
      <c r="H22" s="35"/>
      <c r="I22" s="35"/>
    </row>
    <row r="23" spans="2:9">
      <c r="B23" s="967"/>
      <c r="C23" s="1317"/>
      <c r="D23" s="958"/>
      <c r="E23" s="1319"/>
      <c r="F23" s="35"/>
      <c r="G23" s="1316"/>
      <c r="H23" s="35"/>
      <c r="I23" s="35"/>
    </row>
    <row r="24" spans="2:9">
      <c r="B24" s="967" t="s">
        <v>22</v>
      </c>
      <c r="C24" s="1317">
        <v>0</v>
      </c>
      <c r="D24" s="957">
        <v>0</v>
      </c>
      <c r="E24" s="1319">
        <v>0</v>
      </c>
      <c r="F24" s="36"/>
      <c r="G24" s="1316"/>
      <c r="H24" s="35"/>
      <c r="I24" s="35"/>
    </row>
    <row r="25" spans="2:9">
      <c r="B25" s="967"/>
      <c r="C25" s="1317"/>
      <c r="D25" s="958"/>
      <c r="E25" s="1319"/>
      <c r="F25" s="35"/>
      <c r="G25" s="1316"/>
      <c r="H25" s="35"/>
      <c r="I25" s="35"/>
    </row>
    <row r="26" spans="2:9">
      <c r="B26" s="967" t="s">
        <v>23</v>
      </c>
      <c r="C26" s="1317">
        <v>36451</v>
      </c>
      <c r="D26" s="957">
        <v>38595.947398791068</v>
      </c>
      <c r="E26" s="1319">
        <f>100*(D26-C26)/C26</f>
        <v>5.8844679125156176</v>
      </c>
      <c r="F26" s="36"/>
      <c r="G26" s="1316"/>
      <c r="H26" s="35"/>
      <c r="I26" s="35"/>
    </row>
    <row r="27" spans="2:9">
      <c r="B27" s="967"/>
      <c r="C27" s="1317"/>
      <c r="D27" s="958"/>
      <c r="E27" s="1319"/>
      <c r="F27" s="35"/>
      <c r="G27" s="1316"/>
      <c r="H27" s="35"/>
      <c r="I27" s="35"/>
    </row>
    <row r="28" spans="2:9">
      <c r="B28" s="967" t="s">
        <v>10</v>
      </c>
      <c r="C28" s="1317">
        <v>0</v>
      </c>
      <c r="D28" s="958">
        <v>0</v>
      </c>
      <c r="E28" s="1319">
        <v>0</v>
      </c>
      <c r="F28" s="36"/>
      <c r="G28" s="1315"/>
      <c r="H28" s="35"/>
      <c r="I28" s="35"/>
    </row>
    <row r="29" spans="2:9">
      <c r="B29" s="967"/>
      <c r="C29" s="1317"/>
      <c r="D29" s="1317"/>
      <c r="E29" s="1319"/>
      <c r="F29" s="35"/>
      <c r="G29" s="35"/>
      <c r="H29" s="35"/>
      <c r="I29" s="35"/>
    </row>
    <row r="30" spans="2:9">
      <c r="B30" s="967"/>
      <c r="C30" s="1317"/>
      <c r="D30" s="1317"/>
      <c r="E30" s="1319"/>
      <c r="F30" s="35"/>
      <c r="G30" s="35"/>
      <c r="H30" s="35"/>
      <c r="I30" s="35"/>
    </row>
    <row r="31" spans="2:9">
      <c r="B31" s="970" t="s">
        <v>11</v>
      </c>
      <c r="C31" s="1318">
        <f>SUM(C10:C28)</f>
        <v>202121</v>
      </c>
      <c r="D31" s="1318">
        <f>SUM(D10:D28)</f>
        <v>211811.24789508048</v>
      </c>
      <c r="E31" s="1320">
        <f>100*(D31-C31)/C31</f>
        <v>4.7942806017585902</v>
      </c>
      <c r="F31" s="38"/>
      <c r="G31" s="37"/>
      <c r="H31" s="35"/>
      <c r="I31" s="35"/>
    </row>
    <row r="32" spans="2:9" ht="13.5" thickBot="1">
      <c r="B32" s="969"/>
      <c r="C32" s="39"/>
      <c r="D32" s="39"/>
      <c r="E32" s="40"/>
      <c r="F32" s="35"/>
      <c r="G32" s="35"/>
      <c r="H32" s="35"/>
      <c r="I32" s="35"/>
    </row>
    <row r="33" spans="2:9" ht="54.75" customHeight="1">
      <c r="B33" s="1321" t="s">
        <v>827</v>
      </c>
      <c r="C33" s="1321"/>
      <c r="D33" s="1321"/>
      <c r="E33" s="1321"/>
      <c r="F33" s="1321"/>
      <c r="G33" s="35"/>
      <c r="H33" s="35"/>
      <c r="I33" s="35"/>
    </row>
    <row r="34" spans="2:9">
      <c r="B34" s="11" t="s">
        <v>826</v>
      </c>
      <c r="C34" s="35"/>
      <c r="D34" s="35"/>
      <c r="E34" s="35"/>
      <c r="F34" s="35"/>
      <c r="G34" s="36"/>
      <c r="H34" s="35"/>
      <c r="I34" s="35"/>
    </row>
    <row r="35" spans="2:9">
      <c r="B35" s="11" t="s">
        <v>13</v>
      </c>
      <c r="C35" s="41"/>
      <c r="D35" s="41"/>
      <c r="E35" s="35"/>
      <c r="F35" s="35"/>
      <c r="G35" s="36"/>
      <c r="H35" s="35"/>
      <c r="I35" s="35"/>
    </row>
    <row r="36" spans="2:9">
      <c r="B36" s="21" t="s">
        <v>14</v>
      </c>
      <c r="C36" s="35"/>
      <c r="D36" s="35"/>
      <c r="E36" s="35"/>
      <c r="F36" s="35"/>
      <c r="G36" s="36"/>
      <c r="H36" s="35"/>
      <c r="I36" s="35"/>
    </row>
    <row r="37" spans="2:9">
      <c r="B37" s="21" t="s">
        <v>777</v>
      </c>
      <c r="C37" s="35"/>
      <c r="D37" s="35"/>
      <c r="E37" s="35"/>
      <c r="F37" s="35"/>
      <c r="G37" s="36"/>
      <c r="H37" s="35"/>
      <c r="I37" s="35"/>
    </row>
    <row r="38" spans="2:9">
      <c r="B38" s="35"/>
      <c r="C38" s="35"/>
      <c r="D38" s="35"/>
      <c r="E38" s="35"/>
      <c r="F38" s="35"/>
      <c r="G38" s="36"/>
      <c r="H38" s="35"/>
      <c r="I38" s="35"/>
    </row>
    <row r="39" spans="2:9">
      <c r="B39" s="35"/>
      <c r="C39" s="35"/>
      <c r="D39" s="35"/>
      <c r="E39" s="35"/>
      <c r="F39" s="35"/>
      <c r="G39" s="36"/>
      <c r="H39" s="35"/>
      <c r="I39" s="35"/>
    </row>
    <row r="40" spans="2:9">
      <c r="B40" s="35"/>
      <c r="C40" s="35"/>
      <c r="D40" s="35"/>
      <c r="E40" s="35"/>
      <c r="F40" s="35"/>
      <c r="G40" s="36"/>
      <c r="H40" s="35"/>
      <c r="I40" s="35"/>
    </row>
    <row r="41" spans="2:9">
      <c r="B41" s="35"/>
      <c r="C41" s="35"/>
      <c r="D41" s="35"/>
      <c r="E41" s="35"/>
      <c r="F41" s="35"/>
      <c r="G41" s="36"/>
      <c r="H41" s="35"/>
      <c r="I41" s="35"/>
    </row>
    <row r="42" spans="2:9">
      <c r="B42" s="22"/>
      <c r="C42" s="22"/>
      <c r="D42" s="22"/>
      <c r="E42" s="22"/>
    </row>
    <row r="43" spans="2:9">
      <c r="B43" s="22"/>
      <c r="C43" s="22"/>
      <c r="D43" s="22"/>
      <c r="E43" s="22"/>
    </row>
    <row r="44" spans="2:9">
      <c r="B44" s="22"/>
      <c r="C44" s="22"/>
      <c r="D44" s="22"/>
      <c r="E44" s="22"/>
    </row>
    <row r="45" spans="2:9">
      <c r="B45" s="22"/>
      <c r="C45" s="22"/>
      <c r="D45" s="22"/>
      <c r="E45" s="22"/>
    </row>
    <row r="46" spans="2:9">
      <c r="B46" s="22"/>
      <c r="C46" s="22"/>
      <c r="D46" s="22"/>
      <c r="E46" s="22"/>
    </row>
    <row r="47" spans="2:9">
      <c r="B47" s="22"/>
      <c r="C47" s="22"/>
      <c r="D47" s="22"/>
      <c r="E47" s="22"/>
    </row>
    <row r="48" spans="2:9">
      <c r="B48" s="22"/>
      <c r="C48" s="22"/>
      <c r="D48" s="22"/>
      <c r="E48" s="22"/>
    </row>
    <row r="49" spans="2:5">
      <c r="B49" s="22"/>
      <c r="C49" s="22"/>
      <c r="D49" s="22"/>
      <c r="E49" s="22"/>
    </row>
    <row r="50" spans="2:5">
      <c r="B50" s="22"/>
      <c r="C50" s="22"/>
      <c r="D50" s="22"/>
      <c r="E50" s="22"/>
    </row>
    <row r="51" spans="2:5" s="22" customFormat="1"/>
    <row r="52" spans="2:5" s="22" customFormat="1"/>
    <row r="53" spans="2:5" s="22" customFormat="1"/>
    <row r="54" spans="2:5" s="22" customFormat="1"/>
    <row r="55" spans="2:5" s="22" customFormat="1"/>
    <row r="56" spans="2:5" s="22" customFormat="1"/>
    <row r="57" spans="2:5" s="22" customFormat="1"/>
    <row r="58" spans="2:5" s="22" customFormat="1"/>
    <row r="59" spans="2:5" s="22" customFormat="1"/>
    <row r="60" spans="2:5" s="22" customFormat="1"/>
    <row r="61" spans="2:5" s="22" customFormat="1"/>
    <row r="62" spans="2:5" s="22" customFormat="1"/>
    <row r="63" spans="2:5" s="22" customFormat="1"/>
    <row r="64" spans="2:5" s="22" customFormat="1"/>
    <row r="65" s="22" customFormat="1"/>
    <row r="66" s="22" customFormat="1"/>
    <row r="67" s="22" customFormat="1"/>
    <row r="68" s="22" customFormat="1"/>
  </sheetData>
  <mergeCells count="1">
    <mergeCell ref="B33:F33"/>
  </mergeCells>
  <phoneticPr fontId="0" type="noConversion"/>
  <hyperlinks>
    <hyperlink ref="G3" location="INDICE!A1" display="VOLVER A INDICE"/>
  </hyperlinks>
  <pageMargins left="0.75" right="0.75" top="1" bottom="1"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255"/>
  <sheetViews>
    <sheetView workbookViewId="0">
      <pane ySplit="8" topLeftCell="A36" activePane="bottomLeft" state="frozen"/>
      <selection pane="bottomLeft" activeCell="C34" sqref="C34"/>
    </sheetView>
  </sheetViews>
  <sheetFormatPr baseColWidth="10" defaultRowHeight="12.75" outlineLevelRow="1"/>
  <cols>
    <col min="1" max="1" width="2.28515625" style="898" customWidth="1"/>
    <col min="2" max="2" width="27.85546875" style="898" customWidth="1"/>
    <col min="3" max="10" width="11.42578125" style="898"/>
    <col min="11" max="24" width="11.42578125" style="22"/>
    <col min="25" max="16384" width="11.42578125" style="898"/>
  </cols>
  <sheetData>
    <row r="1" spans="2:26" ht="7.5" customHeight="1" thickBot="1"/>
    <row r="2" spans="2:26" ht="13.5" thickBot="1">
      <c r="B2" s="643"/>
      <c r="C2" s="644"/>
      <c r="D2" s="644"/>
      <c r="E2" s="644"/>
      <c r="F2" s="644"/>
      <c r="G2" s="644"/>
      <c r="H2" s="644"/>
      <c r="I2" s="644"/>
      <c r="J2" s="645"/>
    </row>
    <row r="3" spans="2:26" ht="15.75">
      <c r="B3" s="87"/>
      <c r="C3" s="88"/>
      <c r="D3" s="88"/>
      <c r="E3" s="89" t="s">
        <v>77</v>
      </c>
      <c r="F3" s="89"/>
      <c r="G3" s="88"/>
      <c r="H3" s="88"/>
      <c r="I3" s="88"/>
      <c r="J3" s="90"/>
      <c r="K3" s="862" t="s">
        <v>683</v>
      </c>
    </row>
    <row r="4" spans="2:26" ht="15.75">
      <c r="B4" s="91"/>
      <c r="C4" s="92"/>
      <c r="D4" s="92"/>
      <c r="E4" s="93" t="s">
        <v>78</v>
      </c>
      <c r="F4" s="93"/>
      <c r="G4" s="92"/>
      <c r="H4" s="92"/>
      <c r="I4" s="92"/>
      <c r="J4" s="94"/>
      <c r="K4" s="772"/>
    </row>
    <row r="5" spans="2:26" ht="15.75">
      <c r="B5" s="91"/>
      <c r="C5" s="92"/>
      <c r="D5" s="92"/>
      <c r="E5" s="93" t="s">
        <v>781</v>
      </c>
      <c r="F5" s="93"/>
      <c r="G5" s="92"/>
      <c r="H5" s="92"/>
      <c r="I5" s="92"/>
      <c r="J5" s="94"/>
      <c r="K5" s="772"/>
    </row>
    <row r="6" spans="2:26" ht="15.75">
      <c r="B6" s="91"/>
      <c r="C6" s="92"/>
      <c r="D6" s="92"/>
      <c r="E6" s="92"/>
      <c r="F6" s="92"/>
      <c r="G6" s="92"/>
      <c r="H6" s="92"/>
      <c r="I6" s="92"/>
      <c r="J6" s="94"/>
      <c r="K6" s="772"/>
    </row>
    <row r="7" spans="2:26" ht="15.75">
      <c r="B7" s="91" t="s">
        <v>3</v>
      </c>
      <c r="C7" s="93" t="s">
        <v>79</v>
      </c>
      <c r="D7" s="93" t="s">
        <v>79</v>
      </c>
      <c r="E7" s="93" t="s">
        <v>79</v>
      </c>
      <c r="F7" s="93" t="s">
        <v>746</v>
      </c>
      <c r="G7" s="93" t="s">
        <v>80</v>
      </c>
      <c r="H7" s="93" t="s">
        <v>80</v>
      </c>
      <c r="I7" s="93" t="s">
        <v>81</v>
      </c>
      <c r="J7" s="95"/>
      <c r="K7" s="772"/>
    </row>
    <row r="8" spans="2:26" ht="16.5" thickBot="1">
      <c r="B8" s="993"/>
      <c r="C8" s="994" t="s">
        <v>82</v>
      </c>
      <c r="D8" s="994" t="s">
        <v>83</v>
      </c>
      <c r="E8" s="994" t="s">
        <v>84</v>
      </c>
      <c r="F8" s="994" t="s">
        <v>747</v>
      </c>
      <c r="G8" s="994" t="s">
        <v>85</v>
      </c>
      <c r="H8" s="994" t="s">
        <v>86</v>
      </c>
      <c r="I8" s="994" t="s">
        <v>87</v>
      </c>
      <c r="J8" s="995"/>
      <c r="K8" s="773"/>
    </row>
    <row r="9" spans="2:26">
      <c r="B9" s="996" t="s">
        <v>88</v>
      </c>
      <c r="C9" s="775">
        <f t="shared" ref="C9:I9" si="0">SUM(C10:C28)</f>
        <v>72964.837561886001</v>
      </c>
      <c r="D9" s="775">
        <f t="shared" si="0"/>
        <v>22023.984005692771</v>
      </c>
      <c r="E9" s="775">
        <f t="shared" si="0"/>
        <v>12759.606851774</v>
      </c>
      <c r="F9" s="775">
        <f t="shared" si="0"/>
        <v>4958.4398338907995</v>
      </c>
      <c r="G9" s="775">
        <f t="shared" si="0"/>
        <v>112706.86825324359</v>
      </c>
      <c r="H9" s="775">
        <f t="shared" si="0"/>
        <v>1970.1847245304223</v>
      </c>
      <c r="I9" s="775">
        <f t="shared" si="0"/>
        <v>114677.052977774</v>
      </c>
      <c r="J9" s="776"/>
      <c r="K9" s="773"/>
      <c r="Y9" s="22"/>
      <c r="Z9" s="22"/>
    </row>
    <row r="10" spans="2:26" outlineLevel="1">
      <c r="B10" s="1309" t="s">
        <v>55</v>
      </c>
      <c r="C10" s="1264">
        <f>SECT_TERAC.!D12</f>
        <v>11125.202178846002</v>
      </c>
      <c r="D10" s="1264">
        <f>SECT_TERAC.!D26</f>
        <v>4778.4418436649703</v>
      </c>
      <c r="E10" s="1264">
        <f>SECT_TERAC.!D33</f>
        <v>54.666975384000004</v>
      </c>
      <c r="F10" s="1264">
        <f>SECT_TERAC.!D44</f>
        <v>219.743685</v>
      </c>
      <c r="G10" s="1264">
        <f>SUM(C10:F10)</f>
        <v>16178.054682894972</v>
      </c>
      <c r="H10" s="1265">
        <f>SECT_TERAC.!D57</f>
        <v>911.90040483502924</v>
      </c>
      <c r="I10" s="1264">
        <f>G10+H10</f>
        <v>17089.955087730003</v>
      </c>
      <c r="J10" s="777"/>
      <c r="K10" s="774"/>
      <c r="Y10" s="22"/>
      <c r="Z10" s="22"/>
    </row>
    <row r="11" spans="2:26" outlineLevel="1">
      <c r="B11" s="1309"/>
      <c r="C11" s="1264"/>
      <c r="D11" s="1264"/>
      <c r="E11" s="1264"/>
      <c r="F11" s="1264"/>
      <c r="G11" s="1264"/>
      <c r="H11" s="1265"/>
      <c r="I11" s="1264"/>
      <c r="J11" s="778"/>
      <c r="K11" s="773"/>
      <c r="Y11" s="22"/>
      <c r="Z11" s="22"/>
    </row>
    <row r="12" spans="2:26" outlineLevel="1">
      <c r="B12" s="1309" t="s">
        <v>56</v>
      </c>
      <c r="C12" s="1264">
        <f>SECT_TERAC.!C12</f>
        <v>31694.870622912</v>
      </c>
      <c r="D12" s="1264">
        <f>SECT_TERAC.!C26</f>
        <v>15446.698071022802</v>
      </c>
      <c r="E12" s="1264">
        <f>SECT_TERAC.!C33</f>
        <v>1386.5685254399998</v>
      </c>
      <c r="F12" s="1264">
        <f>SECT_TERAC.!C44</f>
        <v>22.881066490799999</v>
      </c>
      <c r="G12" s="1264">
        <f>SUM(C12:F12)</f>
        <v>48551.018285865604</v>
      </c>
      <c r="H12" s="1265">
        <f>SECT_TERAC.!C57</f>
        <v>942.22023017039317</v>
      </c>
      <c r="I12" s="1264">
        <f>G12+H12</f>
        <v>49493.238516035999</v>
      </c>
      <c r="J12" s="777"/>
      <c r="K12" s="774"/>
      <c r="Y12" s="22"/>
      <c r="Z12" s="22"/>
    </row>
    <row r="13" spans="2:26" outlineLevel="1">
      <c r="B13" s="1309"/>
      <c r="C13" s="1264"/>
      <c r="D13" s="1264"/>
      <c r="E13" s="1264"/>
      <c r="F13" s="1264"/>
      <c r="G13" s="1264"/>
      <c r="H13" s="1265"/>
      <c r="I13" s="1264"/>
      <c r="J13" s="778"/>
      <c r="K13" s="773"/>
      <c r="Y13" s="22"/>
      <c r="Z13" s="22"/>
    </row>
    <row r="14" spans="2:26" outlineLevel="1">
      <c r="B14" s="1309" t="s">
        <v>89</v>
      </c>
      <c r="C14" s="1264">
        <f>SECT_TERAC.!E12</f>
        <v>23649.181488687998</v>
      </c>
      <c r="D14" s="1264">
        <f>SECT_TERAC.!E26</f>
        <v>0</v>
      </c>
      <c r="E14" s="1264">
        <f>SECT_TERAC.!E33</f>
        <v>0</v>
      </c>
      <c r="F14" s="1264">
        <f>SECT_TERAC.!E44</f>
        <v>0</v>
      </c>
      <c r="G14" s="1264">
        <f>SUM(C14:F14)</f>
        <v>23649.181488687998</v>
      </c>
      <c r="H14" s="1265">
        <f>SECT_TERAC.!E57</f>
        <v>0</v>
      </c>
      <c r="I14" s="1264">
        <f>G14+H14</f>
        <v>23649.181488687998</v>
      </c>
      <c r="J14" s="777"/>
      <c r="K14" s="774"/>
      <c r="Y14" s="22"/>
      <c r="Z14" s="22"/>
    </row>
    <row r="15" spans="2:26" outlineLevel="1">
      <c r="B15" s="1309"/>
      <c r="C15" s="1264"/>
      <c r="D15" s="1264"/>
      <c r="E15" s="1264"/>
      <c r="F15" s="1264"/>
      <c r="G15" s="1264"/>
      <c r="H15" s="1265"/>
      <c r="I15" s="1264"/>
      <c r="J15" s="778"/>
      <c r="K15" s="773"/>
      <c r="Y15" s="22"/>
      <c r="Z15" s="22"/>
    </row>
    <row r="16" spans="2:26" outlineLevel="1">
      <c r="B16" s="1309" t="s">
        <v>90</v>
      </c>
      <c r="C16" s="1264">
        <v>0</v>
      </c>
      <c r="D16" s="1264">
        <v>0</v>
      </c>
      <c r="E16" s="1264">
        <v>0</v>
      </c>
      <c r="F16" s="1264">
        <v>0</v>
      </c>
      <c r="G16" s="1264">
        <f>SUM(C16:F16)</f>
        <v>0</v>
      </c>
      <c r="H16" s="1265">
        <v>0</v>
      </c>
      <c r="I16" s="1264">
        <f>G16+H16</f>
        <v>0</v>
      </c>
      <c r="J16" s="777"/>
      <c r="K16" s="774"/>
      <c r="Y16" s="22"/>
      <c r="Z16" s="22"/>
    </row>
    <row r="17" spans="2:26" outlineLevel="1">
      <c r="B17" s="1309"/>
      <c r="C17" s="1264"/>
      <c r="D17" s="1264"/>
      <c r="E17" s="1264"/>
      <c r="F17" s="1264"/>
      <c r="G17" s="1264"/>
      <c r="H17" s="1265"/>
      <c r="I17" s="1264"/>
      <c r="J17" s="778"/>
      <c r="K17" s="773"/>
      <c r="Y17" s="22"/>
      <c r="Z17" s="22"/>
    </row>
    <row r="18" spans="2:26" outlineLevel="1">
      <c r="B18" s="1309" t="s">
        <v>59</v>
      </c>
      <c r="C18" s="1264">
        <f>SECT_TERAC.!G12</f>
        <v>44.666388900000001</v>
      </c>
      <c r="D18" s="1264">
        <f>SECT_TERAC.!G26</f>
        <v>267.36608628000005</v>
      </c>
      <c r="E18" s="1264">
        <f>SECT_TERAC.!G33</f>
        <v>876.83963265</v>
      </c>
      <c r="F18" s="1264">
        <f>SECT_TERAC.!G44</f>
        <v>0.2571426</v>
      </c>
      <c r="G18" s="1264">
        <f>SUM(C18:F18)</f>
        <v>1189.12925043</v>
      </c>
      <c r="H18" s="1265">
        <f>SECT_TERAC.!G57</f>
        <v>8.9910000000000018E-2</v>
      </c>
      <c r="I18" s="1264">
        <f>G18+H18</f>
        <v>1189.2191604299999</v>
      </c>
      <c r="J18" s="777"/>
      <c r="K18" s="774"/>
      <c r="Y18" s="22"/>
      <c r="Z18" s="22"/>
    </row>
    <row r="19" spans="2:26" outlineLevel="1">
      <c r="B19" s="1309"/>
      <c r="C19" s="1264"/>
      <c r="D19" s="1264"/>
      <c r="E19" s="1264"/>
      <c r="F19" s="1264"/>
      <c r="G19" s="1264"/>
      <c r="H19" s="1265"/>
      <c r="I19" s="1264"/>
      <c r="J19" s="778"/>
      <c r="K19" s="773"/>
      <c r="Y19" s="22"/>
      <c r="Z19" s="22"/>
    </row>
    <row r="20" spans="2:26" outlineLevel="1">
      <c r="B20" s="1309" t="s">
        <v>60</v>
      </c>
      <c r="C20" s="1264">
        <f>SECT_TERAC.!H12</f>
        <v>19.104992500000002</v>
      </c>
      <c r="D20" s="1264">
        <f>SECT_TERAC.!H26</f>
        <v>1507.8519616600001</v>
      </c>
      <c r="E20" s="1264">
        <f>SECT_TERAC.!H33</f>
        <v>10440.962744300001</v>
      </c>
      <c r="F20" s="1264">
        <f>SECT_TERAC.!H44</f>
        <v>314.34043079999998</v>
      </c>
      <c r="G20" s="1264">
        <f>SUM(C20:F20)</f>
        <v>12282.260129260001</v>
      </c>
      <c r="H20" s="1265">
        <f>SECT_TERAC.!H57</f>
        <v>29.160254640000005</v>
      </c>
      <c r="I20" s="1264">
        <f>G20+H20</f>
        <v>12311.420383900002</v>
      </c>
      <c r="J20" s="777"/>
      <c r="K20" s="774"/>
      <c r="Y20" s="22"/>
      <c r="Z20" s="22"/>
    </row>
    <row r="21" spans="2:26" outlineLevel="1">
      <c r="B21" s="1309"/>
      <c r="C21" s="1264"/>
      <c r="D21" s="1264"/>
      <c r="E21" s="1264"/>
      <c r="F21" s="1264"/>
      <c r="G21" s="1264"/>
      <c r="H21" s="1265"/>
      <c r="I21" s="1264"/>
      <c r="J21" s="778"/>
      <c r="K21" s="773"/>
      <c r="Y21" s="22"/>
      <c r="Z21" s="22"/>
    </row>
    <row r="22" spans="2:26" outlineLevel="1">
      <c r="B22" s="1309" t="s">
        <v>61</v>
      </c>
      <c r="C22" s="1264">
        <f>SECT_TERAC.!I12</f>
        <v>47.712420000000002</v>
      </c>
      <c r="D22" s="1264">
        <f>SECT_TERAC.!I26</f>
        <v>0</v>
      </c>
      <c r="E22" s="1264">
        <f>SECT_TERAC.!I33</f>
        <v>0</v>
      </c>
      <c r="F22" s="1264">
        <f>SECT_TERAC.!I44</f>
        <v>0</v>
      </c>
      <c r="G22" s="1264">
        <f>SUM(C22:F22)</f>
        <v>47.712420000000002</v>
      </c>
      <c r="H22" s="1265">
        <f>SECT_TERAC.!I57</f>
        <v>0</v>
      </c>
      <c r="I22" s="1264">
        <f>G22+H22</f>
        <v>47.712420000000002</v>
      </c>
      <c r="J22" s="777"/>
      <c r="K22" s="774"/>
      <c r="Y22" s="22"/>
      <c r="Z22" s="22"/>
    </row>
    <row r="23" spans="2:26" outlineLevel="1">
      <c r="B23" s="1309"/>
      <c r="C23" s="1264"/>
      <c r="D23" s="1264"/>
      <c r="E23" s="1264"/>
      <c r="F23" s="1264"/>
      <c r="G23" s="1264"/>
      <c r="H23" s="1265"/>
      <c r="I23" s="1264"/>
      <c r="J23" s="778"/>
      <c r="K23" s="773"/>
      <c r="Y23" s="22"/>
      <c r="Z23" s="22"/>
    </row>
    <row r="24" spans="2:26" outlineLevel="1">
      <c r="B24" s="1309" t="s">
        <v>62</v>
      </c>
      <c r="C24" s="1264">
        <f>SECT_TERAC.!J12</f>
        <v>6384.0994700400015</v>
      </c>
      <c r="D24" s="1264">
        <f>SECT_TERAC.!J26</f>
        <v>0</v>
      </c>
      <c r="E24" s="1264">
        <f>SECT_TERAC.!J33</f>
        <v>0</v>
      </c>
      <c r="F24" s="1264">
        <f>SECT_TERAC.!J44</f>
        <v>0</v>
      </c>
      <c r="G24" s="1264">
        <f>SUM(C24:F24)</f>
        <v>6384.0994700400015</v>
      </c>
      <c r="H24" s="1265">
        <f>SECT_TERAC.!J57</f>
        <v>0</v>
      </c>
      <c r="I24" s="1264">
        <f>G24+H24</f>
        <v>6384.0994700400015</v>
      </c>
      <c r="J24" s="777"/>
      <c r="K24" s="774"/>
      <c r="Y24" s="22"/>
      <c r="Z24" s="22"/>
    </row>
    <row r="25" spans="2:26" outlineLevel="1">
      <c r="B25" s="1309"/>
      <c r="C25" s="1264"/>
      <c r="D25" s="1264"/>
      <c r="E25" s="1264"/>
      <c r="F25" s="1264"/>
      <c r="G25" s="1264"/>
      <c r="H25" s="1265"/>
      <c r="I25" s="1264"/>
      <c r="J25" s="778"/>
      <c r="K25" s="773"/>
      <c r="Y25" s="22"/>
      <c r="Z25" s="22"/>
    </row>
    <row r="26" spans="2:26" outlineLevel="1">
      <c r="B26" s="1309" t="s">
        <v>63</v>
      </c>
      <c r="C26" s="1264">
        <f>SECT_TERAC.!K12</f>
        <v>0</v>
      </c>
      <c r="D26" s="1264">
        <f>SECT_TERAC.!K26</f>
        <v>18.849343064999999</v>
      </c>
      <c r="E26" s="1264">
        <f>SECT_TERAC.!K33</f>
        <v>0.56897400000000009</v>
      </c>
      <c r="F26" s="1264">
        <f>SECT_TERAC.!K44</f>
        <v>1949.4443729999998</v>
      </c>
      <c r="G26" s="1264">
        <f>SUM(C26:F26)</f>
        <v>1968.8626900649999</v>
      </c>
      <c r="H26" s="1265">
        <f>SECT_TERAC.!K57</f>
        <v>0.269559885</v>
      </c>
      <c r="I26" s="1264">
        <f>G26+H26</f>
        <v>1969.13224995</v>
      </c>
      <c r="J26" s="777"/>
      <c r="K26" s="774"/>
      <c r="Y26" s="22"/>
      <c r="Z26" s="22"/>
    </row>
    <row r="27" spans="2:26" outlineLevel="1">
      <c r="B27" s="1309"/>
      <c r="C27" s="1264"/>
      <c r="D27" s="1264"/>
      <c r="E27" s="1264"/>
      <c r="F27" s="1264"/>
      <c r="G27" s="1264"/>
      <c r="H27" s="1265"/>
      <c r="I27" s="1264"/>
      <c r="J27" s="778"/>
      <c r="K27" s="773"/>
      <c r="Y27" s="22"/>
      <c r="Z27" s="22"/>
    </row>
    <row r="28" spans="2:26" outlineLevel="1">
      <c r="B28" s="1309" t="s">
        <v>64</v>
      </c>
      <c r="C28" s="1264">
        <f>SECT_TERAC.!L12</f>
        <v>0</v>
      </c>
      <c r="D28" s="1264">
        <f>SECT_TERAC.!L26</f>
        <v>4.7766999999999999</v>
      </c>
      <c r="E28" s="1264">
        <f>SECT_TERAC.!L33</f>
        <v>0</v>
      </c>
      <c r="F28" s="1264">
        <f>SECT_TERAC.!L44</f>
        <v>2451.7731359999998</v>
      </c>
      <c r="G28" s="1264">
        <f>SUM(C28:F28)</f>
        <v>2456.5498359999997</v>
      </c>
      <c r="H28" s="1265">
        <f>SECT_TERAC.!L57</f>
        <v>86.544364999999985</v>
      </c>
      <c r="I28" s="1264">
        <f>G28+H28</f>
        <v>2543.0942009999999</v>
      </c>
      <c r="J28" s="777"/>
      <c r="K28" s="774"/>
      <c r="Y28" s="22"/>
      <c r="Z28" s="22"/>
    </row>
    <row r="29" spans="2:26">
      <c r="B29" s="997"/>
      <c r="C29" s="775"/>
      <c r="D29" s="775"/>
      <c r="E29" s="775"/>
      <c r="F29" s="775"/>
      <c r="G29" s="775"/>
      <c r="H29" s="775"/>
      <c r="I29" s="775"/>
      <c r="J29" s="778"/>
      <c r="K29" s="773"/>
      <c r="Y29" s="22"/>
      <c r="Z29" s="22"/>
    </row>
    <row r="30" spans="2:26">
      <c r="B30" s="997" t="s">
        <v>18</v>
      </c>
      <c r="C30" s="775">
        <f>SECT_TERAC.!N12</f>
        <v>200.23799765999999</v>
      </c>
      <c r="D30" s="775">
        <f>SECT_TERAC.!N26</f>
        <v>27666.741884812778</v>
      </c>
      <c r="E30" s="775">
        <f>SECT_TERAC.!N33</f>
        <v>12480.350072737318</v>
      </c>
      <c r="F30" s="775">
        <f>SECT_TERAC.!N44</f>
        <v>1858.5513414212944</v>
      </c>
      <c r="G30" s="775">
        <f>SUM(C30:F30)</f>
        <v>42205.881296631385</v>
      </c>
      <c r="H30" s="74">
        <f>SECT_TERAC.!N57</f>
        <v>0</v>
      </c>
      <c r="I30" s="775">
        <f>G30+H30</f>
        <v>42205.881296631385</v>
      </c>
      <c r="J30" s="777"/>
      <c r="K30" s="774"/>
      <c r="Y30" s="22"/>
      <c r="Z30" s="22"/>
    </row>
    <row r="31" spans="2:26">
      <c r="B31" s="997"/>
      <c r="C31" s="775"/>
      <c r="D31" s="775"/>
      <c r="E31" s="775"/>
      <c r="F31" s="775"/>
      <c r="G31" s="775"/>
      <c r="H31" s="74"/>
      <c r="I31" s="775"/>
      <c r="J31" s="778"/>
      <c r="K31" s="773"/>
      <c r="Y31" s="22"/>
      <c r="Z31" s="22"/>
    </row>
    <row r="32" spans="2:26">
      <c r="B32" s="997" t="s">
        <v>65</v>
      </c>
      <c r="C32" s="775">
        <f>SECT_TERAC.!O12</f>
        <v>0.41299999999999998</v>
      </c>
      <c r="D32" s="775">
        <f>SECT_TERAC.!O26</f>
        <v>5190.2183450767716</v>
      </c>
      <c r="E32" s="775">
        <f>SECT_TERAC.!O33</f>
        <v>55.337029820778582</v>
      </c>
      <c r="F32" s="775">
        <f>SECT_TERAC.!O44</f>
        <v>6.9009904999999989</v>
      </c>
      <c r="G32" s="775">
        <f>SUM(C32:F32)</f>
        <v>5252.8693653975497</v>
      </c>
      <c r="H32" s="74">
        <f>SECT_TERAC.!O57</f>
        <v>22884.196027717495</v>
      </c>
      <c r="I32" s="775">
        <f>G32+H32</f>
        <v>28137.065393115045</v>
      </c>
      <c r="J32" s="777"/>
      <c r="K32" s="774"/>
      <c r="Y32" s="22"/>
      <c r="Z32" s="22"/>
    </row>
    <row r="33" spans="2:26">
      <c r="B33" s="997"/>
      <c r="C33" s="775"/>
      <c r="D33" s="775"/>
      <c r="E33" s="775"/>
      <c r="F33" s="775"/>
      <c r="G33" s="775"/>
      <c r="H33" s="74"/>
      <c r="I33" s="775"/>
      <c r="J33" s="778"/>
      <c r="K33" s="773"/>
      <c r="Y33" s="22"/>
      <c r="Z33" s="22"/>
    </row>
    <row r="34" spans="2:26">
      <c r="B34" s="997" t="s">
        <v>66</v>
      </c>
      <c r="C34" s="775">
        <f>SECT_TERAC.!P12</f>
        <v>0</v>
      </c>
      <c r="D34" s="775">
        <f>SECT_TERAC.!P26</f>
        <v>1997.303652000001</v>
      </c>
      <c r="E34" s="775">
        <f>SECT_TERAC.!P33</f>
        <v>0</v>
      </c>
      <c r="F34" s="775">
        <f>SECT_TERAC.!P44</f>
        <v>0</v>
      </c>
      <c r="G34" s="775">
        <f>SUM(C34:F34)</f>
        <v>1997.303652000001</v>
      </c>
      <c r="H34" s="74">
        <f>SECT_TERAC.!P57</f>
        <v>7622.3684392499999</v>
      </c>
      <c r="I34" s="775">
        <f>G34+H34</f>
        <v>9619.6720912500004</v>
      </c>
      <c r="J34" s="777"/>
      <c r="K34" s="774"/>
      <c r="Y34" s="22"/>
      <c r="Z34" s="22"/>
    </row>
    <row r="35" spans="2:26">
      <c r="B35" s="997"/>
      <c r="C35" s="775"/>
      <c r="D35" s="775"/>
      <c r="E35" s="775"/>
      <c r="F35" s="775"/>
      <c r="G35" s="775"/>
      <c r="H35" s="74"/>
      <c r="I35" s="775"/>
      <c r="J35" s="778"/>
      <c r="K35" s="773"/>
      <c r="Y35" s="22"/>
      <c r="Z35" s="22"/>
    </row>
    <row r="36" spans="2:26">
      <c r="B36" s="997" t="s">
        <v>67</v>
      </c>
      <c r="C36" s="775">
        <f>SECT_TERAC.!Q12</f>
        <v>0</v>
      </c>
      <c r="D36" s="775">
        <f>SECT_TERAC.!Q26</f>
        <v>0</v>
      </c>
      <c r="E36" s="775">
        <f>SECT_TERAC.!Q33</f>
        <v>0</v>
      </c>
      <c r="F36" s="775">
        <f>SECT_TERAC.!Q44</f>
        <v>191.41300000000001</v>
      </c>
      <c r="G36" s="775">
        <f>SUM(C36:F36)</f>
        <v>191.41300000000001</v>
      </c>
      <c r="H36" s="74">
        <f>SECT_TERAC.!Q57</f>
        <v>0</v>
      </c>
      <c r="I36" s="775">
        <f>G36+H36</f>
        <v>191.41300000000001</v>
      </c>
      <c r="J36" s="777"/>
      <c r="K36" s="774"/>
      <c r="Y36" s="22"/>
      <c r="Z36" s="22"/>
    </row>
    <row r="37" spans="2:26">
      <c r="B37" s="997"/>
      <c r="C37" s="775"/>
      <c r="D37" s="775"/>
      <c r="E37" s="775"/>
      <c r="F37" s="775"/>
      <c r="G37" s="775"/>
      <c r="H37" s="74"/>
      <c r="I37" s="775"/>
      <c r="J37" s="778"/>
      <c r="K37" s="773"/>
      <c r="Y37" s="22"/>
      <c r="Z37" s="22"/>
    </row>
    <row r="38" spans="2:26">
      <c r="B38" s="997" t="s">
        <v>20</v>
      </c>
      <c r="C38" s="775">
        <f>SECT_TERAC.!R12</f>
        <v>0</v>
      </c>
      <c r="D38" s="775">
        <f>SECT_TERAC.!R26</f>
        <v>830.33884981199992</v>
      </c>
      <c r="E38" s="775">
        <f>SECT_TERAC.!R33</f>
        <v>216.59322213349529</v>
      </c>
      <c r="F38" s="775">
        <f>SECT_TERAC.!R44</f>
        <v>263.43641111967816</v>
      </c>
      <c r="G38" s="775">
        <f>SUM(C38:F38)</f>
        <v>1310.3684830651732</v>
      </c>
      <c r="H38" s="74">
        <f>SECT_TERAC.!R57</f>
        <v>0</v>
      </c>
      <c r="I38" s="775">
        <f>G38+H38</f>
        <v>1310.3684830651732</v>
      </c>
      <c r="J38" s="777"/>
      <c r="K38" s="774"/>
      <c r="Y38" s="22"/>
      <c r="Z38" s="22"/>
    </row>
    <row r="39" spans="2:26">
      <c r="B39" s="997"/>
      <c r="C39" s="775"/>
      <c r="D39" s="775"/>
      <c r="E39" s="775"/>
      <c r="F39" s="775"/>
      <c r="G39" s="775"/>
      <c r="H39" s="74"/>
      <c r="I39" s="775"/>
      <c r="J39" s="778"/>
      <c r="K39" s="773"/>
      <c r="Y39" s="22"/>
      <c r="Z39" s="22"/>
    </row>
    <row r="40" spans="2:26">
      <c r="B40" s="997" t="s">
        <v>69</v>
      </c>
      <c r="C40" s="775">
        <f>SECT_TERAC.!S12</f>
        <v>0</v>
      </c>
      <c r="D40" s="775">
        <f>SECT_TERAC.!S26</f>
        <v>367.87299999999982</v>
      </c>
      <c r="E40" s="775">
        <f>SECT_TERAC.!S33</f>
        <v>0</v>
      </c>
      <c r="F40" s="775">
        <f>SECT_TERAC.!S44</f>
        <v>980.68600000000015</v>
      </c>
      <c r="G40" s="775">
        <f>SUM(C40:F40)</f>
        <v>1348.559</v>
      </c>
      <c r="H40" s="74">
        <f>SECT_TERAC.!S57</f>
        <v>0</v>
      </c>
      <c r="I40" s="775">
        <f>G40+H40</f>
        <v>1348.559</v>
      </c>
      <c r="J40" s="777"/>
      <c r="K40" s="774"/>
      <c r="Y40" s="22"/>
      <c r="Z40" s="22"/>
    </row>
    <row r="41" spans="2:26">
      <c r="B41" s="997"/>
      <c r="C41" s="775"/>
      <c r="D41" s="775"/>
      <c r="E41" s="775"/>
      <c r="F41" s="775"/>
      <c r="G41" s="775"/>
      <c r="H41" s="74"/>
      <c r="I41" s="775"/>
      <c r="J41" s="778"/>
      <c r="K41" s="773"/>
      <c r="Y41" s="22"/>
      <c r="Z41" s="22"/>
    </row>
    <row r="42" spans="2:26">
      <c r="B42" s="997" t="s">
        <v>70</v>
      </c>
      <c r="C42" s="775">
        <f>SECT_TERAC.!T12</f>
        <v>293.82739268138204</v>
      </c>
      <c r="D42" s="775">
        <f>SECT_TERAC.!T26</f>
        <v>10864.226700135794</v>
      </c>
      <c r="E42" s="775">
        <f>SECT_TERAC.!T33</f>
        <v>4356.6549300663009</v>
      </c>
      <c r="F42" s="775">
        <f>SECT_TERAC.!T44</f>
        <v>5157.322722770331</v>
      </c>
      <c r="G42" s="775">
        <f>SUM(C42:F42)</f>
        <v>20672.031745653807</v>
      </c>
      <c r="H42" s="74">
        <f>SECT_TERAC.!T57</f>
        <v>59548.630410031168</v>
      </c>
      <c r="I42" s="775">
        <f>G42+H42</f>
        <v>80220.662155684971</v>
      </c>
      <c r="J42" s="777"/>
      <c r="K42" s="774"/>
      <c r="Y42" s="22"/>
      <c r="Z42" s="22"/>
    </row>
    <row r="43" spans="2:26">
      <c r="B43" s="997"/>
      <c r="C43" s="775"/>
      <c r="D43" s="775"/>
      <c r="E43" s="775"/>
      <c r="F43" s="775"/>
      <c r="G43" s="775"/>
      <c r="H43" s="74"/>
      <c r="I43" s="775"/>
      <c r="J43" s="778"/>
      <c r="K43" s="773"/>
      <c r="Y43" s="22"/>
      <c r="Z43" s="22"/>
    </row>
    <row r="44" spans="2:26">
      <c r="B44" s="997" t="s">
        <v>22</v>
      </c>
      <c r="C44" s="775">
        <f>SECT_TERAC.!U12</f>
        <v>0</v>
      </c>
      <c r="D44" s="775">
        <f>SECT_TERAC.!U26</f>
        <v>0</v>
      </c>
      <c r="E44" s="775">
        <f>SECT_TERAC.!U33</f>
        <v>0</v>
      </c>
      <c r="F44" s="775">
        <f>SECT_TERAC.!U44</f>
        <v>0</v>
      </c>
      <c r="G44" s="775">
        <f>SUM(C44:F44)</f>
        <v>0</v>
      </c>
      <c r="H44" s="74">
        <f>SECT_TERAC.!U57</f>
        <v>0</v>
      </c>
      <c r="I44" s="775">
        <f>G44+H44</f>
        <v>0</v>
      </c>
      <c r="J44" s="777"/>
      <c r="K44" s="774"/>
      <c r="Y44" s="22"/>
      <c r="Z44" s="22"/>
    </row>
    <row r="45" spans="2:26">
      <c r="B45" s="997"/>
      <c r="C45" s="775"/>
      <c r="D45" s="775"/>
      <c r="E45" s="775"/>
      <c r="F45" s="775"/>
      <c r="G45" s="775"/>
      <c r="H45" s="74"/>
      <c r="I45" s="775"/>
      <c r="J45" s="778"/>
      <c r="K45" s="773"/>
      <c r="Y45" s="22"/>
      <c r="Z45" s="22"/>
    </row>
    <row r="46" spans="2:26">
      <c r="B46" s="997" t="s">
        <v>9</v>
      </c>
      <c r="C46" s="775">
        <f>SECT_TERAC.!W12</f>
        <v>0</v>
      </c>
      <c r="D46" s="775">
        <f>SECT_TERAC.!W26</f>
        <v>9596.2198227862773</v>
      </c>
      <c r="E46" s="775">
        <f>SECT_TERAC.!W33</f>
        <v>28999.727576004785</v>
      </c>
      <c r="F46" s="775">
        <f>SECT_TERAC.!W44</f>
        <v>0</v>
      </c>
      <c r="G46" s="775">
        <f>SUM(C46:F46)</f>
        <v>38595.947398791061</v>
      </c>
      <c r="H46" s="74">
        <f>SECT_TERAC.!W57</f>
        <v>4515.3870745717859</v>
      </c>
      <c r="I46" s="775">
        <f>G46+H46</f>
        <v>43111.334473362847</v>
      </c>
      <c r="J46" s="777"/>
      <c r="K46" s="774"/>
      <c r="Y46" s="22"/>
      <c r="Z46" s="22"/>
    </row>
    <row r="47" spans="2:26">
      <c r="B47" s="997"/>
      <c r="C47" s="775"/>
      <c r="D47" s="775"/>
      <c r="E47" s="775"/>
      <c r="F47" s="775"/>
      <c r="G47" s="775"/>
      <c r="H47" s="74"/>
      <c r="I47" s="775"/>
      <c r="J47" s="778"/>
      <c r="K47" s="773"/>
      <c r="Y47" s="22"/>
      <c r="Z47" s="22"/>
    </row>
    <row r="48" spans="2:26">
      <c r="B48" s="997" t="s">
        <v>10</v>
      </c>
      <c r="C48" s="775">
        <v>0</v>
      </c>
      <c r="D48" s="775">
        <v>0</v>
      </c>
      <c r="E48" s="775">
        <v>0</v>
      </c>
      <c r="F48" s="775">
        <v>0</v>
      </c>
      <c r="G48" s="775">
        <f>SUM(C48:F48)</f>
        <v>0</v>
      </c>
      <c r="H48" s="74">
        <v>0</v>
      </c>
      <c r="I48" s="775">
        <f>G48+H48</f>
        <v>0</v>
      </c>
      <c r="J48" s="777"/>
      <c r="K48" s="774"/>
      <c r="Y48" s="22"/>
      <c r="Z48" s="22"/>
    </row>
    <row r="49" spans="2:26">
      <c r="B49" s="997"/>
      <c r="C49" s="775"/>
      <c r="D49" s="775"/>
      <c r="E49" s="775"/>
      <c r="F49" s="775"/>
      <c r="G49" s="775"/>
      <c r="H49" s="775"/>
      <c r="I49" s="775"/>
      <c r="J49" s="778"/>
      <c r="K49" s="773"/>
      <c r="Y49" s="22"/>
      <c r="Z49" s="22"/>
    </row>
    <row r="50" spans="2:26">
      <c r="B50" s="998" t="s">
        <v>11</v>
      </c>
      <c r="C50" s="779">
        <f t="shared" ref="C50:I50" si="1">C9+SUM(C30:C48)</f>
        <v>73459.315952227378</v>
      </c>
      <c r="D50" s="779">
        <f t="shared" si="1"/>
        <v>78536.906260316391</v>
      </c>
      <c r="E50" s="779">
        <f t="shared" si="1"/>
        <v>58868.26968253668</v>
      </c>
      <c r="F50" s="779">
        <f t="shared" si="1"/>
        <v>13416.750299702104</v>
      </c>
      <c r="G50" s="779">
        <f t="shared" si="1"/>
        <v>224281.24219478259</v>
      </c>
      <c r="H50" s="779">
        <f t="shared" si="1"/>
        <v>96540.766676100873</v>
      </c>
      <c r="I50" s="779">
        <f t="shared" si="1"/>
        <v>320822.00887088344</v>
      </c>
      <c r="J50" s="780"/>
      <c r="K50" s="774"/>
      <c r="Y50" s="22"/>
      <c r="Z50" s="22"/>
    </row>
    <row r="51" spans="2:26" ht="13.5" thickBot="1">
      <c r="B51" s="999"/>
      <c r="C51" s="781"/>
      <c r="D51" s="781"/>
      <c r="E51" s="781"/>
      <c r="F51" s="781"/>
      <c r="G51" s="781"/>
      <c r="H51" s="781"/>
      <c r="I51" s="781"/>
      <c r="J51" s="782"/>
      <c r="K51" s="774"/>
      <c r="Y51" s="22"/>
      <c r="Z51" s="22"/>
    </row>
    <row r="52" spans="2:26" s="22" customFormat="1">
      <c r="B52" s="80" t="s">
        <v>91</v>
      </c>
      <c r="C52" s="81"/>
      <c r="D52" s="81"/>
      <c r="E52" s="81"/>
      <c r="F52" s="81"/>
      <c r="G52" s="82"/>
      <c r="H52" s="77"/>
      <c r="I52" s="83"/>
      <c r="J52" s="115"/>
      <c r="K52" s="75"/>
    </row>
    <row r="53" spans="2:26" s="22" customFormat="1">
      <c r="B53" s="80" t="s">
        <v>71</v>
      </c>
      <c r="C53" s="81"/>
      <c r="D53" s="81"/>
      <c r="E53" s="81"/>
      <c r="F53" s="81"/>
      <c r="G53" s="81"/>
      <c r="H53" s="81"/>
      <c r="I53" s="81"/>
      <c r="J53" s="81"/>
      <c r="K53" s="77"/>
    </row>
    <row r="54" spans="2:26" s="22" customFormat="1">
      <c r="B54" s="80" t="s">
        <v>72</v>
      </c>
      <c r="C54" s="81"/>
      <c r="D54" s="81"/>
      <c r="E54" s="81"/>
      <c r="F54" s="81"/>
      <c r="G54" s="81"/>
      <c r="H54" s="81"/>
      <c r="I54" s="81"/>
      <c r="J54" s="81"/>
      <c r="K54" s="77"/>
    </row>
    <row r="55" spans="2:26" s="22" customFormat="1">
      <c r="B55" s="11" t="s">
        <v>42</v>
      </c>
      <c r="C55" s="58"/>
      <c r="D55" s="59"/>
      <c r="E55" s="59"/>
      <c r="F55" s="59"/>
      <c r="G55" s="59"/>
      <c r="H55" s="60"/>
      <c r="I55" s="21"/>
      <c r="J55" s="73"/>
      <c r="K55" s="73"/>
    </row>
    <row r="56" spans="2:26" s="22" customFormat="1">
      <c r="B56" s="11" t="s">
        <v>43</v>
      </c>
      <c r="C56" s="21"/>
      <c r="D56" s="21"/>
      <c r="E56" s="21"/>
      <c r="F56" s="21"/>
      <c r="G56" s="21"/>
      <c r="H56" s="21"/>
      <c r="I56" s="21"/>
      <c r="J56" s="73"/>
      <c r="K56" s="73"/>
    </row>
    <row r="57" spans="2:26" s="22" customFormat="1">
      <c r="B57" s="11" t="s">
        <v>761</v>
      </c>
      <c r="C57" s="21"/>
      <c r="D57" s="21"/>
      <c r="E57" s="21"/>
      <c r="F57" s="21"/>
      <c r="G57" s="21"/>
      <c r="H57" s="21"/>
      <c r="I57" s="21"/>
      <c r="J57" s="73"/>
      <c r="K57" s="73"/>
    </row>
    <row r="58" spans="2:26" s="22" customFormat="1">
      <c r="B58" s="11" t="s">
        <v>762</v>
      </c>
      <c r="C58" s="21"/>
      <c r="D58" s="21"/>
      <c r="E58" s="21"/>
      <c r="F58" s="21"/>
      <c r="G58" s="21"/>
      <c r="H58" s="21"/>
      <c r="I58" s="21"/>
      <c r="J58" s="73"/>
      <c r="K58" s="73"/>
    </row>
    <row r="59" spans="2:26" s="22" customFormat="1">
      <c r="B59" s="11" t="s">
        <v>760</v>
      </c>
      <c r="C59" s="21"/>
      <c r="D59" s="21"/>
      <c r="E59" s="21"/>
      <c r="F59" s="21"/>
      <c r="G59" s="21"/>
      <c r="H59" s="21"/>
      <c r="I59" s="21"/>
      <c r="J59" s="73"/>
      <c r="K59" s="73"/>
    </row>
    <row r="60" spans="2:26" s="22" customFormat="1">
      <c r="B60" s="21" t="s">
        <v>14</v>
      </c>
      <c r="C60" s="21"/>
      <c r="D60" s="21"/>
      <c r="E60" s="21"/>
      <c r="F60" s="21"/>
      <c r="G60" s="21"/>
      <c r="H60" s="21"/>
      <c r="I60" s="21"/>
      <c r="J60" s="73"/>
      <c r="K60" s="73"/>
    </row>
    <row r="61" spans="2:26" s="22" customFormat="1">
      <c r="B61" s="21" t="s">
        <v>777</v>
      </c>
      <c r="C61" s="21"/>
      <c r="D61" s="21"/>
      <c r="E61" s="21"/>
      <c r="F61" s="21"/>
      <c r="G61" s="21"/>
      <c r="H61" s="21"/>
      <c r="I61" s="21"/>
      <c r="J61" s="73"/>
      <c r="K61" s="73"/>
    </row>
    <row r="62" spans="2:26" s="22" customFormat="1">
      <c r="B62" s="773"/>
      <c r="C62" s="773"/>
      <c r="D62" s="773"/>
      <c r="E62" s="773"/>
      <c r="F62" s="773"/>
      <c r="G62" s="773"/>
      <c r="H62" s="773"/>
      <c r="I62" s="773"/>
      <c r="J62" s="773"/>
      <c r="K62" s="773"/>
    </row>
    <row r="63" spans="2:26" s="22" customFormat="1">
      <c r="B63" s="773"/>
      <c r="C63" s="773"/>
      <c r="D63" s="773"/>
      <c r="E63" s="773"/>
      <c r="F63" s="773"/>
      <c r="G63" s="773"/>
      <c r="H63" s="773"/>
      <c r="I63" s="773"/>
      <c r="J63" s="773"/>
      <c r="K63" s="773"/>
    </row>
    <row r="64" spans="2:26" s="22" customFormat="1">
      <c r="B64" s="773"/>
      <c r="C64" s="773"/>
      <c r="D64" s="773"/>
      <c r="E64" s="773"/>
      <c r="F64" s="773"/>
      <c r="G64" s="773"/>
      <c r="H64" s="773"/>
      <c r="I64" s="773"/>
      <c r="J64" s="773"/>
      <c r="K64" s="773"/>
    </row>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22" customFormat="1"/>
    <row r="178" s="22" customFormat="1"/>
    <row r="179" s="22" customFormat="1"/>
    <row r="180" s="22" customFormat="1"/>
    <row r="181" s="22" customFormat="1"/>
    <row r="182" s="22" customFormat="1"/>
    <row r="183" s="22" customFormat="1"/>
    <row r="184" s="22" customFormat="1"/>
    <row r="185" s="22" customFormat="1"/>
    <row r="186" s="22" customFormat="1"/>
    <row r="187" s="22" customFormat="1"/>
    <row r="188" s="22" customFormat="1"/>
    <row r="189" s="22" customFormat="1"/>
    <row r="190" s="22" customFormat="1"/>
    <row r="191" s="22" customFormat="1"/>
    <row r="192" s="22" customFormat="1"/>
    <row r="193" s="22" customFormat="1"/>
    <row r="194" s="22" customFormat="1"/>
    <row r="195" s="22" customFormat="1"/>
    <row r="196" s="22" customFormat="1"/>
    <row r="197" s="22" customFormat="1"/>
    <row r="198" s="22" customFormat="1"/>
    <row r="199" s="22" customFormat="1"/>
    <row r="200" s="22" customFormat="1"/>
    <row r="201" s="22" customFormat="1"/>
    <row r="202" s="22" customFormat="1"/>
    <row r="203" s="22" customFormat="1"/>
    <row r="204" s="22" customFormat="1"/>
    <row r="205" s="22" customFormat="1"/>
    <row r="206" s="22" customFormat="1"/>
    <row r="207" s="22" customFormat="1"/>
    <row r="208" s="22" customFormat="1"/>
    <row r="209" s="22" customFormat="1"/>
    <row r="210" s="22" customFormat="1"/>
    <row r="211" s="22" customFormat="1"/>
    <row r="212" s="22" customFormat="1"/>
    <row r="213" s="22" customFormat="1"/>
    <row r="214" s="22" customFormat="1"/>
    <row r="215" s="22" customFormat="1"/>
    <row r="216" s="22" customFormat="1"/>
    <row r="217" s="22" customFormat="1"/>
    <row r="218" s="22" customFormat="1"/>
    <row r="219" s="22" customFormat="1"/>
    <row r="220" s="22" customFormat="1"/>
    <row r="221" s="22" customFormat="1"/>
    <row r="222" s="22" customFormat="1"/>
    <row r="223" s="22" customFormat="1"/>
    <row r="224" s="22" customFormat="1"/>
    <row r="225" s="22" customFormat="1"/>
    <row r="226" s="22" customFormat="1"/>
    <row r="227" s="22" customFormat="1"/>
    <row r="228" s="22" customFormat="1"/>
    <row r="229" s="22" customFormat="1"/>
    <row r="230" s="22" customFormat="1"/>
    <row r="231" s="22" customFormat="1"/>
    <row r="232" s="22" customFormat="1"/>
    <row r="233" s="22" customFormat="1"/>
    <row r="234" s="22" customFormat="1"/>
    <row r="235" s="22" customFormat="1"/>
    <row r="236" s="22" customFormat="1"/>
    <row r="237" s="22" customFormat="1"/>
    <row r="238" s="22" customFormat="1"/>
    <row r="239" s="22" customFormat="1"/>
    <row r="240" s="22" customFormat="1"/>
    <row r="241" s="22" customFormat="1"/>
    <row r="242" s="22" customFormat="1"/>
    <row r="243" s="22" customFormat="1"/>
    <row r="244" s="22" customFormat="1"/>
    <row r="245" s="22" customFormat="1"/>
    <row r="246" s="22" customFormat="1"/>
    <row r="247" s="22" customFormat="1"/>
    <row r="248" s="22" customFormat="1"/>
    <row r="249" s="22" customFormat="1"/>
    <row r="250" s="22" customFormat="1"/>
    <row r="251" s="22" customFormat="1"/>
    <row r="252" s="22" customFormat="1"/>
    <row r="253" s="22" customFormat="1"/>
    <row r="254" s="22" customFormat="1"/>
    <row r="255" s="22" customFormat="1"/>
  </sheetData>
  <phoneticPr fontId="0" type="noConversion"/>
  <hyperlinks>
    <hyperlink ref="K3" location="INDICE!A1" display="VOLVER A INDICE"/>
  </hyperlinks>
  <pageMargins left="0.75" right="0.75" top="1" bottom="1"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1"/>
  <sheetViews>
    <sheetView topLeftCell="A13" workbookViewId="0">
      <selection activeCell="J13" sqref="J13"/>
    </sheetView>
  </sheetViews>
  <sheetFormatPr baseColWidth="10" defaultRowHeight="12.75"/>
  <cols>
    <col min="1" max="1" width="1.42578125" style="898" customWidth="1"/>
    <col min="2" max="2" width="25.85546875" style="898" customWidth="1"/>
    <col min="3" max="3" width="12.5703125" style="898" customWidth="1"/>
    <col min="4" max="7" width="11.42578125" style="898"/>
    <col min="8" max="8" width="14" style="70" bestFit="1" customWidth="1"/>
    <col min="9" max="9" width="26.28515625" style="22" customWidth="1"/>
    <col min="10" max="15" width="11.42578125" style="22"/>
    <col min="16" max="16384" width="11.42578125" style="898"/>
  </cols>
  <sheetData>
    <row r="1" spans="2:9" ht="7.5" customHeight="1" thickBot="1"/>
    <row r="2" spans="2:9" ht="15.75" customHeight="1" thickBot="1">
      <c r="B2" s="973"/>
      <c r="C2" s="974"/>
      <c r="D2" s="974"/>
      <c r="E2" s="974"/>
      <c r="F2" s="974"/>
      <c r="G2" s="975"/>
    </row>
    <row r="3" spans="2:9" ht="15.75">
      <c r="B3" s="42"/>
      <c r="C3" s="43"/>
      <c r="D3" s="44" t="s">
        <v>24</v>
      </c>
      <c r="E3" s="43"/>
      <c r="F3" s="43"/>
      <c r="G3" s="45"/>
      <c r="H3" s="891"/>
      <c r="I3" s="859" t="s">
        <v>683</v>
      </c>
    </row>
    <row r="4" spans="2:9" ht="15.75">
      <c r="B4" s="46"/>
      <c r="C4" s="47"/>
      <c r="D4" s="48" t="s">
        <v>0</v>
      </c>
      <c r="E4" s="47"/>
      <c r="F4" s="47"/>
      <c r="G4" s="49"/>
      <c r="H4" s="891"/>
    </row>
    <row r="5" spans="2:9" ht="15.75">
      <c r="B5" s="46"/>
      <c r="C5" s="47"/>
      <c r="D5" s="48" t="s">
        <v>779</v>
      </c>
      <c r="E5" s="47"/>
      <c r="F5" s="47"/>
      <c r="G5" s="49"/>
      <c r="H5" s="891"/>
    </row>
    <row r="6" spans="2:9" ht="15.75">
      <c r="B6" s="46"/>
      <c r="C6" s="47"/>
      <c r="D6" s="47"/>
      <c r="E6" s="47"/>
      <c r="F6" s="47"/>
      <c r="G6" s="49"/>
      <c r="H6" s="891"/>
    </row>
    <row r="7" spans="2:9" ht="15.75">
      <c r="B7" s="46"/>
      <c r="C7" s="47" t="s">
        <v>25</v>
      </c>
      <c r="D7" s="47" t="s">
        <v>26</v>
      </c>
      <c r="E7" s="47" t="s">
        <v>27</v>
      </c>
      <c r="F7" s="47" t="s">
        <v>28</v>
      </c>
      <c r="G7" s="49" t="s">
        <v>29</v>
      </c>
      <c r="H7" s="891"/>
    </row>
    <row r="8" spans="2:9" ht="16.5" thickBot="1">
      <c r="B8" s="786" t="s">
        <v>3</v>
      </c>
      <c r="C8" s="787" t="s">
        <v>30</v>
      </c>
      <c r="D8" s="787"/>
      <c r="E8" s="787"/>
      <c r="F8" s="787" t="s">
        <v>31</v>
      </c>
      <c r="G8" s="788" t="s">
        <v>32</v>
      </c>
      <c r="H8" s="891"/>
    </row>
    <row r="9" spans="2:9">
      <c r="B9" s="976"/>
      <c r="C9" s="61"/>
      <c r="D9" s="61"/>
      <c r="E9" s="61"/>
      <c r="F9" s="61"/>
      <c r="G9" s="62"/>
      <c r="H9" s="891"/>
    </row>
    <row r="10" spans="2:9">
      <c r="B10" s="977" t="s">
        <v>33</v>
      </c>
      <c r="C10" s="63">
        <v>1872.5733734700002</v>
      </c>
      <c r="D10" s="63">
        <v>113057.12754486001</v>
      </c>
      <c r="E10" s="63">
        <v>0</v>
      </c>
      <c r="F10" s="63">
        <v>3215.9449691172485</v>
      </c>
      <c r="G10" s="64">
        <v>111713.75594921276</v>
      </c>
      <c r="H10" s="891"/>
      <c r="I10" s="70"/>
    </row>
    <row r="11" spans="2:9">
      <c r="B11" s="977"/>
      <c r="C11" s="63"/>
      <c r="D11" s="63"/>
      <c r="E11" s="63"/>
      <c r="F11" s="63"/>
      <c r="G11" s="64"/>
      <c r="H11" s="891"/>
      <c r="I11" s="70"/>
    </row>
    <row r="12" spans="2:9">
      <c r="B12" s="977" t="s">
        <v>34</v>
      </c>
      <c r="C12" s="63">
        <v>19656.938851999999</v>
      </c>
      <c r="D12" s="63">
        <v>63594.469517934303</v>
      </c>
      <c r="E12" s="63">
        <v>0</v>
      </c>
      <c r="F12" s="63">
        <v>2296.8238442493084</v>
      </c>
      <c r="G12" s="64">
        <v>80954.584525685001</v>
      </c>
      <c r="H12" s="891"/>
      <c r="I12" s="70"/>
    </row>
    <row r="13" spans="2:9">
      <c r="B13" s="977"/>
      <c r="C13" s="63"/>
      <c r="D13" s="63"/>
      <c r="E13" s="63"/>
      <c r="F13" s="63"/>
      <c r="G13" s="64"/>
      <c r="H13" s="891"/>
      <c r="I13" s="70"/>
    </row>
    <row r="14" spans="2:9">
      <c r="B14" s="977" t="s">
        <v>7</v>
      </c>
      <c r="C14" s="63">
        <v>1326.691276</v>
      </c>
      <c r="D14" s="63">
        <v>27136.97183364</v>
      </c>
      <c r="E14" s="63">
        <v>0</v>
      </c>
      <c r="F14" s="63">
        <v>326.59771652495192</v>
      </c>
      <c r="G14" s="64">
        <v>28137.065393115052</v>
      </c>
      <c r="H14" s="891"/>
      <c r="I14" s="70"/>
    </row>
    <row r="15" spans="2:9">
      <c r="B15" s="977"/>
      <c r="C15" s="63"/>
      <c r="D15" s="63"/>
      <c r="E15" s="63"/>
      <c r="F15" s="63"/>
      <c r="G15" s="64"/>
      <c r="H15" s="891"/>
      <c r="I15" s="70"/>
    </row>
    <row r="16" spans="2:9">
      <c r="B16" s="977" t="s">
        <v>8</v>
      </c>
      <c r="C16" s="63">
        <v>18688.827290862151</v>
      </c>
      <c r="D16" s="63">
        <v>0</v>
      </c>
      <c r="E16" s="63">
        <v>0</v>
      </c>
      <c r="F16" s="63">
        <v>74.779402151999989</v>
      </c>
      <c r="G16" s="64">
        <v>18614.047888710153</v>
      </c>
      <c r="H16" s="891"/>
      <c r="I16" s="70"/>
    </row>
    <row r="17" spans="2:9">
      <c r="B17" s="977"/>
      <c r="C17" s="63"/>
      <c r="D17" s="63"/>
      <c r="E17" s="63"/>
      <c r="F17" s="63"/>
      <c r="G17" s="64"/>
      <c r="H17" s="891"/>
      <c r="I17" s="70"/>
    </row>
    <row r="18" spans="2:9">
      <c r="B18" s="977" t="s">
        <v>23</v>
      </c>
      <c r="C18" s="63">
        <v>43111.334473362855</v>
      </c>
      <c r="D18" s="63">
        <v>0</v>
      </c>
      <c r="E18" s="63">
        <v>0</v>
      </c>
      <c r="F18" s="63">
        <v>0</v>
      </c>
      <c r="G18" s="64">
        <f>C18</f>
        <v>43111.334473362855</v>
      </c>
      <c r="H18" s="891"/>
      <c r="I18" s="70"/>
    </row>
    <row r="19" spans="2:9">
      <c r="B19" s="977"/>
      <c r="C19" s="63"/>
      <c r="D19" s="63"/>
      <c r="E19" s="63"/>
      <c r="F19" s="63"/>
      <c r="G19" s="64"/>
      <c r="H19" s="891"/>
      <c r="I19" s="70"/>
    </row>
    <row r="20" spans="2:9">
      <c r="B20" s="977" t="s">
        <v>10</v>
      </c>
      <c r="C20" s="63">
        <v>0</v>
      </c>
      <c r="D20" s="63">
        <v>0</v>
      </c>
      <c r="E20" s="63">
        <v>0</v>
      </c>
      <c r="F20" s="63">
        <v>0</v>
      </c>
      <c r="G20" s="64">
        <v>0</v>
      </c>
      <c r="H20" s="891"/>
      <c r="I20" s="70"/>
    </row>
    <row r="21" spans="2:9">
      <c r="B21" s="977"/>
      <c r="C21" s="63"/>
      <c r="D21" s="63"/>
      <c r="E21" s="63"/>
      <c r="F21" s="63"/>
      <c r="G21" s="64"/>
      <c r="H21" s="891"/>
      <c r="I21" s="70"/>
    </row>
    <row r="22" spans="2:9">
      <c r="B22" s="977"/>
      <c r="C22" s="63"/>
      <c r="D22" s="63"/>
      <c r="E22" s="63"/>
      <c r="F22" s="63"/>
      <c r="G22" s="64"/>
      <c r="H22" s="891"/>
      <c r="I22" s="70"/>
    </row>
    <row r="23" spans="2:9">
      <c r="B23" s="978" t="s">
        <v>11</v>
      </c>
      <c r="C23" s="65">
        <f>SUM(C10:C20)</f>
        <v>84656.365265695</v>
      </c>
      <c r="D23" s="65">
        <f>SUM(D10:D20)</f>
        <v>203788.56889643433</v>
      </c>
      <c r="E23" s="65">
        <f>SUM(E10:E20)</f>
        <v>0</v>
      </c>
      <c r="F23" s="65">
        <f>SUM(F10:F20)</f>
        <v>5914.1459320435097</v>
      </c>
      <c r="G23" s="66">
        <f>SUM(G10:G20)</f>
        <v>282530.7882300858</v>
      </c>
      <c r="H23" s="891"/>
      <c r="I23" s="70"/>
    </row>
    <row r="24" spans="2:9" ht="13.5" thickBot="1">
      <c r="B24" s="979"/>
      <c r="C24" s="67"/>
      <c r="D24" s="68"/>
      <c r="E24" s="68"/>
      <c r="F24" s="68"/>
      <c r="G24" s="69"/>
      <c r="H24" s="891"/>
    </row>
    <row r="25" spans="2:9">
      <c r="B25" s="21" t="s">
        <v>48</v>
      </c>
      <c r="C25" s="21"/>
      <c r="D25" s="21"/>
      <c r="E25" s="21"/>
      <c r="F25" s="21"/>
      <c r="G25" s="21"/>
      <c r="H25" s="890"/>
    </row>
    <row r="26" spans="2:9">
      <c r="B26" s="11" t="s">
        <v>35</v>
      </c>
      <c r="C26" s="11"/>
      <c r="D26" s="21"/>
      <c r="E26" s="21"/>
      <c r="F26" s="21"/>
      <c r="G26" s="21"/>
      <c r="H26" s="890"/>
    </row>
    <row r="27" spans="2:9">
      <c r="B27" s="11"/>
      <c r="C27" s="50" t="s">
        <v>830</v>
      </c>
      <c r="D27" s="51">
        <v>671.18353499999989</v>
      </c>
      <c r="E27" s="51">
        <v>471.51950742000002</v>
      </c>
      <c r="F27" s="21">
        <v>729.87033105000012</v>
      </c>
      <c r="G27" s="21"/>
      <c r="H27" s="890"/>
    </row>
    <row r="28" spans="2:9">
      <c r="B28" s="11" t="s">
        <v>36</v>
      </c>
      <c r="C28" s="11"/>
      <c r="D28" s="52" t="s">
        <v>37</v>
      </c>
      <c r="E28" s="53"/>
      <c r="F28" s="53"/>
      <c r="G28" s="53"/>
      <c r="H28" s="890"/>
    </row>
    <row r="29" spans="2:9">
      <c r="B29" s="11"/>
      <c r="C29" s="50" t="s">
        <v>828</v>
      </c>
      <c r="D29" s="54">
        <v>19668.727194000003</v>
      </c>
      <c r="E29" s="51">
        <v>11.788342</v>
      </c>
      <c r="F29" s="21"/>
      <c r="G29" s="21"/>
      <c r="H29" s="890"/>
    </row>
    <row r="30" spans="2:9">
      <c r="B30" s="11" t="s">
        <v>38</v>
      </c>
      <c r="C30" s="11"/>
      <c r="D30" s="21" t="s">
        <v>39</v>
      </c>
      <c r="E30" s="21" t="s">
        <v>40</v>
      </c>
      <c r="F30" s="21"/>
      <c r="G30" s="55"/>
      <c r="H30" s="890"/>
    </row>
    <row r="31" spans="2:9">
      <c r="B31" s="11"/>
      <c r="C31" s="50" t="s">
        <v>829</v>
      </c>
      <c r="D31" s="54">
        <v>1428.3350282493086</v>
      </c>
      <c r="E31" s="51">
        <v>868.48881600000004</v>
      </c>
      <c r="F31" s="21"/>
      <c r="G31" s="21"/>
      <c r="H31" s="890"/>
    </row>
    <row r="32" spans="2:9">
      <c r="B32" s="11" t="s">
        <v>41</v>
      </c>
      <c r="C32" s="56"/>
      <c r="D32" s="21"/>
      <c r="E32" s="57">
        <v>733.92237000002933</v>
      </c>
      <c r="F32" s="21"/>
      <c r="G32" s="21"/>
      <c r="H32" s="890"/>
    </row>
    <row r="33" spans="2:8">
      <c r="B33" s="21"/>
      <c r="C33" s="21"/>
      <c r="D33" s="21"/>
      <c r="E33" s="21"/>
      <c r="F33" s="21"/>
      <c r="G33" s="21"/>
      <c r="H33" s="890"/>
    </row>
    <row r="34" spans="2:8">
      <c r="B34" s="11" t="s">
        <v>42</v>
      </c>
      <c r="C34" s="58"/>
      <c r="D34" s="59"/>
      <c r="E34" s="59"/>
      <c r="F34" s="59"/>
      <c r="G34" s="60"/>
      <c r="H34" s="890"/>
    </row>
    <row r="35" spans="2:8">
      <c r="B35" s="11" t="s">
        <v>43</v>
      </c>
      <c r="C35" s="21"/>
      <c r="D35" s="21"/>
      <c r="E35" s="21"/>
      <c r="F35" s="21"/>
      <c r="G35" s="21"/>
      <c r="H35" s="890"/>
    </row>
    <row r="36" spans="2:8">
      <c r="B36" s="11" t="s">
        <v>44</v>
      </c>
      <c r="C36" s="21"/>
      <c r="D36" s="21"/>
      <c r="E36" s="21"/>
      <c r="F36" s="21"/>
      <c r="G36" s="21"/>
      <c r="H36" s="890"/>
    </row>
    <row r="37" spans="2:8">
      <c r="B37" s="11" t="s">
        <v>45</v>
      </c>
      <c r="C37" s="21"/>
      <c r="D37" s="21"/>
      <c r="E37" s="21"/>
      <c r="F37" s="21"/>
      <c r="G37" s="21"/>
      <c r="H37" s="890"/>
    </row>
    <row r="38" spans="2:8">
      <c r="B38" s="21" t="s">
        <v>14</v>
      </c>
      <c r="C38" s="21"/>
      <c r="D38" s="21"/>
      <c r="E38" s="21"/>
      <c r="F38" s="21"/>
      <c r="G38" s="21"/>
      <c r="H38" s="890"/>
    </row>
    <row r="39" spans="2:8">
      <c r="B39" s="21" t="s">
        <v>777</v>
      </c>
      <c r="C39" s="21"/>
      <c r="D39" s="21"/>
      <c r="E39" s="21"/>
      <c r="F39" s="21"/>
      <c r="G39" s="21"/>
      <c r="H39" s="890"/>
    </row>
    <row r="40" spans="2:8">
      <c r="B40" s="22"/>
      <c r="C40" s="22"/>
      <c r="D40" s="22"/>
      <c r="E40" s="22"/>
      <c r="F40" s="22"/>
      <c r="G40" s="22"/>
    </row>
    <row r="41" spans="2:8">
      <c r="B41" s="22"/>
      <c r="C41" s="22"/>
      <c r="D41" s="22"/>
      <c r="E41" s="22"/>
      <c r="F41" s="22"/>
      <c r="G41" s="22"/>
    </row>
    <row r="42" spans="2:8">
      <c r="B42" s="22"/>
      <c r="C42" s="22"/>
      <c r="D42" s="22"/>
      <c r="E42" s="22"/>
      <c r="F42" s="22"/>
      <c r="G42" s="22"/>
    </row>
    <row r="43" spans="2:8">
      <c r="B43" s="22"/>
      <c r="C43" s="22"/>
      <c r="D43" s="22"/>
      <c r="E43" s="22"/>
      <c r="F43" s="22"/>
      <c r="G43" s="22"/>
    </row>
    <row r="44" spans="2:8">
      <c r="B44" s="22"/>
      <c r="C44" s="22"/>
      <c r="D44" s="22"/>
      <c r="E44" s="22"/>
      <c r="F44" s="22"/>
      <c r="G44" s="22"/>
    </row>
    <row r="45" spans="2:8">
      <c r="B45" s="22"/>
      <c r="C45" s="22"/>
      <c r="D45" s="22"/>
      <c r="E45" s="22"/>
      <c r="F45" s="22"/>
      <c r="G45" s="22"/>
    </row>
    <row r="46" spans="2:8">
      <c r="B46" s="22"/>
      <c r="C46" s="22"/>
      <c r="D46" s="22"/>
      <c r="E46" s="22"/>
      <c r="F46" s="22"/>
      <c r="G46" s="22"/>
    </row>
    <row r="47" spans="2:8">
      <c r="B47" s="22"/>
      <c r="C47" s="22"/>
      <c r="D47" s="22"/>
      <c r="E47" s="22"/>
      <c r="F47" s="22"/>
      <c r="G47" s="22"/>
    </row>
    <row r="48" spans="2:8">
      <c r="B48" s="22"/>
      <c r="C48" s="22"/>
      <c r="D48" s="22"/>
      <c r="E48" s="22"/>
      <c r="F48" s="22"/>
      <c r="G48" s="22"/>
    </row>
    <row r="49" spans="2:8">
      <c r="B49" s="22"/>
      <c r="C49" s="22"/>
      <c r="D49" s="22"/>
      <c r="E49" s="22"/>
      <c r="F49" s="22"/>
      <c r="G49" s="22"/>
    </row>
    <row r="50" spans="2:8">
      <c r="B50" s="22"/>
      <c r="C50" s="22"/>
      <c r="D50" s="22"/>
      <c r="E50" s="22"/>
      <c r="F50" s="22"/>
      <c r="G50" s="22"/>
    </row>
    <row r="51" spans="2:8" s="22" customFormat="1">
      <c r="H51" s="70"/>
    </row>
    <row r="52" spans="2:8" s="22" customFormat="1">
      <c r="H52" s="70"/>
    </row>
    <row r="53" spans="2:8" s="22" customFormat="1">
      <c r="H53" s="70"/>
    </row>
    <row r="54" spans="2:8" s="22" customFormat="1">
      <c r="H54" s="70"/>
    </row>
    <row r="55" spans="2:8" s="22" customFormat="1">
      <c r="H55" s="70"/>
    </row>
    <row r="56" spans="2:8" s="22" customFormat="1">
      <c r="H56" s="70"/>
    </row>
    <row r="57" spans="2:8" s="22" customFormat="1">
      <c r="H57" s="70"/>
    </row>
    <row r="58" spans="2:8" s="22" customFormat="1">
      <c r="H58" s="70"/>
    </row>
    <row r="59" spans="2:8" s="22" customFormat="1">
      <c r="H59" s="70"/>
    </row>
    <row r="60" spans="2:8" s="22" customFormat="1">
      <c r="H60" s="70"/>
    </row>
    <row r="61" spans="2:8" s="22" customFormat="1">
      <c r="H61" s="70"/>
    </row>
    <row r="62" spans="2:8" s="22" customFormat="1">
      <c r="H62" s="70"/>
    </row>
    <row r="63" spans="2:8" s="22" customFormat="1">
      <c r="H63" s="70"/>
    </row>
    <row r="64" spans="2:8" s="22" customFormat="1">
      <c r="H64" s="70"/>
    </row>
    <row r="65" spans="8:8" s="22" customFormat="1">
      <c r="H65" s="70"/>
    </row>
    <row r="66" spans="8:8" s="22" customFormat="1">
      <c r="H66" s="70"/>
    </row>
    <row r="67" spans="8:8" s="22" customFormat="1">
      <c r="H67" s="70"/>
    </row>
    <row r="68" spans="8:8" s="22" customFormat="1">
      <c r="H68" s="70"/>
    </row>
    <row r="69" spans="8:8" s="22" customFormat="1">
      <c r="H69" s="70"/>
    </row>
    <row r="70" spans="8:8" s="22" customFormat="1">
      <c r="H70" s="70"/>
    </row>
    <row r="71" spans="8:8" s="22" customFormat="1">
      <c r="H71" s="70"/>
    </row>
  </sheetData>
  <phoneticPr fontId="0" type="noConversion"/>
  <hyperlinks>
    <hyperlink ref="I3" location="INDICE!A1" display="VOLVER A INDICE"/>
  </hyperlink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26"/>
  <sheetViews>
    <sheetView topLeftCell="A10" zoomScale="86" workbookViewId="0">
      <selection activeCell="H41" sqref="H41"/>
    </sheetView>
  </sheetViews>
  <sheetFormatPr baseColWidth="10" defaultRowHeight="12.75"/>
  <cols>
    <col min="1" max="1" width="1.5703125" style="898" customWidth="1"/>
    <col min="2" max="2" width="25.42578125" style="898" customWidth="1"/>
    <col min="3" max="3" width="11.42578125" style="898"/>
    <col min="4" max="4" width="12.7109375" style="898" customWidth="1"/>
    <col min="5" max="5" width="12.42578125" style="898" customWidth="1"/>
    <col min="6" max="7" width="11.42578125" style="898"/>
    <col min="8" max="19" width="11.42578125" style="22"/>
    <col min="20" max="16384" width="11.42578125" style="898"/>
  </cols>
  <sheetData>
    <row r="1" spans="2:12" ht="8.25" customHeight="1" thickBot="1"/>
    <row r="2" spans="2:12" ht="13.5" thickBot="1">
      <c r="B2" s="980"/>
      <c r="C2" s="981"/>
      <c r="D2" s="981"/>
      <c r="E2" s="981"/>
      <c r="F2" s="981"/>
      <c r="G2" s="982"/>
    </row>
    <row r="3" spans="2:12" ht="15.75">
      <c r="B3" s="42"/>
      <c r="C3" s="43"/>
      <c r="D3" s="44" t="s">
        <v>46</v>
      </c>
      <c r="E3" s="43"/>
      <c r="F3" s="43"/>
      <c r="G3" s="45"/>
      <c r="I3" s="859" t="s">
        <v>683</v>
      </c>
    </row>
    <row r="4" spans="2:12" ht="15.75">
      <c r="B4" s="46"/>
      <c r="C4" s="47"/>
      <c r="D4" s="48" t="s">
        <v>0</v>
      </c>
      <c r="E4" s="47"/>
      <c r="F4" s="47"/>
      <c r="G4" s="49"/>
    </row>
    <row r="5" spans="2:12" ht="15.75">
      <c r="B5" s="46"/>
      <c r="C5" s="47"/>
      <c r="D5" s="48" t="s">
        <v>779</v>
      </c>
      <c r="E5" s="47"/>
      <c r="F5" s="47"/>
      <c r="G5" s="49"/>
    </row>
    <row r="6" spans="2:12" ht="15.75">
      <c r="B6" s="46"/>
      <c r="C6" s="47"/>
      <c r="D6" s="47"/>
      <c r="E6" s="47"/>
      <c r="F6" s="47"/>
      <c r="G6" s="49"/>
    </row>
    <row r="7" spans="2:12" ht="15.75">
      <c r="B7" s="46"/>
      <c r="C7" s="47" t="s">
        <v>25</v>
      </c>
      <c r="D7" s="47" t="s">
        <v>26</v>
      </c>
      <c r="E7" s="47" t="s">
        <v>27</v>
      </c>
      <c r="F7" s="47" t="s">
        <v>47</v>
      </c>
      <c r="G7" s="49" t="s">
        <v>29</v>
      </c>
    </row>
    <row r="8" spans="2:12" ht="16.5" thickBot="1">
      <c r="B8" s="786" t="s">
        <v>3</v>
      </c>
      <c r="C8" s="787" t="s">
        <v>30</v>
      </c>
      <c r="D8" s="787"/>
      <c r="E8" s="787"/>
      <c r="F8" s="787" t="s">
        <v>31</v>
      </c>
      <c r="G8" s="788" t="s">
        <v>32</v>
      </c>
    </row>
    <row r="9" spans="2:12">
      <c r="B9" s="976"/>
      <c r="C9" s="61"/>
      <c r="D9" s="61"/>
      <c r="E9" s="61"/>
      <c r="F9" s="61"/>
      <c r="G9" s="62"/>
    </row>
    <row r="10" spans="2:12">
      <c r="B10" s="977" t="s">
        <v>33</v>
      </c>
      <c r="C10" s="63">
        <f>CUADRO3!C10</f>
        <v>1872.5733734700002</v>
      </c>
      <c r="D10" s="63">
        <f>CUADRO3!D10</f>
        <v>113057.12754486001</v>
      </c>
      <c r="E10" s="63">
        <f>CUADRO3!E10</f>
        <v>0</v>
      </c>
      <c r="F10" s="63">
        <f>CUADRO3!F10</f>
        <v>3215.9449691172485</v>
      </c>
      <c r="G10" s="64">
        <f>CUADRO3!G10</f>
        <v>111713.75594921276</v>
      </c>
      <c r="I10" s="70"/>
      <c r="J10" s="898"/>
      <c r="K10" s="898"/>
      <c r="L10" s="898"/>
    </row>
    <row r="11" spans="2:12">
      <c r="B11" s="977"/>
      <c r="C11" s="63"/>
      <c r="D11" s="63"/>
      <c r="E11" s="63"/>
      <c r="F11" s="63"/>
      <c r="G11" s="64"/>
      <c r="J11" s="898"/>
      <c r="K11" s="898"/>
      <c r="L11" s="898"/>
    </row>
    <row r="12" spans="2:12">
      <c r="B12" s="977" t="s">
        <v>34</v>
      </c>
      <c r="C12" s="63">
        <f>CUADRO3!C12</f>
        <v>19656.938851999999</v>
      </c>
      <c r="D12" s="63">
        <f>CUADRO3!D12</f>
        <v>63594.469517934303</v>
      </c>
      <c r="E12" s="63">
        <f>CUADRO3!E12</f>
        <v>0</v>
      </c>
      <c r="F12" s="63">
        <f>CUADRO3!F12</f>
        <v>2296.8238442493084</v>
      </c>
      <c r="G12" s="64">
        <f>CUADRO3!G12</f>
        <v>80954.584525685001</v>
      </c>
      <c r="I12" s="70"/>
      <c r="J12" s="898"/>
      <c r="K12" s="898"/>
      <c r="L12" s="898"/>
    </row>
    <row r="13" spans="2:12">
      <c r="B13" s="977"/>
      <c r="C13" s="63"/>
      <c r="D13" s="63"/>
      <c r="E13" s="63"/>
      <c r="F13" s="63"/>
      <c r="G13" s="64"/>
      <c r="J13" s="898"/>
      <c r="K13" s="898"/>
      <c r="L13" s="898"/>
    </row>
    <row r="14" spans="2:12">
      <c r="B14" s="977" t="s">
        <v>7</v>
      </c>
      <c r="C14" s="63">
        <f>CUADRO3!C14</f>
        <v>1326.691276</v>
      </c>
      <c r="D14" s="63">
        <f>CUADRO3!D14</f>
        <v>27136.97183364</v>
      </c>
      <c r="E14" s="63">
        <f>CUADRO3!E14</f>
        <v>0</v>
      </c>
      <c r="F14" s="63">
        <f>CUADRO3!F14</f>
        <v>326.59771652495192</v>
      </c>
      <c r="G14" s="64">
        <f>CUADRO3!G14</f>
        <v>28137.065393115052</v>
      </c>
      <c r="I14" s="70"/>
      <c r="J14" s="898"/>
      <c r="K14" s="898"/>
      <c r="L14" s="898"/>
    </row>
    <row r="15" spans="2:12">
      <c r="B15" s="977"/>
      <c r="C15" s="63"/>
      <c r="D15" s="63"/>
      <c r="E15" s="63"/>
      <c r="F15" s="63"/>
      <c r="G15" s="64"/>
      <c r="J15" s="898"/>
      <c r="K15" s="898"/>
      <c r="L15" s="898"/>
    </row>
    <row r="16" spans="2:12">
      <c r="B16" s="977" t="s">
        <v>8</v>
      </c>
      <c r="C16" s="63">
        <v>54414.911088742818</v>
      </c>
      <c r="D16" s="63">
        <v>0</v>
      </c>
      <c r="E16" s="63">
        <v>0</v>
      </c>
      <c r="F16" s="63">
        <v>217.72979417280001</v>
      </c>
      <c r="G16" s="64">
        <v>54197.181294570022</v>
      </c>
      <c r="I16" s="70"/>
      <c r="J16" s="898"/>
      <c r="K16" s="898"/>
      <c r="L16" s="898"/>
    </row>
    <row r="17" spans="2:9">
      <c r="B17" s="977"/>
      <c r="C17" s="63"/>
      <c r="D17" s="63"/>
      <c r="E17" s="63"/>
      <c r="F17" s="63"/>
      <c r="G17" s="64"/>
    </row>
    <row r="18" spans="2:9">
      <c r="B18" s="977" t="s">
        <v>23</v>
      </c>
      <c r="C18" s="63">
        <f>CUADRO3!C18</f>
        <v>43111.334473362855</v>
      </c>
      <c r="D18" s="63">
        <f>CUADRO3!D18</f>
        <v>0</v>
      </c>
      <c r="E18" s="63">
        <f>CUADRO3!E18</f>
        <v>0</v>
      </c>
      <c r="F18" s="63">
        <f>CUADRO3!F18</f>
        <v>0</v>
      </c>
      <c r="G18" s="64">
        <f>CUADRO3!G18</f>
        <v>43111.334473362855</v>
      </c>
      <c r="I18" s="70"/>
    </row>
    <row r="19" spans="2:9">
      <c r="B19" s="977"/>
      <c r="C19" s="63"/>
      <c r="D19" s="63"/>
      <c r="E19" s="63"/>
      <c r="F19" s="63"/>
      <c r="G19" s="64"/>
    </row>
    <row r="20" spans="2:9">
      <c r="B20" s="977" t="s">
        <v>10</v>
      </c>
      <c r="C20" s="63">
        <v>0</v>
      </c>
      <c r="D20" s="63">
        <v>0</v>
      </c>
      <c r="E20" s="63">
        <v>0</v>
      </c>
      <c r="F20" s="63">
        <v>0</v>
      </c>
      <c r="G20" s="64">
        <v>0</v>
      </c>
      <c r="I20" s="70"/>
    </row>
    <row r="21" spans="2:9">
      <c r="B21" s="977"/>
      <c r="C21" s="63"/>
      <c r="D21" s="63"/>
      <c r="E21" s="63"/>
      <c r="F21" s="63"/>
      <c r="G21" s="64"/>
    </row>
    <row r="22" spans="2:9">
      <c r="B22" s="977"/>
      <c r="C22" s="71"/>
      <c r="D22" s="71"/>
      <c r="E22" s="71"/>
      <c r="F22" s="71"/>
      <c r="G22" s="72"/>
    </row>
    <row r="23" spans="2:9">
      <c r="B23" s="978" t="s">
        <v>11</v>
      </c>
      <c r="C23" s="65">
        <f>SUM(C10:C20)</f>
        <v>120382.44906357568</v>
      </c>
      <c r="D23" s="65">
        <f>SUM(D10:D20)</f>
        <v>203788.56889643433</v>
      </c>
      <c r="E23" s="65">
        <f>SUM(E10:E20)</f>
        <v>0</v>
      </c>
      <c r="F23" s="65">
        <f>SUM(F10:F20)</f>
        <v>6057.0963240643096</v>
      </c>
      <c r="G23" s="66">
        <f>SUM(G10:G20)</f>
        <v>318113.92163594568</v>
      </c>
      <c r="I23" s="70"/>
    </row>
    <row r="24" spans="2:9" ht="13.5" thickBot="1">
      <c r="B24" s="979"/>
      <c r="C24" s="67"/>
      <c r="D24" s="68"/>
      <c r="E24" s="68"/>
      <c r="F24" s="68"/>
      <c r="G24" s="69"/>
    </row>
    <row r="25" spans="2:9">
      <c r="B25" s="21" t="s">
        <v>48</v>
      </c>
      <c r="C25" s="21"/>
      <c r="D25" s="21"/>
      <c r="E25" s="21"/>
      <c r="F25" s="21"/>
      <c r="G25" s="21"/>
      <c r="H25" s="21"/>
      <c r="I25" s="73"/>
    </row>
    <row r="26" spans="2:9">
      <c r="B26" s="11" t="s">
        <v>35</v>
      </c>
      <c r="C26" s="11"/>
      <c r="D26" s="21"/>
      <c r="E26" s="21"/>
      <c r="F26" s="21"/>
      <c r="G26" s="21"/>
      <c r="H26" s="21"/>
      <c r="I26" s="73"/>
    </row>
    <row r="27" spans="2:9">
      <c r="B27" s="11"/>
      <c r="C27" s="50" t="s">
        <v>830</v>
      </c>
      <c r="D27" s="51">
        <v>671.18353499999989</v>
      </c>
      <c r="E27" s="51">
        <v>471.51950742000002</v>
      </c>
      <c r="F27" s="21">
        <v>729.87033105000012</v>
      </c>
      <c r="G27" s="21"/>
      <c r="H27" s="21"/>
      <c r="I27" s="73"/>
    </row>
    <row r="28" spans="2:9">
      <c r="B28" s="11" t="s">
        <v>36</v>
      </c>
      <c r="C28" s="11"/>
      <c r="D28" s="52" t="s">
        <v>37</v>
      </c>
      <c r="E28" s="53"/>
      <c r="F28" s="53"/>
      <c r="G28" s="53"/>
      <c r="H28" s="21"/>
      <c r="I28" s="73"/>
    </row>
    <row r="29" spans="2:9">
      <c r="B29" s="11"/>
      <c r="C29" s="50" t="s">
        <v>828</v>
      </c>
      <c r="D29" s="54">
        <v>19668.727194000003</v>
      </c>
      <c r="E29" s="51">
        <v>11.788342</v>
      </c>
      <c r="F29" s="21"/>
      <c r="G29" s="21"/>
      <c r="H29" s="21"/>
      <c r="I29" s="73"/>
    </row>
    <row r="30" spans="2:9">
      <c r="B30" s="11" t="s">
        <v>38</v>
      </c>
      <c r="C30" s="11"/>
      <c r="D30" s="21" t="s">
        <v>39</v>
      </c>
      <c r="E30" s="21" t="s">
        <v>40</v>
      </c>
      <c r="F30" s="21"/>
      <c r="G30" s="55"/>
      <c r="H30" s="21"/>
      <c r="I30" s="73"/>
    </row>
    <row r="31" spans="2:9">
      <c r="B31" s="11"/>
      <c r="C31" s="50" t="s">
        <v>829</v>
      </c>
      <c r="D31" s="54">
        <v>1428.3350282493086</v>
      </c>
      <c r="E31" s="51">
        <v>868.48881600000004</v>
      </c>
      <c r="F31" s="21"/>
      <c r="G31" s="21"/>
      <c r="H31" s="21"/>
      <c r="I31" s="73"/>
    </row>
    <row r="32" spans="2:9">
      <c r="B32" s="11" t="s">
        <v>41</v>
      </c>
      <c r="C32" s="56"/>
      <c r="D32" s="21"/>
      <c r="E32" s="57">
        <f>CUADRO3!E32</f>
        <v>733.92237000002933</v>
      </c>
      <c r="F32" s="21"/>
      <c r="G32" s="21"/>
      <c r="H32" s="21"/>
      <c r="I32" s="73"/>
    </row>
    <row r="33" spans="2:9">
      <c r="B33" s="21"/>
      <c r="C33" s="21"/>
      <c r="D33" s="21"/>
      <c r="E33" s="21"/>
      <c r="F33" s="21"/>
      <c r="G33" s="21"/>
      <c r="H33" s="21"/>
      <c r="I33" s="73"/>
    </row>
    <row r="34" spans="2:9">
      <c r="B34" s="1240" t="s">
        <v>765</v>
      </c>
      <c r="C34" s="58"/>
      <c r="D34" s="59"/>
      <c r="E34" s="59"/>
      <c r="F34" s="59"/>
      <c r="G34" s="60"/>
      <c r="H34" s="21"/>
      <c r="I34" s="73"/>
    </row>
    <row r="35" spans="2:9">
      <c r="B35" s="11" t="s">
        <v>766</v>
      </c>
      <c r="C35" s="22"/>
      <c r="D35" s="22"/>
      <c r="E35" s="22"/>
      <c r="F35" s="22"/>
      <c r="G35" s="22"/>
    </row>
    <row r="36" spans="2:9">
      <c r="B36" s="11" t="s">
        <v>44</v>
      </c>
      <c r="C36" s="21"/>
      <c r="D36" s="21"/>
      <c r="E36" s="21"/>
      <c r="F36" s="21"/>
      <c r="G36" s="21"/>
      <c r="H36" s="21"/>
      <c r="I36" s="73"/>
    </row>
    <row r="37" spans="2:9">
      <c r="B37" s="11" t="s">
        <v>45</v>
      </c>
      <c r="C37" s="21"/>
      <c r="D37" s="21"/>
      <c r="E37" s="21"/>
      <c r="F37" s="21"/>
      <c r="G37" s="21"/>
      <c r="H37" s="21"/>
      <c r="I37" s="73"/>
    </row>
    <row r="38" spans="2:9">
      <c r="B38" s="21" t="s">
        <v>14</v>
      </c>
      <c r="C38" s="21"/>
      <c r="D38" s="21"/>
      <c r="E38" s="21"/>
      <c r="F38" s="21"/>
      <c r="G38" s="21"/>
      <c r="H38" s="21"/>
      <c r="I38" s="73"/>
    </row>
    <row r="39" spans="2:9">
      <c r="B39" s="21" t="s">
        <v>777</v>
      </c>
      <c r="C39" s="21"/>
      <c r="D39" s="21"/>
      <c r="E39" s="21"/>
      <c r="F39" s="21"/>
      <c r="G39" s="21"/>
      <c r="H39" s="21"/>
      <c r="I39" s="73"/>
    </row>
    <row r="40" spans="2:9">
      <c r="B40" s="22"/>
      <c r="C40" s="22"/>
      <c r="D40" s="22"/>
      <c r="E40" s="22"/>
      <c r="F40" s="22"/>
      <c r="G40" s="22"/>
    </row>
    <row r="41" spans="2:9">
      <c r="B41" s="22"/>
      <c r="C41" s="22"/>
      <c r="D41" s="22"/>
      <c r="E41" s="22"/>
      <c r="F41" s="22"/>
      <c r="G41" s="22"/>
    </row>
    <row r="42" spans="2:9">
      <c r="B42" s="22"/>
      <c r="C42" s="22"/>
      <c r="D42" s="22"/>
      <c r="E42" s="22"/>
      <c r="F42" s="22"/>
      <c r="G42" s="22"/>
    </row>
    <row r="43" spans="2:9">
      <c r="B43" s="22"/>
      <c r="C43" s="22"/>
      <c r="D43" s="22"/>
      <c r="E43" s="22"/>
      <c r="F43" s="22"/>
      <c r="G43" s="22"/>
    </row>
    <row r="44" spans="2:9" hidden="1">
      <c r="B44" s="22" t="s">
        <v>482</v>
      </c>
      <c r="C44" s="22"/>
      <c r="D44" s="22"/>
      <c r="E44" s="22"/>
      <c r="F44" s="22"/>
      <c r="G44" s="22"/>
    </row>
    <row r="45" spans="2:9" hidden="1">
      <c r="B45" s="22"/>
      <c r="C45" s="22"/>
      <c r="D45" s="22"/>
      <c r="E45" s="22"/>
      <c r="F45" s="22"/>
      <c r="G45" s="22"/>
    </row>
    <row r="46" spans="2:9" hidden="1">
      <c r="B46" s="560" t="s">
        <v>419</v>
      </c>
      <c r="C46" s="561"/>
      <c r="D46" s="562" t="s">
        <v>470</v>
      </c>
      <c r="E46" s="563" t="s">
        <v>471</v>
      </c>
      <c r="F46" s="564" t="s">
        <v>472</v>
      </c>
      <c r="G46" s="565" t="s">
        <v>80</v>
      </c>
      <c r="H46" s="566" t="s">
        <v>4</v>
      </c>
      <c r="I46" s="567"/>
    </row>
    <row r="47" spans="2:9" hidden="1">
      <c r="B47" s="568">
        <v>2005</v>
      </c>
      <c r="C47" s="569"/>
      <c r="D47" s="570" t="s">
        <v>473</v>
      </c>
      <c r="E47" s="571" t="s">
        <v>474</v>
      </c>
      <c r="F47" s="572" t="s">
        <v>474</v>
      </c>
      <c r="G47" s="573" t="s">
        <v>87</v>
      </c>
      <c r="H47" s="574" t="s">
        <v>87</v>
      </c>
      <c r="I47" s="575"/>
    </row>
    <row r="48" spans="2:9" hidden="1">
      <c r="B48" s="576"/>
      <c r="C48" s="577"/>
      <c r="D48" s="578" t="s">
        <v>475</v>
      </c>
      <c r="E48" s="579" t="s">
        <v>475</v>
      </c>
      <c r="F48" s="580" t="s">
        <v>475</v>
      </c>
      <c r="G48" s="581" t="s">
        <v>475</v>
      </c>
      <c r="H48" s="582"/>
      <c r="I48" s="583"/>
    </row>
    <row r="49" spans="2:9" hidden="1">
      <c r="B49" s="584" t="s">
        <v>210</v>
      </c>
      <c r="C49" s="585" t="s">
        <v>476</v>
      </c>
      <c r="D49" s="570">
        <f>G10</f>
        <v>111713.75594921276</v>
      </c>
      <c r="E49" s="573">
        <f>CUADRO4!D10</f>
        <v>26513.254697138003</v>
      </c>
      <c r="F49" s="570">
        <f>CUADRO4!E10</f>
        <v>15539.358742016859</v>
      </c>
      <c r="G49" s="573">
        <f t="shared" ref="G49:G54" si="0">D49+E49-F49</f>
        <v>122687.65190433391</v>
      </c>
      <c r="H49" s="586">
        <f t="shared" ref="H49:H54" si="1">G49/$G$55</f>
        <v>0.3789698411743081</v>
      </c>
      <c r="I49" s="575"/>
    </row>
    <row r="50" spans="2:9" hidden="1">
      <c r="B50" s="584" t="s">
        <v>6</v>
      </c>
      <c r="C50" s="585" t="s">
        <v>477</v>
      </c>
      <c r="D50" s="570">
        <f>G12</f>
        <v>80954.584525685001</v>
      </c>
      <c r="E50" s="573">
        <f>CUADRO4!D47+CUADRO4!D41+CUADRO4!D45+CUADRO4!D43</f>
        <v>0</v>
      </c>
      <c r="F50" s="570">
        <f>CUADRO4!E47+CUADRO4!E45+CUADRO4!E43+CUADRO4!E41</f>
        <v>14571.57948</v>
      </c>
      <c r="G50" s="573">
        <f t="shared" si="0"/>
        <v>66383.005045685</v>
      </c>
      <c r="H50" s="586">
        <f t="shared" si="1"/>
        <v>0.20505043896718239</v>
      </c>
      <c r="I50" s="575"/>
    </row>
    <row r="51" spans="2:9" hidden="1">
      <c r="B51" s="584" t="s">
        <v>7</v>
      </c>
      <c r="C51" s="585" t="s">
        <v>478</v>
      </c>
      <c r="D51" s="570">
        <f>G14</f>
        <v>28137.065393115052</v>
      </c>
      <c r="E51" s="573">
        <f>CUADRO4!D35+CUADRO4!D37+CUADRO4!D39</f>
        <v>4722.1878899999992</v>
      </c>
      <c r="F51" s="570">
        <f>CUADRO4!E35+CUADRO4!E37+CUADRO4!E39</f>
        <v>264.05279999999999</v>
      </c>
      <c r="G51" s="573">
        <f t="shared" si="0"/>
        <v>32595.200483115052</v>
      </c>
      <c r="H51" s="586">
        <f t="shared" si="1"/>
        <v>0.10068330234050628</v>
      </c>
      <c r="I51" s="575"/>
    </row>
    <row r="52" spans="2:9" hidden="1">
      <c r="B52" s="584" t="s">
        <v>8</v>
      </c>
      <c r="C52" s="308"/>
      <c r="D52" s="570">
        <f>G16</f>
        <v>54197.181294570022</v>
      </c>
      <c r="E52" s="570">
        <f>CUADRO4!D33*2504/860</f>
        <v>4765.5094348800003</v>
      </c>
      <c r="F52" s="570">
        <f>CUADRO4!E33</f>
        <v>0</v>
      </c>
      <c r="G52" s="573">
        <f t="shared" si="0"/>
        <v>58962.69072945002</v>
      </c>
      <c r="H52" s="586">
        <f t="shared" si="1"/>
        <v>0.18212983290586712</v>
      </c>
      <c r="I52" s="575"/>
    </row>
    <row r="53" spans="2:9" hidden="1">
      <c r="B53" s="584" t="s">
        <v>9</v>
      </c>
      <c r="C53" s="308"/>
      <c r="D53" s="570">
        <f>G18</f>
        <v>43111.334473362855</v>
      </c>
      <c r="E53" s="573">
        <f>CUADRO4!D49</f>
        <v>0</v>
      </c>
      <c r="F53" s="570">
        <f>CUADRO4!E49</f>
        <v>0</v>
      </c>
      <c r="G53" s="573">
        <f t="shared" si="0"/>
        <v>43111.334473362855</v>
      </c>
      <c r="H53" s="586">
        <f t="shared" si="1"/>
        <v>0.13316658461213621</v>
      </c>
      <c r="I53" s="575"/>
    </row>
    <row r="54" spans="2:9" hidden="1">
      <c r="B54" s="584" t="s">
        <v>10</v>
      </c>
      <c r="C54" s="308"/>
      <c r="D54" s="570">
        <v>0</v>
      </c>
      <c r="E54" s="571"/>
      <c r="F54" s="572"/>
      <c r="G54" s="573">
        <f t="shared" si="0"/>
        <v>0</v>
      </c>
      <c r="H54" s="586">
        <f t="shared" si="1"/>
        <v>0</v>
      </c>
      <c r="I54" s="575"/>
    </row>
    <row r="55" spans="2:9" hidden="1">
      <c r="B55" s="587" t="s">
        <v>11</v>
      </c>
      <c r="C55" s="588"/>
      <c r="D55" s="589">
        <f>SUM(D49:D54)</f>
        <v>318113.92163594568</v>
      </c>
      <c r="E55" s="590">
        <f>SUM(E49:E54)</f>
        <v>36000.952022017998</v>
      </c>
      <c r="F55" s="589">
        <f>SUM(F49:F54)</f>
        <v>30374.99102201686</v>
      </c>
      <c r="G55" s="590">
        <f>SUM(G49:G54)</f>
        <v>323739.88263594679</v>
      </c>
      <c r="H55" s="591"/>
      <c r="I55" s="592"/>
    </row>
    <row r="56" spans="2:9" hidden="1">
      <c r="B56" s="22"/>
      <c r="C56" s="22"/>
      <c r="D56" s="593"/>
      <c r="E56" s="435"/>
      <c r="F56" s="435"/>
      <c r="G56" s="559"/>
      <c r="H56" s="531"/>
      <c r="I56" s="575"/>
    </row>
    <row r="57" spans="2:9" hidden="1">
      <c r="B57" s="22" t="s">
        <v>479</v>
      </c>
      <c r="C57" s="22"/>
      <c r="D57" s="593"/>
      <c r="E57" s="435"/>
      <c r="F57" s="435"/>
      <c r="G57" s="70"/>
      <c r="H57" s="531"/>
    </row>
    <row r="58" spans="2:9" hidden="1">
      <c r="B58" s="22" t="s">
        <v>480</v>
      </c>
      <c r="C58" s="22"/>
      <c r="D58" s="22"/>
      <c r="E58" s="22"/>
      <c r="F58" s="22"/>
      <c r="G58" s="22"/>
    </row>
    <row r="59" spans="2:9" hidden="1">
      <c r="B59" s="22" t="s">
        <v>481</v>
      </c>
      <c r="C59" s="22"/>
      <c r="D59" s="22"/>
      <c r="E59" s="22"/>
      <c r="F59" s="22"/>
      <c r="G59" s="22"/>
    </row>
    <row r="60" spans="2:9" hidden="1">
      <c r="B60" s="22"/>
      <c r="C60" s="22"/>
      <c r="D60" s="22"/>
      <c r="E60" s="22"/>
      <c r="F60" s="22"/>
      <c r="G60" s="22"/>
    </row>
    <row r="61" spans="2:9" hidden="1">
      <c r="B61" s="22"/>
      <c r="C61" s="22"/>
      <c r="D61" s="22"/>
      <c r="E61" s="22"/>
      <c r="F61" s="22"/>
      <c r="G61" s="22"/>
    </row>
    <row r="62" spans="2:9" hidden="1">
      <c r="B62" s="22"/>
      <c r="C62" s="22"/>
      <c r="D62" s="22"/>
      <c r="E62" s="22"/>
      <c r="F62" s="22"/>
      <c r="G62" s="22"/>
    </row>
    <row r="63" spans="2:9" hidden="1">
      <c r="B63" s="22" t="s">
        <v>739</v>
      </c>
      <c r="C63" s="22" t="s">
        <v>457</v>
      </c>
      <c r="D63" s="22" t="s">
        <v>458</v>
      </c>
      <c r="E63" s="22" t="s">
        <v>87</v>
      </c>
      <c r="F63" s="22"/>
      <c r="G63" s="22"/>
    </row>
    <row r="64" spans="2:9" ht="13.5" hidden="1" thickBot="1">
      <c r="B64" s="22"/>
      <c r="C64" s="22" t="s">
        <v>462</v>
      </c>
      <c r="D64" s="22"/>
      <c r="E64" s="22"/>
      <c r="F64" s="22"/>
      <c r="G64" s="22"/>
    </row>
    <row r="65" spans="2:7" hidden="1">
      <c r="B65" s="22" t="s">
        <v>218</v>
      </c>
      <c r="C65" s="549">
        <f>C10</f>
        <v>1872.5733734700002</v>
      </c>
      <c r="D65" s="550">
        <f>D10</f>
        <v>113057.12754486001</v>
      </c>
      <c r="E65" s="551">
        <f>C65+D65</f>
        <v>114929.70091833001</v>
      </c>
      <c r="F65" s="22"/>
      <c r="G65" s="22"/>
    </row>
    <row r="66" spans="2:7" s="22" customFormat="1" ht="13.5" hidden="1" thickBot="1">
      <c r="B66" s="22" t="s">
        <v>469</v>
      </c>
      <c r="C66" s="552">
        <f>(C65/E65)*E66</f>
        <v>52.398056129921635</v>
      </c>
      <c r="D66" s="553">
        <f>E66-C66</f>
        <v>3163.5469129873268</v>
      </c>
      <c r="E66" s="554">
        <f>F10</f>
        <v>3215.9449691172485</v>
      </c>
    </row>
    <row r="67" spans="2:7" s="22" customFormat="1" hidden="1">
      <c r="B67" s="22" t="s">
        <v>463</v>
      </c>
      <c r="C67" s="549">
        <f>C12</f>
        <v>19656.938851999999</v>
      </c>
      <c r="D67" s="550">
        <f>D12</f>
        <v>63594.469517934303</v>
      </c>
      <c r="E67" s="551">
        <f>C67+D67</f>
        <v>83251.408369934303</v>
      </c>
    </row>
    <row r="68" spans="2:7" s="22" customFormat="1" ht="13.5" hidden="1" thickBot="1">
      <c r="B68" s="22" t="s">
        <v>469</v>
      </c>
      <c r="C68" s="552">
        <f>(C67/E67)*E68</f>
        <v>542.31546041363208</v>
      </c>
      <c r="D68" s="553">
        <f>E68-C68</f>
        <v>1754.5083838356763</v>
      </c>
      <c r="E68" s="554">
        <f>F12</f>
        <v>2296.8238442493084</v>
      </c>
    </row>
    <row r="69" spans="2:7" s="22" customFormat="1" hidden="1">
      <c r="B69" s="22" t="s">
        <v>227</v>
      </c>
      <c r="C69" s="549">
        <f>C14</f>
        <v>1326.691276</v>
      </c>
      <c r="D69" s="550">
        <f>D14</f>
        <v>27136.97183364</v>
      </c>
      <c r="E69" s="551">
        <f>C69+D69</f>
        <v>28463.663109640001</v>
      </c>
    </row>
    <row r="70" spans="2:7" s="22" customFormat="1" ht="13.5" hidden="1" thickBot="1">
      <c r="B70" s="22" t="s">
        <v>469</v>
      </c>
      <c r="C70" s="552">
        <f>(C69/E69)*E70</f>
        <v>15.222718861102166</v>
      </c>
      <c r="D70" s="553">
        <f>E70-C70</f>
        <v>311.37499766384974</v>
      </c>
      <c r="E70" s="554">
        <f>F14</f>
        <v>326.59771652495192</v>
      </c>
    </row>
    <row r="71" spans="2:7" s="22" customFormat="1" hidden="1">
      <c r="B71" s="22" t="s">
        <v>429</v>
      </c>
      <c r="C71" s="549">
        <f>C16</f>
        <v>54414.911088742818</v>
      </c>
      <c r="D71" s="550">
        <v>0</v>
      </c>
      <c r="E71" s="551">
        <f>C71+D71</f>
        <v>54414.911088742818</v>
      </c>
    </row>
    <row r="72" spans="2:7" s="22" customFormat="1" ht="13.5" hidden="1" thickBot="1">
      <c r="B72" s="22" t="s">
        <v>469</v>
      </c>
      <c r="C72" s="552">
        <f>E72</f>
        <v>217.72979417280001</v>
      </c>
      <c r="D72" s="553">
        <v>0</v>
      </c>
      <c r="E72" s="555">
        <v>217.72979417280001</v>
      </c>
    </row>
    <row r="73" spans="2:7" s="22" customFormat="1" hidden="1">
      <c r="B73" s="22" t="s">
        <v>229</v>
      </c>
      <c r="C73" s="549">
        <v>0</v>
      </c>
      <c r="D73" s="550">
        <v>0</v>
      </c>
      <c r="E73" s="551">
        <v>0</v>
      </c>
    </row>
    <row r="74" spans="2:7" s="22" customFormat="1" ht="13.5" hidden="1" thickBot="1">
      <c r="B74" s="22" t="s">
        <v>464</v>
      </c>
      <c r="C74" s="552">
        <f>C18</f>
        <v>43111.334473362855</v>
      </c>
      <c r="D74" s="553">
        <v>0</v>
      </c>
      <c r="E74" s="554">
        <f>C74</f>
        <v>43111.334473362855</v>
      </c>
    </row>
    <row r="75" spans="2:7" s="22" customFormat="1" hidden="1">
      <c r="B75" s="22" t="s">
        <v>465</v>
      </c>
      <c r="C75" s="549">
        <f>C65-C66+C67-C68+C69-C70+C71-C72+C73+C74</f>
        <v>119554.78303399822</v>
      </c>
      <c r="D75" s="550">
        <f>D65-D66+D67-D68+D69-D70+D71+D73+D74</f>
        <v>198559.13860194749</v>
      </c>
      <c r="E75" s="551">
        <f>E65-E66+E67-E68+E69-E70+E71-E72+E74</f>
        <v>318113.92163594568</v>
      </c>
    </row>
    <row r="76" spans="2:7" s="22" customFormat="1" hidden="1">
      <c r="B76" s="22" t="s">
        <v>466</v>
      </c>
      <c r="C76" s="556">
        <f>CUADRO4!E53</f>
        <v>30374.99102201686</v>
      </c>
      <c r="D76" s="557">
        <f>CUADRO4!D53-CUADRO4!D33+CUADRO4!D33*2504/860</f>
        <v>36000.952022018006</v>
      </c>
      <c r="E76" s="558">
        <f>D76-C76</f>
        <v>5625.9610000011453</v>
      </c>
    </row>
    <row r="77" spans="2:7" s="22" customFormat="1" ht="13.5" hidden="1" thickBot="1">
      <c r="B77" s="22" t="s">
        <v>467</v>
      </c>
      <c r="C77" s="552">
        <f>C75-C76</f>
        <v>89179.792011981364</v>
      </c>
      <c r="D77" s="553">
        <f>D75+D76</f>
        <v>234560.09062396549</v>
      </c>
      <c r="E77" s="554">
        <f>E75+E76</f>
        <v>323739.88263594685</v>
      </c>
    </row>
    <row r="78" spans="2:7" s="22" customFormat="1" hidden="1"/>
    <row r="79" spans="2:7" s="22" customFormat="1" hidden="1">
      <c r="B79" s="22" t="s">
        <v>468</v>
      </c>
      <c r="C79" s="22">
        <f>C77/E77</f>
        <v>0.27546742553269576</v>
      </c>
      <c r="D79" s="22">
        <f>D77/E77</f>
        <v>0.72453257446730424</v>
      </c>
      <c r="E79" s="22">
        <v>1</v>
      </c>
    </row>
    <row r="80" spans="2:7"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sheetData>
  <phoneticPr fontId="0" type="noConversion"/>
  <hyperlinks>
    <hyperlink ref="I3" location="INDICE!A1" display="VOLVER A INDICE"/>
  </hyperlinks>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05"/>
  <sheetViews>
    <sheetView zoomScale="85" workbookViewId="0">
      <pane ySplit="9" topLeftCell="A10" activePane="bottomLeft" state="frozen"/>
      <selection pane="bottomLeft" activeCell="J19" sqref="J19"/>
    </sheetView>
  </sheetViews>
  <sheetFormatPr baseColWidth="10" defaultRowHeight="12.75" outlineLevelRow="1"/>
  <cols>
    <col min="1" max="1" width="1.85546875" style="899" customWidth="1"/>
    <col min="2" max="2" width="26" style="899" customWidth="1"/>
    <col min="3" max="3" width="15.140625" style="899" customWidth="1"/>
    <col min="4" max="4" width="15.5703125" style="899" customWidth="1"/>
    <col min="5" max="5" width="16.140625" style="899" customWidth="1"/>
    <col min="6" max="6" width="16.5703125" style="899" customWidth="1"/>
    <col min="7" max="7" width="14.28515625" style="899" customWidth="1"/>
    <col min="8" max="8" width="18.140625" style="899" customWidth="1"/>
    <col min="9" max="9" width="14.28515625" style="899" customWidth="1"/>
    <col min="10" max="24" width="11.42578125" style="70"/>
    <col min="25" max="16384" width="11.42578125" style="899"/>
  </cols>
  <sheetData>
    <row r="1" spans="2:12" ht="8.25" customHeight="1" thickBot="1"/>
    <row r="2" spans="2:12" ht="13.5" thickBot="1">
      <c r="B2" s="869"/>
      <c r="C2" s="870"/>
      <c r="D2" s="870"/>
      <c r="E2" s="870"/>
      <c r="F2" s="870"/>
      <c r="G2" s="870"/>
      <c r="H2" s="870"/>
      <c r="I2" s="871"/>
      <c r="J2" s="872" t="s">
        <v>683</v>
      </c>
      <c r="K2" s="75"/>
      <c r="L2" s="75"/>
    </row>
    <row r="3" spans="2:12" ht="15.75">
      <c r="B3" s="873"/>
      <c r="C3" s="874"/>
      <c r="D3" s="874"/>
      <c r="E3" s="875" t="s">
        <v>49</v>
      </c>
      <c r="F3" s="874"/>
      <c r="G3" s="876"/>
      <c r="H3" s="876"/>
      <c r="I3" s="877"/>
      <c r="J3" s="878"/>
      <c r="K3" s="75"/>
      <c r="L3" s="75"/>
    </row>
    <row r="4" spans="2:12" ht="15.75">
      <c r="B4" s="879"/>
      <c r="C4" s="880"/>
      <c r="D4" s="880"/>
      <c r="E4" s="881" t="s">
        <v>50</v>
      </c>
      <c r="F4" s="880"/>
      <c r="G4" s="882"/>
      <c r="H4" s="882"/>
      <c r="I4" s="883"/>
      <c r="J4" s="878"/>
      <c r="K4" s="75"/>
      <c r="L4" s="75"/>
    </row>
    <row r="5" spans="2:12" ht="15.75">
      <c r="B5" s="879"/>
      <c r="C5" s="880"/>
      <c r="D5" s="880"/>
      <c r="E5" s="881"/>
      <c r="F5" s="880"/>
      <c r="G5" s="882"/>
      <c r="H5" s="882"/>
      <c r="I5" s="883"/>
      <c r="J5" s="878"/>
      <c r="K5" s="75"/>
      <c r="L5" s="75"/>
    </row>
    <row r="6" spans="2:12" ht="15.75">
      <c r="B6" s="879"/>
      <c r="C6" s="880"/>
      <c r="D6" s="880"/>
      <c r="E6" s="881" t="s">
        <v>780</v>
      </c>
      <c r="F6" s="880"/>
      <c r="G6" s="882"/>
      <c r="H6" s="882"/>
      <c r="I6" s="883"/>
      <c r="J6" s="878"/>
      <c r="K6" s="75"/>
      <c r="L6" s="75"/>
    </row>
    <row r="7" spans="2:12" ht="15.75">
      <c r="B7" s="879"/>
      <c r="C7" s="880"/>
      <c r="D7" s="880"/>
      <c r="E7" s="880"/>
      <c r="F7" s="880"/>
      <c r="G7" s="882"/>
      <c r="H7" s="882"/>
      <c r="I7" s="883"/>
      <c r="J7" s="878"/>
      <c r="K7" s="75"/>
      <c r="L7" s="75"/>
    </row>
    <row r="8" spans="2:12" ht="15.75">
      <c r="B8" s="879" t="s">
        <v>3</v>
      </c>
      <c r="C8" s="880" t="s">
        <v>25</v>
      </c>
      <c r="D8" s="880" t="s">
        <v>26</v>
      </c>
      <c r="E8" s="880" t="s">
        <v>27</v>
      </c>
      <c r="F8" s="881" t="s">
        <v>47</v>
      </c>
      <c r="G8" s="884" t="s">
        <v>29</v>
      </c>
      <c r="H8" s="884" t="s">
        <v>29</v>
      </c>
      <c r="I8" s="885" t="s">
        <v>29</v>
      </c>
      <c r="J8" s="878"/>
      <c r="K8" s="75"/>
      <c r="L8" s="75"/>
    </row>
    <row r="9" spans="2:12" ht="16.5" thickBot="1">
      <c r="B9" s="983"/>
      <c r="C9" s="984" t="s">
        <v>30</v>
      </c>
      <c r="D9" s="985"/>
      <c r="E9" s="985"/>
      <c r="F9" s="984" t="s">
        <v>51</v>
      </c>
      <c r="G9" s="986" t="s">
        <v>52</v>
      </c>
      <c r="H9" s="986" t="s">
        <v>53</v>
      </c>
      <c r="I9" s="987" t="s">
        <v>54</v>
      </c>
      <c r="J9" s="75"/>
      <c r="K9" s="75"/>
      <c r="L9" s="75"/>
    </row>
    <row r="10" spans="2:12">
      <c r="B10" s="988" t="s">
        <v>75</v>
      </c>
      <c r="C10" s="74">
        <f>SUM(C12:C30)</f>
        <v>110510.83775409298</v>
      </c>
      <c r="D10" s="74">
        <f t="shared" ref="D10:I10" si="0">SUM(D12:D30)</f>
        <v>26513.254697138003</v>
      </c>
      <c r="E10" s="74">
        <f t="shared" si="0"/>
        <v>15539.358742016859</v>
      </c>
      <c r="F10" s="74">
        <f t="shared" si="0"/>
        <v>6807.6667196401359</v>
      </c>
      <c r="G10" s="74">
        <f t="shared" si="0"/>
        <v>112706.86825324359</v>
      </c>
      <c r="H10" s="74">
        <f t="shared" si="0"/>
        <v>1970.1847245304223</v>
      </c>
      <c r="I10" s="76">
        <f t="shared" si="0"/>
        <v>114677.052977774</v>
      </c>
      <c r="J10" s="75"/>
      <c r="K10" s="75"/>
      <c r="L10" s="886"/>
    </row>
    <row r="11" spans="2:12" outlineLevel="1">
      <c r="B11" s="989"/>
      <c r="C11" s="74"/>
      <c r="D11" s="74"/>
      <c r="E11" s="74"/>
      <c r="F11" s="74"/>
      <c r="G11" s="74"/>
      <c r="H11" s="74"/>
      <c r="I11" s="76"/>
      <c r="J11" s="75"/>
      <c r="K11" s="75"/>
      <c r="L11" s="886"/>
    </row>
    <row r="12" spans="2:12" outlineLevel="1">
      <c r="B12" s="1308" t="s">
        <v>55</v>
      </c>
      <c r="C12" s="1262">
        <v>24091.988429249999</v>
      </c>
      <c r="D12" s="1262">
        <v>0</v>
      </c>
      <c r="E12" s="1262">
        <v>5067.4430758140006</v>
      </c>
      <c r="F12" s="1262">
        <v>1934.590265705998</v>
      </c>
      <c r="G12" s="1262">
        <f>SECT_TERAC.!D47</f>
        <v>16178.054682894972</v>
      </c>
      <c r="H12" s="1262">
        <f>SECT_TERAC.!D57</f>
        <v>911.90040483502924</v>
      </c>
      <c r="I12" s="1263">
        <f>SECT_TERAC.!D60</f>
        <v>17089.955087730003</v>
      </c>
      <c r="J12" s="75"/>
      <c r="K12" s="75"/>
      <c r="L12" s="75"/>
    </row>
    <row r="13" spans="2:12" outlineLevel="1">
      <c r="B13" s="1308"/>
      <c r="C13" s="1262"/>
      <c r="D13" s="1262"/>
      <c r="E13" s="1262"/>
      <c r="F13" s="1262"/>
      <c r="G13" s="1262"/>
      <c r="H13" s="1262"/>
      <c r="I13" s="1263"/>
      <c r="J13" s="75"/>
      <c r="K13" s="75"/>
      <c r="L13" s="75"/>
    </row>
    <row r="14" spans="2:12" outlineLevel="1">
      <c r="B14" s="1308" t="s">
        <v>56</v>
      </c>
      <c r="C14" s="1262">
        <v>40258.731483599993</v>
      </c>
      <c r="D14" s="1262">
        <v>13490.604751848001</v>
      </c>
      <c r="E14" s="1262">
        <v>628.77404410800011</v>
      </c>
      <c r="F14" s="1262">
        <v>3627.3236753039878</v>
      </c>
      <c r="G14" s="1262">
        <f>SECT_TERAC.!C47</f>
        <v>48551.018285865604</v>
      </c>
      <c r="H14" s="1262">
        <f>SECT_TERAC.!C57</f>
        <v>942.22023017039317</v>
      </c>
      <c r="I14" s="1263">
        <f>SECT_TERAC.!C60</f>
        <v>49493.238516035999</v>
      </c>
      <c r="J14" s="75"/>
      <c r="K14" s="75"/>
      <c r="L14" s="75"/>
    </row>
    <row r="15" spans="2:12" outlineLevel="1">
      <c r="B15" s="1308"/>
      <c r="C15" s="1262"/>
      <c r="D15" s="1262"/>
      <c r="E15" s="1262"/>
      <c r="F15" s="1262"/>
      <c r="G15" s="1262"/>
      <c r="H15" s="1262"/>
      <c r="I15" s="1263"/>
      <c r="J15" s="75"/>
      <c r="K15" s="75"/>
      <c r="L15" s="75"/>
    </row>
    <row r="16" spans="2:12" outlineLevel="1">
      <c r="B16" s="1308" t="s">
        <v>57</v>
      </c>
      <c r="C16" s="1262">
        <v>26697.248144000001</v>
      </c>
      <c r="D16" s="1262">
        <v>5156.66550112</v>
      </c>
      <c r="E16" s="1262">
        <v>7853.0970559999987</v>
      </c>
      <c r="F16" s="1262">
        <v>351.63510043200625</v>
      </c>
      <c r="G16" s="1262">
        <f>SECT_TERAC.!E47</f>
        <v>23649.181488687998</v>
      </c>
      <c r="H16" s="1262">
        <f>SECT_TERAC.!E57</f>
        <v>0</v>
      </c>
      <c r="I16" s="1263">
        <f>SECT_TERAC.!E60</f>
        <v>23649.181488687998</v>
      </c>
      <c r="J16" s="75"/>
      <c r="K16" s="75"/>
      <c r="L16" s="75"/>
    </row>
    <row r="17" spans="2:12" outlineLevel="1">
      <c r="B17" s="1308"/>
      <c r="C17" s="1262"/>
      <c r="D17" s="1262"/>
      <c r="E17" s="1262"/>
      <c r="F17" s="1262"/>
      <c r="G17" s="1262"/>
      <c r="H17" s="1262"/>
      <c r="I17" s="1263"/>
      <c r="J17" s="75"/>
      <c r="K17" s="75"/>
      <c r="L17" s="75"/>
    </row>
    <row r="18" spans="2:12" outlineLevel="1">
      <c r="B18" s="1308" t="s">
        <v>58</v>
      </c>
      <c r="C18" s="1262">
        <v>0</v>
      </c>
      <c r="D18" s="1262">
        <v>0</v>
      </c>
      <c r="E18" s="1262">
        <v>0</v>
      </c>
      <c r="F18" s="1262">
        <v>0</v>
      </c>
      <c r="G18" s="1262">
        <v>0</v>
      </c>
      <c r="H18" s="1262">
        <v>0</v>
      </c>
      <c r="I18" s="1263">
        <v>0</v>
      </c>
      <c r="J18" s="75"/>
      <c r="K18" s="75"/>
      <c r="L18" s="75"/>
    </row>
    <row r="19" spans="2:12" outlineLevel="1">
      <c r="B19" s="1308"/>
      <c r="C19" s="1262"/>
      <c r="D19" s="1262"/>
      <c r="E19" s="1262"/>
      <c r="F19" s="1262"/>
      <c r="G19" s="1262"/>
      <c r="H19" s="1262"/>
      <c r="I19" s="1263"/>
      <c r="J19" s="75"/>
      <c r="K19" s="75"/>
      <c r="L19" s="75"/>
    </row>
    <row r="20" spans="2:12" outlineLevel="1">
      <c r="B20" s="1308" t="s">
        <v>59</v>
      </c>
      <c r="C20" s="1262">
        <v>1068.0613265430004</v>
      </c>
      <c r="D20" s="1262">
        <v>8.872049070000001</v>
      </c>
      <c r="E20" s="1262">
        <v>0</v>
      </c>
      <c r="F20" s="1262">
        <v>-112.28578481699975</v>
      </c>
      <c r="G20" s="1262">
        <f>SECT_TERAC.!G47</f>
        <v>1189.12925043</v>
      </c>
      <c r="H20" s="1262">
        <f>SECT_TERAC.!G57</f>
        <v>8.9910000000000018E-2</v>
      </c>
      <c r="I20" s="1263">
        <f>SECT_TERAC.!G60</f>
        <v>1189.2191604299999</v>
      </c>
      <c r="J20" s="75"/>
      <c r="K20" s="75"/>
      <c r="L20" s="75"/>
    </row>
    <row r="21" spans="2:12" outlineLevel="1">
      <c r="B21" s="1308"/>
      <c r="C21" s="1262"/>
      <c r="D21" s="1262"/>
      <c r="E21" s="1262"/>
      <c r="F21" s="1262"/>
      <c r="G21" s="1262"/>
      <c r="H21" s="1262"/>
      <c r="I21" s="1263"/>
      <c r="J21" s="75"/>
      <c r="K21" s="75"/>
      <c r="L21" s="75"/>
    </row>
    <row r="22" spans="2:12" outlineLevel="1">
      <c r="B22" s="1308" t="s">
        <v>60</v>
      </c>
      <c r="C22" s="1262">
        <v>6559.6032370000003</v>
      </c>
      <c r="D22" s="1262">
        <v>7494.4298407000006</v>
      </c>
      <c r="E22" s="1262">
        <v>1990.0445660948599</v>
      </c>
      <c r="F22" s="1262">
        <v>-247.44588409485647</v>
      </c>
      <c r="G22" s="1262">
        <f>SECT_TERAC.!H47</f>
        <v>12282.260129260003</v>
      </c>
      <c r="H22" s="1262">
        <f>SECT_TERAC.!H57</f>
        <v>29.160254640000005</v>
      </c>
      <c r="I22" s="1263">
        <f>SECT_TERAC.!H60</f>
        <v>12311.420383900004</v>
      </c>
      <c r="J22" s="75"/>
      <c r="K22" s="75"/>
      <c r="L22" s="75"/>
    </row>
    <row r="23" spans="2:12" outlineLevel="1">
      <c r="B23" s="1308"/>
      <c r="C23" s="1262"/>
      <c r="D23" s="1262"/>
      <c r="E23" s="1262"/>
      <c r="F23" s="1262"/>
      <c r="G23" s="1262"/>
      <c r="H23" s="1262"/>
      <c r="I23" s="1263"/>
      <c r="J23" s="75"/>
      <c r="K23" s="75"/>
      <c r="L23" s="75"/>
    </row>
    <row r="24" spans="2:12" outlineLevel="1">
      <c r="B24" s="1308" t="s">
        <v>61</v>
      </c>
      <c r="C24" s="1262">
        <v>66.160583999999986</v>
      </c>
      <c r="D24" s="1262">
        <v>0</v>
      </c>
      <c r="E24" s="1262">
        <v>0</v>
      </c>
      <c r="F24" s="1262">
        <v>18.448163999999991</v>
      </c>
      <c r="G24" s="1262">
        <f>SECT_TERAC.!I47</f>
        <v>47.712420000000002</v>
      </c>
      <c r="H24" s="1262">
        <f>SECT_TERAC.!I57</f>
        <v>0</v>
      </c>
      <c r="I24" s="1263">
        <f>SECT_TERAC.!I60</f>
        <v>47.712420000000002</v>
      </c>
      <c r="J24" s="75"/>
      <c r="K24" s="75"/>
      <c r="L24" s="75"/>
    </row>
    <row r="25" spans="2:12" outlineLevel="1">
      <c r="B25" s="1308"/>
      <c r="C25" s="1262"/>
      <c r="D25" s="1262"/>
      <c r="E25" s="1262"/>
      <c r="F25" s="1262"/>
      <c r="G25" s="1262"/>
      <c r="H25" s="1262"/>
      <c r="I25" s="1263"/>
      <c r="J25" s="75"/>
      <c r="K25" s="75"/>
      <c r="L25" s="75"/>
    </row>
    <row r="26" spans="2:12" outlineLevel="1">
      <c r="B26" s="1308" t="s">
        <v>62</v>
      </c>
      <c r="C26" s="1262">
        <v>7217.6933817000008</v>
      </c>
      <c r="D26" s="1262">
        <v>362.68255440000007</v>
      </c>
      <c r="E26" s="1262">
        <v>0</v>
      </c>
      <c r="F26" s="1262">
        <v>1196.2764660599996</v>
      </c>
      <c r="G26" s="1262">
        <f>SECT_TERAC.!J47</f>
        <v>6384.0994700400015</v>
      </c>
      <c r="H26" s="1262">
        <f>SECT_TERAC.!J57</f>
        <v>0</v>
      </c>
      <c r="I26" s="1263">
        <f>SECT_TERAC.!J60</f>
        <v>6384.0994700400015</v>
      </c>
      <c r="J26" s="75"/>
      <c r="K26" s="75"/>
      <c r="L26" s="75"/>
    </row>
    <row r="27" spans="2:12" outlineLevel="1">
      <c r="B27" s="1308"/>
      <c r="C27" s="1262"/>
      <c r="D27" s="1262"/>
      <c r="E27" s="1262"/>
      <c r="F27" s="1262"/>
      <c r="G27" s="1262"/>
      <c r="H27" s="1262"/>
      <c r="I27" s="1263"/>
      <c r="J27" s="75"/>
      <c r="K27" s="75"/>
      <c r="L27" s="75"/>
    </row>
    <row r="28" spans="2:12" outlineLevel="1">
      <c r="B28" s="1308" t="s">
        <v>63</v>
      </c>
      <c r="C28" s="1262">
        <v>1992.684925</v>
      </c>
      <c r="D28" s="1262">
        <v>0</v>
      </c>
      <c r="E28" s="1262">
        <v>0</v>
      </c>
      <c r="F28" s="1262">
        <v>23.552675050000147</v>
      </c>
      <c r="G28" s="1262">
        <f>SECT_TERAC.!K47</f>
        <v>1968.8626900649999</v>
      </c>
      <c r="H28" s="1262">
        <f>SECT_TERAC.!K57</f>
        <v>0.269559885</v>
      </c>
      <c r="I28" s="1263">
        <f>SECT_TERAC.!K60</f>
        <v>1969.13224995</v>
      </c>
      <c r="J28" s="75"/>
      <c r="K28" s="75"/>
      <c r="L28" s="75"/>
    </row>
    <row r="29" spans="2:12" outlineLevel="1">
      <c r="B29" s="1308"/>
      <c r="C29" s="1262"/>
      <c r="D29" s="1262"/>
      <c r="E29" s="1262"/>
      <c r="F29" s="1262"/>
      <c r="G29" s="1262"/>
      <c r="H29" s="1262"/>
      <c r="I29" s="1263"/>
      <c r="J29" s="75"/>
      <c r="K29" s="75"/>
      <c r="L29" s="75"/>
    </row>
    <row r="30" spans="2:12" outlineLevel="1">
      <c r="B30" s="1308" t="s">
        <v>64</v>
      </c>
      <c r="C30" s="1262">
        <v>2558.6662429999992</v>
      </c>
      <c r="D30" s="1262">
        <v>0</v>
      </c>
      <c r="E30" s="1262">
        <v>0</v>
      </c>
      <c r="F30" s="1262">
        <v>15.572041999999646</v>
      </c>
      <c r="G30" s="1262">
        <f>SECT_TERAC.!L47</f>
        <v>2456.5498359999997</v>
      </c>
      <c r="H30" s="1262">
        <f>SECT_TERAC.!L57</f>
        <v>86.544364999999985</v>
      </c>
      <c r="I30" s="1263">
        <f>SECT_TERAC.!L60</f>
        <v>2543.0942009999999</v>
      </c>
      <c r="J30" s="75"/>
      <c r="K30" s="75"/>
      <c r="L30" s="75"/>
    </row>
    <row r="31" spans="2:12" outlineLevel="1">
      <c r="B31" s="990"/>
      <c r="C31" s="74"/>
      <c r="D31" s="74"/>
      <c r="E31" s="74"/>
      <c r="F31" s="74"/>
      <c r="G31" s="74"/>
      <c r="H31" s="74"/>
      <c r="I31" s="76"/>
      <c r="J31" s="75"/>
      <c r="K31" s="75"/>
      <c r="L31" s="75"/>
    </row>
    <row r="32" spans="2:12">
      <c r="B32" s="989"/>
      <c r="C32" s="74"/>
      <c r="D32" s="74"/>
      <c r="E32" s="74"/>
      <c r="F32" s="74"/>
      <c r="G32" s="74"/>
      <c r="H32" s="74"/>
      <c r="I32" s="76"/>
      <c r="J32" s="75"/>
      <c r="K32" s="75"/>
      <c r="L32" s="75"/>
    </row>
    <row r="33" spans="2:12">
      <c r="B33" s="989" t="s">
        <v>18</v>
      </c>
      <c r="C33" s="74">
        <v>44038.721771461052</v>
      </c>
      <c r="D33" s="74">
        <v>1636.7164992000003</v>
      </c>
      <c r="E33" s="74">
        <v>0</v>
      </c>
      <c r="F33" s="74">
        <v>3469.5569740296719</v>
      </c>
      <c r="G33" s="74">
        <f>SECT_TERAC.!N47</f>
        <v>42205.881296631385</v>
      </c>
      <c r="H33" s="74">
        <f>SECT_TERAC.!N57</f>
        <v>0</v>
      </c>
      <c r="I33" s="76">
        <f>SECT_TERAC.!N60</f>
        <v>42205.881296631385</v>
      </c>
      <c r="J33" s="75"/>
      <c r="K33" s="75"/>
      <c r="L33" s="75"/>
    </row>
    <row r="34" spans="2:12">
      <c r="B34" s="989"/>
      <c r="C34" s="74"/>
      <c r="D34" s="74"/>
      <c r="E34" s="74"/>
      <c r="F34" s="74"/>
      <c r="G34" s="74"/>
      <c r="H34" s="74"/>
      <c r="I34" s="76"/>
      <c r="J34" s="75"/>
      <c r="K34" s="75"/>
      <c r="L34" s="75"/>
    </row>
    <row r="35" spans="2:12">
      <c r="B35" s="989" t="s">
        <v>65</v>
      </c>
      <c r="C35" s="74">
        <v>28137.065393115052</v>
      </c>
      <c r="D35" s="74">
        <v>0</v>
      </c>
      <c r="E35" s="74">
        <v>0</v>
      </c>
      <c r="F35" s="74">
        <v>0</v>
      </c>
      <c r="G35" s="74">
        <f>SECT_TERAC.!O47</f>
        <v>5252.8693653975497</v>
      </c>
      <c r="H35" s="74">
        <f>SECT_TERAC.!O57</f>
        <v>22884.196027717495</v>
      </c>
      <c r="I35" s="76">
        <f>SECT_TERAC.!O60</f>
        <v>28137.065393115045</v>
      </c>
      <c r="J35" s="75"/>
      <c r="K35" s="75"/>
      <c r="L35" s="75"/>
    </row>
    <row r="36" spans="2:12">
      <c r="B36" s="989"/>
      <c r="C36" s="74"/>
      <c r="D36" s="74"/>
      <c r="E36" s="74"/>
      <c r="F36" s="74"/>
      <c r="G36" s="74"/>
      <c r="H36" s="74"/>
      <c r="I36" s="76"/>
      <c r="J36" s="75"/>
      <c r="K36" s="75"/>
      <c r="L36" s="75"/>
    </row>
    <row r="37" spans="2:12">
      <c r="B37" s="989" t="s">
        <v>66</v>
      </c>
      <c r="C37" s="74">
        <v>5268.3845000000001</v>
      </c>
      <c r="D37" s="74">
        <v>4722.1878899999992</v>
      </c>
      <c r="E37" s="74">
        <v>264.05279999999999</v>
      </c>
      <c r="F37" s="74">
        <v>106.84749874999738</v>
      </c>
      <c r="G37" s="74">
        <f>SECT_TERAC.!P47</f>
        <v>1997.303652000001</v>
      </c>
      <c r="H37" s="74">
        <f>SECT_TERAC.!P57</f>
        <v>7622.3684392499999</v>
      </c>
      <c r="I37" s="76">
        <f>SECT_TERAC.!P60</f>
        <v>9619.6720912500004</v>
      </c>
      <c r="J37" s="75"/>
      <c r="K37" s="75"/>
      <c r="L37" s="75"/>
    </row>
    <row r="38" spans="2:12">
      <c r="B38" s="989"/>
      <c r="C38" s="74"/>
      <c r="D38" s="74"/>
      <c r="E38" s="74"/>
      <c r="F38" s="74"/>
      <c r="G38" s="74"/>
      <c r="H38" s="74"/>
      <c r="I38" s="76"/>
      <c r="J38" s="75"/>
      <c r="K38" s="75"/>
      <c r="L38" s="75"/>
    </row>
    <row r="39" spans="2:12">
      <c r="B39" s="989" t="s">
        <v>67</v>
      </c>
      <c r="C39" s="74">
        <v>217.477</v>
      </c>
      <c r="D39" s="74">
        <v>0</v>
      </c>
      <c r="E39" s="74">
        <v>0</v>
      </c>
      <c r="F39" s="74">
        <v>26.064000000000014</v>
      </c>
      <c r="G39" s="74">
        <f>SECT_TERAC.!Q47</f>
        <v>191.41300000000001</v>
      </c>
      <c r="H39" s="74">
        <f>SECT_TERAC.!Q57</f>
        <v>0</v>
      </c>
      <c r="I39" s="76">
        <f>SECT_TERAC.!Q60</f>
        <v>191.41300000000001</v>
      </c>
      <c r="J39" s="75"/>
      <c r="K39" s="75"/>
      <c r="L39" s="75"/>
    </row>
    <row r="40" spans="2:12">
      <c r="B40" s="989"/>
      <c r="C40" s="74"/>
      <c r="D40" s="74"/>
      <c r="E40" s="74"/>
      <c r="F40" s="74"/>
      <c r="G40" s="74"/>
      <c r="H40" s="74"/>
      <c r="I40" s="76"/>
      <c r="J40" s="75"/>
      <c r="K40" s="75"/>
      <c r="L40" s="75"/>
    </row>
    <row r="41" spans="2:12">
      <c r="B41" s="989" t="s">
        <v>68</v>
      </c>
      <c r="C41" s="74">
        <v>1329.8098670952236</v>
      </c>
      <c r="D41" s="74">
        <v>0</v>
      </c>
      <c r="E41" s="74">
        <v>0</v>
      </c>
      <c r="F41" s="74">
        <v>19.441384030050134</v>
      </c>
      <c r="G41" s="74">
        <f>SECT_TERAC.!R47</f>
        <v>1310.3684830651732</v>
      </c>
      <c r="H41" s="74">
        <f>SECT_TERAC.!R57</f>
        <v>0</v>
      </c>
      <c r="I41" s="76">
        <f>SECT_TERAC.!R60</f>
        <v>1310.3684830651732</v>
      </c>
      <c r="J41" s="75"/>
      <c r="K41" s="75"/>
      <c r="L41" s="75"/>
    </row>
    <row r="42" spans="2:12">
      <c r="B42" s="989"/>
      <c r="C42" s="74"/>
      <c r="D42" s="74"/>
      <c r="E42" s="74"/>
      <c r="F42" s="74"/>
      <c r="G42" s="74"/>
      <c r="H42" s="74"/>
      <c r="I42" s="76"/>
      <c r="J42" s="75"/>
      <c r="K42" s="75"/>
      <c r="L42" s="75"/>
    </row>
    <row r="43" spans="2:12">
      <c r="B43" s="989" t="s">
        <v>69</v>
      </c>
      <c r="C43" s="74">
        <v>1690.9780000000001</v>
      </c>
      <c r="D43" s="74">
        <v>0</v>
      </c>
      <c r="E43" s="74">
        <v>0</v>
      </c>
      <c r="F43" s="74">
        <v>342.41899999999993</v>
      </c>
      <c r="G43" s="74">
        <f>SECT_TERAC.!S47</f>
        <v>1348.559</v>
      </c>
      <c r="H43" s="74">
        <f>SECT_TERAC.!S57</f>
        <v>0</v>
      </c>
      <c r="I43" s="76">
        <f>SECT_TERAC.!S60</f>
        <v>1348.559</v>
      </c>
      <c r="J43" s="75"/>
      <c r="K43" s="75"/>
      <c r="L43" s="75"/>
    </row>
    <row r="44" spans="2:12">
      <c r="B44" s="989"/>
      <c r="C44" s="74"/>
      <c r="D44" s="74"/>
      <c r="E44" s="74"/>
      <c r="F44" s="74"/>
      <c r="G44" s="74"/>
      <c r="H44" s="74"/>
      <c r="I44" s="76"/>
      <c r="J44" s="75"/>
      <c r="K44" s="75"/>
      <c r="L44" s="75"/>
    </row>
    <row r="45" spans="2:12">
      <c r="B45" s="989" t="s">
        <v>70</v>
      </c>
      <c r="C45" s="74">
        <v>80220.662155684971</v>
      </c>
      <c r="D45" s="74">
        <v>0</v>
      </c>
      <c r="E45" s="74">
        <v>0</v>
      </c>
      <c r="F45" s="74">
        <v>0</v>
      </c>
      <c r="G45" s="74">
        <f>SECT_TERAC.!T47</f>
        <v>20672.031745653807</v>
      </c>
      <c r="H45" s="74">
        <f>SECT_TERAC.!T57</f>
        <v>59548.630410031168</v>
      </c>
      <c r="I45" s="76">
        <f>SECT_TERAC.!T60</f>
        <v>80220.662155684971</v>
      </c>
      <c r="J45" s="75"/>
      <c r="K45" s="75"/>
      <c r="L45" s="75"/>
    </row>
    <row r="46" spans="2:12">
      <c r="B46" s="989"/>
      <c r="C46" s="74"/>
      <c r="D46" s="74"/>
      <c r="E46" s="74"/>
      <c r="F46" s="74"/>
      <c r="G46" s="74"/>
      <c r="H46" s="74"/>
      <c r="I46" s="76"/>
      <c r="J46" s="75"/>
      <c r="K46" s="75"/>
      <c r="L46" s="75"/>
    </row>
    <row r="47" spans="2:12">
      <c r="B47" s="989" t="s">
        <v>22</v>
      </c>
      <c r="C47" s="74">
        <v>14571.57948</v>
      </c>
      <c r="D47" s="74">
        <v>0</v>
      </c>
      <c r="E47" s="74">
        <v>14571.57948</v>
      </c>
      <c r="F47" s="74">
        <v>0</v>
      </c>
      <c r="G47" s="74">
        <f>SECT_TERAC.!U47</f>
        <v>0</v>
      </c>
      <c r="H47" s="74">
        <f>SECT_TERAC.!U57</f>
        <v>0</v>
      </c>
      <c r="I47" s="76">
        <f>SECT_TERAC.!U60</f>
        <v>0</v>
      </c>
      <c r="J47" s="75"/>
      <c r="K47" s="75"/>
      <c r="L47" s="75"/>
    </row>
    <row r="48" spans="2:12">
      <c r="B48" s="989"/>
      <c r="C48" s="74"/>
      <c r="D48" s="74"/>
      <c r="E48" s="74"/>
      <c r="F48" s="74"/>
      <c r="G48" s="74"/>
      <c r="H48" s="74"/>
      <c r="I48" s="76"/>
      <c r="J48" s="75"/>
      <c r="K48" s="75"/>
      <c r="L48" s="75"/>
    </row>
    <row r="49" spans="2:12">
      <c r="B49" s="989" t="s">
        <v>9</v>
      </c>
      <c r="C49" s="74">
        <v>43111.334473362855</v>
      </c>
      <c r="D49" s="74">
        <v>0</v>
      </c>
      <c r="E49" s="74">
        <v>0</v>
      </c>
      <c r="F49" s="74">
        <v>0</v>
      </c>
      <c r="G49" s="74">
        <f>SECT_TERAC.!W47</f>
        <v>38595.947398791061</v>
      </c>
      <c r="H49" s="74">
        <f>SECT_TERAC.!W57</f>
        <v>4515.3870745717859</v>
      </c>
      <c r="I49" s="76">
        <f>SECT_TERAC.!W60</f>
        <v>43111.334473362847</v>
      </c>
      <c r="J49" s="75"/>
      <c r="K49" s="75"/>
      <c r="L49" s="75"/>
    </row>
    <row r="50" spans="2:12">
      <c r="B50" s="989"/>
      <c r="C50" s="74"/>
      <c r="D50" s="74"/>
      <c r="E50" s="74"/>
      <c r="F50" s="74"/>
      <c r="G50" s="74"/>
      <c r="H50" s="74"/>
      <c r="I50" s="76"/>
      <c r="J50" s="75"/>
      <c r="K50" s="75"/>
      <c r="L50" s="75"/>
    </row>
    <row r="51" spans="2:12">
      <c r="B51" s="989" t="s">
        <v>10</v>
      </c>
      <c r="C51" s="74">
        <v>0</v>
      </c>
      <c r="D51" s="74">
        <v>0</v>
      </c>
      <c r="E51" s="74">
        <v>0</v>
      </c>
      <c r="F51" s="74">
        <v>0</v>
      </c>
      <c r="G51" s="74">
        <v>0</v>
      </c>
      <c r="H51" s="74">
        <v>0</v>
      </c>
      <c r="I51" s="76">
        <v>0</v>
      </c>
      <c r="J51" s="75"/>
      <c r="K51" s="75"/>
      <c r="L51" s="75"/>
    </row>
    <row r="52" spans="2:12">
      <c r="B52" s="991"/>
      <c r="C52" s="78"/>
      <c r="D52" s="78"/>
      <c r="E52" s="78"/>
      <c r="F52" s="78"/>
      <c r="G52" s="78"/>
      <c r="H52" s="78"/>
      <c r="I52" s="79"/>
      <c r="J52" s="75"/>
      <c r="K52" s="75"/>
      <c r="L52" s="75"/>
    </row>
    <row r="53" spans="2:12" ht="13.5" thickBot="1">
      <c r="B53" s="992" t="s">
        <v>11</v>
      </c>
      <c r="C53" s="85">
        <f>C10+SUM(C33:C51)</f>
        <v>329096.85039481212</v>
      </c>
      <c r="D53" s="85">
        <f t="shared" ref="D53:I53" si="1">D10+SUM(D33:D51)</f>
        <v>32872.159086338004</v>
      </c>
      <c r="E53" s="85">
        <f t="shared" si="1"/>
        <v>30374.99102201686</v>
      </c>
      <c r="F53" s="85">
        <f t="shared" si="1"/>
        <v>10771.995576449855</v>
      </c>
      <c r="G53" s="85">
        <f t="shared" si="1"/>
        <v>224281.24219478259</v>
      </c>
      <c r="H53" s="85">
        <f t="shared" si="1"/>
        <v>96540.766676100873</v>
      </c>
      <c r="I53" s="86">
        <f t="shared" si="1"/>
        <v>320822.00887088344</v>
      </c>
      <c r="J53" s="75"/>
      <c r="K53" s="75"/>
      <c r="L53" s="75"/>
    </row>
    <row r="54" spans="2:12">
      <c r="B54" s="887"/>
      <c r="C54" s="74"/>
      <c r="D54" s="74"/>
      <c r="E54" s="74"/>
      <c r="F54" s="74"/>
      <c r="G54" s="74"/>
      <c r="H54" s="74"/>
      <c r="I54" s="74"/>
      <c r="J54" s="84"/>
      <c r="K54" s="75"/>
      <c r="L54" s="75"/>
    </row>
    <row r="55" spans="2:12">
      <c r="B55" s="888" t="s">
        <v>76</v>
      </c>
      <c r="C55" s="83"/>
      <c r="D55" s="83"/>
      <c r="E55" s="83"/>
      <c r="F55" s="83"/>
      <c r="G55" s="75"/>
      <c r="H55" s="83"/>
      <c r="I55" s="83"/>
      <c r="J55" s="75"/>
      <c r="K55" s="75"/>
      <c r="L55" s="75"/>
    </row>
    <row r="56" spans="2:12">
      <c r="B56" s="888" t="s">
        <v>71</v>
      </c>
      <c r="C56" s="83"/>
      <c r="D56" s="83"/>
      <c r="E56" s="83"/>
      <c r="F56" s="83"/>
      <c r="G56" s="83"/>
      <c r="H56" s="83"/>
      <c r="I56" s="83"/>
      <c r="J56" s="75"/>
      <c r="K56" s="75"/>
      <c r="L56" s="75"/>
    </row>
    <row r="57" spans="2:12">
      <c r="B57" s="888" t="s">
        <v>72</v>
      </c>
      <c r="C57" s="83"/>
      <c r="D57" s="83"/>
      <c r="E57" s="83"/>
      <c r="F57" s="83"/>
      <c r="G57" s="83"/>
      <c r="H57" s="83"/>
      <c r="I57" s="900"/>
      <c r="J57" s="901"/>
      <c r="K57" s="75"/>
      <c r="L57" s="75"/>
    </row>
    <row r="58" spans="2:12">
      <c r="B58" s="889" t="s">
        <v>42</v>
      </c>
      <c r="C58" s="60"/>
      <c r="D58" s="60"/>
      <c r="E58" s="60"/>
      <c r="F58" s="60"/>
      <c r="G58" s="60"/>
      <c r="H58" s="890"/>
      <c r="I58" s="902"/>
      <c r="J58" s="902"/>
      <c r="K58" s="891"/>
      <c r="L58" s="891"/>
    </row>
    <row r="59" spans="2:12">
      <c r="B59" s="889" t="s">
        <v>43</v>
      </c>
      <c r="C59" s="890"/>
      <c r="D59" s="890"/>
      <c r="E59" s="890"/>
      <c r="F59" s="890"/>
      <c r="G59" s="890"/>
      <c r="H59" s="890"/>
      <c r="I59" s="902"/>
      <c r="J59" s="1261"/>
      <c r="K59" s="891"/>
      <c r="L59" s="891"/>
    </row>
    <row r="60" spans="2:12">
      <c r="B60" s="889" t="s">
        <v>73</v>
      </c>
      <c r="C60" s="890"/>
      <c r="D60" s="890"/>
      <c r="E60" s="890"/>
      <c r="F60" s="890"/>
      <c r="G60" s="890"/>
      <c r="H60" s="890"/>
      <c r="I60" s="902"/>
      <c r="J60" s="902"/>
      <c r="K60" s="891"/>
      <c r="L60" s="891"/>
    </row>
    <row r="61" spans="2:12">
      <c r="B61" s="889" t="s">
        <v>45</v>
      </c>
      <c r="C61" s="890"/>
      <c r="D61" s="890"/>
      <c r="E61" s="890"/>
      <c r="F61" s="890"/>
      <c r="G61" s="890"/>
      <c r="H61" s="890"/>
      <c r="I61" s="902"/>
      <c r="J61" s="902"/>
      <c r="K61" s="891"/>
      <c r="L61" s="891"/>
    </row>
    <row r="62" spans="2:12">
      <c r="B62" s="889" t="s">
        <v>74</v>
      </c>
      <c r="C62" s="890"/>
      <c r="D62" s="890"/>
      <c r="E62" s="890"/>
      <c r="F62" s="890"/>
      <c r="G62" s="890"/>
      <c r="H62" s="890"/>
      <c r="I62" s="902"/>
      <c r="J62" s="902"/>
      <c r="K62" s="891"/>
      <c r="L62" s="891"/>
    </row>
    <row r="63" spans="2:12">
      <c r="B63" s="890" t="s">
        <v>14</v>
      </c>
      <c r="C63" s="890"/>
      <c r="D63" s="890"/>
      <c r="E63" s="890"/>
      <c r="F63" s="890"/>
      <c r="G63" s="890"/>
      <c r="H63" s="890"/>
      <c r="I63" s="902"/>
      <c r="J63" s="902"/>
      <c r="K63" s="891"/>
      <c r="L63" s="891"/>
    </row>
    <row r="64" spans="2:12">
      <c r="B64" s="890" t="s">
        <v>777</v>
      </c>
      <c r="C64" s="890"/>
      <c r="D64" s="890"/>
      <c r="E64" s="890"/>
      <c r="F64" s="890"/>
      <c r="G64" s="890"/>
      <c r="H64" s="903"/>
      <c r="I64" s="902"/>
      <c r="J64" s="902"/>
      <c r="K64" s="891"/>
      <c r="L64" s="891"/>
    </row>
    <row r="65" spans="2:12">
      <c r="B65" s="75"/>
      <c r="C65" s="75"/>
      <c r="D65" s="75"/>
      <c r="E65" s="75"/>
      <c r="F65" s="75"/>
      <c r="G65" s="75"/>
      <c r="H65" s="84"/>
      <c r="I65" s="84"/>
      <c r="J65" s="84"/>
      <c r="K65" s="75"/>
      <c r="L65" s="75"/>
    </row>
    <row r="66" spans="2:12">
      <c r="B66" s="75"/>
      <c r="C66" s="75"/>
      <c r="D66" s="75"/>
      <c r="E66" s="75"/>
      <c r="F66" s="75"/>
      <c r="G66" s="75"/>
      <c r="H66" s="75"/>
      <c r="I66" s="75"/>
      <c r="J66" s="75"/>
      <c r="K66" s="75"/>
      <c r="L66" s="75"/>
    </row>
    <row r="67" spans="2:12">
      <c r="B67" s="70"/>
      <c r="C67" s="70"/>
      <c r="D67" s="70"/>
      <c r="E67" s="70"/>
      <c r="F67" s="70"/>
      <c r="G67" s="70"/>
      <c r="H67" s="70"/>
      <c r="I67" s="70"/>
    </row>
    <row r="68" spans="2:12">
      <c r="B68" s="70"/>
      <c r="C68" s="70"/>
      <c r="D68" s="70"/>
      <c r="E68" s="70"/>
      <c r="F68" s="70"/>
      <c r="G68" s="70"/>
      <c r="H68" s="70"/>
      <c r="I68" s="70"/>
    </row>
    <row r="69" spans="2:12">
      <c r="B69" s="70"/>
      <c r="C69" s="70"/>
      <c r="D69" s="70"/>
      <c r="E69" s="70"/>
      <c r="F69" s="70"/>
      <c r="G69" s="70"/>
      <c r="H69" s="70"/>
      <c r="I69" s="70"/>
    </row>
    <row r="70" spans="2:12">
      <c r="B70" s="70"/>
      <c r="C70" s="70"/>
      <c r="D70" s="70"/>
      <c r="E70" s="70"/>
      <c r="F70" s="70"/>
      <c r="G70" s="70"/>
      <c r="H70" s="70"/>
      <c r="I70" s="70"/>
    </row>
    <row r="71" spans="2:12">
      <c r="B71" s="70"/>
      <c r="C71" s="70"/>
      <c r="D71" s="70"/>
      <c r="E71" s="70"/>
      <c r="F71" s="70"/>
      <c r="G71" s="70"/>
      <c r="H71" s="70"/>
      <c r="I71" s="70"/>
    </row>
    <row r="72" spans="2:12">
      <c r="B72" s="70"/>
      <c r="C72" s="70"/>
      <c r="D72" s="70"/>
      <c r="E72" s="70"/>
      <c r="F72" s="70"/>
      <c r="G72" s="70"/>
      <c r="H72" s="70"/>
      <c r="I72" s="70"/>
    </row>
    <row r="73" spans="2:12">
      <c r="B73" s="70"/>
      <c r="C73" s="70"/>
      <c r="D73" s="70"/>
      <c r="E73" s="70"/>
      <c r="F73" s="70"/>
      <c r="G73" s="70"/>
      <c r="H73" s="70"/>
      <c r="I73" s="70"/>
    </row>
    <row r="74" spans="2:12">
      <c r="B74" s="70"/>
      <c r="C74" s="70"/>
      <c r="D74" s="70"/>
      <c r="E74" s="70"/>
      <c r="F74" s="70"/>
      <c r="G74" s="70"/>
      <c r="H74" s="70"/>
      <c r="I74" s="70"/>
    </row>
    <row r="75" spans="2:12">
      <c r="B75" s="70"/>
      <c r="C75" s="70"/>
      <c r="D75" s="70"/>
      <c r="E75" s="70"/>
      <c r="F75" s="70"/>
      <c r="G75" s="70"/>
      <c r="H75" s="70"/>
      <c r="I75" s="70"/>
    </row>
    <row r="76" spans="2:12">
      <c r="B76" s="70"/>
      <c r="C76" s="70"/>
      <c r="D76" s="70"/>
      <c r="E76" s="70"/>
      <c r="F76" s="70"/>
      <c r="G76" s="70"/>
      <c r="H76" s="70"/>
      <c r="I76" s="70"/>
    </row>
    <row r="77" spans="2:12">
      <c r="B77" s="70"/>
      <c r="C77" s="70"/>
      <c r="D77" s="70"/>
      <c r="E77" s="70"/>
      <c r="F77" s="70"/>
      <c r="G77" s="70"/>
      <c r="H77" s="70"/>
      <c r="I77" s="70"/>
    </row>
    <row r="78" spans="2:12">
      <c r="B78" s="70"/>
      <c r="C78" s="70"/>
      <c r="D78" s="70"/>
      <c r="E78" s="70"/>
      <c r="F78" s="70"/>
      <c r="G78" s="70"/>
      <c r="H78" s="70"/>
      <c r="I78" s="70"/>
    </row>
    <row r="79" spans="2:12">
      <c r="B79" s="70"/>
      <c r="C79" s="70"/>
      <c r="D79" s="70"/>
      <c r="E79" s="70"/>
      <c r="F79" s="70"/>
      <c r="G79" s="70"/>
      <c r="H79" s="70"/>
      <c r="I79" s="70"/>
    </row>
    <row r="80" spans="2:12">
      <c r="B80" s="70"/>
      <c r="C80" s="70"/>
      <c r="D80" s="70"/>
      <c r="E80" s="70"/>
      <c r="F80" s="70"/>
      <c r="G80" s="70"/>
      <c r="H80" s="70"/>
      <c r="I80" s="70"/>
    </row>
    <row r="81" s="70" customFormat="1"/>
    <row r="82" s="70" customFormat="1"/>
    <row r="83" s="70" customFormat="1"/>
    <row r="84" s="70" customFormat="1"/>
    <row r="85" s="70" customFormat="1"/>
    <row r="86" s="70" customFormat="1"/>
    <row r="87" s="70" customFormat="1"/>
    <row r="88" s="70" customFormat="1"/>
    <row r="89" s="70" customFormat="1"/>
    <row r="90" s="70" customFormat="1"/>
    <row r="91" s="70" customFormat="1"/>
    <row r="92" s="70" customFormat="1"/>
    <row r="93" s="70" customFormat="1"/>
    <row r="94" s="70" customFormat="1"/>
    <row r="95" s="70" customFormat="1"/>
    <row r="96" s="70" customFormat="1"/>
    <row r="97" s="70" customFormat="1"/>
    <row r="98" s="70" customFormat="1"/>
    <row r="99" s="70" customFormat="1"/>
    <row r="100" s="70" customFormat="1"/>
    <row r="101" s="70" customFormat="1"/>
    <row r="102" s="70" customFormat="1"/>
    <row r="103" s="70" customFormat="1"/>
    <row r="104" s="70" customFormat="1"/>
    <row r="105" s="70" customFormat="1"/>
  </sheetData>
  <phoneticPr fontId="0" type="noConversion"/>
  <hyperlinks>
    <hyperlink ref="J2" location="INDICE!A1" display="VOLVER A INDICE"/>
  </hyperlinks>
  <pageMargins left="0.75" right="0.75" top="1" bottom="1" header="0" footer="0"/>
  <pageSetup scale="7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36</vt:i4>
      </vt:variant>
      <vt:variant>
        <vt:lpstr>Rangos con nombre</vt:lpstr>
      </vt:variant>
      <vt:variant>
        <vt:i4>5</vt:i4>
      </vt:variant>
    </vt:vector>
  </HeadingPairs>
  <TitlesOfParts>
    <vt:vector size="41" baseType="lpstr">
      <vt:lpstr>TAPA</vt:lpstr>
      <vt:lpstr>INTRO</vt:lpstr>
      <vt:lpstr>INDICE</vt:lpstr>
      <vt:lpstr>CUADRO1</vt:lpstr>
      <vt:lpstr>CUADRO2</vt:lpstr>
      <vt:lpstr>CUADRO5</vt:lpstr>
      <vt:lpstr>CUADRO3</vt:lpstr>
      <vt:lpstr>CUADRO3B</vt:lpstr>
      <vt:lpstr>CUADRO4</vt:lpstr>
      <vt:lpstr>CUADRO6</vt:lpstr>
      <vt:lpstr>CUADRO7</vt:lpstr>
      <vt:lpstr>CUADRO8</vt:lpstr>
      <vt:lpstr>CUADRO9</vt:lpstr>
      <vt:lpstr>CUADRO10</vt:lpstr>
      <vt:lpstr>CUADRO11</vt:lpstr>
      <vt:lpstr>CUADRO12</vt:lpstr>
      <vt:lpstr>CUADRO13</vt:lpstr>
      <vt:lpstr>CUADRO14</vt:lpstr>
      <vt:lpstr>CUADRO15</vt:lpstr>
      <vt:lpstr>CUADRO16</vt:lpstr>
      <vt:lpstr>CUADRO17</vt:lpstr>
      <vt:lpstr>CUADRO18</vt:lpstr>
      <vt:lpstr>CUADRO19</vt:lpstr>
      <vt:lpstr>CUADRO20</vt:lpstr>
      <vt:lpstr>CUADRO21</vt:lpstr>
      <vt:lpstr>CUADRO22</vt:lpstr>
      <vt:lpstr>SECT_TERAC.</vt:lpstr>
      <vt:lpstr>SECT_U.FIS.</vt:lpstr>
      <vt:lpstr>BAL-OLADE</vt:lpstr>
      <vt:lpstr>BAL-APEC</vt:lpstr>
      <vt:lpstr>BAL-MERCOSUR</vt:lpstr>
      <vt:lpstr>BALANCE_ELECT</vt:lpstr>
      <vt:lpstr>CAPACIDADES</vt:lpstr>
      <vt:lpstr>GENERACION EE</vt:lpstr>
      <vt:lpstr>CUADROA2</vt:lpstr>
      <vt:lpstr>CUADROA3</vt:lpstr>
      <vt:lpstr>CUADRO13!Área_de_impresión</vt:lpstr>
      <vt:lpstr>CUADRO21!Área_de_impresión</vt:lpstr>
      <vt:lpstr>CUADRO22!Área_de_impresión</vt:lpstr>
      <vt:lpstr>CUADRO4!Área_de_impresión</vt:lpstr>
      <vt:lpstr>INTRO!Área_de_impresión</vt:lpstr>
    </vt:vector>
  </TitlesOfParts>
  <Company>GOBIERNO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SEPULVEDA-H</dc:creator>
  <cp:lastModifiedBy>Kiumarz Goharriz Chahin</cp:lastModifiedBy>
  <cp:lastPrinted>2006-11-10T10:01:36Z</cp:lastPrinted>
  <dcterms:created xsi:type="dcterms:W3CDTF">2006-01-08T23:20:55Z</dcterms:created>
  <dcterms:modified xsi:type="dcterms:W3CDTF">2018-06-19T20:35:19Z</dcterms:modified>
</cp:coreProperties>
</file>