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goharriz\Dropbox (Comision Nacional Energia)\energia_abierta\catalago_estadisticas\balances_energeticos\"/>
    </mc:Choice>
  </mc:AlternateContent>
  <bookViews>
    <workbookView xWindow="0" yWindow="90" windowWidth="15195" windowHeight="8700" activeTab="3"/>
  </bookViews>
  <sheets>
    <sheet name="TAPA" sheetId="32" r:id="rId1"/>
    <sheet name="INTRO" sheetId="35" r:id="rId2"/>
    <sheet name="INDICE" sheetId="36" r:id="rId3"/>
    <sheet name="CUADRO1" sheetId="1" r:id="rId4"/>
    <sheet name="CUADRO2" sheetId="2" r:id="rId5"/>
    <sheet name="CUADRO3" sheetId="3" r:id="rId6"/>
    <sheet name="CUADRO3B" sheetId="4" r:id="rId7"/>
    <sheet name="CUADRO4" sheetId="5" r:id="rId8"/>
    <sheet name="CUADRO5" sheetId="6" r:id="rId9"/>
    <sheet name="CUADRO6" sheetId="7" r:id="rId10"/>
    <sheet name="CUADRO7" sheetId="8" r:id="rId11"/>
    <sheet name="CUADRO8" sheetId="9" r:id="rId12"/>
    <sheet name="CUADRO9" sheetId="37" r:id="rId13"/>
    <sheet name="CUADRO10" sheetId="10" r:id="rId14"/>
    <sheet name="CUADRO11" sheetId="11" r:id="rId15"/>
    <sheet name="CUADRO12" sheetId="12" r:id="rId16"/>
    <sheet name="CUADRO13" sheetId="13" r:id="rId17"/>
    <sheet name="CUADRO14" sheetId="14" r:id="rId18"/>
    <sheet name="CUADRO15" sheetId="15" r:id="rId19"/>
    <sheet name="CUADRO16" sheetId="16" r:id="rId20"/>
    <sheet name="CUADRO17" sheetId="17" r:id="rId21"/>
    <sheet name="CUADRO18" sheetId="38" r:id="rId22"/>
    <sheet name="CUADRO19" sheetId="18" r:id="rId23"/>
    <sheet name="CUADRO20" sheetId="19" r:id="rId24"/>
    <sheet name="CUADRO21" sheetId="27" r:id="rId25"/>
    <sheet name="CUADRO22" sheetId="39" r:id="rId26"/>
    <sheet name="SECT_TERAC." sheetId="20" r:id="rId27"/>
    <sheet name="BAL-OLADE" sheetId="23" state="hidden" r:id="rId28"/>
    <sheet name="BAL-APEC" sheetId="29" state="hidden" r:id="rId29"/>
    <sheet name="BAL-MERCOSUR" sheetId="31" state="hidden" r:id="rId30"/>
    <sheet name="SECT_U.FIS." sheetId="21" r:id="rId31"/>
    <sheet name="BALANCE_ELECT" sheetId="40" r:id="rId32"/>
    <sheet name="CAPACIDADES" sheetId="41" r:id="rId33"/>
    <sheet name="GENERACION EE" sheetId="42" r:id="rId34"/>
    <sheet name="CUADROA2" sheetId="33" r:id="rId35"/>
    <sheet name="CUADROA3" sheetId="34" r:id="rId36"/>
  </sheets>
  <definedNames>
    <definedName name="_xlnm._FilterDatabase" localSheetId="8" hidden="1">CUADRO5!$B$30:$I$32</definedName>
    <definedName name="_xlnm.Print_Area" localSheetId="16">CUADRO13!$B$2:$I$58</definedName>
    <definedName name="_xlnm.Print_Area" localSheetId="24">CUADRO21!$B$1:$L$59</definedName>
    <definedName name="_xlnm.Print_Area" localSheetId="7">CUADRO4!$B$2:$I$33</definedName>
    <definedName name="_xlnm.Print_Area" localSheetId="1">INTRO!$A$1:$I$75</definedName>
  </definedNames>
  <calcPr calcId="162913"/>
</workbook>
</file>

<file path=xl/calcChain.xml><?xml version="1.0" encoding="utf-8"?>
<calcChain xmlns="http://schemas.openxmlformats.org/spreadsheetml/2006/main">
  <c r="C31" i="2" l="1"/>
  <c r="C23" i="1"/>
  <c r="C21" i="42"/>
  <c r="I69" i="41"/>
  <c r="C56" i="40"/>
  <c r="C41" i="40"/>
  <c r="D44" i="40" s="1"/>
  <c r="D51" i="40"/>
  <c r="C32" i="40"/>
  <c r="D37" i="40"/>
  <c r="D36" i="40"/>
  <c r="D35" i="40"/>
  <c r="D34" i="40"/>
  <c r="D33" i="40"/>
  <c r="C26" i="40"/>
  <c r="C20" i="40" s="1"/>
  <c r="C21" i="40"/>
  <c r="E24" i="40" s="1"/>
  <c r="C15" i="40"/>
  <c r="E16" i="40" s="1"/>
  <c r="C10" i="40"/>
  <c r="O47" i="39"/>
  <c r="K45" i="39"/>
  <c r="I45" i="39"/>
  <c r="G45" i="39"/>
  <c r="E45" i="39"/>
  <c r="C45" i="39"/>
  <c r="O33" i="39"/>
  <c r="P31" i="39" s="1"/>
  <c r="P32" i="39"/>
  <c r="P28" i="39"/>
  <c r="E20" i="39"/>
  <c r="C20" i="39"/>
  <c r="D18" i="39" s="1"/>
  <c r="E8" i="39"/>
  <c r="C8" i="39"/>
  <c r="D7" i="39" s="1"/>
  <c r="D6" i="39"/>
  <c r="G10" i="4"/>
  <c r="D49" i="4" s="1"/>
  <c r="D10" i="5"/>
  <c r="E10" i="5"/>
  <c r="F49" i="4"/>
  <c r="G12" i="4"/>
  <c r="D50" i="4" s="1"/>
  <c r="E50" i="4"/>
  <c r="F50" i="4"/>
  <c r="G14" i="4"/>
  <c r="D51" i="4"/>
  <c r="E51" i="4"/>
  <c r="F51" i="4"/>
  <c r="D52" i="4"/>
  <c r="E52" i="4"/>
  <c r="F52" i="4"/>
  <c r="F55" i="4" s="1"/>
  <c r="G18" i="3"/>
  <c r="G18" i="4" s="1"/>
  <c r="E53" i="4"/>
  <c r="F53" i="4"/>
  <c r="G54" i="4"/>
  <c r="C27" i="8"/>
  <c r="D27" i="8"/>
  <c r="E27" i="8"/>
  <c r="F27" i="8"/>
  <c r="G27" i="8"/>
  <c r="H27" i="8"/>
  <c r="I27" i="8"/>
  <c r="J27" i="8"/>
  <c r="K27" i="8"/>
  <c r="L27" i="8"/>
  <c r="M27" i="8"/>
  <c r="C29" i="8"/>
  <c r="D29" i="8"/>
  <c r="E29" i="8"/>
  <c r="F29" i="8"/>
  <c r="G29" i="8"/>
  <c r="H29" i="8"/>
  <c r="I29" i="8"/>
  <c r="J29" i="8"/>
  <c r="K29" i="8"/>
  <c r="L29" i="8"/>
  <c r="M29" i="8"/>
  <c r="C31" i="8"/>
  <c r="D31" i="8"/>
  <c r="E31" i="8"/>
  <c r="F31" i="8"/>
  <c r="G31" i="8"/>
  <c r="H31" i="8"/>
  <c r="I31" i="8"/>
  <c r="J31" i="8"/>
  <c r="K31" i="8"/>
  <c r="L31" i="8"/>
  <c r="M31" i="8"/>
  <c r="C33" i="8"/>
  <c r="N33" i="8" s="1"/>
  <c r="D33" i="8"/>
  <c r="E33" i="8"/>
  <c r="F33" i="8"/>
  <c r="H33" i="8"/>
  <c r="I33" i="8"/>
  <c r="J33" i="8"/>
  <c r="K33" i="8"/>
  <c r="L33" i="8"/>
  <c r="M33" i="8"/>
  <c r="G33" i="8"/>
  <c r="C35" i="8"/>
  <c r="D35" i="8"/>
  <c r="E35" i="8"/>
  <c r="F35" i="8"/>
  <c r="G35" i="8"/>
  <c r="H35" i="8"/>
  <c r="I35" i="8"/>
  <c r="J35" i="8"/>
  <c r="K35" i="8"/>
  <c r="L35" i="8"/>
  <c r="M35" i="8"/>
  <c r="C37" i="8"/>
  <c r="D37" i="8"/>
  <c r="E37" i="8"/>
  <c r="F37" i="8"/>
  <c r="G37" i="8"/>
  <c r="H37" i="8"/>
  <c r="I37" i="8"/>
  <c r="J37" i="8"/>
  <c r="K37" i="8"/>
  <c r="L37" i="8"/>
  <c r="M37" i="8"/>
  <c r="C39" i="8"/>
  <c r="D39" i="8"/>
  <c r="E39" i="8"/>
  <c r="F39" i="8"/>
  <c r="G39" i="8"/>
  <c r="H39" i="8"/>
  <c r="I39" i="8"/>
  <c r="J39" i="8"/>
  <c r="K39" i="8"/>
  <c r="L39" i="8"/>
  <c r="M39" i="8"/>
  <c r="C41" i="8"/>
  <c r="D41" i="8"/>
  <c r="E41" i="8"/>
  <c r="F41" i="8"/>
  <c r="G41" i="8"/>
  <c r="H41" i="8"/>
  <c r="I41" i="8"/>
  <c r="J41" i="8"/>
  <c r="K41" i="8"/>
  <c r="L41" i="8"/>
  <c r="M41" i="8"/>
  <c r="C43" i="8"/>
  <c r="D43" i="8"/>
  <c r="E43" i="8"/>
  <c r="F43" i="8"/>
  <c r="G43" i="8"/>
  <c r="H43" i="8"/>
  <c r="I43" i="8"/>
  <c r="J43" i="8"/>
  <c r="K43" i="8"/>
  <c r="L43" i="8"/>
  <c r="M43" i="8"/>
  <c r="C11" i="8"/>
  <c r="D11" i="8"/>
  <c r="E11" i="8"/>
  <c r="F11" i="8"/>
  <c r="G11" i="8"/>
  <c r="H11" i="8"/>
  <c r="I11" i="8"/>
  <c r="N11" i="8" s="1"/>
  <c r="J11" i="8"/>
  <c r="K11" i="8"/>
  <c r="L11" i="8"/>
  <c r="M11" i="8"/>
  <c r="C13" i="8"/>
  <c r="D13" i="8"/>
  <c r="E13" i="8"/>
  <c r="F13" i="8"/>
  <c r="F9" i="8" s="1"/>
  <c r="F46" i="8" s="1"/>
  <c r="G13" i="8"/>
  <c r="H13" i="8"/>
  <c r="I13" i="8"/>
  <c r="J13" i="8"/>
  <c r="K13" i="8"/>
  <c r="L13" i="8"/>
  <c r="M13" i="8"/>
  <c r="C15" i="8"/>
  <c r="C9" i="8" s="1"/>
  <c r="C46" i="8" s="1"/>
  <c r="D15" i="8"/>
  <c r="E15" i="8"/>
  <c r="F15" i="8"/>
  <c r="G15" i="8"/>
  <c r="H15" i="8"/>
  <c r="I15" i="8"/>
  <c r="J15" i="8"/>
  <c r="K15" i="8"/>
  <c r="K9" i="8" s="1"/>
  <c r="K46" i="8" s="1"/>
  <c r="L15" i="8"/>
  <c r="M15" i="8"/>
  <c r="C17" i="8"/>
  <c r="D17" i="8"/>
  <c r="E17" i="8"/>
  <c r="F17" i="8"/>
  <c r="G17" i="8"/>
  <c r="H17" i="8"/>
  <c r="H9" i="8" s="1"/>
  <c r="H46" i="8" s="1"/>
  <c r="I17" i="8"/>
  <c r="J17" i="8"/>
  <c r="K17" i="8"/>
  <c r="L17" i="8"/>
  <c r="M17" i="8"/>
  <c r="C19" i="8"/>
  <c r="D19" i="8"/>
  <c r="E19" i="8"/>
  <c r="E9" i="8" s="1"/>
  <c r="E46" i="8" s="1"/>
  <c r="F19" i="8"/>
  <c r="G19" i="8"/>
  <c r="H19" i="8"/>
  <c r="I19" i="8"/>
  <c r="J19" i="8"/>
  <c r="K19" i="8"/>
  <c r="L19" i="8"/>
  <c r="M19" i="8"/>
  <c r="M9" i="8" s="1"/>
  <c r="M46" i="8" s="1"/>
  <c r="C21" i="8"/>
  <c r="D21" i="8"/>
  <c r="E21" i="8"/>
  <c r="F21" i="8"/>
  <c r="G21" i="8"/>
  <c r="H21" i="8"/>
  <c r="I21" i="8"/>
  <c r="J21" i="8"/>
  <c r="J9" i="8" s="1"/>
  <c r="J46" i="8" s="1"/>
  <c r="K21" i="8"/>
  <c r="L21" i="8"/>
  <c r="M21" i="8"/>
  <c r="C23" i="8"/>
  <c r="D23" i="8"/>
  <c r="E23" i="8"/>
  <c r="F23" i="8"/>
  <c r="G23" i="8"/>
  <c r="G9" i="8" s="1"/>
  <c r="G46" i="8" s="1"/>
  <c r="H23" i="8"/>
  <c r="I23" i="8"/>
  <c r="J23" i="8"/>
  <c r="K23" i="8"/>
  <c r="L23" i="8"/>
  <c r="M23" i="8"/>
  <c r="C25" i="8"/>
  <c r="D25" i="8"/>
  <c r="E25" i="8"/>
  <c r="F25" i="8"/>
  <c r="G25" i="8"/>
  <c r="H25" i="8"/>
  <c r="I25" i="8"/>
  <c r="J25" i="8"/>
  <c r="K25" i="8"/>
  <c r="L25" i="8"/>
  <c r="M25" i="8"/>
  <c r="D39" i="20"/>
  <c r="D39" i="21" s="1"/>
  <c r="R39" i="20"/>
  <c r="S39" i="20"/>
  <c r="H38" i="20"/>
  <c r="T38" i="20"/>
  <c r="S38" i="21" s="1"/>
  <c r="D34" i="38" s="1"/>
  <c r="H34" i="38" s="1"/>
  <c r="M40" i="20"/>
  <c r="X40" i="20" s="1"/>
  <c r="T53" i="20"/>
  <c r="S53" i="21" s="1"/>
  <c r="E24" i="18" s="1"/>
  <c r="T51" i="20"/>
  <c r="M41" i="20"/>
  <c r="X41" i="20" s="1"/>
  <c r="M42" i="20"/>
  <c r="X42" i="20"/>
  <c r="H51" i="20"/>
  <c r="H51" i="21" s="1"/>
  <c r="D16" i="18" s="1"/>
  <c r="H75" i="20"/>
  <c r="V49" i="21"/>
  <c r="C26" i="18" s="1"/>
  <c r="V50" i="21"/>
  <c r="V51" i="21"/>
  <c r="D26" i="18" s="1"/>
  <c r="V52" i="21"/>
  <c r="V53" i="21"/>
  <c r="E26" i="18"/>
  <c r="V54" i="21"/>
  <c r="F26" i="18"/>
  <c r="V55" i="21"/>
  <c r="G26" i="18" s="1"/>
  <c r="S49" i="21"/>
  <c r="S50" i="21"/>
  <c r="S52" i="21"/>
  <c r="S55" i="21"/>
  <c r="G24" i="18" s="1"/>
  <c r="S54" i="21"/>
  <c r="F24" i="18" s="1"/>
  <c r="O49" i="21"/>
  <c r="C22" i="18" s="1"/>
  <c r="O50" i="21"/>
  <c r="O51" i="21"/>
  <c r="D22" i="18" s="1"/>
  <c r="O52" i="21"/>
  <c r="O53" i="21"/>
  <c r="E22" i="18"/>
  <c r="O54" i="21"/>
  <c r="F22" i="18" s="1"/>
  <c r="O55" i="21"/>
  <c r="G22" i="18" s="1"/>
  <c r="N49" i="21"/>
  <c r="C20" i="18" s="1"/>
  <c r="N50" i="21"/>
  <c r="N52" i="21"/>
  <c r="N51" i="21"/>
  <c r="N53" i="21"/>
  <c r="E20" i="18" s="1"/>
  <c r="N54" i="21"/>
  <c r="F20" i="18" s="1"/>
  <c r="N55" i="21"/>
  <c r="G20" i="18" s="1"/>
  <c r="L49" i="21"/>
  <c r="C18" i="18" s="1"/>
  <c r="L50" i="21"/>
  <c r="L51" i="21"/>
  <c r="L52" i="21"/>
  <c r="L53" i="21"/>
  <c r="E18" i="18" s="1"/>
  <c r="L54" i="21"/>
  <c r="F18" i="18" s="1"/>
  <c r="L55" i="21"/>
  <c r="G18" i="18" s="1"/>
  <c r="H49" i="21"/>
  <c r="H50" i="21"/>
  <c r="C16" i="18" s="1"/>
  <c r="H52" i="21"/>
  <c r="H53" i="21"/>
  <c r="E16" i="18" s="1"/>
  <c r="H54" i="21"/>
  <c r="F16" i="18"/>
  <c r="H55" i="21"/>
  <c r="G16" i="18" s="1"/>
  <c r="C49" i="21"/>
  <c r="C50" i="21"/>
  <c r="C51" i="21"/>
  <c r="C52" i="21"/>
  <c r="C53" i="21"/>
  <c r="E14" i="18" s="1"/>
  <c r="C54" i="21"/>
  <c r="F14" i="18" s="1"/>
  <c r="C55" i="21"/>
  <c r="G14" i="18"/>
  <c r="D49" i="21"/>
  <c r="C12" i="18" s="1"/>
  <c r="D50" i="21"/>
  <c r="D51" i="21"/>
  <c r="D52" i="21"/>
  <c r="D53" i="21"/>
  <c r="E12" i="18" s="1"/>
  <c r="D54" i="21"/>
  <c r="F12" i="18" s="1"/>
  <c r="D55" i="21"/>
  <c r="G12" i="18"/>
  <c r="P36" i="21"/>
  <c r="C28" i="38" s="1"/>
  <c r="P37" i="21"/>
  <c r="P38" i="21"/>
  <c r="D28" i="38" s="1"/>
  <c r="P39" i="21"/>
  <c r="P40" i="21"/>
  <c r="E28" i="38" s="1"/>
  <c r="P41" i="21"/>
  <c r="F28" i="38"/>
  <c r="P42" i="21"/>
  <c r="G28" i="38" s="1"/>
  <c r="T36" i="21"/>
  <c r="C36" i="38" s="1"/>
  <c r="T37" i="21"/>
  <c r="T38" i="21"/>
  <c r="D36" i="38" s="1"/>
  <c r="T39" i="21"/>
  <c r="T40" i="21"/>
  <c r="E36" i="38" s="1"/>
  <c r="T41" i="21"/>
  <c r="F36" i="38" s="1"/>
  <c r="T42" i="21"/>
  <c r="G36" i="38" s="1"/>
  <c r="S36" i="21"/>
  <c r="C34" i="38" s="1"/>
  <c r="S37" i="21"/>
  <c r="S39" i="21"/>
  <c r="S40" i="21"/>
  <c r="E34" i="38"/>
  <c r="S41" i="21"/>
  <c r="F34" i="38"/>
  <c r="S42" i="21"/>
  <c r="G34" i="38"/>
  <c r="R36" i="21"/>
  <c r="C32" i="38" s="1"/>
  <c r="R37" i="21"/>
  <c r="R38" i="21"/>
  <c r="R40" i="21"/>
  <c r="E32" i="38" s="1"/>
  <c r="R41" i="21"/>
  <c r="F32" i="38" s="1"/>
  <c r="R42" i="21"/>
  <c r="G32" i="38" s="1"/>
  <c r="Q36" i="21"/>
  <c r="C30" i="38" s="1"/>
  <c r="Q37" i="21"/>
  <c r="Q38" i="21"/>
  <c r="Q39" i="21"/>
  <c r="Q40" i="21"/>
  <c r="E30" i="38" s="1"/>
  <c r="Q41" i="21"/>
  <c r="F30" i="38" s="1"/>
  <c r="Q42" i="21"/>
  <c r="G30" i="38" s="1"/>
  <c r="N36" i="21"/>
  <c r="N37" i="21"/>
  <c r="C26" i="38" s="1"/>
  <c r="N38" i="21"/>
  <c r="N39" i="21"/>
  <c r="D26" i="38"/>
  <c r="N40" i="21"/>
  <c r="E26" i="38" s="1"/>
  <c r="N41" i="21"/>
  <c r="F26" i="38" s="1"/>
  <c r="N42" i="21"/>
  <c r="G26" i="38" s="1"/>
  <c r="M36" i="21"/>
  <c r="M37" i="21"/>
  <c r="M38" i="21"/>
  <c r="D24" i="38" s="1"/>
  <c r="M39" i="21"/>
  <c r="M40" i="21"/>
  <c r="E24" i="38" s="1"/>
  <c r="M41" i="21"/>
  <c r="F24" i="38" s="1"/>
  <c r="M42" i="21"/>
  <c r="G24" i="38"/>
  <c r="L36" i="21"/>
  <c r="C22" i="38" s="1"/>
  <c r="L37" i="21"/>
  <c r="L38" i="21"/>
  <c r="D22" i="38" s="1"/>
  <c r="L39" i="21"/>
  <c r="L40" i="21"/>
  <c r="E22" i="38"/>
  <c r="L41" i="21"/>
  <c r="F22" i="38" s="1"/>
  <c r="L42" i="21"/>
  <c r="G22" i="38" s="1"/>
  <c r="K36" i="21"/>
  <c r="C20" i="38" s="1"/>
  <c r="K37" i="21"/>
  <c r="K38" i="21"/>
  <c r="D20" i="38" s="1"/>
  <c r="K39" i="21"/>
  <c r="K40" i="21"/>
  <c r="E20" i="38"/>
  <c r="K41" i="21"/>
  <c r="F20" i="38" s="1"/>
  <c r="K42" i="21"/>
  <c r="G20" i="38" s="1"/>
  <c r="H36" i="21"/>
  <c r="C18" i="38" s="1"/>
  <c r="H37" i="21"/>
  <c r="H39" i="21"/>
  <c r="H40" i="21"/>
  <c r="E18" i="38" s="1"/>
  <c r="H41" i="21"/>
  <c r="F18" i="38" s="1"/>
  <c r="H42" i="21"/>
  <c r="G18" i="38" s="1"/>
  <c r="E36" i="21"/>
  <c r="E37" i="21"/>
  <c r="E38" i="21"/>
  <c r="E39" i="21"/>
  <c r="D16" i="38" s="1"/>
  <c r="E40" i="21"/>
  <c r="E16" i="38" s="1"/>
  <c r="E41" i="21"/>
  <c r="F16" i="38" s="1"/>
  <c r="E42" i="21"/>
  <c r="G16" i="38" s="1"/>
  <c r="C36" i="21"/>
  <c r="C14" i="38" s="1"/>
  <c r="C37" i="21"/>
  <c r="C38" i="21"/>
  <c r="C39" i="21"/>
  <c r="C40" i="21"/>
  <c r="E14" i="38" s="1"/>
  <c r="C41" i="21"/>
  <c r="F14" i="38" s="1"/>
  <c r="C42" i="21"/>
  <c r="G14" i="38" s="1"/>
  <c r="D36" i="21"/>
  <c r="D37" i="21"/>
  <c r="D38" i="21"/>
  <c r="D12" i="38" s="1"/>
  <c r="D40" i="21"/>
  <c r="E12" i="38" s="1"/>
  <c r="D41" i="21"/>
  <c r="F12" i="38" s="1"/>
  <c r="D42" i="21"/>
  <c r="G12" i="38" s="1"/>
  <c r="V29" i="21"/>
  <c r="C30" i="17"/>
  <c r="V30" i="21"/>
  <c r="D30" i="17" s="1"/>
  <c r="V31" i="21"/>
  <c r="E30" i="17"/>
  <c r="F30" i="17" s="1"/>
  <c r="S29" i="21"/>
  <c r="C28" i="17" s="1"/>
  <c r="S30" i="21"/>
  <c r="D28" i="17" s="1"/>
  <c r="S31" i="21"/>
  <c r="E28" i="17"/>
  <c r="Q29" i="21"/>
  <c r="C26" i="17" s="1"/>
  <c r="Q30" i="21"/>
  <c r="D26" i="17"/>
  <c r="Q31" i="21"/>
  <c r="E26" i="17" s="1"/>
  <c r="N29" i="21"/>
  <c r="C24" i="17" s="1"/>
  <c r="N30" i="21"/>
  <c r="D24" i="17" s="1"/>
  <c r="N31" i="21"/>
  <c r="E24" i="17" s="1"/>
  <c r="M29" i="21"/>
  <c r="C22" i="17" s="1"/>
  <c r="M30" i="21"/>
  <c r="D22" i="17" s="1"/>
  <c r="M31" i="21"/>
  <c r="E22" i="17"/>
  <c r="H29" i="21"/>
  <c r="C20" i="17"/>
  <c r="H30" i="21"/>
  <c r="D20" i="17" s="1"/>
  <c r="H31" i="21"/>
  <c r="E20" i="17" s="1"/>
  <c r="K29" i="21"/>
  <c r="C18" i="17" s="1"/>
  <c r="K30" i="21"/>
  <c r="D18" i="17" s="1"/>
  <c r="K31" i="21"/>
  <c r="E18" i="17" s="1"/>
  <c r="G29" i="21"/>
  <c r="C16" i="17" s="1"/>
  <c r="G30" i="21"/>
  <c r="D16" i="17" s="1"/>
  <c r="G31" i="21"/>
  <c r="E16" i="17" s="1"/>
  <c r="C29" i="21"/>
  <c r="C14" i="17"/>
  <c r="C30" i="21"/>
  <c r="D14" i="17" s="1"/>
  <c r="C31" i="21"/>
  <c r="E14" i="17" s="1"/>
  <c r="D29" i="21"/>
  <c r="C12" i="17" s="1"/>
  <c r="D30" i="21"/>
  <c r="D12" i="17" s="1"/>
  <c r="D31" i="21"/>
  <c r="E12" i="17" s="1"/>
  <c r="S21" i="21"/>
  <c r="J34" i="16" s="1"/>
  <c r="D24" i="21"/>
  <c r="M10" i="16"/>
  <c r="V24" i="21"/>
  <c r="M38" i="16" s="1"/>
  <c r="V23" i="21"/>
  <c r="L38" i="16" s="1"/>
  <c r="V22" i="21"/>
  <c r="K38" i="16" s="1"/>
  <c r="V21" i="21"/>
  <c r="J38" i="16" s="1"/>
  <c r="V20" i="21"/>
  <c r="I38" i="16" s="1"/>
  <c r="V19" i="21"/>
  <c r="H38" i="16" s="1"/>
  <c r="V18" i="21"/>
  <c r="G38" i="16" s="1"/>
  <c r="V17" i="21"/>
  <c r="F38" i="16" s="1"/>
  <c r="V16" i="21"/>
  <c r="E38" i="16" s="1"/>
  <c r="V15" i="21"/>
  <c r="D38" i="16" s="1"/>
  <c r="T24" i="21"/>
  <c r="M36" i="16" s="1"/>
  <c r="T23" i="21"/>
  <c r="L36" i="16" s="1"/>
  <c r="T22" i="21"/>
  <c r="K36" i="16" s="1"/>
  <c r="T21" i="21"/>
  <c r="J36" i="16" s="1"/>
  <c r="T20" i="21"/>
  <c r="I36" i="16" s="1"/>
  <c r="T19" i="21"/>
  <c r="H36" i="16" s="1"/>
  <c r="T18" i="21"/>
  <c r="G36" i="16" s="1"/>
  <c r="T17" i="21"/>
  <c r="F36" i="16" s="1"/>
  <c r="T16" i="21"/>
  <c r="E36" i="16" s="1"/>
  <c r="T15" i="21"/>
  <c r="D36" i="16" s="1"/>
  <c r="S24" i="21"/>
  <c r="M34" i="16" s="1"/>
  <c r="S23" i="21"/>
  <c r="L34" i="16" s="1"/>
  <c r="S22" i="21"/>
  <c r="K34" i="16" s="1"/>
  <c r="S20" i="21"/>
  <c r="I34" i="16" s="1"/>
  <c r="S19" i="21"/>
  <c r="H34" i="16" s="1"/>
  <c r="S18" i="21"/>
  <c r="G34" i="16" s="1"/>
  <c r="S17" i="21"/>
  <c r="F34" i="16" s="1"/>
  <c r="S16" i="21"/>
  <c r="E34" i="16" s="1"/>
  <c r="S15" i="21"/>
  <c r="D34" i="16" s="1"/>
  <c r="R24" i="21"/>
  <c r="M32" i="16" s="1"/>
  <c r="R23" i="21"/>
  <c r="L32" i="16" s="1"/>
  <c r="R22" i="21"/>
  <c r="K32" i="16" s="1"/>
  <c r="R21" i="21"/>
  <c r="J32" i="16" s="1"/>
  <c r="R20" i="21"/>
  <c r="I32" i="16" s="1"/>
  <c r="R19" i="21"/>
  <c r="H32" i="16" s="1"/>
  <c r="R18" i="21"/>
  <c r="G32" i="16" s="1"/>
  <c r="R17" i="21"/>
  <c r="F32" i="16" s="1"/>
  <c r="R16" i="21"/>
  <c r="E32" i="16" s="1"/>
  <c r="R15" i="21"/>
  <c r="D32" i="16" s="1"/>
  <c r="Q24" i="21"/>
  <c r="M30" i="16" s="1"/>
  <c r="Q23" i="21"/>
  <c r="L30" i="16" s="1"/>
  <c r="Q22" i="21"/>
  <c r="K30" i="16" s="1"/>
  <c r="Q21" i="21"/>
  <c r="J30" i="16" s="1"/>
  <c r="Q20" i="21"/>
  <c r="I30" i="16" s="1"/>
  <c r="Q19" i="21"/>
  <c r="H30" i="16" s="1"/>
  <c r="Q18" i="21"/>
  <c r="G30" i="16" s="1"/>
  <c r="Q17" i="21"/>
  <c r="F30" i="16" s="1"/>
  <c r="Q16" i="21"/>
  <c r="E30" i="16"/>
  <c r="Q15" i="21"/>
  <c r="D30" i="16" s="1"/>
  <c r="P24" i="21"/>
  <c r="M28" i="16" s="1"/>
  <c r="P23" i="21"/>
  <c r="L28" i="16" s="1"/>
  <c r="P22" i="21"/>
  <c r="K28" i="16" s="1"/>
  <c r="P21" i="21"/>
  <c r="J28" i="16" s="1"/>
  <c r="P20" i="21"/>
  <c r="I28" i="16" s="1"/>
  <c r="P19" i="21"/>
  <c r="H28" i="16" s="1"/>
  <c r="P18" i="21"/>
  <c r="G28" i="16" s="1"/>
  <c r="P17" i="21"/>
  <c r="F28" i="16" s="1"/>
  <c r="P16" i="21"/>
  <c r="E28" i="16" s="1"/>
  <c r="P15" i="21"/>
  <c r="D28" i="16" s="1"/>
  <c r="O24" i="21"/>
  <c r="M26" i="16"/>
  <c r="O23" i="21"/>
  <c r="L26" i="16" s="1"/>
  <c r="O22" i="21"/>
  <c r="K26" i="16" s="1"/>
  <c r="O21" i="21"/>
  <c r="J26" i="16" s="1"/>
  <c r="O20" i="21"/>
  <c r="I26" i="16" s="1"/>
  <c r="O19" i="21"/>
  <c r="H26" i="16" s="1"/>
  <c r="O18" i="21"/>
  <c r="G26" i="16" s="1"/>
  <c r="O17" i="21"/>
  <c r="F26" i="16" s="1"/>
  <c r="O16" i="21"/>
  <c r="E26" i="16"/>
  <c r="O15" i="21"/>
  <c r="D26" i="16" s="1"/>
  <c r="N24" i="21"/>
  <c r="M24" i="16" s="1"/>
  <c r="N23" i="21"/>
  <c r="L24" i="16" s="1"/>
  <c r="N22" i="21"/>
  <c r="K24" i="16" s="1"/>
  <c r="N21" i="21"/>
  <c r="J24" i="16" s="1"/>
  <c r="N20" i="21"/>
  <c r="I24" i="16" s="1"/>
  <c r="N19" i="21"/>
  <c r="H24" i="16" s="1"/>
  <c r="N18" i="21"/>
  <c r="G24" i="16" s="1"/>
  <c r="N17" i="21"/>
  <c r="F24" i="16" s="1"/>
  <c r="N16" i="21"/>
  <c r="E24" i="16" s="1"/>
  <c r="N15" i="21"/>
  <c r="D24" i="16" s="1"/>
  <c r="M24" i="21"/>
  <c r="M22" i="16"/>
  <c r="M23" i="21"/>
  <c r="L22" i="16" s="1"/>
  <c r="M22" i="21"/>
  <c r="K22" i="16" s="1"/>
  <c r="M20" i="21"/>
  <c r="I22" i="16" s="1"/>
  <c r="M21" i="21"/>
  <c r="J22" i="16" s="1"/>
  <c r="M19" i="21"/>
  <c r="H22" i="16" s="1"/>
  <c r="M18" i="21"/>
  <c r="G22" i="16" s="1"/>
  <c r="M17" i="21"/>
  <c r="F22" i="16" s="1"/>
  <c r="M16" i="21"/>
  <c r="E22" i="16" s="1"/>
  <c r="M15" i="21"/>
  <c r="D22" i="16" s="1"/>
  <c r="L24" i="21"/>
  <c r="M20" i="16" s="1"/>
  <c r="L23" i="21"/>
  <c r="L20" i="16" s="1"/>
  <c r="L22" i="21"/>
  <c r="K20" i="16" s="1"/>
  <c r="L21" i="21"/>
  <c r="J20" i="16" s="1"/>
  <c r="L20" i="21"/>
  <c r="I20" i="16" s="1"/>
  <c r="L19" i="21"/>
  <c r="H20" i="16" s="1"/>
  <c r="L18" i="21"/>
  <c r="G20" i="16"/>
  <c r="L17" i="21"/>
  <c r="F20" i="16" s="1"/>
  <c r="L16" i="21"/>
  <c r="E20" i="16" s="1"/>
  <c r="L15" i="21"/>
  <c r="D20" i="16" s="1"/>
  <c r="K24" i="21"/>
  <c r="M18" i="16" s="1"/>
  <c r="K23" i="21"/>
  <c r="L18" i="16" s="1"/>
  <c r="K22" i="21"/>
  <c r="K18" i="16" s="1"/>
  <c r="K21" i="21"/>
  <c r="J18" i="16" s="1"/>
  <c r="K20" i="21"/>
  <c r="I18" i="16"/>
  <c r="K19" i="21"/>
  <c r="H18" i="16" s="1"/>
  <c r="K18" i="21"/>
  <c r="G18" i="16" s="1"/>
  <c r="K17" i="21"/>
  <c r="F18" i="16" s="1"/>
  <c r="K16" i="21"/>
  <c r="E18" i="16"/>
  <c r="K15" i="21"/>
  <c r="D18" i="16" s="1"/>
  <c r="H24" i="21"/>
  <c r="M16" i="16" s="1"/>
  <c r="H23" i="21"/>
  <c r="L16" i="16" s="1"/>
  <c r="H22" i="21"/>
  <c r="K16" i="16" s="1"/>
  <c r="H21" i="21"/>
  <c r="J16" i="16" s="1"/>
  <c r="H20" i="21"/>
  <c r="I16" i="16"/>
  <c r="H19" i="21"/>
  <c r="H16" i="16" s="1"/>
  <c r="H18" i="21"/>
  <c r="G16" i="16"/>
  <c r="H17" i="21"/>
  <c r="F16" i="16" s="1"/>
  <c r="H16" i="21"/>
  <c r="E16" i="16" s="1"/>
  <c r="H15" i="21"/>
  <c r="D16" i="16" s="1"/>
  <c r="D23" i="21"/>
  <c r="L10" i="16"/>
  <c r="D22" i="21"/>
  <c r="K10" i="16" s="1"/>
  <c r="D21" i="21"/>
  <c r="J10" i="16" s="1"/>
  <c r="D20" i="21"/>
  <c r="I10" i="16" s="1"/>
  <c r="D19" i="21"/>
  <c r="H10" i="16"/>
  <c r="D18" i="21"/>
  <c r="G10" i="16" s="1"/>
  <c r="D17" i="21"/>
  <c r="F10" i="16"/>
  <c r="G24" i="21"/>
  <c r="M14" i="16" s="1"/>
  <c r="G23" i="21"/>
  <c r="L14" i="16"/>
  <c r="G22" i="21"/>
  <c r="K14" i="16" s="1"/>
  <c r="G21" i="21"/>
  <c r="J14" i="16"/>
  <c r="G20" i="21"/>
  <c r="I14" i="16" s="1"/>
  <c r="G19" i="21"/>
  <c r="H14" i="16"/>
  <c r="G18" i="21"/>
  <c r="G14" i="16" s="1"/>
  <c r="G17" i="21"/>
  <c r="F14" i="16" s="1"/>
  <c r="G16" i="21"/>
  <c r="E14" i="16" s="1"/>
  <c r="G15" i="21"/>
  <c r="D14" i="16"/>
  <c r="C24" i="21"/>
  <c r="M12" i="16" s="1"/>
  <c r="C23" i="21"/>
  <c r="L12" i="16" s="1"/>
  <c r="C22" i="21"/>
  <c r="K12" i="16" s="1"/>
  <c r="C21" i="21"/>
  <c r="J12" i="16"/>
  <c r="C20" i="21"/>
  <c r="I12" i="16" s="1"/>
  <c r="C19" i="21"/>
  <c r="H12" i="16"/>
  <c r="C18" i="21"/>
  <c r="G12" i="16" s="1"/>
  <c r="C17" i="21"/>
  <c r="F12" i="16"/>
  <c r="C16" i="21"/>
  <c r="E12" i="16" s="1"/>
  <c r="C15" i="21"/>
  <c r="D12" i="16" s="1"/>
  <c r="V14" i="21"/>
  <c r="C38" i="16" s="1"/>
  <c r="T14" i="21"/>
  <c r="C36" i="16"/>
  <c r="S14" i="21"/>
  <c r="C34" i="16" s="1"/>
  <c r="R14" i="21"/>
  <c r="C32" i="16" s="1"/>
  <c r="Q14" i="21"/>
  <c r="C30" i="16" s="1"/>
  <c r="P14" i="21"/>
  <c r="C28" i="16"/>
  <c r="O14" i="21"/>
  <c r="C26" i="16" s="1"/>
  <c r="N14" i="21"/>
  <c r="C24" i="16" s="1"/>
  <c r="M14" i="21"/>
  <c r="C22" i="16" s="1"/>
  <c r="L14" i="21"/>
  <c r="C20" i="16"/>
  <c r="K14" i="21"/>
  <c r="C18" i="16" s="1"/>
  <c r="H14" i="21"/>
  <c r="C16" i="16" s="1"/>
  <c r="G14" i="21"/>
  <c r="C14" i="16" s="1"/>
  <c r="N14" i="16" s="1"/>
  <c r="C14" i="21"/>
  <c r="C12" i="16" s="1"/>
  <c r="D16" i="21"/>
  <c r="E10" i="16" s="1"/>
  <c r="D15" i="21"/>
  <c r="D10" i="16" s="1"/>
  <c r="D14" i="21"/>
  <c r="C10" i="16" s="1"/>
  <c r="H10" i="21"/>
  <c r="F24" i="15" s="1"/>
  <c r="N7" i="21"/>
  <c r="C30" i="15" s="1"/>
  <c r="N8" i="21"/>
  <c r="D30" i="15" s="1"/>
  <c r="N9" i="21"/>
  <c r="E30" i="15" s="1"/>
  <c r="N10" i="21"/>
  <c r="F30" i="15" s="1"/>
  <c r="S7" i="21"/>
  <c r="C28" i="15" s="1"/>
  <c r="G28" i="15" s="1"/>
  <c r="S8" i="21"/>
  <c r="D28" i="15"/>
  <c r="S9" i="21"/>
  <c r="E28" i="15" s="1"/>
  <c r="S10" i="21"/>
  <c r="F28" i="15"/>
  <c r="M7" i="21"/>
  <c r="C26" i="15"/>
  <c r="M8" i="21"/>
  <c r="D26" i="15"/>
  <c r="M9" i="21"/>
  <c r="E26" i="15" s="1"/>
  <c r="M10" i="21"/>
  <c r="F26" i="15" s="1"/>
  <c r="H7" i="21"/>
  <c r="C24" i="15" s="1"/>
  <c r="H8" i="21"/>
  <c r="D24" i="15" s="1"/>
  <c r="H9" i="21"/>
  <c r="E24" i="15"/>
  <c r="G7" i="21"/>
  <c r="C22" i="15"/>
  <c r="G8" i="21"/>
  <c r="D22" i="15" s="1"/>
  <c r="G9" i="21"/>
  <c r="E22" i="15" s="1"/>
  <c r="G10" i="21"/>
  <c r="F22" i="15" s="1"/>
  <c r="J7" i="21"/>
  <c r="C20" i="15"/>
  <c r="J8" i="21"/>
  <c r="D20" i="15" s="1"/>
  <c r="J9" i="21"/>
  <c r="E20" i="15" s="1"/>
  <c r="J10" i="21"/>
  <c r="F20" i="15" s="1"/>
  <c r="I7" i="21"/>
  <c r="C18" i="15" s="1"/>
  <c r="I8" i="21"/>
  <c r="D18" i="15" s="1"/>
  <c r="I9" i="21"/>
  <c r="E18" i="15"/>
  <c r="I10" i="21"/>
  <c r="F18" i="15"/>
  <c r="G16" i="15"/>
  <c r="E7" i="21"/>
  <c r="C14" i="15" s="1"/>
  <c r="E8" i="21"/>
  <c r="D14" i="15" s="1"/>
  <c r="E9" i="21"/>
  <c r="E14" i="15"/>
  <c r="E10" i="21"/>
  <c r="F14" i="15" s="1"/>
  <c r="C7" i="21"/>
  <c r="C12" i="15"/>
  <c r="G12" i="15" s="1"/>
  <c r="C8" i="21"/>
  <c r="D12" i="15" s="1"/>
  <c r="C9" i="21"/>
  <c r="E12" i="15" s="1"/>
  <c r="C10" i="21"/>
  <c r="F12" i="15" s="1"/>
  <c r="D7" i="21"/>
  <c r="C10" i="15" s="1"/>
  <c r="D8" i="21"/>
  <c r="D10" i="15"/>
  <c r="D9" i="21"/>
  <c r="E10" i="15"/>
  <c r="D10" i="21"/>
  <c r="F10" i="15" s="1"/>
  <c r="W57" i="20"/>
  <c r="V57" i="21" s="1"/>
  <c r="H46" i="14" s="1"/>
  <c r="W44" i="20"/>
  <c r="V44" i="21" s="1"/>
  <c r="F46" i="14" s="1"/>
  <c r="W33" i="20"/>
  <c r="V33" i="21"/>
  <c r="E46" i="14" s="1"/>
  <c r="W26" i="20"/>
  <c r="V26" i="21" s="1"/>
  <c r="D46" i="14" s="1"/>
  <c r="W12" i="20"/>
  <c r="V12" i="21" s="1"/>
  <c r="C46" i="14" s="1"/>
  <c r="U57" i="20"/>
  <c r="T57" i="21" s="1"/>
  <c r="U44" i="20"/>
  <c r="U33" i="20"/>
  <c r="T33" i="21" s="1"/>
  <c r="E44" i="14" s="1"/>
  <c r="U26" i="20"/>
  <c r="U12" i="20"/>
  <c r="T12" i="21" s="1"/>
  <c r="C44" i="14" s="1"/>
  <c r="T44" i="20"/>
  <c r="S44" i="21"/>
  <c r="F42" i="14" s="1"/>
  <c r="T33" i="20"/>
  <c r="T26" i="20"/>
  <c r="S26" i="21" s="1"/>
  <c r="D42" i="14" s="1"/>
  <c r="T12" i="20"/>
  <c r="S57" i="20"/>
  <c r="R57" i="21" s="1"/>
  <c r="H40" i="14"/>
  <c r="S44" i="20"/>
  <c r="S33" i="20"/>
  <c r="R33" i="21" s="1"/>
  <c r="E40" i="14" s="1"/>
  <c r="S26" i="20"/>
  <c r="R26" i="21" s="1"/>
  <c r="D40" i="14" s="1"/>
  <c r="S12" i="20"/>
  <c r="R12" i="21" s="1"/>
  <c r="C40" i="14" s="1"/>
  <c r="R57" i="20"/>
  <c r="R44" i="20"/>
  <c r="Q44" i="21"/>
  <c r="F38" i="14" s="1"/>
  <c r="R33" i="20"/>
  <c r="R26" i="20"/>
  <c r="Q26" i="21" s="1"/>
  <c r="D38" i="14" s="1"/>
  <c r="R12" i="20"/>
  <c r="Q12" i="21"/>
  <c r="C38" i="14" s="1"/>
  <c r="Q57" i="20"/>
  <c r="P57" i="21" s="1"/>
  <c r="Q44" i="20"/>
  <c r="P44" i="21"/>
  <c r="F36" i="14" s="1"/>
  <c r="Q33" i="20"/>
  <c r="Q26" i="20"/>
  <c r="P26" i="21" s="1"/>
  <c r="D36" i="14" s="1"/>
  <c r="Q12" i="20"/>
  <c r="C36" i="6" s="1"/>
  <c r="P12" i="21"/>
  <c r="C36" i="14" s="1"/>
  <c r="P57" i="20"/>
  <c r="P44" i="20"/>
  <c r="P33" i="20"/>
  <c r="O33" i="21" s="1"/>
  <c r="E34" i="14" s="1"/>
  <c r="P26" i="20"/>
  <c r="P12" i="20"/>
  <c r="O12" i="21"/>
  <c r="C34" i="14"/>
  <c r="O57" i="20"/>
  <c r="N57" i="21" s="1"/>
  <c r="H32" i="14" s="1"/>
  <c r="O44" i="20"/>
  <c r="N44" i="21"/>
  <c r="F32" i="14" s="1"/>
  <c r="O33" i="20"/>
  <c r="N33" i="21" s="1"/>
  <c r="E32" i="14" s="1"/>
  <c r="O26" i="20"/>
  <c r="D32" i="6" s="1"/>
  <c r="N26" i="21"/>
  <c r="D32" i="14" s="1"/>
  <c r="O12" i="20"/>
  <c r="N12" i="21"/>
  <c r="C32" i="14" s="1"/>
  <c r="N57" i="20"/>
  <c r="M57" i="21" s="1"/>
  <c r="N44" i="20"/>
  <c r="N33" i="20"/>
  <c r="M33" i="21" s="1"/>
  <c r="E30" i="14"/>
  <c r="N26" i="20"/>
  <c r="N12" i="20"/>
  <c r="M12" i="21" s="1"/>
  <c r="C30" i="14" s="1"/>
  <c r="L57" i="20"/>
  <c r="L57" i="21" s="1"/>
  <c r="H28" i="13" s="1"/>
  <c r="L44" i="20"/>
  <c r="L44" i="21"/>
  <c r="F28" i="14" s="1"/>
  <c r="L33" i="20"/>
  <c r="L33" i="21" s="1"/>
  <c r="E28" i="14" s="1"/>
  <c r="L26" i="20"/>
  <c r="L26" i="21" s="1"/>
  <c r="D28" i="14" s="1"/>
  <c r="L12" i="20"/>
  <c r="K57" i="20"/>
  <c r="K57" i="21" s="1"/>
  <c r="H26" i="13" s="1"/>
  <c r="K44" i="20"/>
  <c r="K44" i="21" s="1"/>
  <c r="F26" i="14" s="1"/>
  <c r="K33" i="20"/>
  <c r="K33" i="21"/>
  <c r="E26" i="14" s="1"/>
  <c r="K26" i="20"/>
  <c r="D26" i="6" s="1"/>
  <c r="K12" i="20"/>
  <c r="K12" i="21" s="1"/>
  <c r="C26" i="14" s="1"/>
  <c r="J57" i="20"/>
  <c r="J44" i="20"/>
  <c r="J44" i="21" s="1"/>
  <c r="F24" i="14" s="1"/>
  <c r="J33" i="20"/>
  <c r="J33" i="21" s="1"/>
  <c r="E24" i="14" s="1"/>
  <c r="J26" i="20"/>
  <c r="D24" i="6" s="1"/>
  <c r="J12" i="20"/>
  <c r="J47" i="20" s="1"/>
  <c r="G26" i="5" s="1"/>
  <c r="I57" i="20"/>
  <c r="I57" i="21" s="1"/>
  <c r="I44" i="20"/>
  <c r="I33" i="20"/>
  <c r="I33" i="21" s="1"/>
  <c r="E22" i="14" s="1"/>
  <c r="I26" i="20"/>
  <c r="I26" i="21" s="1"/>
  <c r="D22" i="14"/>
  <c r="I12" i="20"/>
  <c r="H57" i="20"/>
  <c r="H22" i="5" s="1"/>
  <c r="H44" i="20"/>
  <c r="H44" i="21" s="1"/>
  <c r="F20" i="14"/>
  <c r="H33" i="20"/>
  <c r="H26" i="20"/>
  <c r="H26" i="21"/>
  <c r="D20" i="14" s="1"/>
  <c r="H12" i="20"/>
  <c r="H12" i="21" s="1"/>
  <c r="C20" i="14" s="1"/>
  <c r="G57" i="20"/>
  <c r="G57" i="21" s="1"/>
  <c r="G44" i="20"/>
  <c r="G44" i="21" s="1"/>
  <c r="F18" i="14" s="1"/>
  <c r="G33" i="20"/>
  <c r="G33" i="21"/>
  <c r="E18" i="14" s="1"/>
  <c r="G26" i="20"/>
  <c r="G26" i="21" s="1"/>
  <c r="D18" i="14"/>
  <c r="G12" i="20"/>
  <c r="E57" i="20"/>
  <c r="E57" i="21" s="1"/>
  <c r="E44" i="20"/>
  <c r="E44" i="21"/>
  <c r="F14" i="14"/>
  <c r="E33" i="20"/>
  <c r="E33" i="21" s="1"/>
  <c r="E14" i="14" s="1"/>
  <c r="E26" i="20"/>
  <c r="D14" i="6" s="1"/>
  <c r="E12" i="20"/>
  <c r="E12" i="21" s="1"/>
  <c r="C14" i="14" s="1"/>
  <c r="C57" i="20"/>
  <c r="C57" i="21" s="1"/>
  <c r="C44" i="20"/>
  <c r="C33" i="20"/>
  <c r="C33" i="21"/>
  <c r="E12" i="14" s="1"/>
  <c r="C26" i="20"/>
  <c r="C26" i="21" s="1"/>
  <c r="D12" i="14" s="1"/>
  <c r="C12" i="20"/>
  <c r="C12" i="21"/>
  <c r="C12" i="14" s="1"/>
  <c r="D57" i="20"/>
  <c r="D44" i="20"/>
  <c r="F10" i="6" s="1"/>
  <c r="D33" i="20"/>
  <c r="D33" i="21" s="1"/>
  <c r="E10" i="14" s="1"/>
  <c r="D26" i="20"/>
  <c r="D12" i="20"/>
  <c r="D12" i="21" s="1"/>
  <c r="C10" i="14" s="1"/>
  <c r="G48" i="14"/>
  <c r="I48" i="14" s="1"/>
  <c r="G16" i="14"/>
  <c r="I16" i="14" s="1"/>
  <c r="I48" i="13"/>
  <c r="H46" i="13"/>
  <c r="H40" i="13"/>
  <c r="O47" i="20"/>
  <c r="N47" i="21" s="1"/>
  <c r="G32" i="13" s="1"/>
  <c r="H32" i="13"/>
  <c r="I16" i="13"/>
  <c r="C24" i="10"/>
  <c r="D24" i="10"/>
  <c r="D26" i="10" s="1"/>
  <c r="E24" i="10"/>
  <c r="F24" i="10"/>
  <c r="G24" i="10"/>
  <c r="C22" i="10"/>
  <c r="D22" i="10"/>
  <c r="G22" i="10"/>
  <c r="F22" i="10"/>
  <c r="C20" i="10"/>
  <c r="D20" i="10"/>
  <c r="E20" i="10"/>
  <c r="F20" i="10"/>
  <c r="G20" i="10"/>
  <c r="C18" i="10"/>
  <c r="D18" i="10"/>
  <c r="E18" i="10"/>
  <c r="H18" i="10" s="1"/>
  <c r="F18" i="10"/>
  <c r="E40" i="31" s="1"/>
  <c r="G18" i="10"/>
  <c r="C16" i="10"/>
  <c r="D16" i="10"/>
  <c r="E16" i="10"/>
  <c r="F16" i="10"/>
  <c r="G16" i="10"/>
  <c r="C14" i="10"/>
  <c r="D14" i="10"/>
  <c r="E14" i="10"/>
  <c r="F14" i="10"/>
  <c r="G14" i="10"/>
  <c r="C12" i="10"/>
  <c r="D12" i="10"/>
  <c r="E12" i="10"/>
  <c r="F12" i="10"/>
  <c r="G12" i="10"/>
  <c r="C10" i="10"/>
  <c r="D10" i="10"/>
  <c r="E10" i="10"/>
  <c r="F10" i="10"/>
  <c r="G10" i="10"/>
  <c r="C26" i="37"/>
  <c r="H26" i="37" s="1"/>
  <c r="D26" i="37"/>
  <c r="E26" i="37"/>
  <c r="F26" i="37"/>
  <c r="G26" i="37"/>
  <c r="C34" i="37"/>
  <c r="D34" i="37"/>
  <c r="E34" i="37"/>
  <c r="F34" i="37"/>
  <c r="G34" i="37"/>
  <c r="C32" i="37"/>
  <c r="D32" i="37"/>
  <c r="E32" i="37"/>
  <c r="F32" i="37"/>
  <c r="G32" i="37"/>
  <c r="C30" i="37"/>
  <c r="E30" i="37"/>
  <c r="F30" i="37"/>
  <c r="G30" i="37"/>
  <c r="C28" i="37"/>
  <c r="D28" i="37"/>
  <c r="E28" i="37"/>
  <c r="F28" i="37"/>
  <c r="G28" i="37"/>
  <c r="C24" i="37"/>
  <c r="D24" i="37"/>
  <c r="E24" i="37"/>
  <c r="F24" i="37"/>
  <c r="G24" i="37"/>
  <c r="C22" i="37"/>
  <c r="D22" i="37"/>
  <c r="E22" i="37"/>
  <c r="F22" i="37"/>
  <c r="G22" i="37"/>
  <c r="C20" i="37"/>
  <c r="D20" i="37"/>
  <c r="E20" i="37"/>
  <c r="F20" i="37"/>
  <c r="G20" i="37"/>
  <c r="C18" i="37"/>
  <c r="D18" i="37"/>
  <c r="D9" i="37" s="1"/>
  <c r="E18" i="37"/>
  <c r="F18" i="37"/>
  <c r="G18" i="37"/>
  <c r="C16" i="37"/>
  <c r="D16" i="37"/>
  <c r="E16" i="37"/>
  <c r="F16" i="37"/>
  <c r="G16" i="37"/>
  <c r="G9" i="37" s="1"/>
  <c r="G36" i="37" s="1"/>
  <c r="C14" i="37"/>
  <c r="D14" i="37"/>
  <c r="E14" i="37"/>
  <c r="F14" i="37"/>
  <c r="G14" i="37"/>
  <c r="C12" i="37"/>
  <c r="D12" i="37"/>
  <c r="E12" i="37"/>
  <c r="F12" i="37"/>
  <c r="G12" i="37"/>
  <c r="C10" i="37"/>
  <c r="D10" i="37"/>
  <c r="E10" i="37"/>
  <c r="F10" i="37"/>
  <c r="G10" i="37"/>
  <c r="C29" i="9"/>
  <c r="I48" i="23" s="1"/>
  <c r="L48" i="23" s="1"/>
  <c r="D29" i="9"/>
  <c r="E29" i="9"/>
  <c r="C27" i="9"/>
  <c r="D27" i="9"/>
  <c r="E27" i="9"/>
  <c r="F27" i="9"/>
  <c r="C25" i="9"/>
  <c r="D25" i="9"/>
  <c r="U48" i="23" s="1"/>
  <c r="E25" i="9"/>
  <c r="C23" i="9"/>
  <c r="D23" i="9"/>
  <c r="E23" i="9"/>
  <c r="F23" i="9"/>
  <c r="C21" i="9"/>
  <c r="D21" i="9"/>
  <c r="E21" i="9"/>
  <c r="M58" i="31" s="1"/>
  <c r="C19" i="9"/>
  <c r="D19" i="9"/>
  <c r="E19" i="9"/>
  <c r="F19" i="9"/>
  <c r="C17" i="9"/>
  <c r="D17" i="9"/>
  <c r="E17" i="9"/>
  <c r="N58" i="31" s="1"/>
  <c r="C15" i="9"/>
  <c r="P48" i="23" s="1"/>
  <c r="D15" i="9"/>
  <c r="E15" i="9"/>
  <c r="C13" i="9"/>
  <c r="D13" i="9"/>
  <c r="E13" i="9"/>
  <c r="C11" i="9"/>
  <c r="D11" i="9"/>
  <c r="E11" i="9"/>
  <c r="F11" i="9" s="1"/>
  <c r="F30" i="7"/>
  <c r="E30" i="7"/>
  <c r="D30" i="7"/>
  <c r="G30" i="7" s="1"/>
  <c r="C30" i="7"/>
  <c r="F28" i="7"/>
  <c r="E28" i="7"/>
  <c r="D28" i="7"/>
  <c r="C28" i="7"/>
  <c r="F26" i="7"/>
  <c r="E26" i="7"/>
  <c r="D26" i="7"/>
  <c r="G26" i="7" s="1"/>
  <c r="C26" i="7"/>
  <c r="F24" i="7"/>
  <c r="E24" i="7"/>
  <c r="D24" i="7"/>
  <c r="C24" i="7"/>
  <c r="E20" i="7"/>
  <c r="D20" i="7"/>
  <c r="F20" i="7"/>
  <c r="F22" i="7"/>
  <c r="E22" i="7"/>
  <c r="D22" i="7"/>
  <c r="C22" i="7"/>
  <c r="G24" i="7"/>
  <c r="C20" i="7"/>
  <c r="G18" i="7"/>
  <c r="C16" i="7"/>
  <c r="D16" i="7"/>
  <c r="E16" i="7"/>
  <c r="F16" i="7"/>
  <c r="C14" i="7"/>
  <c r="D14" i="7"/>
  <c r="E14" i="7"/>
  <c r="F14" i="7"/>
  <c r="C12" i="7"/>
  <c r="D12" i="7"/>
  <c r="E12" i="7"/>
  <c r="F12" i="7"/>
  <c r="H46" i="6"/>
  <c r="F46" i="6"/>
  <c r="E46" i="6"/>
  <c r="C46" i="6"/>
  <c r="H44" i="6"/>
  <c r="E44" i="6"/>
  <c r="F42" i="6"/>
  <c r="D42" i="6"/>
  <c r="D56" i="31" s="1"/>
  <c r="H40" i="6"/>
  <c r="E40" i="6"/>
  <c r="D40" i="6"/>
  <c r="C40" i="6"/>
  <c r="F38" i="6"/>
  <c r="D38" i="6"/>
  <c r="C38" i="6"/>
  <c r="H36" i="6"/>
  <c r="F36" i="6"/>
  <c r="E36" i="6"/>
  <c r="D36" i="6"/>
  <c r="G36" i="6" s="1"/>
  <c r="E34" i="6"/>
  <c r="C34" i="6"/>
  <c r="H32" i="6"/>
  <c r="F32" i="6"/>
  <c r="E32" i="6"/>
  <c r="C32" i="6"/>
  <c r="H30" i="6"/>
  <c r="E30" i="6"/>
  <c r="F18" i="6"/>
  <c r="F14" i="6"/>
  <c r="H28" i="6"/>
  <c r="F28" i="6"/>
  <c r="H26" i="6"/>
  <c r="F26" i="6"/>
  <c r="E26" i="6"/>
  <c r="E24" i="6"/>
  <c r="C24" i="6"/>
  <c r="H22" i="6"/>
  <c r="E22" i="6"/>
  <c r="D22" i="6"/>
  <c r="F20" i="6"/>
  <c r="E20" i="6"/>
  <c r="D20" i="6"/>
  <c r="C20" i="6"/>
  <c r="E18" i="6"/>
  <c r="D18" i="6"/>
  <c r="E14" i="6"/>
  <c r="H12" i="6"/>
  <c r="E12" i="6"/>
  <c r="C12" i="6"/>
  <c r="Q54" i="31" s="1"/>
  <c r="G48" i="6"/>
  <c r="G16" i="6"/>
  <c r="I48" i="6"/>
  <c r="I16" i="6"/>
  <c r="C10" i="6"/>
  <c r="G35" i="5"/>
  <c r="D14" i="2" s="1"/>
  <c r="E14" i="2" s="1"/>
  <c r="V33" i="20"/>
  <c r="U33" i="21" s="1"/>
  <c r="V26" i="20"/>
  <c r="V12" i="20"/>
  <c r="V44" i="20"/>
  <c r="V57" i="20"/>
  <c r="U57" i="21" s="1"/>
  <c r="O60" i="20"/>
  <c r="U55" i="21"/>
  <c r="T55" i="21"/>
  <c r="R55" i="21"/>
  <c r="Q55" i="21"/>
  <c r="P55" i="21"/>
  <c r="U54" i="21"/>
  <c r="T54" i="21"/>
  <c r="R54" i="21"/>
  <c r="Q54" i="21"/>
  <c r="P54" i="21"/>
  <c r="U53" i="21"/>
  <c r="T53" i="21"/>
  <c r="R53" i="21"/>
  <c r="Q53" i="21"/>
  <c r="P53" i="21"/>
  <c r="U52" i="21"/>
  <c r="T52" i="21"/>
  <c r="R52" i="21"/>
  <c r="Q52" i="21"/>
  <c r="P52" i="21"/>
  <c r="U51" i="21"/>
  <c r="T51" i="21"/>
  <c r="R51" i="21"/>
  <c r="Q51" i="21"/>
  <c r="P51" i="21"/>
  <c r="U50" i="21"/>
  <c r="T50" i="21"/>
  <c r="R50" i="21"/>
  <c r="Q50" i="21"/>
  <c r="P50" i="21"/>
  <c r="U49" i="21"/>
  <c r="T49" i="21"/>
  <c r="R49" i="21"/>
  <c r="Q49" i="21"/>
  <c r="P49" i="21"/>
  <c r="U44" i="21"/>
  <c r="V42" i="21"/>
  <c r="U42" i="21"/>
  <c r="O42" i="21"/>
  <c r="V41" i="21"/>
  <c r="U41" i="21"/>
  <c r="O41" i="21"/>
  <c r="V40" i="21"/>
  <c r="U40" i="21"/>
  <c r="O40" i="21"/>
  <c r="V39" i="21"/>
  <c r="U39" i="21"/>
  <c r="O39" i="21"/>
  <c r="V38" i="21"/>
  <c r="U38" i="21"/>
  <c r="O38" i="21"/>
  <c r="V37" i="21"/>
  <c r="U37" i="21"/>
  <c r="O37" i="21"/>
  <c r="V36" i="21"/>
  <c r="U36" i="21"/>
  <c r="O36" i="21"/>
  <c r="U31" i="21"/>
  <c r="T31" i="21"/>
  <c r="R31" i="21"/>
  <c r="P31" i="21"/>
  <c r="O31" i="21"/>
  <c r="U30" i="21"/>
  <c r="T30" i="21"/>
  <c r="R30" i="21"/>
  <c r="P30" i="21"/>
  <c r="O30" i="21"/>
  <c r="U29" i="21"/>
  <c r="T29" i="21"/>
  <c r="R29" i="21"/>
  <c r="P29" i="21"/>
  <c r="O29" i="21"/>
  <c r="V28" i="21"/>
  <c r="U28" i="21"/>
  <c r="T28" i="21"/>
  <c r="S28" i="21"/>
  <c r="R28" i="21"/>
  <c r="Q28" i="21"/>
  <c r="P28" i="21"/>
  <c r="O28" i="21"/>
  <c r="N28" i="21"/>
  <c r="U26" i="21"/>
  <c r="U24" i="21"/>
  <c r="U23" i="21"/>
  <c r="U22" i="21"/>
  <c r="U21" i="21"/>
  <c r="U20" i="21"/>
  <c r="U19" i="21"/>
  <c r="U18" i="21"/>
  <c r="U17" i="21"/>
  <c r="U16" i="21"/>
  <c r="U15" i="21"/>
  <c r="U14" i="21"/>
  <c r="U12" i="21"/>
  <c r="V10" i="21"/>
  <c r="U10" i="21"/>
  <c r="T10" i="21"/>
  <c r="R10" i="21"/>
  <c r="Q10" i="21"/>
  <c r="P10" i="21"/>
  <c r="O10" i="21"/>
  <c r="V9" i="21"/>
  <c r="U9" i="21"/>
  <c r="T9" i="21"/>
  <c r="R9" i="21"/>
  <c r="Q9" i="21"/>
  <c r="P9" i="21"/>
  <c r="O9" i="21"/>
  <c r="V8" i="21"/>
  <c r="U8" i="21"/>
  <c r="T8" i="21"/>
  <c r="R8" i="21"/>
  <c r="Q8" i="21"/>
  <c r="P8" i="21"/>
  <c r="O8" i="21"/>
  <c r="V7" i="21"/>
  <c r="U7" i="21"/>
  <c r="T7" i="21"/>
  <c r="R7" i="21"/>
  <c r="Q7" i="21"/>
  <c r="P7" i="21"/>
  <c r="O7" i="21"/>
  <c r="M55" i="21"/>
  <c r="M54" i="21"/>
  <c r="M53" i="21"/>
  <c r="M52" i="21"/>
  <c r="M51" i="21"/>
  <c r="M50" i="21"/>
  <c r="M49" i="21"/>
  <c r="M28" i="21"/>
  <c r="F33" i="20"/>
  <c r="F26" i="20"/>
  <c r="F26" i="21" s="1"/>
  <c r="F12" i="20"/>
  <c r="F12" i="21" s="1"/>
  <c r="F44" i="20"/>
  <c r="F44" i="21" s="1"/>
  <c r="F57" i="20"/>
  <c r="F57" i="21" s="1"/>
  <c r="K55" i="21"/>
  <c r="J55" i="21"/>
  <c r="I55" i="21"/>
  <c r="G55" i="21"/>
  <c r="F55" i="21"/>
  <c r="E55" i="21"/>
  <c r="K54" i="21"/>
  <c r="J54" i="21"/>
  <c r="I54" i="21"/>
  <c r="G54" i="21"/>
  <c r="F54" i="21"/>
  <c r="E54" i="21"/>
  <c r="K53" i="21"/>
  <c r="J53" i="21"/>
  <c r="I53" i="21"/>
  <c r="G53" i="21"/>
  <c r="F53" i="21"/>
  <c r="E53" i="21"/>
  <c r="K52" i="21"/>
  <c r="J52" i="21"/>
  <c r="I52" i="21"/>
  <c r="G52" i="21"/>
  <c r="F52" i="21"/>
  <c r="E52" i="21"/>
  <c r="K51" i="21"/>
  <c r="J51" i="21"/>
  <c r="I51" i="21"/>
  <c r="G51" i="21"/>
  <c r="F51" i="21"/>
  <c r="E51" i="21"/>
  <c r="K50" i="21"/>
  <c r="J50" i="21"/>
  <c r="I50" i="21"/>
  <c r="G50" i="21"/>
  <c r="F50" i="21"/>
  <c r="E50" i="21"/>
  <c r="K49" i="21"/>
  <c r="J49" i="21"/>
  <c r="I49" i="21"/>
  <c r="G49" i="21"/>
  <c r="F49" i="21"/>
  <c r="E49" i="21"/>
  <c r="J42" i="21"/>
  <c r="I42" i="21"/>
  <c r="G42" i="21"/>
  <c r="F42" i="21"/>
  <c r="J41" i="21"/>
  <c r="I41" i="21"/>
  <c r="G41" i="21"/>
  <c r="F41" i="21"/>
  <c r="J40" i="21"/>
  <c r="I40" i="21"/>
  <c r="G40" i="21"/>
  <c r="F40" i="21"/>
  <c r="J39" i="21"/>
  <c r="I39" i="21"/>
  <c r="G39" i="21"/>
  <c r="F39" i="21"/>
  <c r="J38" i="21"/>
  <c r="I38" i="21"/>
  <c r="G38" i="21"/>
  <c r="F38" i="21"/>
  <c r="J37" i="21"/>
  <c r="I37" i="21"/>
  <c r="G37" i="21"/>
  <c r="F37" i="21"/>
  <c r="J36" i="21"/>
  <c r="I36" i="21"/>
  <c r="G36" i="21"/>
  <c r="F36" i="21"/>
  <c r="F33" i="21"/>
  <c r="L31" i="21"/>
  <c r="J31" i="21"/>
  <c r="I31" i="21"/>
  <c r="F31" i="21"/>
  <c r="E31" i="21"/>
  <c r="L30" i="21"/>
  <c r="J30" i="21"/>
  <c r="I30" i="21"/>
  <c r="F30" i="21"/>
  <c r="E30" i="21"/>
  <c r="L29" i="21"/>
  <c r="J29" i="21"/>
  <c r="I29" i="21"/>
  <c r="F29" i="21"/>
  <c r="E29" i="21"/>
  <c r="L28" i="21"/>
  <c r="K28" i="21"/>
  <c r="J28" i="21"/>
  <c r="I28" i="21"/>
  <c r="H28" i="21"/>
  <c r="G28" i="21"/>
  <c r="F28" i="21"/>
  <c r="E28" i="21"/>
  <c r="D28" i="21"/>
  <c r="J24" i="21"/>
  <c r="I24" i="21"/>
  <c r="F24" i="21"/>
  <c r="E24" i="21"/>
  <c r="J23" i="21"/>
  <c r="I23" i="21"/>
  <c r="F23" i="21"/>
  <c r="E23" i="21"/>
  <c r="J22" i="21"/>
  <c r="I22" i="21"/>
  <c r="F22" i="21"/>
  <c r="E22" i="21"/>
  <c r="J21" i="21"/>
  <c r="I21" i="21"/>
  <c r="F21" i="21"/>
  <c r="E21" i="21"/>
  <c r="J20" i="21"/>
  <c r="I20" i="21"/>
  <c r="F20" i="21"/>
  <c r="E20" i="21"/>
  <c r="J19" i="21"/>
  <c r="I19" i="21"/>
  <c r="F19" i="21"/>
  <c r="E19" i="21"/>
  <c r="J18" i="21"/>
  <c r="I18" i="21"/>
  <c r="F18" i="21"/>
  <c r="E18" i="21"/>
  <c r="J17" i="21"/>
  <c r="I17" i="21"/>
  <c r="F17" i="21"/>
  <c r="E17" i="21"/>
  <c r="J16" i="21"/>
  <c r="I16" i="21"/>
  <c r="F16" i="21"/>
  <c r="E16" i="21"/>
  <c r="J15" i="21"/>
  <c r="I15" i="21"/>
  <c r="F15" i="21"/>
  <c r="E15" i="21"/>
  <c r="J14" i="21"/>
  <c r="I14" i="21"/>
  <c r="F14" i="21"/>
  <c r="E14" i="21"/>
  <c r="L10" i="21"/>
  <c r="K10" i="21"/>
  <c r="F10" i="21"/>
  <c r="L9" i="21"/>
  <c r="K9" i="21"/>
  <c r="F9" i="21"/>
  <c r="L8" i="21"/>
  <c r="K8" i="21"/>
  <c r="F8" i="21"/>
  <c r="L7" i="21"/>
  <c r="K7" i="21"/>
  <c r="F7" i="21"/>
  <c r="C28" i="21"/>
  <c r="M28" i="20"/>
  <c r="M29" i="20"/>
  <c r="X29" i="20" s="1"/>
  <c r="M30" i="20"/>
  <c r="X30" i="20" s="1"/>
  <c r="M31" i="20"/>
  <c r="X31" i="20" s="1"/>
  <c r="M14" i="20"/>
  <c r="X14" i="20"/>
  <c r="M15" i="20"/>
  <c r="X15" i="20" s="1"/>
  <c r="M16" i="20"/>
  <c r="X16" i="20" s="1"/>
  <c r="M17" i="20"/>
  <c r="X17" i="20" s="1"/>
  <c r="M18" i="20"/>
  <c r="X18" i="20" s="1"/>
  <c r="M19" i="20"/>
  <c r="M20" i="20"/>
  <c r="X20" i="20" s="1"/>
  <c r="M21" i="20"/>
  <c r="X21" i="20" s="1"/>
  <c r="M22" i="20"/>
  <c r="X22" i="20" s="1"/>
  <c r="M23" i="20"/>
  <c r="X23" i="20" s="1"/>
  <c r="M24" i="20"/>
  <c r="X24" i="20"/>
  <c r="M7" i="20"/>
  <c r="X7" i="20" s="1"/>
  <c r="M8" i="20"/>
  <c r="X8" i="20" s="1"/>
  <c r="M9" i="20"/>
  <c r="X9" i="20" s="1"/>
  <c r="M10" i="20"/>
  <c r="X10" i="20" s="1"/>
  <c r="M36" i="20"/>
  <c r="X36" i="20" s="1"/>
  <c r="M37" i="20"/>
  <c r="X37" i="20" s="1"/>
  <c r="M49" i="20"/>
  <c r="X49" i="20" s="1"/>
  <c r="M50" i="20"/>
  <c r="X50" i="20" s="1"/>
  <c r="M51" i="20"/>
  <c r="E14" i="29" s="1"/>
  <c r="M52" i="20"/>
  <c r="X52" i="20" s="1"/>
  <c r="M53" i="20"/>
  <c r="M54" i="20"/>
  <c r="X54" i="20"/>
  <c r="M55" i="20"/>
  <c r="X55" i="20" s="1"/>
  <c r="N50" i="31"/>
  <c r="D23" i="1"/>
  <c r="C10" i="5"/>
  <c r="C53" i="5" s="1"/>
  <c r="E53" i="5"/>
  <c r="F10" i="5"/>
  <c r="F53" i="5" s="1"/>
  <c r="V60" i="31"/>
  <c r="M48" i="31"/>
  <c r="M51" i="31"/>
  <c r="X51" i="31" s="1"/>
  <c r="Y51" i="31" s="1"/>
  <c r="M50" i="31"/>
  <c r="M22" i="31"/>
  <c r="N30" i="31"/>
  <c r="N34" i="31" s="1"/>
  <c r="N36" i="31"/>
  <c r="N28" i="31"/>
  <c r="N42" i="31"/>
  <c r="N54" i="31"/>
  <c r="N56" i="31"/>
  <c r="O56" i="31"/>
  <c r="O58" i="31"/>
  <c r="P58" i="31"/>
  <c r="Q30" i="31"/>
  <c r="Q34" i="31"/>
  <c r="Q48" i="31" s="1"/>
  <c r="Q36" i="31"/>
  <c r="R30" i="31"/>
  <c r="R36" i="31"/>
  <c r="R28" i="31"/>
  <c r="R54" i="31"/>
  <c r="R58" i="31"/>
  <c r="R60" i="31"/>
  <c r="R50" i="31"/>
  <c r="S30" i="31"/>
  <c r="S34" i="31" s="1"/>
  <c r="S36" i="31"/>
  <c r="S42" i="31"/>
  <c r="U30" i="31"/>
  <c r="U34" i="31" s="1"/>
  <c r="U36" i="31"/>
  <c r="U58" i="31"/>
  <c r="U50" i="31"/>
  <c r="C26" i="11"/>
  <c r="W8" i="31"/>
  <c r="W26" i="31" s="1"/>
  <c r="W68" i="31" s="1"/>
  <c r="T26" i="31"/>
  <c r="C26" i="31"/>
  <c r="E26" i="31"/>
  <c r="E30" i="31"/>
  <c r="E34" i="31" s="1"/>
  <c r="E48" i="31" s="1"/>
  <c r="E36" i="31"/>
  <c r="E42" i="31"/>
  <c r="E56" i="31"/>
  <c r="E60" i="31"/>
  <c r="E50" i="31"/>
  <c r="F26" i="31"/>
  <c r="I8" i="31"/>
  <c r="I26" i="31" s="1"/>
  <c r="I30" i="31"/>
  <c r="I34" i="31"/>
  <c r="I36" i="31"/>
  <c r="I58" i="31"/>
  <c r="D26" i="31"/>
  <c r="D30" i="31"/>
  <c r="D34" i="31" s="1"/>
  <c r="D36" i="31"/>
  <c r="L36" i="31" s="1"/>
  <c r="D46" i="31"/>
  <c r="D51" i="31"/>
  <c r="D60" i="31"/>
  <c r="D50" i="31"/>
  <c r="L51" i="31"/>
  <c r="L50" i="31"/>
  <c r="W66" i="31"/>
  <c r="W70" i="31" s="1"/>
  <c r="T66" i="31"/>
  <c r="T70" i="31" s="1"/>
  <c r="K66" i="31"/>
  <c r="J66" i="31"/>
  <c r="H66" i="31"/>
  <c r="G66" i="31"/>
  <c r="G70" i="31" s="1"/>
  <c r="F66" i="31"/>
  <c r="V44" i="23"/>
  <c r="V48" i="23"/>
  <c r="M14" i="23"/>
  <c r="M48" i="23"/>
  <c r="N22" i="23"/>
  <c r="N24" i="23"/>
  <c r="N20" i="23"/>
  <c r="N36" i="23" s="1"/>
  <c r="N30" i="23"/>
  <c r="N42" i="23"/>
  <c r="N44" i="23"/>
  <c r="N46" i="23"/>
  <c r="N38" i="23"/>
  <c r="O44" i="23"/>
  <c r="O46" i="23"/>
  <c r="P44" i="23"/>
  <c r="P46" i="23"/>
  <c r="Q22" i="23"/>
  <c r="Q24" i="23"/>
  <c r="Q38" i="23"/>
  <c r="R22" i="23"/>
  <c r="R36" i="23" s="1"/>
  <c r="R24" i="23"/>
  <c r="R20" i="23"/>
  <c r="R42" i="23"/>
  <c r="R48" i="23"/>
  <c r="R38" i="23"/>
  <c r="S22" i="23"/>
  <c r="S36" i="23" s="1"/>
  <c r="S24" i="23"/>
  <c r="S30" i="23"/>
  <c r="U22" i="23"/>
  <c r="U24" i="23"/>
  <c r="U46" i="23"/>
  <c r="W8" i="23"/>
  <c r="W18" i="23" s="1"/>
  <c r="W56" i="23" s="1"/>
  <c r="T18" i="23"/>
  <c r="C18" i="23"/>
  <c r="E18" i="23"/>
  <c r="E22" i="23"/>
  <c r="E24" i="23"/>
  <c r="E28" i="23"/>
  <c r="L28" i="23" s="1"/>
  <c r="E30" i="23"/>
  <c r="E44" i="23"/>
  <c r="E48" i="23"/>
  <c r="E38" i="23"/>
  <c r="F18" i="23"/>
  <c r="I8" i="23"/>
  <c r="I18" i="23" s="1"/>
  <c r="I22" i="23"/>
  <c r="I24" i="23"/>
  <c r="I36" i="23" s="1"/>
  <c r="I46" i="23"/>
  <c r="D18" i="23"/>
  <c r="D22" i="23"/>
  <c r="D24" i="23"/>
  <c r="L24" i="23" s="1"/>
  <c r="D34" i="23"/>
  <c r="D39" i="23"/>
  <c r="L39" i="23" s="1"/>
  <c r="D48" i="23"/>
  <c r="D38" i="23"/>
  <c r="L38" i="23" s="1"/>
  <c r="X39" i="23"/>
  <c r="F70" i="31"/>
  <c r="H70" i="31"/>
  <c r="J70" i="31"/>
  <c r="K70" i="31"/>
  <c r="X28" i="31"/>
  <c r="X46" i="31"/>
  <c r="X32" i="31"/>
  <c r="Y32" i="31" s="1"/>
  <c r="X68" i="31"/>
  <c r="L30" i="31"/>
  <c r="L34" i="31" s="1"/>
  <c r="L46" i="31"/>
  <c r="Y46" i="31" s="1"/>
  <c r="L42" i="31"/>
  <c r="L40" i="31"/>
  <c r="J58" i="23"/>
  <c r="H58" i="23"/>
  <c r="H40" i="23" s="1"/>
  <c r="G58" i="23"/>
  <c r="G40" i="23" s="1"/>
  <c r="F58" i="23"/>
  <c r="C23" i="3"/>
  <c r="D23" i="3"/>
  <c r="E23" i="3"/>
  <c r="F23" i="3"/>
  <c r="F16" i="23"/>
  <c r="L16" i="23" s="1"/>
  <c r="C14" i="23"/>
  <c r="E14" i="23"/>
  <c r="D14" i="23"/>
  <c r="C12" i="23"/>
  <c r="E12" i="23"/>
  <c r="D12" i="23"/>
  <c r="F12" i="23"/>
  <c r="C10" i="23"/>
  <c r="E10" i="23"/>
  <c r="D10" i="23"/>
  <c r="F10" i="23"/>
  <c r="L10" i="23"/>
  <c r="C8" i="23"/>
  <c r="L8" i="23" s="1"/>
  <c r="E8" i="23"/>
  <c r="F8" i="23"/>
  <c r="D8" i="23"/>
  <c r="G25" i="29"/>
  <c r="F25" i="29"/>
  <c r="B25" i="29"/>
  <c r="F9" i="37"/>
  <c r="D9" i="10"/>
  <c r="G9" i="10"/>
  <c r="H49" i="5"/>
  <c r="H47" i="5"/>
  <c r="H43" i="5"/>
  <c r="H41" i="5"/>
  <c r="H39" i="5"/>
  <c r="H37" i="5"/>
  <c r="H35" i="5"/>
  <c r="H33" i="5"/>
  <c r="H30" i="5"/>
  <c r="H28" i="5"/>
  <c r="H14" i="5"/>
  <c r="M7" i="29"/>
  <c r="M8" i="29"/>
  <c r="M10" i="29"/>
  <c r="N23" i="29"/>
  <c r="O23" i="29" s="1"/>
  <c r="N18" i="29"/>
  <c r="O18" i="29" s="1"/>
  <c r="N17" i="29"/>
  <c r="O17" i="29" s="1"/>
  <c r="M9" i="29"/>
  <c r="N9" i="29" s="1"/>
  <c r="O9" i="29" s="1"/>
  <c r="D27" i="29"/>
  <c r="E6" i="29"/>
  <c r="E8" i="29"/>
  <c r="E10" i="29"/>
  <c r="E26" i="29"/>
  <c r="D6" i="29"/>
  <c r="D7" i="29"/>
  <c r="D8" i="29"/>
  <c r="D10" i="29"/>
  <c r="N26" i="29"/>
  <c r="B6" i="29"/>
  <c r="C6" i="29"/>
  <c r="F6" i="29"/>
  <c r="G6" i="29"/>
  <c r="K6" i="29"/>
  <c r="L6" i="29"/>
  <c r="L11" i="29" s="1"/>
  <c r="M6" i="29"/>
  <c r="B7" i="29"/>
  <c r="C7" i="29"/>
  <c r="F7" i="29"/>
  <c r="G7" i="29"/>
  <c r="K7" i="29"/>
  <c r="L7" i="29"/>
  <c r="B8" i="29"/>
  <c r="C8" i="29"/>
  <c r="F8" i="29"/>
  <c r="G8" i="29"/>
  <c r="K8" i="29"/>
  <c r="L8" i="29"/>
  <c r="B10" i="29"/>
  <c r="C10" i="29"/>
  <c r="F10" i="29"/>
  <c r="G10" i="29"/>
  <c r="G11" i="29" s="1"/>
  <c r="K10" i="29"/>
  <c r="L10" i="29"/>
  <c r="E13" i="29"/>
  <c r="E15" i="29"/>
  <c r="E16" i="29"/>
  <c r="E22" i="29"/>
  <c r="E12" i="29"/>
  <c r="C13" i="29"/>
  <c r="F13" i="29"/>
  <c r="G13" i="29"/>
  <c r="K13" i="29"/>
  <c r="M13" i="29"/>
  <c r="B13" i="29"/>
  <c r="C14" i="29"/>
  <c r="G14" i="29"/>
  <c r="M14" i="29"/>
  <c r="B14" i="29"/>
  <c r="C15" i="29"/>
  <c r="G15" i="29"/>
  <c r="M15" i="29"/>
  <c r="B15" i="29"/>
  <c r="C16" i="29"/>
  <c r="F16" i="29"/>
  <c r="M16" i="29"/>
  <c r="C22" i="29"/>
  <c r="C20" i="29" s="1"/>
  <c r="C27" i="29" s="1"/>
  <c r="F22" i="29"/>
  <c r="F20" i="29" s="1"/>
  <c r="G22" i="29"/>
  <c r="K22" i="29"/>
  <c r="K20" i="29" s="1"/>
  <c r="L22" i="29"/>
  <c r="M22" i="29"/>
  <c r="C21" i="29"/>
  <c r="F21" i="29"/>
  <c r="G21" i="29"/>
  <c r="K21" i="29"/>
  <c r="M21" i="29"/>
  <c r="B21" i="29"/>
  <c r="B22" i="29"/>
  <c r="C24" i="29"/>
  <c r="K24" i="29"/>
  <c r="L24" i="29"/>
  <c r="M24" i="29"/>
  <c r="B24" i="29"/>
  <c r="B20" i="29"/>
  <c r="G20" i="29"/>
  <c r="B12" i="29"/>
  <c r="C12" i="29"/>
  <c r="F12" i="29"/>
  <c r="G12" i="29"/>
  <c r="G19" i="29" s="1"/>
  <c r="K12" i="29"/>
  <c r="K19" i="29" s="1"/>
  <c r="M12" i="29"/>
  <c r="L19" i="29"/>
  <c r="N3" i="31"/>
  <c r="S20" i="31"/>
  <c r="L20" i="31"/>
  <c r="L18" i="31"/>
  <c r="P12" i="31"/>
  <c r="W34" i="31"/>
  <c r="W48" i="31" s="1"/>
  <c r="W52" i="31" s="1"/>
  <c r="T34" i="31"/>
  <c r="T48" i="31" s="1"/>
  <c r="T71" i="31" s="1"/>
  <c r="O34" i="31"/>
  <c r="K34" i="31"/>
  <c r="K48" i="31" s="1"/>
  <c r="J34" i="31"/>
  <c r="J48" i="31" s="1"/>
  <c r="H34" i="31"/>
  <c r="H48" i="31" s="1"/>
  <c r="H52" i="31" s="1"/>
  <c r="G34" i="31"/>
  <c r="G48" i="31" s="1"/>
  <c r="G52" i="31" s="1"/>
  <c r="F32" i="31"/>
  <c r="F48" i="31" s="1"/>
  <c r="F71" i="31" s="1"/>
  <c r="V34" i="31"/>
  <c r="V48" i="31" s="1"/>
  <c r="P34" i="31"/>
  <c r="P48" i="31" s="1"/>
  <c r="C34" i="31"/>
  <c r="X62" i="31"/>
  <c r="Y62" i="31" s="1"/>
  <c r="X64" i="31"/>
  <c r="L62" i="31"/>
  <c r="L64" i="31"/>
  <c r="X38" i="31"/>
  <c r="Y38" i="31" s="1"/>
  <c r="L38" i="31"/>
  <c r="X44" i="31"/>
  <c r="L44" i="31"/>
  <c r="H71" i="31"/>
  <c r="C48" i="31"/>
  <c r="C71" i="31" s="1"/>
  <c r="Y64" i="31"/>
  <c r="X24" i="31"/>
  <c r="F10" i="31"/>
  <c r="F16" i="31"/>
  <c r="K26" i="31"/>
  <c r="O16" i="31"/>
  <c r="O10" i="31"/>
  <c r="O12" i="31" s="1"/>
  <c r="O14" i="31" s="1"/>
  <c r="O8" i="31"/>
  <c r="O22" i="31"/>
  <c r="Y68" i="31"/>
  <c r="P8" i="31"/>
  <c r="P16" i="31"/>
  <c r="P22" i="31"/>
  <c r="P10" i="31"/>
  <c r="P14" i="31" s="1"/>
  <c r="R10" i="31"/>
  <c r="R14" i="31" s="1"/>
  <c r="R16" i="31"/>
  <c r="R18" i="31" s="1"/>
  <c r="R20" i="31" s="1"/>
  <c r="R8" i="31"/>
  <c r="R22" i="31"/>
  <c r="Q10" i="31"/>
  <c r="Q16" i="31"/>
  <c r="Q18" i="31" s="1"/>
  <c r="Q20" i="31"/>
  <c r="Q8" i="31"/>
  <c r="Q22" i="31"/>
  <c r="V16" i="31"/>
  <c r="V8" i="31"/>
  <c r="V10" i="31"/>
  <c r="V22" i="31"/>
  <c r="F8" i="31"/>
  <c r="F24" i="31"/>
  <c r="E8" i="31"/>
  <c r="E16" i="31"/>
  <c r="E22" i="31"/>
  <c r="C22" i="31"/>
  <c r="E10" i="31"/>
  <c r="E12" i="31" s="1"/>
  <c r="E14" i="31" s="1"/>
  <c r="X40" i="31"/>
  <c r="Y40" i="31" s="1"/>
  <c r="C10" i="31"/>
  <c r="C12" i="31"/>
  <c r="C14" i="31"/>
  <c r="U8" i="31"/>
  <c r="U10" i="31"/>
  <c r="U16" i="31"/>
  <c r="U22" i="31"/>
  <c r="S8" i="31"/>
  <c r="S10" i="31"/>
  <c r="S14" i="31" s="1"/>
  <c r="S16" i="31"/>
  <c r="S18" i="31" s="1"/>
  <c r="S22" i="31"/>
  <c r="D8" i="31"/>
  <c r="D10" i="31"/>
  <c r="L10" i="31" s="1"/>
  <c r="D16" i="31"/>
  <c r="C16" i="31"/>
  <c r="L16" i="31" s="1"/>
  <c r="C8" i="31"/>
  <c r="D24" i="31"/>
  <c r="L24" i="31"/>
  <c r="Y24" i="31" s="1"/>
  <c r="N8" i="31"/>
  <c r="N22" i="31"/>
  <c r="M8" i="31"/>
  <c r="M10" i="31"/>
  <c r="X10" i="31" s="1"/>
  <c r="Y10" i="31" s="1"/>
  <c r="N10" i="31"/>
  <c r="N16" i="31"/>
  <c r="N18" i="31"/>
  <c r="N14" i="31"/>
  <c r="M12" i="31"/>
  <c r="X32" i="23"/>
  <c r="X26" i="23"/>
  <c r="X16" i="23"/>
  <c r="Y16" i="23" s="1"/>
  <c r="L26" i="23"/>
  <c r="L32" i="23"/>
  <c r="T54" i="23"/>
  <c r="T58" i="23" s="1"/>
  <c r="T59" i="23" s="1"/>
  <c r="T36" i="23"/>
  <c r="J36" i="23"/>
  <c r="J40" i="23" s="1"/>
  <c r="K36" i="23"/>
  <c r="K54" i="23"/>
  <c r="K58" i="23" s="1"/>
  <c r="K59" i="23" s="1"/>
  <c r="G59" i="23"/>
  <c r="H59" i="23"/>
  <c r="C36" i="23"/>
  <c r="C59" i="23" s="1"/>
  <c r="W36" i="23"/>
  <c r="O36" i="23"/>
  <c r="K18" i="23"/>
  <c r="K40" i="23" s="1"/>
  <c r="X50" i="23"/>
  <c r="Y50" i="23" s="1"/>
  <c r="X52" i="23"/>
  <c r="L50" i="23"/>
  <c r="L52" i="23"/>
  <c r="F36" i="23"/>
  <c r="F59" i="23" s="1"/>
  <c r="M8" i="23"/>
  <c r="N8" i="23"/>
  <c r="O8" i="23"/>
  <c r="P8" i="23"/>
  <c r="Q8" i="23"/>
  <c r="R8" i="23"/>
  <c r="S8" i="23"/>
  <c r="U8" i="23"/>
  <c r="V8" i="23"/>
  <c r="M10" i="23"/>
  <c r="N10" i="23"/>
  <c r="O10" i="23"/>
  <c r="P10" i="23"/>
  <c r="Q10" i="23"/>
  <c r="R10" i="23"/>
  <c r="S10" i="23"/>
  <c r="U10" i="23"/>
  <c r="V10" i="23"/>
  <c r="N12" i="23"/>
  <c r="O12" i="23"/>
  <c r="P12" i="23"/>
  <c r="Q12" i="23"/>
  <c r="R12" i="23"/>
  <c r="S12" i="23"/>
  <c r="U12" i="23"/>
  <c r="V12" i="23"/>
  <c r="N14" i="23"/>
  <c r="O14" i="23"/>
  <c r="P14" i="23"/>
  <c r="Q14" i="23"/>
  <c r="R14" i="23"/>
  <c r="S14" i="23"/>
  <c r="U14" i="23"/>
  <c r="V14" i="23"/>
  <c r="X28" i="23"/>
  <c r="Y28" i="23" s="1"/>
  <c r="X34" i="23"/>
  <c r="L30" i="23"/>
  <c r="L34" i="23"/>
  <c r="V36" i="23"/>
  <c r="P36" i="23"/>
  <c r="M36" i="23"/>
  <c r="E10" i="1"/>
  <c r="E18" i="1"/>
  <c r="E16" i="1"/>
  <c r="E14" i="1"/>
  <c r="E23" i="1"/>
  <c r="E12" i="1"/>
  <c r="D25" i="19"/>
  <c r="G59" i="27"/>
  <c r="D10" i="4"/>
  <c r="D65" i="4"/>
  <c r="F10" i="4"/>
  <c r="E66" i="4"/>
  <c r="C10" i="4"/>
  <c r="C65" i="4" s="1"/>
  <c r="D12" i="4"/>
  <c r="D67" i="4" s="1"/>
  <c r="F12" i="4"/>
  <c r="E68" i="4"/>
  <c r="C12" i="4"/>
  <c r="C67" i="4" s="1"/>
  <c r="E67" i="4" s="1"/>
  <c r="D14" i="4"/>
  <c r="D69" i="4" s="1"/>
  <c r="F14" i="4"/>
  <c r="F23" i="4" s="1"/>
  <c r="C14" i="4"/>
  <c r="C69" i="4"/>
  <c r="C71" i="4"/>
  <c r="E71" i="4"/>
  <c r="C18" i="4"/>
  <c r="C74" i="4" s="1"/>
  <c r="E74" i="4" s="1"/>
  <c r="C76" i="4"/>
  <c r="C72" i="4"/>
  <c r="G23" i="3"/>
  <c r="E10" i="4"/>
  <c r="F18" i="4"/>
  <c r="E18" i="4"/>
  <c r="D18" i="4"/>
  <c r="E14" i="4"/>
  <c r="C23" i="4"/>
  <c r="E12" i="4"/>
  <c r="E32" i="4"/>
  <c r="F10" i="7"/>
  <c r="F32" i="7" s="1"/>
  <c r="L9" i="8"/>
  <c r="L46" i="8" s="1"/>
  <c r="F12" i="17" l="1"/>
  <c r="D53" i="4"/>
  <c r="G23" i="4"/>
  <c r="H22" i="14"/>
  <c r="H22" i="13"/>
  <c r="D55" i="4"/>
  <c r="H36" i="13"/>
  <c r="H36" i="14"/>
  <c r="H18" i="14"/>
  <c r="H18" i="13"/>
  <c r="N20" i="16"/>
  <c r="H14" i="14"/>
  <c r="H14" i="13"/>
  <c r="G22" i="15"/>
  <c r="L14" i="31"/>
  <c r="Y44" i="31"/>
  <c r="L21" i="29"/>
  <c r="D11" i="29"/>
  <c r="D15" i="29" s="1"/>
  <c r="D19" i="29" s="1"/>
  <c r="D28" i="29" s="1"/>
  <c r="F15" i="29"/>
  <c r="F19" i="29" s="1"/>
  <c r="J52" i="31"/>
  <c r="U48" i="31"/>
  <c r="F47" i="20"/>
  <c r="V47" i="20"/>
  <c r="D12" i="6"/>
  <c r="H18" i="6"/>
  <c r="G22" i="7"/>
  <c r="H10" i="37"/>
  <c r="H18" i="37"/>
  <c r="H16" i="10"/>
  <c r="E22" i="10"/>
  <c r="H24" i="10"/>
  <c r="I32" i="13"/>
  <c r="C32" i="13" s="1"/>
  <c r="G47" i="20"/>
  <c r="J12" i="21"/>
  <c r="C24" i="14" s="1"/>
  <c r="N16" i="16"/>
  <c r="D14" i="18"/>
  <c r="D52" i="40"/>
  <c r="Y34" i="23"/>
  <c r="Y52" i="23"/>
  <c r="Y26" i="23"/>
  <c r="M12" i="20"/>
  <c r="E21" i="29" s="1"/>
  <c r="D44" i="23"/>
  <c r="P60" i="31"/>
  <c r="C44" i="6"/>
  <c r="N18" i="16"/>
  <c r="N19" i="8"/>
  <c r="D23" i="4"/>
  <c r="N12" i="31"/>
  <c r="R46" i="23"/>
  <c r="Q42" i="23"/>
  <c r="X36" i="31"/>
  <c r="Y36" i="31" s="1"/>
  <c r="C26" i="6"/>
  <c r="G26" i="6" s="1"/>
  <c r="I26" i="6" s="1"/>
  <c r="E10" i="9"/>
  <c r="E31" i="9" s="1"/>
  <c r="F9" i="10"/>
  <c r="F26" i="10" s="1"/>
  <c r="G26" i="10"/>
  <c r="P56" i="31"/>
  <c r="D30" i="38"/>
  <c r="D18" i="18"/>
  <c r="N15" i="8"/>
  <c r="C10" i="9"/>
  <c r="C31" i="9" s="1"/>
  <c r="E23" i="4"/>
  <c r="L8" i="31"/>
  <c r="L26" i="31" s="1"/>
  <c r="M19" i="29"/>
  <c r="H16" i="5"/>
  <c r="J59" i="23"/>
  <c r="Y39" i="23"/>
  <c r="X24" i="23"/>
  <c r="Y24" i="23" s="1"/>
  <c r="M46" i="23"/>
  <c r="C14" i="6"/>
  <c r="G20" i="6"/>
  <c r="C30" i="6"/>
  <c r="H20" i="37"/>
  <c r="G10" i="15"/>
  <c r="F26" i="17"/>
  <c r="D14" i="38"/>
  <c r="H14" i="38" s="1"/>
  <c r="C14" i="18"/>
  <c r="H14" i="18" s="1"/>
  <c r="D15" i="39"/>
  <c r="N36" i="16"/>
  <c r="I9" i="8"/>
  <c r="I46" i="8" s="1"/>
  <c r="E69" i="4"/>
  <c r="Y32" i="23"/>
  <c r="X8" i="31"/>
  <c r="M20" i="29"/>
  <c r="M27" i="29" s="1"/>
  <c r="N21" i="29"/>
  <c r="O21" i="29" s="1"/>
  <c r="E19" i="29"/>
  <c r="H20" i="5"/>
  <c r="I48" i="31"/>
  <c r="X53" i="20"/>
  <c r="I36" i="6"/>
  <c r="G46" i="6"/>
  <c r="I46" i="6" s="1"/>
  <c r="G12" i="7"/>
  <c r="G16" i="7"/>
  <c r="H28" i="37"/>
  <c r="W47" i="20"/>
  <c r="H28" i="14"/>
  <c r="G24" i="15"/>
  <c r="C12" i="38"/>
  <c r="H12" i="38" s="1"/>
  <c r="G51" i="4"/>
  <c r="D16" i="39"/>
  <c r="F40" i="23"/>
  <c r="X30" i="23"/>
  <c r="Y30" i="23" s="1"/>
  <c r="H14" i="6"/>
  <c r="D46" i="6"/>
  <c r="E10" i="7"/>
  <c r="E32" i="7" s="1"/>
  <c r="F15" i="9"/>
  <c r="F20" i="17"/>
  <c r="H22" i="18"/>
  <c r="C24" i="18"/>
  <c r="D17" i="39"/>
  <c r="N12" i="16"/>
  <c r="E70" i="4"/>
  <c r="L22" i="31"/>
  <c r="N13" i="29"/>
  <c r="O13" i="29" s="1"/>
  <c r="N16" i="29"/>
  <c r="O16" i="29" s="1"/>
  <c r="H24" i="5"/>
  <c r="W71" i="31"/>
  <c r="D28" i="6"/>
  <c r="U56" i="31" s="1"/>
  <c r="H24" i="37"/>
  <c r="H14" i="10"/>
  <c r="K47" i="20"/>
  <c r="F16" i="17"/>
  <c r="D19" i="39"/>
  <c r="E65" i="4"/>
  <c r="E75" i="4" s="1"/>
  <c r="Q36" i="23"/>
  <c r="X22" i="23"/>
  <c r="F17" i="39"/>
  <c r="F18" i="39"/>
  <c r="F16" i="39"/>
  <c r="F19" i="39"/>
  <c r="E36" i="23"/>
  <c r="H10" i="10"/>
  <c r="E9" i="10"/>
  <c r="E26" i="10" s="1"/>
  <c r="J57" i="21"/>
  <c r="H24" i="6"/>
  <c r="H26" i="5"/>
  <c r="X14" i="23"/>
  <c r="J71" i="31"/>
  <c r="F52" i="31"/>
  <c r="E38" i="6"/>
  <c r="G38" i="6" s="1"/>
  <c r="R47" i="20"/>
  <c r="G24" i="29"/>
  <c r="Q33" i="21"/>
  <c r="E38" i="14" s="1"/>
  <c r="G38" i="14" s="1"/>
  <c r="N29" i="8"/>
  <c r="C70" i="4"/>
  <c r="X20" i="23"/>
  <c r="X22" i="31"/>
  <c r="Y22" i="31" s="1"/>
  <c r="N8" i="29"/>
  <c r="O8" i="29" s="1"/>
  <c r="M11" i="29"/>
  <c r="U36" i="23"/>
  <c r="G71" i="31"/>
  <c r="F47" i="21"/>
  <c r="F60" i="20"/>
  <c r="F60" i="21" s="1"/>
  <c r="I56" i="31"/>
  <c r="I44" i="23"/>
  <c r="G20" i="7"/>
  <c r="D10" i="6"/>
  <c r="D26" i="21"/>
  <c r="D10" i="14" s="1"/>
  <c r="C22" i="6"/>
  <c r="I12" i="21"/>
  <c r="C22" i="14" s="1"/>
  <c r="G24" i="14"/>
  <c r="M26" i="21"/>
  <c r="D30" i="14" s="1"/>
  <c r="D30" i="6"/>
  <c r="N47" i="20"/>
  <c r="L20" i="29"/>
  <c r="R44" i="21"/>
  <c r="F40" i="14" s="1"/>
  <c r="G40" i="14" s="1"/>
  <c r="I40" i="14" s="1"/>
  <c r="F40" i="6"/>
  <c r="S47" i="20"/>
  <c r="U38" i="23"/>
  <c r="N21" i="8"/>
  <c r="D9" i="8"/>
  <c r="D46" i="8" s="1"/>
  <c r="N39" i="8"/>
  <c r="E49" i="4"/>
  <c r="E55" i="4" s="1"/>
  <c r="D53" i="5"/>
  <c r="E7" i="29"/>
  <c r="E11" i="29" s="1"/>
  <c r="F15" i="39"/>
  <c r="X34" i="31"/>
  <c r="F17" i="9"/>
  <c r="N60" i="31"/>
  <c r="N66" i="31" s="1"/>
  <c r="N70" i="31" s="1"/>
  <c r="N48" i="23"/>
  <c r="N54" i="23" s="1"/>
  <c r="N58" i="23" s="1"/>
  <c r="N59" i="23" s="1"/>
  <c r="X10" i="23"/>
  <c r="Y10" i="23" s="1"/>
  <c r="X16" i="31"/>
  <c r="Y16" i="31" s="1"/>
  <c r="O18" i="31"/>
  <c r="S33" i="21"/>
  <c r="E42" i="14" s="1"/>
  <c r="T47" i="20"/>
  <c r="E42" i="6"/>
  <c r="F24" i="29"/>
  <c r="F27" i="29" s="1"/>
  <c r="F28" i="29" s="1"/>
  <c r="C11" i="29"/>
  <c r="R34" i="31"/>
  <c r="R48" i="31" s="1"/>
  <c r="X30" i="31"/>
  <c r="Y30" i="31" s="1"/>
  <c r="B19" i="29"/>
  <c r="D10" i="7"/>
  <c r="D32" i="7" s="1"/>
  <c r="C68" i="4"/>
  <c r="D68" i="4" s="1"/>
  <c r="L22" i="23"/>
  <c r="Q12" i="31"/>
  <c r="X12" i="31" s="1"/>
  <c r="Y12" i="31" s="1"/>
  <c r="Q14" i="31"/>
  <c r="X14" i="31" s="1"/>
  <c r="Y14" i="31" s="1"/>
  <c r="T40" i="23"/>
  <c r="T52" i="31"/>
  <c r="X19" i="20"/>
  <c r="X26" i="20" s="1"/>
  <c r="M26" i="20"/>
  <c r="E20" i="29" s="1"/>
  <c r="X28" i="20"/>
  <c r="X33" i="20" s="1"/>
  <c r="M33" i="20"/>
  <c r="I47" i="20"/>
  <c r="L47" i="20"/>
  <c r="E28" i="6"/>
  <c r="N34" i="16"/>
  <c r="S51" i="21"/>
  <c r="D24" i="18" s="1"/>
  <c r="H24" i="18" s="1"/>
  <c r="T57" i="20"/>
  <c r="F11" i="29"/>
  <c r="N6" i="29"/>
  <c r="N22" i="29"/>
  <c r="O22" i="29" s="1"/>
  <c r="D58" i="31"/>
  <c r="D46" i="23"/>
  <c r="H12" i="10"/>
  <c r="C9" i="10"/>
  <c r="C26" i="10" s="1"/>
  <c r="H44" i="14"/>
  <c r="H44" i="13"/>
  <c r="D10" i="9"/>
  <c r="D31" i="9" s="1"/>
  <c r="G14" i="6"/>
  <c r="I14" i="6" s="1"/>
  <c r="O54" i="31"/>
  <c r="O42" i="23"/>
  <c r="E12" i="40"/>
  <c r="E11" i="40"/>
  <c r="C7" i="40"/>
  <c r="D10" i="40" s="1"/>
  <c r="D15" i="40" s="1"/>
  <c r="E13" i="40"/>
  <c r="C10" i="7"/>
  <c r="C32" i="7" s="1"/>
  <c r="N12" i="29"/>
  <c r="N15" i="29"/>
  <c r="O15" i="29" s="1"/>
  <c r="N14" i="29"/>
  <c r="O14" i="29" s="1"/>
  <c r="N10" i="29"/>
  <c r="O10" i="29" s="1"/>
  <c r="L18" i="23"/>
  <c r="D70" i="4"/>
  <c r="G27" i="29"/>
  <c r="G28" i="29" s="1"/>
  <c r="F44" i="6"/>
  <c r="V50" i="31"/>
  <c r="T44" i="21"/>
  <c r="F44" i="14" s="1"/>
  <c r="V38" i="23"/>
  <c r="V54" i="23" s="1"/>
  <c r="V58" i="23" s="1"/>
  <c r="V59" i="23" s="1"/>
  <c r="K25" i="29"/>
  <c r="K27" i="29" s="1"/>
  <c r="K28" i="29" s="1"/>
  <c r="Q46" i="23"/>
  <c r="X46" i="23" s="1"/>
  <c r="Q58" i="31"/>
  <c r="X58" i="31" s="1"/>
  <c r="F36" i="37"/>
  <c r="X8" i="23"/>
  <c r="X12" i="23"/>
  <c r="Y12" i="23" s="1"/>
  <c r="V18" i="31"/>
  <c r="V20" i="31"/>
  <c r="K11" i="29"/>
  <c r="L12" i="23"/>
  <c r="X56" i="23"/>
  <c r="Y56" i="23" s="1"/>
  <c r="W58" i="23"/>
  <c r="W59" i="23" s="1"/>
  <c r="L56" i="31"/>
  <c r="D57" i="21"/>
  <c r="H10" i="6"/>
  <c r="H12" i="5"/>
  <c r="H12" i="13"/>
  <c r="H12" i="14"/>
  <c r="K52" i="31"/>
  <c r="K71" i="31"/>
  <c r="E66" i="31"/>
  <c r="E70" i="31" s="1"/>
  <c r="E71" i="31" s="1"/>
  <c r="C52" i="31"/>
  <c r="F13" i="9"/>
  <c r="F10" i="9" s="1"/>
  <c r="Q60" i="31"/>
  <c r="Q48" i="23"/>
  <c r="E58" i="31"/>
  <c r="E46" i="23"/>
  <c r="E54" i="23" s="1"/>
  <c r="E58" i="23" s="1"/>
  <c r="J47" i="21"/>
  <c r="G24" i="13" s="1"/>
  <c r="J60" i="20"/>
  <c r="C44" i="21"/>
  <c r="F12" i="14" s="1"/>
  <c r="G12" i="14" s="1"/>
  <c r="I12" i="14" s="1"/>
  <c r="Q50" i="31"/>
  <c r="C47" i="20"/>
  <c r="F12" i="6"/>
  <c r="O44" i="21"/>
  <c r="F34" i="14" s="1"/>
  <c r="F34" i="6"/>
  <c r="G18" i="15"/>
  <c r="F7" i="39"/>
  <c r="F6" i="39"/>
  <c r="P45" i="39"/>
  <c r="P42" i="39"/>
  <c r="P46" i="39"/>
  <c r="P44" i="39"/>
  <c r="P43" i="39"/>
  <c r="O48" i="31"/>
  <c r="C19" i="29"/>
  <c r="C28" i="29" s="1"/>
  <c r="L14" i="23"/>
  <c r="C40" i="23"/>
  <c r="X51" i="20"/>
  <c r="X57" i="20" s="1"/>
  <c r="M57" i="20"/>
  <c r="G20" i="5"/>
  <c r="G32" i="6"/>
  <c r="I32" i="6" s="1"/>
  <c r="N43" i="8"/>
  <c r="N20" i="31"/>
  <c r="D12" i="31"/>
  <c r="L12" i="31" s="1"/>
  <c r="B11" i="29"/>
  <c r="X12" i="20"/>
  <c r="G14" i="7"/>
  <c r="G10" i="7" s="1"/>
  <c r="H14" i="37"/>
  <c r="C9" i="37"/>
  <c r="C36" i="37" s="1"/>
  <c r="H32" i="37"/>
  <c r="F24" i="6"/>
  <c r="G24" i="6" s="1"/>
  <c r="I24" i="6" s="1"/>
  <c r="P50" i="31"/>
  <c r="P38" i="23"/>
  <c r="H26" i="14"/>
  <c r="M44" i="21"/>
  <c r="F30" i="14" s="1"/>
  <c r="F30" i="6"/>
  <c r="G30" i="6" s="1"/>
  <c r="I30" i="6" s="1"/>
  <c r="M38" i="23"/>
  <c r="L25" i="29"/>
  <c r="B27" i="29"/>
  <c r="X42" i="31"/>
  <c r="Y42" i="31" s="1"/>
  <c r="U47" i="21"/>
  <c r="V60" i="20"/>
  <c r="U60" i="21" s="1"/>
  <c r="F21" i="9"/>
  <c r="M60" i="31"/>
  <c r="H12" i="37"/>
  <c r="E9" i="37"/>
  <c r="E36" i="37" s="1"/>
  <c r="H57" i="21"/>
  <c r="H20" i="6"/>
  <c r="N26" i="16"/>
  <c r="N38" i="16"/>
  <c r="H26" i="38"/>
  <c r="H16" i="18"/>
  <c r="N41" i="8"/>
  <c r="S48" i="31"/>
  <c r="H16" i="37"/>
  <c r="H30" i="14"/>
  <c r="H30" i="13"/>
  <c r="Q57" i="21"/>
  <c r="H38" i="6"/>
  <c r="G14" i="15"/>
  <c r="N32" i="16"/>
  <c r="N23" i="8"/>
  <c r="N37" i="8"/>
  <c r="G53" i="4"/>
  <c r="N48" i="31"/>
  <c r="G40" i="6"/>
  <c r="I40" i="6" s="1"/>
  <c r="G28" i="7"/>
  <c r="K47" i="21"/>
  <c r="G26" i="13" s="1"/>
  <c r="I26" i="13" s="1"/>
  <c r="D47" i="20"/>
  <c r="E10" i="6"/>
  <c r="E9" i="6" s="1"/>
  <c r="E50" i="6" s="1"/>
  <c r="O46" i="27" s="1"/>
  <c r="E26" i="21"/>
  <c r="D14" i="14" s="1"/>
  <c r="G14" i="14" s="1"/>
  <c r="I14" i="14" s="1"/>
  <c r="H47" i="20"/>
  <c r="H33" i="21"/>
  <c r="E20" i="14" s="1"/>
  <c r="G20" i="14" s="1"/>
  <c r="J26" i="21"/>
  <c r="D24" i="14" s="1"/>
  <c r="K26" i="21"/>
  <c r="D26" i="14" s="1"/>
  <c r="G26" i="14" s="1"/>
  <c r="I26" i="14" s="1"/>
  <c r="G46" i="14"/>
  <c r="I46" i="14" s="1"/>
  <c r="N10" i="16"/>
  <c r="N60" i="21"/>
  <c r="I35" i="5"/>
  <c r="F29" i="9"/>
  <c r="I60" i="31"/>
  <c r="L60" i="31" s="1"/>
  <c r="H22" i="37"/>
  <c r="G12" i="21"/>
  <c r="C18" i="14" s="1"/>
  <c r="G18" i="14" s="1"/>
  <c r="I18" i="14" s="1"/>
  <c r="C18" i="6"/>
  <c r="C9" i="6" s="1"/>
  <c r="C50" i="6" s="1"/>
  <c r="O44" i="27" s="1"/>
  <c r="V56" i="31"/>
  <c r="L12" i="21"/>
  <c r="C28" i="14" s="1"/>
  <c r="G28" i="14" s="1"/>
  <c r="I28" i="14" s="1"/>
  <c r="C28" i="6"/>
  <c r="G32" i="14"/>
  <c r="I32" i="14" s="1"/>
  <c r="O26" i="21"/>
  <c r="D34" i="14" s="1"/>
  <c r="G34" i="14" s="1"/>
  <c r="D34" i="6"/>
  <c r="P47" i="20"/>
  <c r="P33" i="21"/>
  <c r="E36" i="14" s="1"/>
  <c r="G36" i="14" s="1"/>
  <c r="Q47" i="20"/>
  <c r="H22" i="38"/>
  <c r="H28" i="38"/>
  <c r="R39" i="21"/>
  <c r="D30" i="37"/>
  <c r="H30" i="37" s="1"/>
  <c r="N17" i="8"/>
  <c r="F25" i="9"/>
  <c r="U60" i="31"/>
  <c r="H34" i="37"/>
  <c r="H20" i="10"/>
  <c r="I44" i="21"/>
  <c r="F22" i="14" s="1"/>
  <c r="F22" i="6"/>
  <c r="T26" i="21"/>
  <c r="D44" i="14" s="1"/>
  <c r="G44" i="14" s="1"/>
  <c r="I44" i="14" s="1"/>
  <c r="U47" i="20"/>
  <c r="D44" i="6"/>
  <c r="G44" i="6" s="1"/>
  <c r="I44" i="6" s="1"/>
  <c r="N24" i="16"/>
  <c r="H36" i="38"/>
  <c r="O57" i="21"/>
  <c r="H34" i="6"/>
  <c r="F14" i="17"/>
  <c r="D32" i="38"/>
  <c r="H32" i="38" s="1"/>
  <c r="D12" i="18"/>
  <c r="H12" i="18" s="1"/>
  <c r="H26" i="18"/>
  <c r="N13" i="8"/>
  <c r="D50" i="40"/>
  <c r="D42" i="40"/>
  <c r="D49" i="40"/>
  <c r="D46" i="40"/>
  <c r="D48" i="40"/>
  <c r="D47" i="40"/>
  <c r="D45" i="40"/>
  <c r="E47" i="20"/>
  <c r="D44" i="21"/>
  <c r="F10" i="14" s="1"/>
  <c r="G10" i="14" s="1"/>
  <c r="S12" i="21"/>
  <c r="C42" i="14" s="1"/>
  <c r="G42" i="14" s="1"/>
  <c r="C42" i="6"/>
  <c r="G20" i="15"/>
  <c r="G30" i="15"/>
  <c r="N28" i="16"/>
  <c r="F22" i="17"/>
  <c r="F28" i="17"/>
  <c r="N25" i="8"/>
  <c r="N27" i="8"/>
  <c r="C24" i="38"/>
  <c r="H24" i="38" s="1"/>
  <c r="N31" i="8"/>
  <c r="E22" i="40"/>
  <c r="D21" i="40"/>
  <c r="D26" i="40" s="1"/>
  <c r="E23" i="40"/>
  <c r="D43" i="40"/>
  <c r="N30" i="16"/>
  <c r="H20" i="38"/>
  <c r="M38" i="20"/>
  <c r="H38" i="21"/>
  <c r="D18" i="38" s="1"/>
  <c r="H18" i="38" s="1"/>
  <c r="N35" i="8"/>
  <c r="E28" i="40"/>
  <c r="E27" i="40"/>
  <c r="M39" i="20"/>
  <c r="X39" i="20" s="1"/>
  <c r="G52" i="4"/>
  <c r="G50" i="4"/>
  <c r="G26" i="15"/>
  <c r="N22" i="16"/>
  <c r="F18" i="17"/>
  <c r="F24" i="17"/>
  <c r="H30" i="38"/>
  <c r="H18" i="18"/>
  <c r="C16" i="38"/>
  <c r="H16" i="38" s="1"/>
  <c r="D20" i="18"/>
  <c r="H20" i="18" s="1"/>
  <c r="P30" i="39"/>
  <c r="P29" i="39"/>
  <c r="V47" i="21" l="1"/>
  <c r="G46" i="13" s="1"/>
  <c r="I46" i="13" s="1"/>
  <c r="G49" i="5"/>
  <c r="D26" i="2" s="1"/>
  <c r="E26" i="2" s="1"/>
  <c r="W60" i="20"/>
  <c r="I36" i="14"/>
  <c r="G22" i="14"/>
  <c r="I22" i="14" s="1"/>
  <c r="Y8" i="31"/>
  <c r="X18" i="31"/>
  <c r="Y18" i="31" s="1"/>
  <c r="D28" i="31"/>
  <c r="D20" i="23"/>
  <c r="B28" i="29"/>
  <c r="Q56" i="31"/>
  <c r="Q66" i="31" s="1"/>
  <c r="Q70" i="31" s="1"/>
  <c r="Q71" i="31" s="1"/>
  <c r="Q44" i="23"/>
  <c r="G12" i="6"/>
  <c r="I12" i="6" s="1"/>
  <c r="E59" i="23"/>
  <c r="N7" i="29"/>
  <c r="O7" i="29" s="1"/>
  <c r="U44" i="23"/>
  <c r="U54" i="23" s="1"/>
  <c r="U58" i="23" s="1"/>
  <c r="U59" i="23" s="1"/>
  <c r="Y22" i="23"/>
  <c r="G28" i="5"/>
  <c r="K60" i="20"/>
  <c r="G28" i="6"/>
  <c r="I28" i="6" s="1"/>
  <c r="I20" i="6"/>
  <c r="X50" i="31"/>
  <c r="N71" i="31"/>
  <c r="H9" i="10"/>
  <c r="N9" i="8"/>
  <c r="N46" i="8" s="1"/>
  <c r="U66" i="31"/>
  <c r="U70" i="31" s="1"/>
  <c r="U71" i="31" s="1"/>
  <c r="H9" i="37"/>
  <c r="H36" i="37" s="1"/>
  <c r="C66" i="4"/>
  <c r="D66" i="4" s="1"/>
  <c r="D75" i="4" s="1"/>
  <c r="M54" i="31"/>
  <c r="M42" i="23"/>
  <c r="M28" i="29"/>
  <c r="H22" i="10"/>
  <c r="G47" i="21"/>
  <c r="G18" i="13" s="1"/>
  <c r="I18" i="13" s="1"/>
  <c r="G60" i="20"/>
  <c r="Q54" i="23"/>
  <c r="Q58" i="23" s="1"/>
  <c r="Q59" i="23" s="1"/>
  <c r="X38" i="20"/>
  <c r="X44" i="20" s="1"/>
  <c r="X47" i="20" s="1"/>
  <c r="X60" i="20" s="1"/>
  <c r="M44" i="20"/>
  <c r="E25" i="29" s="1"/>
  <c r="N25" i="29" s="1"/>
  <c r="O25" i="29" s="1"/>
  <c r="Q60" i="20"/>
  <c r="G39" i="5"/>
  <c r="P47" i="21"/>
  <c r="G36" i="13" s="1"/>
  <c r="I36" i="13" s="1"/>
  <c r="G12" i="5"/>
  <c r="D47" i="21"/>
  <c r="G10" i="13" s="1"/>
  <c r="D60" i="20"/>
  <c r="G10" i="6"/>
  <c r="I26" i="5"/>
  <c r="J60" i="21"/>
  <c r="G32" i="7"/>
  <c r="R47" i="21"/>
  <c r="G40" i="13" s="1"/>
  <c r="I40" i="13" s="1"/>
  <c r="G43" i="5"/>
  <c r="D20" i="2" s="1"/>
  <c r="E20" i="2" s="1"/>
  <c r="S60" i="20"/>
  <c r="X36" i="23"/>
  <c r="D54" i="31"/>
  <c r="G42" i="6"/>
  <c r="I42" i="6" s="1"/>
  <c r="D42" i="23"/>
  <c r="U60" i="20"/>
  <c r="G47" i="5"/>
  <c r="D24" i="2" s="1"/>
  <c r="T47" i="21"/>
  <c r="G44" i="13" s="1"/>
  <c r="I44" i="13" s="1"/>
  <c r="P54" i="31"/>
  <c r="X54" i="31" s="1"/>
  <c r="G18" i="6"/>
  <c r="I18" i="6" s="1"/>
  <c r="P42" i="23"/>
  <c r="X42" i="23" s="1"/>
  <c r="M54" i="23"/>
  <c r="M58" i="23" s="1"/>
  <c r="M59" i="23" s="1"/>
  <c r="X38" i="23"/>
  <c r="O54" i="23"/>
  <c r="O58" i="23" s="1"/>
  <c r="O59" i="23" s="1"/>
  <c r="S57" i="21"/>
  <c r="H42" i="6"/>
  <c r="H45" i="5"/>
  <c r="E24" i="29"/>
  <c r="N24" i="29" s="1"/>
  <c r="O24" i="29" s="1"/>
  <c r="M47" i="20"/>
  <c r="M60" i="20" s="1"/>
  <c r="D36" i="37"/>
  <c r="D76" i="4"/>
  <c r="E76" i="4" s="1"/>
  <c r="G22" i="6"/>
  <c r="I22" i="6" s="1"/>
  <c r="E40" i="23"/>
  <c r="O6" i="29"/>
  <c r="O11" i="29" s="1"/>
  <c r="N11" i="29"/>
  <c r="G37" i="5"/>
  <c r="D16" i="2" s="1"/>
  <c r="E16" i="2" s="1"/>
  <c r="O47" i="21"/>
  <c r="G34" i="13" s="1"/>
  <c r="P60" i="20"/>
  <c r="O12" i="29"/>
  <c r="O19" i="29" s="1"/>
  <c r="N19" i="29"/>
  <c r="H34" i="13"/>
  <c r="H34" i="14"/>
  <c r="I34" i="14" s="1"/>
  <c r="O66" i="31"/>
  <c r="O70" i="31" s="1"/>
  <c r="O71" i="31" s="1"/>
  <c r="R56" i="31"/>
  <c r="R66" i="31" s="1"/>
  <c r="R70" i="31" s="1"/>
  <c r="R71" i="31" s="1"/>
  <c r="D9" i="6"/>
  <c r="D50" i="6" s="1"/>
  <c r="O45" i="27" s="1"/>
  <c r="R44" i="23"/>
  <c r="R54" i="23" s="1"/>
  <c r="R58" i="23" s="1"/>
  <c r="R59" i="23" s="1"/>
  <c r="E77" i="4"/>
  <c r="O59" i="27" s="1"/>
  <c r="E47" i="21"/>
  <c r="G14" i="13" s="1"/>
  <c r="I14" i="13" s="1"/>
  <c r="E60" i="20"/>
  <c r="G16" i="5"/>
  <c r="F9" i="6"/>
  <c r="F50" i="6" s="1"/>
  <c r="X18" i="23"/>
  <c r="Y18" i="23" s="1"/>
  <c r="Y8" i="23"/>
  <c r="L58" i="31"/>
  <c r="Y58" i="31" s="1"/>
  <c r="G33" i="5"/>
  <c r="D12" i="2" s="1"/>
  <c r="E12" i="2" s="1"/>
  <c r="M47" i="21"/>
  <c r="G30" i="13" s="1"/>
  <c r="I30" i="13" s="1"/>
  <c r="N60" i="20"/>
  <c r="H10" i="14"/>
  <c r="I10" i="14" s="1"/>
  <c r="H10" i="13"/>
  <c r="Y14" i="23"/>
  <c r="G34" i="6"/>
  <c r="I34" i="6" s="1"/>
  <c r="S56" i="31"/>
  <c r="S66" i="31" s="1"/>
  <c r="S70" i="31" s="1"/>
  <c r="S71" i="31" s="1"/>
  <c r="S44" i="23"/>
  <c r="S54" i="23" s="1"/>
  <c r="S58" i="23" s="1"/>
  <c r="S59" i="23" s="1"/>
  <c r="Y50" i="31"/>
  <c r="L46" i="23"/>
  <c r="Y46" i="23" s="1"/>
  <c r="S47" i="21"/>
  <c r="G42" i="13" s="1"/>
  <c r="T60" i="20"/>
  <c r="G45" i="5"/>
  <c r="D22" i="2" s="1"/>
  <c r="E22" i="2" s="1"/>
  <c r="L27" i="29"/>
  <c r="L28" i="29" s="1"/>
  <c r="X48" i="23"/>
  <c r="Y48" i="23" s="1"/>
  <c r="H47" i="21"/>
  <c r="G20" i="13" s="1"/>
  <c r="G22" i="5"/>
  <c r="H60" i="20"/>
  <c r="C60" i="20"/>
  <c r="G14" i="5"/>
  <c r="C47" i="21"/>
  <c r="G12" i="13" s="1"/>
  <c r="I12" i="13" s="1"/>
  <c r="H10" i="5"/>
  <c r="V66" i="31"/>
  <c r="V70" i="31" s="1"/>
  <c r="V71" i="31" s="1"/>
  <c r="W40" i="23"/>
  <c r="E52" i="31"/>
  <c r="G30" i="5"/>
  <c r="L60" i="20"/>
  <c r="L47" i="21"/>
  <c r="G28" i="13" s="1"/>
  <c r="I28" i="13" s="1"/>
  <c r="M56" i="31"/>
  <c r="M44" i="23"/>
  <c r="I54" i="23"/>
  <c r="I58" i="23" s="1"/>
  <c r="L44" i="23"/>
  <c r="Q47" i="21"/>
  <c r="G38" i="13" s="1"/>
  <c r="R60" i="20"/>
  <c r="G41" i="5"/>
  <c r="D18" i="2" s="1"/>
  <c r="E18" i="2" s="1"/>
  <c r="H24" i="13"/>
  <c r="I24" i="13" s="1"/>
  <c r="H24" i="14"/>
  <c r="I24" i="14" s="1"/>
  <c r="X26" i="31"/>
  <c r="Y26" i="31" s="1"/>
  <c r="H20" i="14"/>
  <c r="I20" i="14" s="1"/>
  <c r="H20" i="13"/>
  <c r="G49" i="4"/>
  <c r="H38" i="14"/>
  <c r="I38" i="14" s="1"/>
  <c r="H38" i="13"/>
  <c r="X60" i="31"/>
  <c r="Y60" i="31" s="1"/>
  <c r="N20" i="29"/>
  <c r="F31" i="9"/>
  <c r="H9" i="6"/>
  <c r="H50" i="6" s="1"/>
  <c r="I47" i="21"/>
  <c r="G22" i="13" s="1"/>
  <c r="I22" i="13" s="1"/>
  <c r="I60" i="20"/>
  <c r="G24" i="5"/>
  <c r="O20" i="31"/>
  <c r="X20" i="31" s="1"/>
  <c r="Y20" i="31" s="1"/>
  <c r="X48" i="31"/>
  <c r="Y34" i="31"/>
  <c r="G30" i="14"/>
  <c r="I30" i="14" s="1"/>
  <c r="I66" i="31"/>
  <c r="I70" i="31" s="1"/>
  <c r="I38" i="6"/>
  <c r="L28" i="31" l="1"/>
  <c r="D48" i="31"/>
  <c r="C75" i="4"/>
  <c r="C77" i="4" s="1"/>
  <c r="I20" i="5"/>
  <c r="G60" i="21"/>
  <c r="K60" i="21"/>
  <c r="I28" i="5"/>
  <c r="V60" i="21"/>
  <c r="I49" i="5"/>
  <c r="H26" i="10"/>
  <c r="E27" i="29"/>
  <c r="E28" i="29" s="1"/>
  <c r="D36" i="23"/>
  <c r="L20" i="23"/>
  <c r="Y54" i="31"/>
  <c r="I43" i="5"/>
  <c r="R60" i="21"/>
  <c r="L42" i="23"/>
  <c r="L54" i="23" s="1"/>
  <c r="L58" i="23" s="1"/>
  <c r="D54" i="23"/>
  <c r="D58" i="23" s="1"/>
  <c r="I30" i="5"/>
  <c r="L60" i="21"/>
  <c r="I41" i="5"/>
  <c r="Q60" i="21"/>
  <c r="P54" i="23"/>
  <c r="P58" i="23" s="1"/>
  <c r="P59" i="23" s="1"/>
  <c r="H42" i="14"/>
  <c r="I42" i="14" s="1"/>
  <c r="H42" i="13"/>
  <c r="I42" i="13" s="1"/>
  <c r="L54" i="31"/>
  <c r="D66" i="31"/>
  <c r="P66" i="31"/>
  <c r="P70" i="31" s="1"/>
  <c r="P71" i="31" s="1"/>
  <c r="I38" i="13"/>
  <c r="H60" i="21"/>
  <c r="I22" i="5"/>
  <c r="O57" i="27"/>
  <c r="P57" i="27" s="1"/>
  <c r="C79" i="4"/>
  <c r="O60" i="21"/>
  <c r="I37" i="5"/>
  <c r="O47" i="27"/>
  <c r="O48" i="27" s="1"/>
  <c r="P45" i="27" s="1"/>
  <c r="I10" i="6"/>
  <c r="I9" i="6" s="1"/>
  <c r="G9" i="6"/>
  <c r="G50" i="6" s="1"/>
  <c r="I10" i="13"/>
  <c r="I45" i="5"/>
  <c r="S60" i="21"/>
  <c r="G10" i="5"/>
  <c r="O20" i="29"/>
  <c r="O27" i="29" s="1"/>
  <c r="O28" i="29" s="1"/>
  <c r="N27" i="29"/>
  <c r="N28" i="29" s="1"/>
  <c r="M60" i="21"/>
  <c r="I33" i="5"/>
  <c r="I34" i="13"/>
  <c r="D77" i="4"/>
  <c r="X56" i="31"/>
  <c r="Y56" i="31" s="1"/>
  <c r="M66" i="31"/>
  <c r="M70" i="31" s="1"/>
  <c r="M71" i="31" s="1"/>
  <c r="C60" i="21"/>
  <c r="I14" i="5"/>
  <c r="I59" i="23"/>
  <c r="I40" i="23"/>
  <c r="I20" i="13"/>
  <c r="E60" i="21"/>
  <c r="I16" i="5"/>
  <c r="P60" i="21"/>
  <c r="I39" i="5"/>
  <c r="T60" i="21"/>
  <c r="I47" i="5"/>
  <c r="I71" i="31"/>
  <c r="I52" i="31"/>
  <c r="G55" i="4"/>
  <c r="H49" i="4"/>
  <c r="L6" i="27" s="1"/>
  <c r="I12" i="5"/>
  <c r="D60" i="21"/>
  <c r="I60" i="21"/>
  <c r="I24" i="5"/>
  <c r="X44" i="23"/>
  <c r="Y44" i="23" s="1"/>
  <c r="H53" i="5"/>
  <c r="Y38" i="23"/>
  <c r="X54" i="23"/>
  <c r="L36" i="23" l="1"/>
  <c r="Y20" i="23"/>
  <c r="Y36" i="23" s="1"/>
  <c r="P26" i="31"/>
  <c r="P52" i="31" s="1"/>
  <c r="P18" i="23"/>
  <c r="L59" i="23"/>
  <c r="Y28" i="31"/>
  <c r="Y48" i="31" s="1"/>
  <c r="L48" i="31"/>
  <c r="X58" i="23"/>
  <c r="Y54" i="23"/>
  <c r="O26" i="31"/>
  <c r="O52" i="31" s="1"/>
  <c r="O18" i="23"/>
  <c r="O40" i="23" s="1"/>
  <c r="O58" i="27"/>
  <c r="P58" i="27" s="1"/>
  <c r="D79" i="4"/>
  <c r="S18" i="23"/>
  <c r="S40" i="23" s="1"/>
  <c r="S26" i="31"/>
  <c r="S52" i="31" s="1"/>
  <c r="P40" i="23"/>
  <c r="M18" i="23"/>
  <c r="M40" i="23" s="1"/>
  <c r="M26" i="31"/>
  <c r="M52" i="31" s="1"/>
  <c r="D70" i="31"/>
  <c r="L66" i="31"/>
  <c r="R18" i="23"/>
  <c r="R40" i="23" s="1"/>
  <c r="I10" i="5"/>
  <c r="I53" i="5" s="1"/>
  <c r="R26" i="31"/>
  <c r="R52" i="31" s="1"/>
  <c r="L25" i="27"/>
  <c r="I50" i="6"/>
  <c r="P47" i="27"/>
  <c r="H54" i="4"/>
  <c r="L11" i="27"/>
  <c r="H51" i="4"/>
  <c r="L8" i="27" s="1"/>
  <c r="H52" i="4"/>
  <c r="L9" i="27" s="1"/>
  <c r="H53" i="4"/>
  <c r="L10" i="27" s="1"/>
  <c r="H50" i="4"/>
  <c r="L7" i="27" s="1"/>
  <c r="D10" i="2"/>
  <c r="G53" i="5"/>
  <c r="V26" i="31"/>
  <c r="V52" i="31" s="1"/>
  <c r="V18" i="23"/>
  <c r="V40" i="23" s="1"/>
  <c r="Y42" i="23"/>
  <c r="Q26" i="31"/>
  <c r="Q52" i="31" s="1"/>
  <c r="Q18" i="23"/>
  <c r="Q40" i="23" s="1"/>
  <c r="P44" i="27"/>
  <c r="P46" i="27"/>
  <c r="U26" i="31"/>
  <c r="U52" i="31" s="1"/>
  <c r="U18" i="23"/>
  <c r="U40" i="23" s="1"/>
  <c r="X66" i="31"/>
  <c r="N18" i="23"/>
  <c r="N40" i="23" s="1"/>
  <c r="N26" i="31"/>
  <c r="N52" i="31" s="1"/>
  <c r="D59" i="23"/>
  <c r="D40" i="23"/>
  <c r="L40" i="23" s="1"/>
  <c r="X70" i="31" l="1"/>
  <c r="Y66" i="31"/>
  <c r="L13" i="27"/>
  <c r="L12" i="27"/>
  <c r="X52" i="31"/>
  <c r="D71" i="31"/>
  <c r="L71" i="31" s="1"/>
  <c r="L70" i="31"/>
  <c r="D52" i="31"/>
  <c r="L52" i="31" s="1"/>
  <c r="D31" i="2"/>
  <c r="E31" i="2" s="1"/>
  <c r="E10" i="2"/>
  <c r="L30" i="27"/>
  <c r="L29" i="27"/>
  <c r="L28" i="27"/>
  <c r="L26" i="27"/>
  <c r="L27" i="27"/>
  <c r="X40" i="23"/>
  <c r="Y40" i="23" s="1"/>
  <c r="Y58" i="23"/>
  <c r="Y59" i="23" s="1"/>
  <c r="X59" i="23"/>
  <c r="Y70" i="31" l="1"/>
  <c r="Y71" i="31" s="1"/>
  <c r="X71" i="31"/>
  <c r="Y52" i="31"/>
  <c r="L32" i="27"/>
  <c r="L31" i="27"/>
</calcChain>
</file>

<file path=xl/sharedStrings.xml><?xml version="1.0" encoding="utf-8"?>
<sst xmlns="http://schemas.openxmlformats.org/spreadsheetml/2006/main" count="1875" uniqueCount="828">
  <si>
    <t xml:space="preserve">         (TERACALORIAS)</t>
  </si>
  <si>
    <t>AÑOS</t>
  </si>
  <si>
    <t>VARIACION</t>
  </si>
  <si>
    <t>ENERGETICO</t>
  </si>
  <si>
    <t>%</t>
  </si>
  <si>
    <t>PETROLEO CRUDO</t>
  </si>
  <si>
    <t>GAS NATURAL</t>
  </si>
  <si>
    <t>CARBON</t>
  </si>
  <si>
    <t>HIDROELECTRICIDAD</t>
  </si>
  <si>
    <t>LEÑA</t>
  </si>
  <si>
    <t>BIOGAS</t>
  </si>
  <si>
    <t>TOTAL</t>
  </si>
  <si>
    <t xml:space="preserve">Nota: El factor de conversión utilizado para la hidroelectricidad corresponde al utilizado en </t>
  </si>
  <si>
    <t xml:space="preserve">        metodología internacional de generación de balances equivalente a 860 Kcal/Kwh</t>
  </si>
  <si>
    <t>Fuente: Encuestas CNE a empresas del sector energía e industrias intensivas en consumo energético</t>
  </si>
  <si>
    <t xml:space="preserve">    (TERACALORIAS)</t>
  </si>
  <si>
    <t>TOTAL DER. PETROLEO</t>
  </si>
  <si>
    <t>Y GAS NATURAL</t>
  </si>
  <si>
    <t>ELECTRICIDAD</t>
  </si>
  <si>
    <t>COKE Y ALQUITRAN</t>
  </si>
  <si>
    <t>GAS CORRIENTE</t>
  </si>
  <si>
    <t>GAS ALTOS HORNOS</t>
  </si>
  <si>
    <t>METANOL</t>
  </si>
  <si>
    <t>LEÑA Y OTROS</t>
  </si>
  <si>
    <t xml:space="preserve"> BALANCE ENERGIA PRIMARIA</t>
  </si>
  <si>
    <t>PRODUCCION</t>
  </si>
  <si>
    <t>IMPORTACION</t>
  </si>
  <si>
    <t>EXPORTACION</t>
  </si>
  <si>
    <t>VAR. STOCK +</t>
  </si>
  <si>
    <t>CONSUMO</t>
  </si>
  <si>
    <t>BRUTA</t>
  </si>
  <si>
    <t xml:space="preserve">PERD+CIERRE </t>
  </si>
  <si>
    <t>BRUTO</t>
  </si>
  <si>
    <t>PETROLEO CRUDO (a)</t>
  </si>
  <si>
    <t>GAS NATURAL (b,c,d,e)</t>
  </si>
  <si>
    <t>a) Producción Bruta Petroleo Crudo:               Producción Isla +     Producción Continente +     Producción Costa afuera</t>
  </si>
  <si>
    <t xml:space="preserve">b) Producción Bruta Gas Natural:                </t>
  </si>
  <si>
    <t xml:space="preserve"> Produccion total     - Reinyecciones </t>
  </si>
  <si>
    <t xml:space="preserve">c) Cierre Gas Natural : </t>
  </si>
  <si>
    <t xml:space="preserve">Gas lift  + </t>
  </si>
  <si>
    <t xml:space="preserve">Gas quemado </t>
  </si>
  <si>
    <t>e) : Gas Absorbido (Diferencia Gas Primario y Secundario ) =</t>
  </si>
  <si>
    <t>Nota 1: El factor de conversión utilizado para la hidroelectricidad corresponde al utilizado en metodología internacional de</t>
  </si>
  <si>
    <t xml:space="preserve">          generación de balances equivalente a 860 Kcal/Kwh</t>
  </si>
  <si>
    <t xml:space="preserve">Nota 2: El Consumo Bruto equivale a la suma de Producción Bruta e Importaciones menos las Exportacione y Variación de Stocks </t>
  </si>
  <si>
    <t xml:space="preserve">          Perdidas y Cierres para cada energético</t>
  </si>
  <si>
    <t xml:space="preserve"> MATRIZ ENERGIA PRIMARIA (*)</t>
  </si>
  <si>
    <t>V. STOCK +</t>
  </si>
  <si>
    <t>Las siguientes cantidades están expresadas en Teracalorías</t>
  </si>
  <si>
    <t xml:space="preserve">                        BALANCE      ENERGIA      SECUNDARIA</t>
  </si>
  <si>
    <t xml:space="preserve">                    (TERACALORIAS)</t>
  </si>
  <si>
    <t>PERD Y CIERRE</t>
  </si>
  <si>
    <t xml:space="preserve"> FINAL</t>
  </si>
  <si>
    <t>CENT. DE TRANSF.</t>
  </si>
  <si>
    <t xml:space="preserve"> TOTAL</t>
  </si>
  <si>
    <t>PETROLEO COMBUSTIBLE</t>
  </si>
  <si>
    <t>DIESEL</t>
  </si>
  <si>
    <t>GAS 93 S/P (*)</t>
  </si>
  <si>
    <t>GAS 93 C/P (**)</t>
  </si>
  <si>
    <t>KEROSENE</t>
  </si>
  <si>
    <t>GAS LICUADO</t>
  </si>
  <si>
    <t>GASOLINA AVIACION</t>
  </si>
  <si>
    <t>KEROSENE AVIACION</t>
  </si>
  <si>
    <t>NAFTA</t>
  </si>
  <si>
    <t>GAS REFINERIA</t>
  </si>
  <si>
    <t>CARBON (**)</t>
  </si>
  <si>
    <t xml:space="preserve">COKE </t>
  </si>
  <si>
    <t>ALQUITRAN (***)</t>
  </si>
  <si>
    <t>GAS CORRIENTE.</t>
  </si>
  <si>
    <t>GAS ALTO HORNO</t>
  </si>
  <si>
    <t>GAS NATURAL (**)</t>
  </si>
  <si>
    <t>(**) Las Importaciones-Exportaciones se consideran en etapa de energético primario</t>
  </si>
  <si>
    <t>(*** ) Alquitrán de uso energético  (poducido en siderurgia)</t>
  </si>
  <si>
    <t xml:space="preserve">Nota 2: El Consumo Final equivale a la suma de Producción Bruta e Importaciones menos las Exportacione y Variación de Stocks </t>
  </si>
  <si>
    <t>Nota 3: El Consumo Total equivale a la suma del Consumo Final y Consumo en Centros de Transformación</t>
  </si>
  <si>
    <t>DERIVADOS PETRÓLEO</t>
  </si>
  <si>
    <t>(*) Se incluye la Gasolinas 88, 95 y 97</t>
  </si>
  <si>
    <t xml:space="preserve">  CONSUMO SECTORIAL</t>
  </si>
  <si>
    <t>(TERACALORIAS)</t>
  </si>
  <si>
    <t>Sector</t>
  </si>
  <si>
    <t>Consumo</t>
  </si>
  <si>
    <t xml:space="preserve">Consumo </t>
  </si>
  <si>
    <t>Transporte</t>
  </si>
  <si>
    <t>Ind. y Min.</t>
  </si>
  <si>
    <t>Com.Púb.Res.</t>
  </si>
  <si>
    <t>Final</t>
  </si>
  <si>
    <t>Cent.deTransf.</t>
  </si>
  <si>
    <t>Total</t>
  </si>
  <si>
    <t>TOTAL DERIVADOS</t>
  </si>
  <si>
    <t>GAS 93 S/P  (*)</t>
  </si>
  <si>
    <t>GAS 93 C/P</t>
  </si>
  <si>
    <t xml:space="preserve">(*) Se incluye la Gasolinas 88, 95 y 97 </t>
  </si>
  <si>
    <t xml:space="preserve">     (TERACALORIAS)</t>
  </si>
  <si>
    <t xml:space="preserve">   SECTOR TRANSPORTE</t>
  </si>
  <si>
    <t>TERRESTRE</t>
  </si>
  <si>
    <t>FERROVIARIO</t>
  </si>
  <si>
    <t>MARITIMO</t>
  </si>
  <si>
    <t>AEREO</t>
  </si>
  <si>
    <t xml:space="preserve">             SECTOR INDUSTRIAL Y MINERO</t>
  </si>
  <si>
    <t>COBRE</t>
  </si>
  <si>
    <t>SALITRE</t>
  </si>
  <si>
    <t>HIERRO</t>
  </si>
  <si>
    <t xml:space="preserve">PAPEL Y </t>
  </si>
  <si>
    <t>SIDE_</t>
  </si>
  <si>
    <t>PETRO_</t>
  </si>
  <si>
    <t>CEMENTO</t>
  </si>
  <si>
    <t>AZUCAR</t>
  </si>
  <si>
    <t>PESCA</t>
  </si>
  <si>
    <t>INDUSTRIAS</t>
  </si>
  <si>
    <t>MINAS</t>
  </si>
  <si>
    <t>CELULOSA</t>
  </si>
  <si>
    <t>RURGIA</t>
  </si>
  <si>
    <t>QUIMICA</t>
  </si>
  <si>
    <t>VARIAS</t>
  </si>
  <si>
    <t>CARBON (*)</t>
  </si>
  <si>
    <t>COKE</t>
  </si>
  <si>
    <t>ALQUITRAN   (**)</t>
  </si>
  <si>
    <t>GAS NATURAL (*)</t>
  </si>
  <si>
    <t>(*) Las Importaciones-Exportaciones se consideran en etapa de energético primario</t>
  </si>
  <si>
    <t>(**) Alquitrán de uso energético  (poducido en siderurgia)</t>
  </si>
  <si>
    <t xml:space="preserve">                                                         SECTOR COMERCIAL </t>
  </si>
  <si>
    <t>COMERCIAL</t>
  </si>
  <si>
    <t>PUBLICO</t>
  </si>
  <si>
    <t>RESIDENCIAL</t>
  </si>
  <si>
    <t>PETROLEO  COMBUSTIBLE</t>
  </si>
  <si>
    <t xml:space="preserve"> DIESEL</t>
  </si>
  <si>
    <t>CARBON   (*)</t>
  </si>
  <si>
    <t>PETROLEO Y</t>
  </si>
  <si>
    <t xml:space="preserve">CARBON </t>
  </si>
  <si>
    <t xml:space="preserve">      PRODUCCION BRUTA DERIVADOS</t>
  </si>
  <si>
    <t xml:space="preserve">     INDUSTRIALES DEL PETROLEO</t>
  </si>
  <si>
    <t xml:space="preserve">                   (TERACALORIAS)</t>
  </si>
  <si>
    <t>NO ENERGETICOS</t>
  </si>
  <si>
    <t>PROD.BRUTA</t>
  </si>
  <si>
    <t>Gasolina Blanca</t>
  </si>
  <si>
    <t>Aguarrás</t>
  </si>
  <si>
    <t>Solventes</t>
  </si>
  <si>
    <t>Fuel Fondo Vacío</t>
  </si>
  <si>
    <t>Asfalto</t>
  </si>
  <si>
    <t>Etileno</t>
  </si>
  <si>
    <t>Gas Oil</t>
  </si>
  <si>
    <t xml:space="preserve">                                             BALANCE DE ENERGIA PRIMARIA</t>
  </si>
  <si>
    <t xml:space="preserve">                                                       (Unidades Físicas)</t>
  </si>
  <si>
    <t xml:space="preserve">V. STOCK + </t>
  </si>
  <si>
    <t>PERD.Y CIERRE</t>
  </si>
  <si>
    <t>PETROLEO  CRUDO (a)</t>
  </si>
  <si>
    <t xml:space="preserve"> (Miles m3)</t>
  </si>
  <si>
    <t>GAS NATURAL (b,c y d)</t>
  </si>
  <si>
    <t xml:space="preserve"> (Mill. m3)</t>
  </si>
  <si>
    <t xml:space="preserve"> (Miles ton.)</t>
  </si>
  <si>
    <t xml:space="preserve"> (Gwh)</t>
  </si>
  <si>
    <t xml:space="preserve"> (Mill.m3)</t>
  </si>
  <si>
    <t>a) Producción Bruta : Isla+ Continente + Costa afuera</t>
  </si>
  <si>
    <t>Isla                =</t>
  </si>
  <si>
    <t>Continente      =</t>
  </si>
  <si>
    <t>Costa Afuera =</t>
  </si>
  <si>
    <t>b) Producción Bruta : (Prod. Total - Reinyecciones)</t>
  </si>
  <si>
    <t>Prod. Total     =</t>
  </si>
  <si>
    <t>Reinyecciones =</t>
  </si>
  <si>
    <t>Gas lift           =</t>
  </si>
  <si>
    <t>Gas Quemado  =</t>
  </si>
  <si>
    <t>d) Ventas Tot. y Consumos Propios Enap</t>
  </si>
  <si>
    <t>Ventas           =</t>
  </si>
  <si>
    <t>Cons. Propios  =</t>
  </si>
  <si>
    <t>e) : (Diferencia Gas Primario y Secundario )              =</t>
  </si>
  <si>
    <t>Gas Absorvido =</t>
  </si>
  <si>
    <t>Metalúrgico    =</t>
  </si>
  <si>
    <t xml:space="preserve">Térmico = </t>
  </si>
  <si>
    <t xml:space="preserve">         DERIVADOS DEL GAS NATURAL</t>
  </si>
  <si>
    <t xml:space="preserve">                                  (Miles m3)</t>
  </si>
  <si>
    <t xml:space="preserve">PRODUCCION GASOLINA NATURAL </t>
  </si>
  <si>
    <t>c) Var. Stock = Gas Lift + Gas Quemado</t>
  </si>
  <si>
    <t>f) Carbón Importado (Mton 6.500 Kcal/Kg)</t>
  </si>
  <si>
    <t>BALANCE      ENERGIA      SECUNDARIA</t>
  </si>
  <si>
    <t xml:space="preserve">             (UNIDADES FISICAS)</t>
  </si>
  <si>
    <t>V. STOCK</t>
  </si>
  <si>
    <t>PERD.CIERRE</t>
  </si>
  <si>
    <t>FINAL</t>
  </si>
  <si>
    <t>(Miles Ton) (iv)</t>
  </si>
  <si>
    <t>(Miles m3)</t>
  </si>
  <si>
    <t>(Miles Ton)</t>
  </si>
  <si>
    <t>(Millones m3)</t>
  </si>
  <si>
    <t>ELECTRICIDAD (VI)</t>
  </si>
  <si>
    <t>(GWh)</t>
  </si>
  <si>
    <t>CARBON (***)</t>
  </si>
  <si>
    <t>ALQUITRAN</t>
  </si>
  <si>
    <t>GAS CORRIENTE (v)</t>
  </si>
  <si>
    <t>GAS NATURAL (***)</t>
  </si>
  <si>
    <t>(***) Las Importaciones-Exportaciones y Var. Stock, Perdidas se consideran en etapa de energético primario</t>
  </si>
  <si>
    <t>(iv)  Prod. IFO 180</t>
  </si>
  <si>
    <t>Mil Ton.</t>
  </si>
  <si>
    <t xml:space="preserve">                  Fuel 5</t>
  </si>
  <si>
    <t xml:space="preserve">                  Fuel 6</t>
  </si>
  <si>
    <t>(v) Gas Prod. En Siderurgia</t>
  </si>
  <si>
    <t>Millón m3</t>
  </si>
  <si>
    <t>(MTons)</t>
  </si>
  <si>
    <t>GWh</t>
  </si>
  <si>
    <t xml:space="preserve">(vi) Perdidas Autoproductores </t>
  </si>
  <si>
    <t>(UNIDADES FISICAS)</t>
  </si>
  <si>
    <t>GAS 93 S/P</t>
  </si>
  <si>
    <t>GAS 93 C/P (*)</t>
  </si>
  <si>
    <t xml:space="preserve">GAS NATURAL </t>
  </si>
  <si>
    <t xml:space="preserve">  </t>
  </si>
  <si>
    <t xml:space="preserve"> (Unidades Físicas)</t>
  </si>
  <si>
    <t>PETROLEOS  COMBUSTIBLE</t>
  </si>
  <si>
    <t>GASOLINA  AVIACION</t>
  </si>
  <si>
    <t xml:space="preserve">                            (UNIDADES FISICAS)</t>
  </si>
  <si>
    <t xml:space="preserve">                       SECTOR INDUSTRIAL Y MINERO</t>
  </si>
  <si>
    <t>DURGIA</t>
  </si>
  <si>
    <t xml:space="preserve"> SECTOR CENTROS DE TRANSFORMACION</t>
  </si>
  <si>
    <t>PETROLEO</t>
  </si>
  <si>
    <t>(Miles ton.)</t>
  </si>
  <si>
    <t>GAS REFINERÍA</t>
  </si>
  <si>
    <t>(Mill. m3)</t>
  </si>
  <si>
    <t xml:space="preserve">  PRODUCCION BRUTA DERIVADOS</t>
  </si>
  <si>
    <t xml:space="preserve">   INDUSTRIALES DEL PETROLEO</t>
  </si>
  <si>
    <t xml:space="preserve">                       (Miles m3)</t>
  </si>
  <si>
    <t>Consumo Sectorial de Productos Secundarios</t>
  </si>
  <si>
    <t>Petróleo</t>
  </si>
  <si>
    <t>Petróleos</t>
  </si>
  <si>
    <t>Gasolina</t>
  </si>
  <si>
    <t>Kerosene</t>
  </si>
  <si>
    <t>Gas</t>
  </si>
  <si>
    <t>Nafta</t>
  </si>
  <si>
    <t>Gas de</t>
  </si>
  <si>
    <t>Total Derivados</t>
  </si>
  <si>
    <t>Electrici_</t>
  </si>
  <si>
    <t>Carbón</t>
  </si>
  <si>
    <t>Meta_</t>
  </si>
  <si>
    <t>Biogás</t>
  </si>
  <si>
    <t>Leña y</t>
  </si>
  <si>
    <t>SECTOR</t>
  </si>
  <si>
    <t>Diesel</t>
  </si>
  <si>
    <t>Combustibles</t>
  </si>
  <si>
    <t>93 S/P</t>
  </si>
  <si>
    <t>93 C/P</t>
  </si>
  <si>
    <t>Licuado</t>
  </si>
  <si>
    <t>Aviación</t>
  </si>
  <si>
    <t>Refinería</t>
  </si>
  <si>
    <t>Petróleo,Gas</t>
  </si>
  <si>
    <t>dad</t>
  </si>
  <si>
    <t>Alquitrán</t>
  </si>
  <si>
    <t>Corriente</t>
  </si>
  <si>
    <t>Altos Hornos</t>
  </si>
  <si>
    <t>Natural</t>
  </si>
  <si>
    <t>nol</t>
  </si>
  <si>
    <t>Otros</t>
  </si>
  <si>
    <t>Energéticos</t>
  </si>
  <si>
    <t>Transporte             :</t>
  </si>
  <si>
    <t>Caminero</t>
  </si>
  <si>
    <t>-</t>
  </si>
  <si>
    <t>Ferroviario</t>
  </si>
  <si>
    <t>Marítimo</t>
  </si>
  <si>
    <t>Aéreo</t>
  </si>
  <si>
    <t>Total en Transporte</t>
  </si>
  <si>
    <t>Industrial               :</t>
  </si>
  <si>
    <t>Cobre</t>
  </si>
  <si>
    <t>y Minero</t>
  </si>
  <si>
    <t>Salitre</t>
  </si>
  <si>
    <t>Hierro</t>
  </si>
  <si>
    <t>Papel y Celulosa</t>
  </si>
  <si>
    <t>Siderurgia</t>
  </si>
  <si>
    <t>Petroquímica</t>
  </si>
  <si>
    <t>Cemento</t>
  </si>
  <si>
    <t>Azúcar</t>
  </si>
  <si>
    <t>Pesca</t>
  </si>
  <si>
    <t>Industrias Varias</t>
  </si>
  <si>
    <t>Minas Varias</t>
  </si>
  <si>
    <t>Total Industrial y Minero</t>
  </si>
  <si>
    <t>Comercial, Público :</t>
  </si>
  <si>
    <t>Zona Carbonífera</t>
  </si>
  <si>
    <t>y Residencial</t>
  </si>
  <si>
    <t>Comercial</t>
  </si>
  <si>
    <t>Público</t>
  </si>
  <si>
    <t>Residencial</t>
  </si>
  <si>
    <t>Total Comercial Público, Residencial</t>
  </si>
  <si>
    <t>Consumo Final</t>
  </si>
  <si>
    <t>Centros  de               :</t>
  </si>
  <si>
    <t>Electricidad: Autoproductores</t>
  </si>
  <si>
    <t>Gas,Coke: GasCorriente</t>
  </si>
  <si>
    <t>Petróleo, Gas Natural</t>
  </si>
  <si>
    <t>Carbón y Leña</t>
  </si>
  <si>
    <t>Gas Natural-Metanol</t>
  </si>
  <si>
    <t>Total en Centros de Transformación</t>
  </si>
  <si>
    <t>Consumo Total</t>
  </si>
  <si>
    <t>Coke</t>
  </si>
  <si>
    <t>Metanol</t>
  </si>
  <si>
    <t>Miles</t>
  </si>
  <si>
    <t>Alto Horno</t>
  </si>
  <si>
    <t xml:space="preserve">Mill. </t>
  </si>
  <si>
    <t>Miles m3</t>
  </si>
  <si>
    <t>Miles Ton.</t>
  </si>
  <si>
    <t xml:space="preserve"> m3</t>
  </si>
  <si>
    <t>Mill. m3</t>
  </si>
  <si>
    <t>Ton.</t>
  </si>
  <si>
    <t xml:space="preserve"> Ton.</t>
  </si>
  <si>
    <t xml:space="preserve">               : Siderurgia</t>
  </si>
  <si>
    <t xml:space="preserve">                 : Servicio Público</t>
  </si>
  <si>
    <t xml:space="preserve"> </t>
  </si>
  <si>
    <t xml:space="preserve">       </t>
  </si>
  <si>
    <t>O L A D E</t>
  </si>
  <si>
    <t xml:space="preserve">     Unidad de medida :</t>
  </si>
  <si>
    <t>Tcal</t>
  </si>
  <si>
    <t>Energia Primaria</t>
  </si>
  <si>
    <t xml:space="preserve">   Energia Secundaria</t>
  </si>
  <si>
    <t>A Ñ O :</t>
  </si>
  <si>
    <t xml:space="preserve">   GAS</t>
  </si>
  <si>
    <t xml:space="preserve"> HIDRO</t>
  </si>
  <si>
    <t>GEO</t>
  </si>
  <si>
    <t xml:space="preserve">  LEÑA</t>
  </si>
  <si>
    <t>PROD</t>
  </si>
  <si>
    <t xml:space="preserve"> OTRAS</t>
  </si>
  <si>
    <t xml:space="preserve">  TOTAL</t>
  </si>
  <si>
    <t xml:space="preserve">  ELEC</t>
  </si>
  <si>
    <t>GASOLI</t>
  </si>
  <si>
    <t xml:space="preserve">  KERO</t>
  </si>
  <si>
    <t xml:space="preserve">  FUEL</t>
  </si>
  <si>
    <t>COQUE</t>
  </si>
  <si>
    <t xml:space="preserve"> GASES</t>
  </si>
  <si>
    <t xml:space="preserve">    NO </t>
  </si>
  <si>
    <t xml:space="preserve">   LEO</t>
  </si>
  <si>
    <t xml:space="preserve">    DE</t>
  </si>
  <si>
    <t xml:space="preserve"> NA/AL</t>
  </si>
  <si>
    <t xml:space="preserve">  SENE</t>
  </si>
  <si>
    <t xml:space="preserve">   OIL</t>
  </si>
  <si>
    <t>VEGETAL</t>
  </si>
  <si>
    <t>ENERGE</t>
  </si>
  <si>
    <t xml:space="preserve">  SECUN</t>
  </si>
  <si>
    <t xml:space="preserve"> CAÑA</t>
  </si>
  <si>
    <t xml:space="preserve"> COHOL</t>
  </si>
  <si>
    <t xml:space="preserve"> TURBO</t>
  </si>
  <si>
    <t xml:space="preserve"> TICOS</t>
  </si>
  <si>
    <t>T</t>
  </si>
  <si>
    <t>VARIACION INVENTARIO</t>
  </si>
  <si>
    <t>NO APROVECHADO</t>
  </si>
  <si>
    <t>OFERTA TOTAL</t>
  </si>
  <si>
    <t>REFINERIA</t>
  </si>
  <si>
    <t>CENTRALES ELECTRICAS</t>
  </si>
  <si>
    <t>AUTOPRODUCTORES</t>
  </si>
  <si>
    <t>CENTRO DE GAS</t>
  </si>
  <si>
    <t>CARBONERA</t>
  </si>
  <si>
    <t>COQUERIA/ALTO HORNO</t>
  </si>
  <si>
    <t>M</t>
  </si>
  <si>
    <t>DESTILERIA</t>
  </si>
  <si>
    <t>OTROS CENTROS</t>
  </si>
  <si>
    <t>TOTAL TRANSFORMACION</t>
  </si>
  <si>
    <t>CONSUMO PROPIO</t>
  </si>
  <si>
    <t>PERDIDAS(TR,AL,DI)</t>
  </si>
  <si>
    <t>AJUSTE</t>
  </si>
  <si>
    <t>TRANSPORTE</t>
  </si>
  <si>
    <t>INDUSTRIAL</t>
  </si>
  <si>
    <t>COMERCIAL,PUB,SERV.</t>
  </si>
  <si>
    <t>AGRO,PESCA,MINERIA</t>
  </si>
  <si>
    <t>CONSTRUCCION Y OTROS</t>
  </si>
  <si>
    <t>CONSUMO ENERGETICO</t>
  </si>
  <si>
    <t>CONS NO ENERGETICO</t>
  </si>
  <si>
    <t xml:space="preserve">CONSUMO FINAL </t>
  </si>
  <si>
    <t xml:space="preserve">  BALANCE DE ENERGIA ELECTRICA</t>
  </si>
  <si>
    <t>Porcentajes</t>
  </si>
  <si>
    <t>cr/Total</t>
  </si>
  <si>
    <t>cr/SubTotal</t>
  </si>
  <si>
    <t>POTENCIA ELECTRICA INSTALADA(***)</t>
  </si>
  <si>
    <t>(Miles de KW)</t>
  </si>
  <si>
    <t>Termoeléctrica</t>
  </si>
  <si>
    <t>Autoproductores</t>
  </si>
  <si>
    <t>Cogeneración</t>
  </si>
  <si>
    <t>Servicios Públicos</t>
  </si>
  <si>
    <t>Hidroeléctrica</t>
  </si>
  <si>
    <t>GENERACION DE ENERGIA (**)</t>
  </si>
  <si>
    <t>(Millones de KWh)</t>
  </si>
  <si>
    <t xml:space="preserve">SEGUN FUENTES </t>
  </si>
  <si>
    <t>(Teracalorías)</t>
  </si>
  <si>
    <t>Electricidad (*)</t>
  </si>
  <si>
    <t>Carbón, Coke y Alquitrán</t>
  </si>
  <si>
    <t>Derivados de Petróleo y de Gas Natural</t>
  </si>
  <si>
    <t>Gas(Natural,Corriente,Alto Horno,Metanol)</t>
  </si>
  <si>
    <t>Leña y otros</t>
  </si>
  <si>
    <t>CONSUMO ELECTRICO INDUSTRIAL</t>
  </si>
  <si>
    <t>Y MINERO SEGUN ACTIVIDAD</t>
  </si>
  <si>
    <t>Azucar</t>
  </si>
  <si>
    <t>CONSUMO BRUTO DE ENERGIA</t>
  </si>
  <si>
    <t>(KWh/Año)</t>
  </si>
  <si>
    <t>(*) Equivalente calórico de la electricidad : 860 Kcal/KWh</t>
  </si>
  <si>
    <t>(***) Incluye Capacidad Instalada de Gener en Salta (642.8 MW)</t>
  </si>
  <si>
    <t>Fuente</t>
  </si>
  <si>
    <t xml:space="preserve">(3) Información proporcionada a la CNE por empresas generadoras </t>
  </si>
  <si>
    <t>ELECTRICA POR HABITANTE  (*****)</t>
  </si>
  <si>
    <t>CAPACIDAD NACIONAL INSTALADA POR SISTEMA</t>
  </si>
  <si>
    <t>INTERCONECTADO EN MW.</t>
  </si>
  <si>
    <t>SING</t>
  </si>
  <si>
    <t>SIC</t>
  </si>
  <si>
    <t>SISTEMA</t>
  </si>
  <si>
    <t>TOTAL PAIS</t>
  </si>
  <si>
    <t>AYSEN (****)</t>
  </si>
  <si>
    <t>MAGALLANES</t>
  </si>
  <si>
    <t>SISTEMAS</t>
  </si>
  <si>
    <t>1990(*)</t>
  </si>
  <si>
    <t>N/D</t>
  </si>
  <si>
    <t>%TÉRMICA</t>
  </si>
  <si>
    <t>%HIDRO</t>
  </si>
  <si>
    <t>0.0%</t>
  </si>
  <si>
    <t>1991(*)</t>
  </si>
  <si>
    <t>%térmica</t>
  </si>
  <si>
    <t>%hidro</t>
  </si>
  <si>
    <t>1992 (*)</t>
  </si>
  <si>
    <t>%térmico</t>
  </si>
  <si>
    <t>2000 (**)</t>
  </si>
  <si>
    <t>2001 (**)</t>
  </si>
  <si>
    <t>2002 (**)</t>
  </si>
  <si>
    <t>%hidro (***)</t>
  </si>
  <si>
    <t>2003 (**)</t>
  </si>
  <si>
    <t>(*) Valores SING estimados</t>
  </si>
  <si>
    <t>(**) SING Incluye. Capacidad Instalada de Gener en Salta (642.8 MW año 2000 - 2003)</t>
  </si>
  <si>
    <t>2004 (**)</t>
  </si>
  <si>
    <t>(***) Incluye central eólica de 2 MW en Aysén. Entró en operación el 2001</t>
  </si>
  <si>
    <t xml:space="preserve">GENERACION BRUTA NACIONAL POR SISTEMA </t>
  </si>
  <si>
    <t>INTERCONECTADO EN GWh</t>
  </si>
  <si>
    <t>AÑO</t>
  </si>
  <si>
    <t xml:space="preserve">SISTEMA </t>
  </si>
  <si>
    <t>TIPO</t>
  </si>
  <si>
    <t>AYSEN</t>
  </si>
  <si>
    <t>Fuente:</t>
  </si>
  <si>
    <t>(3) Información proporcionada a la CNE por empresas generadoras</t>
  </si>
  <si>
    <t>Consumo Neto de Energía Primaria</t>
  </si>
  <si>
    <t>Teracalorías (% por energético)</t>
  </si>
  <si>
    <t>Petróleo Crudo</t>
  </si>
  <si>
    <t>Gas Natural + Otros Gases</t>
  </si>
  <si>
    <t>Hidroelectricidad</t>
  </si>
  <si>
    <t>Leña y Otros</t>
  </si>
  <si>
    <t>Consumo Neto</t>
  </si>
  <si>
    <t>Indice</t>
  </si>
  <si>
    <t>Tasa Crecimiento Promedio Decenio ó Anual(*)</t>
  </si>
  <si>
    <t>Considera la Hidroelectricidad con equivalente calórico de 2.750 KCal/KWh desde 1978 hasta 1996.(Matriz Energética Primaria Cuadro 3B )</t>
  </si>
  <si>
    <t>Desde 1997 se considera un equivalente de 2.504 KCal/KWh</t>
  </si>
  <si>
    <t>Los datos son Netos y corresponden al Consumo Bruto primario más las Importaciones menos las Exportaciones de energía secundaria</t>
  </si>
  <si>
    <t xml:space="preserve">(*) De 1999 a 2003 Tasa de Crecimiento Promedio Anual c/r a 1998 ; </t>
  </si>
  <si>
    <t>.- Fuente Libro Balance 1979 - 1998, Balances Preliminares 1999 - 2003</t>
  </si>
  <si>
    <t>Consumo Energía Secundaria</t>
  </si>
  <si>
    <t xml:space="preserve"> Teracalorías (% por energético)</t>
  </si>
  <si>
    <t>Derivados de Petróleo y Gas Natural</t>
  </si>
  <si>
    <t>Carbón y Coke</t>
  </si>
  <si>
    <t>Electricidad</t>
  </si>
  <si>
    <t>Tasa Crecimiento Promedio Anual (Decenio)(*)</t>
  </si>
  <si>
    <t xml:space="preserve">Considera la Hidroelectricidad con equivalente calórico de 860 KCal/KWh </t>
  </si>
  <si>
    <t>(*) De 1999 a 2003 Tasa de Crecimiento Promedio Anual c/r a 1998 ;</t>
  </si>
  <si>
    <t>Consumo Sectorial</t>
  </si>
  <si>
    <t xml:space="preserve"> Teracalorías </t>
  </si>
  <si>
    <t>Sectores</t>
  </si>
  <si>
    <t>Industrial y Minero</t>
  </si>
  <si>
    <t>Comercial Público Residencial</t>
  </si>
  <si>
    <t>Centros de Transformación(*)</t>
  </si>
  <si>
    <t>Considera electricidad con equivalente calórico de 860 Kcal/KWh.</t>
  </si>
  <si>
    <t>Dependencia Energética</t>
  </si>
  <si>
    <t xml:space="preserve"> Teracalorías</t>
  </si>
  <si>
    <t>Origen</t>
  </si>
  <si>
    <t>Nacional</t>
  </si>
  <si>
    <t>Importado</t>
  </si>
  <si>
    <t>Total Consumo Neto</t>
  </si>
  <si>
    <t>(*):La hidroelectricidad se consideró con un equivalente calórico de 2.504 Kcal/KWh</t>
  </si>
  <si>
    <t>Los valores han sido calculados a partir de la Energía Primaria más las Importaciones y menos las Exportaciones de Energía Secundaria</t>
  </si>
  <si>
    <t>sin export.sec</t>
  </si>
  <si>
    <t>Gas Natural</t>
  </si>
  <si>
    <t>Leña</t>
  </si>
  <si>
    <t>Total Primario</t>
  </si>
  <si>
    <t>Exp. Secund.e Imp.</t>
  </si>
  <si>
    <t>Total Final</t>
  </si>
  <si>
    <t>% del Total</t>
  </si>
  <si>
    <t>Var. Stock</t>
  </si>
  <si>
    <t>Consumo Bruto</t>
  </si>
  <si>
    <t>Importaciones</t>
  </si>
  <si>
    <t>Exportaciones</t>
  </si>
  <si>
    <t>Primario</t>
  </si>
  <si>
    <t>Secundarias</t>
  </si>
  <si>
    <t>(Teracal)</t>
  </si>
  <si>
    <t>(1)</t>
  </si>
  <si>
    <t>(2)</t>
  </si>
  <si>
    <t>(3)</t>
  </si>
  <si>
    <t>(1) Imp.,  Exp. de los derivados</t>
  </si>
  <si>
    <t>(2) Imp.,  Exp. de Metanol, Gas Corriente, Gas Natural, Gas Alto Horno</t>
  </si>
  <si>
    <t>(3) Imp., Exp. de coke y alquitran</t>
  </si>
  <si>
    <t>Consumo Bruto Primario + importaciones secundarias - exp secundarias</t>
  </si>
  <si>
    <t xml:space="preserve">Capacidad </t>
  </si>
  <si>
    <t>[MW]</t>
  </si>
  <si>
    <t>Generación</t>
  </si>
  <si>
    <t>[GWh]</t>
  </si>
  <si>
    <t>Servicio Público</t>
  </si>
  <si>
    <t>Sistema</t>
  </si>
  <si>
    <t>Potencia Bruta</t>
  </si>
  <si>
    <t>Interconectado</t>
  </si>
  <si>
    <t>Instalada [MW]</t>
  </si>
  <si>
    <t>Instalada [%]</t>
  </si>
  <si>
    <t>Bruta        [GWh]</t>
  </si>
  <si>
    <t>Bruta         [%]</t>
  </si>
  <si>
    <t>Generación Eléctrica Nacional Por Tipo de Planta</t>
  </si>
  <si>
    <t>Planta</t>
  </si>
  <si>
    <t>Hidraulica</t>
  </si>
  <si>
    <t>Gas Natural (*)</t>
  </si>
  <si>
    <t>Diesel Fuel Oil</t>
  </si>
  <si>
    <t>(*) Incluye Importaciónes de AES Gener desde Salta, Argentina</t>
  </si>
  <si>
    <t>Capacidad Instalada Nacional Por Tipo de Planta</t>
  </si>
  <si>
    <t>MW</t>
  </si>
  <si>
    <t>La fuente de información sobre Capacidades Instaladas y Generación son los CDEC y empresas generadoras</t>
  </si>
  <si>
    <t>Coal</t>
  </si>
  <si>
    <t>Crude</t>
  </si>
  <si>
    <t>Petrole.</t>
  </si>
  <si>
    <t xml:space="preserve">Town </t>
  </si>
  <si>
    <t>Hydro</t>
  </si>
  <si>
    <t>Nuclear</t>
  </si>
  <si>
    <t>Geother</t>
  </si>
  <si>
    <t>Electricity</t>
  </si>
  <si>
    <t>Heat</t>
  </si>
  <si>
    <t>Product</t>
  </si>
  <si>
    <t>Oil</t>
  </si>
  <si>
    <t>Products</t>
  </si>
  <si>
    <t>Nat.</t>
  </si>
  <si>
    <t>Solar, etc</t>
  </si>
  <si>
    <t>1.- Indigenous Production</t>
  </si>
  <si>
    <t>2.- Import</t>
  </si>
  <si>
    <t>3.- Export</t>
  </si>
  <si>
    <t>4.- International Marine Bunkers</t>
  </si>
  <si>
    <t>5.- Stock Changes</t>
  </si>
  <si>
    <t>6.- Total Primary Energy Supply</t>
  </si>
  <si>
    <t>7.- Public Electricity</t>
  </si>
  <si>
    <t>8.- Autoprod. of Electricity</t>
  </si>
  <si>
    <t>9.- Gas Procesing</t>
  </si>
  <si>
    <t>10.- Petroleum Refineries</t>
  </si>
  <si>
    <t>11.- Coal Transformation</t>
  </si>
  <si>
    <t>12.- Loss &amp; Own Use</t>
  </si>
  <si>
    <t>15.- Industry Sector</t>
  </si>
  <si>
    <t>16.- Transport Sector</t>
  </si>
  <si>
    <t>17.- Other Sector (Mining)</t>
  </si>
  <si>
    <t>18.- Agriculture</t>
  </si>
  <si>
    <t>19.- Residential &amp; Commercial</t>
  </si>
  <si>
    <t>21.- Non-Energy</t>
  </si>
  <si>
    <t>Others</t>
  </si>
  <si>
    <t>14.- Total Transformation Energy</t>
  </si>
  <si>
    <t>22.- Total Final Energy</t>
  </si>
  <si>
    <t>23.- Total Energy</t>
  </si>
  <si>
    <t>Total Secundary Energy</t>
  </si>
  <si>
    <t>Notes:</t>
  </si>
  <si>
    <t>Others:  High Furnance gas (gas de altos hornos)+ methanol (metanol)</t>
  </si>
  <si>
    <t xml:space="preserve">13.- Discrepancy </t>
  </si>
  <si>
    <t>The Gap in Natural Gas is the absorved gas</t>
  </si>
  <si>
    <t>The Gap in Petrole Productos is the non energy products</t>
  </si>
  <si>
    <t>Coal Products: coke + alquitran</t>
  </si>
  <si>
    <t>(*) This result does not consider Crude oil neither non - energy</t>
  </si>
  <si>
    <t>(*)</t>
  </si>
  <si>
    <t>APEC  BALANCE</t>
  </si>
  <si>
    <t>TCAL</t>
  </si>
  <si>
    <t>TERMIA</t>
  </si>
  <si>
    <t>NUCLEAR</t>
  </si>
  <si>
    <t xml:space="preserve">             OFERTA</t>
  </si>
  <si>
    <t xml:space="preserve">                   TRANSFORMACIÓN</t>
  </si>
  <si>
    <t xml:space="preserve">                     CONSUMO   FINAL</t>
  </si>
  <si>
    <t xml:space="preserve"> PETRO</t>
  </si>
  <si>
    <t xml:space="preserve">  NATUTAL</t>
  </si>
  <si>
    <t xml:space="preserve">  MINERAL</t>
  </si>
  <si>
    <t xml:space="preserve">  ENERGIA</t>
  </si>
  <si>
    <t xml:space="preserve">  PRIMARIA</t>
  </si>
  <si>
    <t xml:space="preserve"> TRICIDAD</t>
  </si>
  <si>
    <t xml:space="preserve"> LICUADO</t>
  </si>
  <si>
    <t>CONSUMO TOTAL</t>
  </si>
  <si>
    <t>Notas:</t>
  </si>
  <si>
    <t>(1) Gasolina/Alcohol = gas93SP + gas93CP + gasolina aviación</t>
  </si>
  <si>
    <t>(2) Kerosene Turbo = Kerosene + Kerosene aviación</t>
  </si>
  <si>
    <t>(3) Gases = Gas de refinería + Gas corriente + Gas Alto Horno</t>
  </si>
  <si>
    <t>(4) Otros = Nafta + Metanol + Alquitran</t>
  </si>
  <si>
    <t>(5) El consumo total de energía primaria de cuadro 3, equivale a la oferta total del Total Primario de este cuadro.</t>
  </si>
  <si>
    <t>M E R C O S U R</t>
  </si>
  <si>
    <t xml:space="preserve">         INTRA MERCOSUR</t>
  </si>
  <si>
    <t xml:space="preserve">         EXTRA MERCOSUR</t>
  </si>
  <si>
    <t xml:space="preserve">         Hidroeléctrica</t>
  </si>
  <si>
    <t xml:space="preserve">         Térmica</t>
  </si>
  <si>
    <t xml:space="preserve">                                 OFERTA</t>
  </si>
  <si>
    <t xml:space="preserve">                               TRANSFORMACIÓN</t>
  </si>
  <si>
    <t>descontando los no energéticos</t>
  </si>
  <si>
    <t xml:space="preserve">(6) El consumo de energia Total total secundaria de cuadro 4, equivale al consumo total de este cuadro </t>
  </si>
  <si>
    <t>BALANCE NACIONAL</t>
  </si>
  <si>
    <t>DE ENERGÍA</t>
  </si>
  <si>
    <t>Santiago - Chile</t>
  </si>
  <si>
    <t xml:space="preserve">                  CONSUMO SECTORIAL</t>
  </si>
  <si>
    <t xml:space="preserve">               (TERACALORIAS)</t>
  </si>
  <si>
    <t xml:space="preserve">                 SECTOR CENTROS DE TRANSFORMACION</t>
  </si>
  <si>
    <t xml:space="preserve">                                            VARIACION CONSUMO BRUTO ENERGIA PRIMARIA</t>
  </si>
  <si>
    <t xml:space="preserve">                                         (TERACALORIAS)</t>
  </si>
  <si>
    <t xml:space="preserve">             PUBLICO RESIDENCIAL (CPR)</t>
  </si>
  <si>
    <t xml:space="preserve"> CONSUMO SECTORIAL</t>
  </si>
  <si>
    <t xml:space="preserve">                         (TERACALORIAS)</t>
  </si>
  <si>
    <t>SECTOR TRANSPORTE</t>
  </si>
  <si>
    <t xml:space="preserve">                                                           (UNIDADES FISICAS)</t>
  </si>
  <si>
    <t xml:space="preserve">          (Unidades Físicas)</t>
  </si>
  <si>
    <t xml:space="preserve">DENSIDADES Y PODERES CALORIFICOS </t>
  </si>
  <si>
    <t>UTILIZADOS EN EL BALANCE</t>
  </si>
  <si>
    <t>PRODUCTO</t>
  </si>
  <si>
    <t>DENSIDAD</t>
  </si>
  <si>
    <t>PODER CALORIF.</t>
  </si>
  <si>
    <t>Ton/m3</t>
  </si>
  <si>
    <t>KCal/Kg</t>
  </si>
  <si>
    <t>PETR. CRUDO NACIONAL</t>
  </si>
  <si>
    <t>PETR. CRUDO  IMPORTADO</t>
  </si>
  <si>
    <t>PETR. COMBUSTIBLE 5</t>
  </si>
  <si>
    <t>PETR. COMBUSTIBLE IFO 180</t>
  </si>
  <si>
    <t>PETR. COMBUSTIBLE  6</t>
  </si>
  <si>
    <t>GASOLINA  AUTOMOVILES</t>
  </si>
  <si>
    <t>GAS NATURAL PROCESADO</t>
  </si>
  <si>
    <t xml:space="preserve">  (**)</t>
  </si>
  <si>
    <t>GAS DE REFINERIA</t>
  </si>
  <si>
    <t xml:space="preserve"> (***)</t>
  </si>
  <si>
    <t>(****)(1)</t>
  </si>
  <si>
    <t>(*)     Promedio Isla, Continente y Costa Afuera</t>
  </si>
  <si>
    <t>(**)    KCal/m3</t>
  </si>
  <si>
    <t>(***)   KCal/m3</t>
  </si>
  <si>
    <t>(****)  KCal/KWh (Equivelente Calórico Teórico Internacional)</t>
  </si>
  <si>
    <t>(1) Equivalente Calórico práctico para Chile 2.750 KCal/KWh hasta 1997</t>
  </si>
  <si>
    <t>(1) Equivalente Calórico práctico para Chile 2.504 KCal/KWh desde 1998</t>
  </si>
  <si>
    <t>TABLA DE CONVERSION UNIDADES ENERGETICAS</t>
  </si>
  <si>
    <t xml:space="preserve">     INTERNACIONALES   (OLADE)</t>
  </si>
  <si>
    <t xml:space="preserve"> (*)</t>
  </si>
  <si>
    <t>BEEP</t>
  </si>
  <si>
    <t>TEP</t>
  </si>
  <si>
    <t>TJOULE</t>
  </si>
  <si>
    <t>10E+3BTU</t>
  </si>
  <si>
    <t>MWH</t>
  </si>
  <si>
    <t>KGGLP</t>
  </si>
  <si>
    <t xml:space="preserve">   M3 GAS NAT.</t>
  </si>
  <si>
    <t>PIE3 GAS NAT.</t>
  </si>
  <si>
    <t>M3 GAS NAT.</t>
  </si>
  <si>
    <t>(Nota: E + x = 10 elevado a x )</t>
  </si>
  <si>
    <t xml:space="preserve">                          ABREVIATURAS</t>
  </si>
  <si>
    <t>EQUIVAL.  OLADE</t>
  </si>
  <si>
    <t>EQUIVAL. BALANCE NACIONAL</t>
  </si>
  <si>
    <t>EQUIVALENCIA</t>
  </si>
  <si>
    <t>SIMBOLO</t>
  </si>
  <si>
    <t>1BBL GLP</t>
  </si>
  <si>
    <t>0,670BEP</t>
  </si>
  <si>
    <t>1Bpe</t>
  </si>
  <si>
    <t xml:space="preserve">         1,05 BEEP</t>
  </si>
  <si>
    <t>BARRIL EQUIVAL.  PETROLEO</t>
  </si>
  <si>
    <t>1BBL</t>
  </si>
  <si>
    <t>0,15893M3</t>
  </si>
  <si>
    <t>1 m3 gas nat.          1,13 M3 GAS NAT</t>
  </si>
  <si>
    <t>TON. EQUIV. PETROLEO</t>
  </si>
  <si>
    <t>1M3 GLP</t>
  </si>
  <si>
    <t>552,4 KG</t>
  </si>
  <si>
    <t>(Bpe = Barril de Petroleo Equivalente, Balance)</t>
  </si>
  <si>
    <t>BARRILES</t>
  </si>
  <si>
    <t>BBL</t>
  </si>
  <si>
    <t>1PIE3</t>
  </si>
  <si>
    <t>0,028317 M3</t>
  </si>
  <si>
    <t>METROS CUBICOS</t>
  </si>
  <si>
    <t>M3</t>
  </si>
  <si>
    <t>TERACALORIAS</t>
  </si>
  <si>
    <t>MULTIPLOS</t>
  </si>
  <si>
    <t>TONELADAS METRICAS</t>
  </si>
  <si>
    <t>TON</t>
  </si>
  <si>
    <t>PREFIJO</t>
  </si>
  <si>
    <t>FACTOR</t>
  </si>
  <si>
    <t>GIGAWATTS</t>
  </si>
  <si>
    <t>GW</t>
  </si>
  <si>
    <t>K</t>
  </si>
  <si>
    <t>KILO</t>
  </si>
  <si>
    <t>TERAWATTS-HORA</t>
  </si>
  <si>
    <t>TWH</t>
  </si>
  <si>
    <t>MEGA</t>
  </si>
  <si>
    <t>GIGAWATTS-HORA</t>
  </si>
  <si>
    <t>GWH</t>
  </si>
  <si>
    <t>G</t>
  </si>
  <si>
    <t>GIGA</t>
  </si>
  <si>
    <t>KILOWATTS-HORA</t>
  </si>
  <si>
    <t>KWH</t>
  </si>
  <si>
    <t>TERA</t>
  </si>
  <si>
    <t>MEGAWATTS-HORA</t>
  </si>
  <si>
    <t>P</t>
  </si>
  <si>
    <t>PETA</t>
  </si>
  <si>
    <t xml:space="preserve">(*) PARA OBTENER EQUIVALENCIAS INTERNACIONALES, SE DEBEN TENER EN CUENTA LAS EQUIVALENCIAS DEL BALANCE NACIONAL DE ENERGIA , PRINCIPALMENTE </t>
  </si>
  <si>
    <t xml:space="preserve"> RESPECTO A PODERES CALORIFICOS Y DENSIDADES</t>
  </si>
  <si>
    <t>fuente de la Cámara de Comercio de Santiago.</t>
  </si>
  <si>
    <t xml:space="preserve">(7) Porcentajes de exportaciones/importaciones dentro o fuera del Mercosur, se obtuvieron con </t>
  </si>
  <si>
    <t>CUADRO1</t>
  </si>
  <si>
    <t>CUADRO2</t>
  </si>
  <si>
    <t>INDICE</t>
  </si>
  <si>
    <t>VOLVER A INDICE</t>
  </si>
  <si>
    <t>CUADRO3</t>
  </si>
  <si>
    <t>A. Balance Calórico (Teracalorías)</t>
  </si>
  <si>
    <t>CUADRO3B</t>
  </si>
  <si>
    <t>CUADRO4</t>
  </si>
  <si>
    <t>CUADRO5</t>
  </si>
  <si>
    <t>CUADRO6</t>
  </si>
  <si>
    <t>CUADRO7</t>
  </si>
  <si>
    <t>CUADRO8</t>
  </si>
  <si>
    <t>CUADRO9</t>
  </si>
  <si>
    <t>CUADRO10</t>
  </si>
  <si>
    <t>B. Balance Físico (Unidades Físicas)</t>
  </si>
  <si>
    <t>CUADRO11</t>
  </si>
  <si>
    <t>CUADRO12</t>
  </si>
  <si>
    <t>CUADRO13</t>
  </si>
  <si>
    <t>CUADRO14</t>
  </si>
  <si>
    <t>CUADRO15</t>
  </si>
  <si>
    <t>CUADRO16</t>
  </si>
  <si>
    <t>CUADRO17</t>
  </si>
  <si>
    <t>CUADRO18</t>
  </si>
  <si>
    <t>C. Evolución Energía</t>
  </si>
  <si>
    <t>1. Evolución Energía Primaria, Secundaria y  Consumo Sectorial.</t>
  </si>
  <si>
    <t>CUADRO19</t>
  </si>
  <si>
    <t>CUADRO20</t>
  </si>
  <si>
    <t xml:space="preserve">    de planta.</t>
  </si>
  <si>
    <t xml:space="preserve">   Evolución Generación y Capacidades Eléctricas, por tipo</t>
  </si>
  <si>
    <t>D. Consumo Sectorial Energia Secundaria</t>
  </si>
  <si>
    <t>SECT_TERAC.</t>
  </si>
  <si>
    <t>SECT_U.FIS.</t>
  </si>
  <si>
    <t>1. Balance Eléctrico</t>
  </si>
  <si>
    <t>BALANCE_ELECT</t>
  </si>
  <si>
    <t>2. Evolución Capacidades Eléctricas.</t>
  </si>
  <si>
    <t>CAPACIDADES</t>
  </si>
  <si>
    <t>3. Evolución Generaciones Eléctricas.</t>
  </si>
  <si>
    <t>GENERACION EE</t>
  </si>
  <si>
    <t>4. Cuadro Densidades y Poderes Caloríficos usados.</t>
  </si>
  <si>
    <t>CUADROA2</t>
  </si>
  <si>
    <t>5. Cuadro Factores Internacionales de Conversión</t>
  </si>
  <si>
    <t>CUADROA3</t>
  </si>
  <si>
    <t>1. Variación Consumo Bruto Energía Primaria.</t>
  </si>
  <si>
    <t>2. Variación Consumo Total de Energía Secundaria.</t>
  </si>
  <si>
    <t>3. Balance Energía Primaria (P.Cal. Agua = 860 Kcal/KWh).</t>
  </si>
  <si>
    <t>4. Balance Energía Primara (P.Cal. Agua = 2504 Kcal/KWh).</t>
  </si>
  <si>
    <t>5. Balance Energía Secundaria.</t>
  </si>
  <si>
    <t>6. Distribución Consumo Total.</t>
  </si>
  <si>
    <t>7. Distribución Consumo sector Transporte.</t>
  </si>
  <si>
    <t>8. Distribución Consumo sector Industrial y Minero.</t>
  </si>
  <si>
    <t>9. Distribución Consumo sector Residencial.</t>
  </si>
  <si>
    <t>1. Balance de Energía Primaria.</t>
  </si>
  <si>
    <t>2. Balance Energía Secundaria.</t>
  </si>
  <si>
    <t>3. Distribución Consumo Total.</t>
  </si>
  <si>
    <t>4. Distribución Consumo Sector Transporte.</t>
  </si>
  <si>
    <t>5. Distribución Consumo Sector Industrial y Minero.</t>
  </si>
  <si>
    <t>6.  Distribución Consumo sector Residencial.</t>
  </si>
  <si>
    <t>1. Balance Calórico (Teracalorías).</t>
  </si>
  <si>
    <t>2. Balance Físico (Unidades Físicas).</t>
  </si>
  <si>
    <t>AÑO 2005</t>
  </si>
  <si>
    <t xml:space="preserve">PRODUCCION GAS LICUADO                </t>
  </si>
  <si>
    <t>(****) Subsistema Aysen, no incluye centrales aisladas de menos de 1,5 MW (4MW el 2003)</t>
  </si>
  <si>
    <t xml:space="preserve">(6) El consumo de energia  total secundaria de cuadro 4, equivale al consumo total de este cuadro </t>
  </si>
  <si>
    <t>Transformación</t>
  </si>
  <si>
    <t xml:space="preserve"> Sector Energético</t>
  </si>
  <si>
    <t>Total Consumo propio sector Energético</t>
  </si>
  <si>
    <t xml:space="preserve">Sector </t>
  </si>
  <si>
    <t>Energético</t>
  </si>
  <si>
    <t xml:space="preserve">                 SECTOR ENERGÉTICO</t>
  </si>
  <si>
    <t>GAS DE ALTOS HORNOS</t>
  </si>
  <si>
    <t xml:space="preserve"> SECTOR ENERGÉTICO</t>
  </si>
  <si>
    <t>(*) Consumo Efectivo = Cons. Bruto Energía Pimaria + Importaciones - Exportaciones Secundarias - Cons. Transporte - Cons. Industrial y minero - Cons. Comercial, Público y Residencial</t>
  </si>
  <si>
    <t>10. Distribución Consumo del Sector Energético</t>
  </si>
  <si>
    <t>11. Distribución Consumo sector Centros de Transformación.</t>
  </si>
  <si>
    <t>12. Producción Bruta derivados Industriales del Petróleo.</t>
  </si>
  <si>
    <t>7. Distribución Consumo del Sector Energético</t>
  </si>
  <si>
    <t>8. Distribución en Centros de Transformación.</t>
  </si>
  <si>
    <t>9. Producción bruta derivados del petróleo.</t>
  </si>
  <si>
    <t>CUADRO21</t>
  </si>
  <si>
    <t>CUADRO22</t>
  </si>
  <si>
    <t>Nota 4: El Consumo Total equivale a la suma del Consumo Final y Consumo en Centros de Transformación</t>
  </si>
  <si>
    <t>Nota 2: Com.Pub.Res. corresponde al sector Comercial, Público y Residencial.</t>
  </si>
  <si>
    <t xml:space="preserve">Nota 3: El Consumo Final equivale a la suma de los sectores: Transporte, Industrial y Minero, Com.Pub.Res. y Energético </t>
  </si>
  <si>
    <t>2. Generación y Capacidad Elétrica 2005, por sistema.</t>
  </si>
  <si>
    <t xml:space="preserve">Nota 1:  El Consumo Bruto de este cuadro, es mayor que el Consumo Bruto del resto de los cuadros, debido a que se utilizó un poder calorífico para la hidroelectricidad </t>
  </si>
  <si>
    <t xml:space="preserve">           igual  2.504 Kcal/Kwh (equivalencia térmica para el parque generador nacional, que difiere de los 860 kcal/kwh adoptados internacionalmente)</t>
  </si>
  <si>
    <t xml:space="preserve">El consumo Total incluye el Consumo Final y el Consumo de de los Centros de Transformación.  La energía generada a partir de los energéticos consumidos en los Centros de </t>
  </si>
  <si>
    <t>Tranformación, está contabilizada en el Consumo Final. Es por esto que el Consumo Total incluye una doble contabilización, como ya se explicó en la Introducción de este documento.</t>
  </si>
  <si>
    <t xml:space="preserve">                                                                  SECTOR COMERCIAL,</t>
  </si>
  <si>
    <t xml:space="preserve"> PUBLICO Y RESIDENCIAL (CPR)</t>
  </si>
  <si>
    <t xml:space="preserve">      VARIACION CONSUMO FINAL ENERGIA SECUNDARIA</t>
  </si>
  <si>
    <t>20.- Other: Energy sector</t>
  </si>
  <si>
    <t>Heat is  wood and wood waste</t>
  </si>
  <si>
    <t>Hydro is included in Electricity</t>
  </si>
  <si>
    <t xml:space="preserve">  DARIA '</t>
  </si>
  <si>
    <t xml:space="preserve">  DARIA'</t>
  </si>
  <si>
    <t>Energy Balance Table of Chile 2004</t>
  </si>
  <si>
    <t>(1) Incluye a Generadoras de Servicio Público y Auto Generadoras</t>
  </si>
  <si>
    <t>(2) Incluye a la Siderurgia y a Plantas de Gas Corriente</t>
  </si>
  <si>
    <t>(3) Incluye el consumo de carboneras.</t>
  </si>
  <si>
    <t>(4) Planta  elaboradora de Metanol</t>
  </si>
  <si>
    <t>ELECTRICIDAD (1)</t>
  </si>
  <si>
    <t>GAS Y COKE (2)</t>
  </si>
  <si>
    <t>Y LEÑA (3)</t>
  </si>
  <si>
    <t>METANOL (4)</t>
  </si>
  <si>
    <t>trafo refineria</t>
  </si>
  <si>
    <t>trafo pgas</t>
  </si>
  <si>
    <t>energ-pgas</t>
  </si>
  <si>
    <t>trafo planta gas</t>
  </si>
  <si>
    <t>energia planta gas</t>
  </si>
  <si>
    <t>Ahornos +</t>
  </si>
  <si>
    <t>HCOQUE</t>
  </si>
  <si>
    <t>cons energ</t>
  </si>
  <si>
    <t>E. Anexos</t>
  </si>
  <si>
    <t>consumo energ</t>
  </si>
  <si>
    <t>Altos hornos</t>
  </si>
  <si>
    <t xml:space="preserve">         AÑO 2005</t>
  </si>
  <si>
    <t xml:space="preserve">                     AÑO 2005</t>
  </si>
  <si>
    <t xml:space="preserve">   AÑO 2005</t>
  </si>
  <si>
    <t xml:space="preserve">        AÑO 2005</t>
  </si>
  <si>
    <t xml:space="preserve">                                                                    AÑO 2005</t>
  </si>
  <si>
    <t xml:space="preserve">     AÑO 2005</t>
  </si>
  <si>
    <t>Elaboración: Comisión Nacional de Energía, Agosto  2006</t>
  </si>
  <si>
    <t>Capacidad  y Generación por Tipo de Servicio 2005</t>
  </si>
  <si>
    <t>Capacidad  y Generación por Sistema 2005</t>
  </si>
  <si>
    <t>(*) Incluye capacidad instalada de AES Gener en Salta Argentina (642,8 MW año 2000 - 2005)</t>
  </si>
  <si>
    <t>Cuadro 21 - A</t>
  </si>
  <si>
    <t>Cuadro 21 - B</t>
  </si>
  <si>
    <t>Cuadro 21 - C</t>
  </si>
  <si>
    <t>Cuadro 21 - D</t>
  </si>
  <si>
    <t>Cuadro 22 - A</t>
  </si>
  <si>
    <t>Cuadro 22 - B</t>
  </si>
  <si>
    <t>Cuadro 22 - C</t>
  </si>
  <si>
    <t>Cuadro 22 - D</t>
  </si>
  <si>
    <t>CONSUMO DE ENERGIA</t>
  </si>
  <si>
    <t>(**) Incluye Importaciones desde Argentina de 2.152 GWh</t>
  </si>
  <si>
    <t>(****) Hidroelectricidad considera Capacidad Eólica de 2 MW y generación de 6,8 GWh</t>
  </si>
  <si>
    <t>(*****) Población estimada 2005, es de  16.267.278 personas. Fuente INE.</t>
  </si>
  <si>
    <t>(1) Estadística de Operación CDEC-SIC 1990 - 2005</t>
  </si>
  <si>
    <t>(2) Estadístca de Operación CDEC-SING 1993 - 2005</t>
  </si>
  <si>
    <t>2005 (**)</t>
  </si>
  <si>
    <t>(**) SING Consideran Importaciones de Gener (2.152 GWh año 2005)</t>
  </si>
  <si>
    <t>(***) Sistema Aysen en hidro considera la producción Eólica de 6,8 GWh el 2005.</t>
  </si>
  <si>
    <t>(1) Estadísticas de Operación CDEC-SIC 1990-2005</t>
  </si>
  <si>
    <t>(2) Estadísticas de Operación CDEC-SING 1993-2005</t>
  </si>
  <si>
    <t>Año 2005  (Teracalorías)</t>
  </si>
  <si>
    <t>Año 2005 (Unidades Físicas)</t>
  </si>
  <si>
    <t>21428 =</t>
  </si>
  <si>
    <t>1782 =</t>
  </si>
  <si>
    <t>1752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</si>
</sst>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164" formatCode="#,##0.0"/>
    <numFmt numFmtId="165" formatCode="0.0"/>
    <numFmt numFmtId="166" formatCode="0.0%"/>
    <numFmt numFmtId="167" formatCode="mm/dd/yy"/>
    <numFmt numFmtId="168" formatCode="###0"/>
    <numFmt numFmtId="169" formatCode="#,##0.00000"/>
    <numFmt numFmtId="170" formatCode="#,##0.00_ _P_t_s_);[Red]\(#,##0.00_ _P_t_s\)"/>
    <numFmt numFmtId="171" formatCode="0.000"/>
    <numFmt numFmtId="172" formatCode="0.00000"/>
  </numFmts>
  <fonts count="99">
    <font>
      <sz val="10"/>
      <name val="Arial"/>
    </font>
    <font>
      <sz val="10"/>
      <name val="Arial"/>
      <family val="2"/>
    </font>
    <font>
      <b/>
      <sz val="12"/>
      <color indexed="9"/>
      <name val="MS Sans Serif"/>
      <family val="2"/>
    </font>
    <font>
      <sz val="10"/>
      <name val="MS Sans Serif"/>
    </font>
    <font>
      <sz val="8.5"/>
      <color indexed="9"/>
      <name val="MS Sans Serif"/>
      <family val="2"/>
    </font>
    <font>
      <b/>
      <sz val="8.5"/>
      <color indexed="9"/>
      <name val="MS Sans Serif"/>
      <family val="2"/>
    </font>
    <font>
      <b/>
      <sz val="10"/>
      <color indexed="18"/>
      <name val="MS Sans Serif"/>
    </font>
    <font>
      <b/>
      <sz val="10"/>
      <color indexed="8"/>
      <name val="MS Sans Serif"/>
    </font>
    <font>
      <b/>
      <sz val="10"/>
      <name val="MS Sans Serif"/>
      <family val="2"/>
    </font>
    <font>
      <b/>
      <sz val="8"/>
      <color indexed="8"/>
      <name val="MS Sans Serif"/>
      <family val="2"/>
    </font>
    <font>
      <b/>
      <sz val="8"/>
      <name val="MS Sans Serif"/>
      <family val="2"/>
    </font>
    <font>
      <sz val="10"/>
      <color indexed="9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8.5"/>
      <color indexed="9"/>
      <name val="MS Sans Serif"/>
    </font>
    <font>
      <b/>
      <sz val="8.5"/>
      <color indexed="9"/>
      <name val="MS Sans Serif"/>
    </font>
    <font>
      <sz val="12"/>
      <color indexed="9"/>
      <name val="MS Sans Serif"/>
      <family val="2"/>
    </font>
    <font>
      <b/>
      <sz val="12"/>
      <color indexed="9"/>
      <name val="MS Sans Serif"/>
    </font>
    <font>
      <b/>
      <sz val="10"/>
      <name val="MS Sans Serif"/>
    </font>
    <font>
      <sz val="8"/>
      <name val="MS Sans Serif"/>
      <family val="2"/>
    </font>
    <font>
      <sz val="8"/>
      <name val="MS Sans Serif"/>
    </font>
    <font>
      <sz val="10"/>
      <name val="MS Sans Serif"/>
      <family val="2"/>
    </font>
    <font>
      <i/>
      <sz val="10"/>
      <color indexed="8"/>
      <name val="Arial"/>
      <family val="2"/>
    </font>
    <font>
      <b/>
      <i/>
      <sz val="10"/>
      <color indexed="8"/>
      <name val="MS Sans Serif"/>
    </font>
    <font>
      <i/>
      <sz val="10"/>
      <color indexed="8"/>
      <name val="MS Sans Serif"/>
      <family val="2"/>
    </font>
    <font>
      <i/>
      <sz val="10"/>
      <name val="MS Sans Serif"/>
      <family val="2"/>
    </font>
    <font>
      <b/>
      <sz val="10"/>
      <name val="Geneva"/>
    </font>
    <font>
      <b/>
      <sz val="11"/>
      <color indexed="9"/>
      <name val="Arial"/>
      <family val="2"/>
    </font>
    <font>
      <sz val="10"/>
      <color indexed="9"/>
      <name val="MS Sans Serif"/>
      <family val="2"/>
    </font>
    <font>
      <sz val="9"/>
      <color indexed="9"/>
      <name val="Arial"/>
      <family val="2"/>
    </font>
    <font>
      <b/>
      <sz val="9"/>
      <color indexed="9"/>
      <name val="Arial"/>
      <family val="2"/>
    </font>
    <font>
      <b/>
      <sz val="10"/>
      <color indexed="18"/>
      <name val="Arial"/>
      <family val="2"/>
    </font>
    <font>
      <b/>
      <sz val="10"/>
      <color indexed="8"/>
      <name val="Arial"/>
      <family val="2"/>
    </font>
    <font>
      <sz val="10"/>
      <color indexed="8"/>
      <name val="MS Sans Serif"/>
    </font>
    <font>
      <b/>
      <sz val="10"/>
      <color indexed="8"/>
      <name val="Geneva"/>
    </font>
    <font>
      <sz val="8"/>
      <color indexed="21"/>
      <name val="MS Sans Serif"/>
    </font>
    <font>
      <sz val="12"/>
      <name val="MS Sans Serif"/>
      <family val="2"/>
    </font>
    <font>
      <b/>
      <sz val="12"/>
      <color indexed="8"/>
      <name val="MS Sans Serif"/>
      <family val="2"/>
    </font>
    <font>
      <b/>
      <sz val="11"/>
      <color indexed="8"/>
      <name val="MS Sans Serif"/>
      <family val="2"/>
    </font>
    <font>
      <b/>
      <sz val="12"/>
      <color indexed="18"/>
      <name val="MS Sans Serif"/>
      <family val="2"/>
    </font>
    <font>
      <b/>
      <sz val="11"/>
      <color indexed="18"/>
      <name val="MS Sans Serif"/>
      <family val="2"/>
    </font>
    <font>
      <b/>
      <sz val="11"/>
      <name val="MS Sans Serif"/>
      <family val="2"/>
    </font>
    <font>
      <sz val="11"/>
      <name val="MS Sans Serif"/>
      <family val="2"/>
    </font>
    <font>
      <b/>
      <sz val="10"/>
      <color indexed="62"/>
      <name val="MS Sans Serif"/>
      <family val="2"/>
    </font>
    <font>
      <b/>
      <sz val="12"/>
      <color indexed="12"/>
      <name val="Geneva"/>
    </font>
    <font>
      <sz val="10"/>
      <name val="Geneva"/>
    </font>
    <font>
      <sz val="10"/>
      <color indexed="12"/>
      <name val="Geneva"/>
    </font>
    <font>
      <b/>
      <u/>
      <sz val="12"/>
      <color indexed="12"/>
      <name val="Geneva"/>
    </font>
    <font>
      <b/>
      <sz val="10"/>
      <color indexed="12"/>
      <name val="Geneva"/>
    </font>
    <font>
      <b/>
      <sz val="8"/>
      <color indexed="8"/>
      <name val="Arial"/>
      <family val="2"/>
    </font>
    <font>
      <b/>
      <sz val="10"/>
      <color indexed="9"/>
      <name val="MS Sans Serif"/>
      <family val="2"/>
    </font>
    <font>
      <b/>
      <u/>
      <sz val="8"/>
      <name val="Arial"/>
      <family val="2"/>
    </font>
    <font>
      <sz val="8"/>
      <name val="Arial"/>
      <family val="2"/>
    </font>
    <font>
      <b/>
      <sz val="12"/>
      <color indexed="48"/>
      <name val="Arial"/>
      <family val="2"/>
    </font>
    <font>
      <b/>
      <sz val="10"/>
      <color indexed="48"/>
      <name val="Arial"/>
      <family val="2"/>
    </font>
    <font>
      <sz val="10"/>
      <color indexed="48"/>
      <name val="Arial"/>
      <family val="2"/>
    </font>
    <font>
      <b/>
      <sz val="8"/>
      <color indexed="9"/>
      <name val="Arial"/>
      <family val="2"/>
    </font>
    <font>
      <b/>
      <sz val="10"/>
      <color indexed="8"/>
      <name val="Arial"/>
      <family val="2"/>
    </font>
    <font>
      <sz val="9"/>
      <name val="Arial"/>
      <family val="2"/>
    </font>
    <font>
      <sz val="10"/>
      <name val="Arial"/>
      <family val="2"/>
    </font>
    <font>
      <b/>
      <sz val="14"/>
      <color indexed="18"/>
      <name val="Arial"/>
      <family val="2"/>
    </font>
    <font>
      <b/>
      <sz val="12"/>
      <color indexed="18"/>
      <name val="Arial"/>
      <family val="2"/>
    </font>
    <font>
      <b/>
      <i/>
      <sz val="10"/>
      <color indexed="41"/>
      <name val="Arial"/>
      <family val="2"/>
    </font>
    <font>
      <b/>
      <sz val="10"/>
      <color indexed="62"/>
      <name val="Arial"/>
      <family val="2"/>
    </font>
    <font>
      <b/>
      <i/>
      <sz val="10"/>
      <color indexed="63"/>
      <name val="Arial"/>
      <family val="2"/>
    </font>
    <font>
      <b/>
      <i/>
      <sz val="10"/>
      <color indexed="30"/>
      <name val="Arial"/>
      <family val="2"/>
    </font>
    <font>
      <sz val="10"/>
      <color indexed="18"/>
      <name val="Arial"/>
      <family val="2"/>
    </font>
    <font>
      <b/>
      <i/>
      <sz val="10"/>
      <color indexed="15"/>
      <name val="Arial"/>
      <family val="2"/>
    </font>
    <font>
      <sz val="10"/>
      <color indexed="62"/>
      <name val="Arial"/>
      <family val="2"/>
    </font>
    <font>
      <i/>
      <sz val="10"/>
      <color indexed="63"/>
      <name val="Arial"/>
      <family val="2"/>
    </font>
    <font>
      <b/>
      <sz val="12"/>
      <color indexed="53"/>
      <name val="Arial"/>
      <family val="2"/>
    </font>
    <font>
      <sz val="10"/>
      <color indexed="53"/>
      <name val="Arial"/>
      <family val="2"/>
    </font>
    <font>
      <b/>
      <sz val="11"/>
      <color indexed="54"/>
      <name val="Arial"/>
      <family val="2"/>
    </font>
    <font>
      <b/>
      <sz val="14"/>
      <color indexed="54"/>
      <name val="Arial"/>
      <family val="2"/>
    </font>
    <font>
      <b/>
      <sz val="8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sz val="11"/>
      <name val="Arial"/>
      <family val="2"/>
    </font>
    <font>
      <b/>
      <sz val="26"/>
      <name val="Arial"/>
      <family val="2"/>
    </font>
    <font>
      <b/>
      <sz val="24"/>
      <name val="Arial"/>
      <family val="2"/>
    </font>
    <font>
      <b/>
      <sz val="20"/>
      <name val="Arial"/>
      <family val="2"/>
    </font>
    <font>
      <sz val="10"/>
      <color indexed="9"/>
      <name val="Geneva"/>
    </font>
    <font>
      <b/>
      <sz val="10"/>
      <color indexed="9"/>
      <name val="Geneva"/>
    </font>
    <font>
      <sz val="8"/>
      <color indexed="12"/>
      <name val="Geneva"/>
    </font>
    <font>
      <b/>
      <sz val="8"/>
      <color indexed="9"/>
      <name val="MS Sans Serif"/>
      <family val="2"/>
    </font>
    <font>
      <b/>
      <sz val="8"/>
      <color indexed="21"/>
      <name val="MS Sans Serif"/>
    </font>
    <font>
      <sz val="8"/>
      <color indexed="8"/>
      <name val="MS Sans Serif"/>
    </font>
    <font>
      <b/>
      <sz val="8"/>
      <color indexed="8"/>
      <name val="MS Sans Serif"/>
    </font>
    <font>
      <u/>
      <sz val="10"/>
      <color indexed="12"/>
      <name val="Arial"/>
      <family val="2"/>
    </font>
    <font>
      <sz val="20"/>
      <name val="Arial"/>
      <family val="2"/>
    </font>
    <font>
      <b/>
      <u/>
      <sz val="12"/>
      <color indexed="12"/>
      <name val="Arial"/>
      <family val="2"/>
    </font>
    <font>
      <sz val="10"/>
      <color indexed="10"/>
      <name val="Arial"/>
      <family val="2"/>
    </font>
    <font>
      <sz val="8"/>
      <name val="Arial"/>
      <family val="2"/>
    </font>
    <font>
      <sz val="10"/>
      <color indexed="12"/>
      <name val="Arial"/>
      <family val="2"/>
    </font>
    <font>
      <b/>
      <sz val="8.5"/>
      <name val="MS Sans Serif"/>
      <family val="2"/>
    </font>
    <font>
      <b/>
      <sz val="8.5"/>
      <name val="Arial"/>
      <family val="2"/>
    </font>
    <font>
      <sz val="10"/>
      <color indexed="8"/>
      <name val="MS Sans Serif"/>
      <family val="2"/>
    </font>
    <font>
      <b/>
      <sz val="10"/>
      <color indexed="8"/>
      <name val="MS Sans Serif"/>
      <family val="2"/>
    </font>
    <font>
      <sz val="10"/>
      <color indexed="8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indexed="62"/>
        <bgColor indexed="24"/>
      </patternFill>
    </fill>
    <fill>
      <patternFill patternType="solid">
        <fgColor indexed="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10"/>
        <bgColor indexed="64"/>
      </patternFill>
    </fill>
    <fill>
      <patternFill patternType="solid">
        <fgColor indexed="22"/>
        <bgColor indexed="22"/>
      </patternFill>
    </fill>
    <fill>
      <patternFill patternType="solid">
        <fgColor indexed="9"/>
        <bgColor indexed="22"/>
      </patternFill>
    </fill>
    <fill>
      <patternFill patternType="solid">
        <fgColor indexed="2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0"/>
        <bgColor indexed="24"/>
      </patternFill>
    </fill>
    <fill>
      <patternFill patternType="solid">
        <fgColor indexed="53"/>
        <bgColor indexed="64"/>
      </patternFill>
    </fill>
    <fill>
      <patternFill patternType="mediumGray">
        <fgColor indexed="22"/>
        <bgColor indexed="22"/>
      </patternFill>
    </fill>
    <fill>
      <patternFill patternType="solid">
        <fgColor indexed="57"/>
        <bgColor indexed="64"/>
      </patternFill>
    </fill>
    <fill>
      <patternFill patternType="solid">
        <fgColor indexed="9"/>
        <bgColor indexed="9"/>
      </patternFill>
    </fill>
  </fills>
  <borders count="1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10"/>
      </top>
      <bottom/>
      <diagonal/>
    </border>
    <border>
      <left/>
      <right/>
      <top/>
      <bottom style="thin">
        <color indexed="1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12"/>
      </left>
      <right/>
      <top style="double">
        <color indexed="12"/>
      </top>
      <bottom/>
      <diagonal/>
    </border>
    <border>
      <left/>
      <right style="double">
        <color indexed="12"/>
      </right>
      <top style="double">
        <color indexed="12"/>
      </top>
      <bottom/>
      <diagonal/>
    </border>
    <border>
      <left style="double">
        <color indexed="12"/>
      </left>
      <right/>
      <top/>
      <bottom/>
      <diagonal/>
    </border>
    <border>
      <left/>
      <right style="double">
        <color indexed="12"/>
      </right>
      <top/>
      <bottom/>
      <diagonal/>
    </border>
    <border>
      <left style="double">
        <color indexed="12"/>
      </left>
      <right/>
      <top/>
      <bottom style="double">
        <color indexed="12"/>
      </bottom>
      <diagonal/>
    </border>
    <border>
      <left/>
      <right style="double">
        <color indexed="12"/>
      </right>
      <top/>
      <bottom style="double">
        <color indexed="12"/>
      </bottom>
      <diagonal/>
    </border>
    <border>
      <left/>
      <right style="thin">
        <color indexed="10"/>
      </right>
      <top/>
      <bottom/>
      <diagonal/>
    </border>
    <border>
      <left/>
      <right/>
      <top/>
      <bottom style="thin">
        <color indexed="9"/>
      </bottom>
      <diagonal/>
    </border>
    <border>
      <left/>
      <right/>
      <top style="thin">
        <color indexed="23"/>
      </top>
      <bottom style="thin">
        <color indexed="9"/>
      </bottom>
      <diagonal/>
    </border>
    <border>
      <left/>
      <right style="thin">
        <color indexed="10"/>
      </right>
      <top style="thin">
        <color indexed="23"/>
      </top>
      <bottom style="thin">
        <color indexed="9"/>
      </bottom>
      <diagonal/>
    </border>
    <border>
      <left/>
      <right style="thin">
        <color indexed="10"/>
      </right>
      <top style="thin">
        <color indexed="23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9"/>
      </right>
      <top style="thin">
        <color indexed="23"/>
      </top>
      <bottom style="thin">
        <color indexed="9"/>
      </bottom>
      <diagonal/>
    </border>
    <border>
      <left style="thin">
        <color indexed="10"/>
      </left>
      <right/>
      <top style="thin">
        <color indexed="23"/>
      </top>
      <bottom style="thin">
        <color indexed="9"/>
      </bottom>
      <diagonal/>
    </border>
    <border>
      <left style="thin">
        <color indexed="10"/>
      </left>
      <right/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/>
      <right style="thin">
        <color indexed="10"/>
      </right>
      <top style="thin">
        <color indexed="23"/>
      </top>
      <bottom/>
      <diagonal/>
    </border>
    <border>
      <left style="thin">
        <color indexed="10"/>
      </left>
      <right/>
      <top/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 style="thin">
        <color indexed="23"/>
      </left>
      <right/>
      <top style="thin">
        <color indexed="23"/>
      </top>
      <bottom style="thin">
        <color indexed="9"/>
      </bottom>
      <diagonal/>
    </border>
    <border>
      <left style="thin">
        <color indexed="10"/>
      </left>
      <right/>
      <top style="thin">
        <color indexed="23"/>
      </top>
      <bottom style="thin">
        <color indexed="10"/>
      </bottom>
      <diagonal/>
    </border>
    <border>
      <left/>
      <right/>
      <top style="thin">
        <color indexed="23"/>
      </top>
      <bottom style="thin">
        <color indexed="1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9"/>
      </bottom>
      <diagonal/>
    </border>
    <border>
      <left/>
      <right style="medium">
        <color indexed="64"/>
      </right>
      <top/>
      <bottom style="thin">
        <color indexed="9"/>
      </bottom>
      <diagonal/>
    </border>
    <border>
      <left style="medium">
        <color indexed="64"/>
      </left>
      <right/>
      <top style="thin">
        <color indexed="23"/>
      </top>
      <bottom style="thin">
        <color indexed="9"/>
      </bottom>
      <diagonal/>
    </border>
    <border>
      <left/>
      <right style="medium">
        <color indexed="64"/>
      </right>
      <top style="thin">
        <color indexed="23"/>
      </top>
      <bottom style="thin">
        <color indexed="9"/>
      </bottom>
      <diagonal/>
    </border>
    <border>
      <left style="medium">
        <color indexed="64"/>
      </left>
      <right/>
      <top style="thin">
        <color indexed="23"/>
      </top>
      <bottom style="medium">
        <color indexed="64"/>
      </bottom>
      <diagonal/>
    </border>
    <border>
      <left/>
      <right/>
      <top style="thin">
        <color indexed="23"/>
      </top>
      <bottom style="medium">
        <color indexed="64"/>
      </bottom>
      <diagonal/>
    </border>
    <border>
      <left/>
      <right style="medium">
        <color indexed="64"/>
      </right>
      <top style="thin">
        <color indexed="23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medium">
        <color indexed="64"/>
      </bottom>
      <diagonal/>
    </border>
  </borders>
  <cellStyleXfs count="27">
    <xf numFmtId="0" fontId="0" fillId="0" borderId="0"/>
    <xf numFmtId="0" fontId="88" fillId="0" borderId="0" applyNumberFormat="0" applyFill="0" applyBorder="0" applyAlignment="0" applyProtection="0">
      <alignment vertical="top"/>
      <protection locked="0"/>
    </xf>
    <xf numFmtId="38" fontId="3" fillId="0" borderId="0" applyFont="0" applyFill="0" applyBorder="0" applyAlignment="0" applyProtection="0"/>
    <xf numFmtId="38" fontId="3" fillId="0" borderId="0" applyFont="0" applyFill="0" applyBorder="0" applyAlignment="0" applyProtection="0"/>
    <xf numFmtId="38" fontId="3" fillId="0" borderId="0" applyFont="0" applyFill="0" applyBorder="0" applyAlignment="0" applyProtection="0"/>
    <xf numFmtId="0" fontId="45" fillId="0" borderId="0"/>
    <xf numFmtId="0" fontId="4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5" fillId="0" borderId="0"/>
    <xf numFmtId="0" fontId="3" fillId="0" borderId="0"/>
    <xf numFmtId="9" fontId="1" fillId="0" borderId="0" applyFont="0" applyFill="0" applyBorder="0" applyAlignment="0" applyProtection="0"/>
  </cellStyleXfs>
  <cellXfs count="1357">
    <xf numFmtId="0" fontId="0" fillId="0" borderId="0" xfId="0"/>
    <xf numFmtId="0" fontId="2" fillId="2" borderId="1" xfId="8" applyFont="1" applyFill="1" applyBorder="1" applyAlignment="1">
      <alignment horizontal="left"/>
    </xf>
    <xf numFmtId="0" fontId="4" fillId="2" borderId="2" xfId="8" applyFont="1" applyFill="1" applyBorder="1" applyAlignment="1">
      <alignment horizontal="center"/>
    </xf>
    <xf numFmtId="0" fontId="4" fillId="2" borderId="2" xfId="8" applyFont="1" applyFill="1" applyBorder="1" applyAlignment="1">
      <alignment horizontal="right"/>
    </xf>
    <xf numFmtId="0" fontId="5" fillId="2" borderId="3" xfId="8" applyFont="1" applyFill="1" applyBorder="1" applyAlignment="1">
      <alignment horizontal="right"/>
    </xf>
    <xf numFmtId="0" fontId="2" fillId="2" borderId="4" xfId="8" applyFont="1" applyFill="1" applyBorder="1" applyAlignment="1">
      <alignment horizontal="left"/>
    </xf>
    <xf numFmtId="0" fontId="4" fillId="2" borderId="0" xfId="8" applyFont="1" applyFill="1" applyBorder="1" applyAlignment="1">
      <alignment horizontal="right"/>
    </xf>
    <xf numFmtId="0" fontId="5" fillId="2" borderId="5" xfId="8" applyFont="1" applyFill="1" applyBorder="1" applyAlignment="1">
      <alignment horizontal="right"/>
    </xf>
    <xf numFmtId="0" fontId="4" fillId="2" borderId="0" xfId="8" applyFont="1" applyFill="1" applyBorder="1" applyAlignment="1">
      <alignment horizontal="left"/>
    </xf>
    <xf numFmtId="0" fontId="2" fillId="2" borderId="6" xfId="8" applyFont="1" applyFill="1" applyBorder="1" applyAlignment="1">
      <alignment horizontal="left"/>
    </xf>
    <xf numFmtId="0" fontId="5" fillId="2" borderId="7" xfId="8" applyFont="1" applyFill="1" applyBorder="1" applyAlignment="1">
      <alignment horizontal="right"/>
    </xf>
    <xf numFmtId="0" fontId="9" fillId="3" borderId="0" xfId="10" applyFont="1" applyFill="1"/>
    <xf numFmtId="0" fontId="11" fillId="4" borderId="8" xfId="0" applyFont="1" applyFill="1" applyBorder="1" applyAlignment="1">
      <alignment horizontal="center"/>
    </xf>
    <xf numFmtId="3" fontId="8" fillId="3" borderId="0" xfId="2" applyNumberFormat="1" applyFont="1" applyFill="1" applyBorder="1" applyAlignment="1"/>
    <xf numFmtId="164" fontId="8" fillId="3" borderId="5" xfId="2" applyNumberFormat="1" applyFont="1" applyFill="1" applyBorder="1" applyAlignment="1"/>
    <xf numFmtId="3" fontId="8" fillId="3" borderId="5" xfId="2" applyNumberFormat="1" applyFont="1" applyFill="1" applyBorder="1" applyAlignment="1"/>
    <xf numFmtId="3" fontId="8" fillId="3" borderId="9" xfId="2" applyNumberFormat="1" applyFont="1" applyFill="1" applyBorder="1" applyAlignment="1"/>
    <xf numFmtId="164" fontId="8" fillId="3" borderId="10" xfId="2" applyNumberFormat="1" applyFont="1" applyFill="1" applyBorder="1" applyAlignment="1"/>
    <xf numFmtId="0" fontId="3" fillId="3" borderId="11" xfId="8" applyFont="1" applyFill="1" applyBorder="1" applyAlignment="1"/>
    <xf numFmtId="3" fontId="3" fillId="3" borderId="11" xfId="8" applyNumberFormat="1" applyFont="1" applyFill="1" applyBorder="1" applyAlignment="1"/>
    <xf numFmtId="0" fontId="3" fillId="3" borderId="12" xfId="8" applyFont="1" applyFill="1" applyBorder="1" applyAlignment="1"/>
    <xf numFmtId="1" fontId="10" fillId="3" borderId="0" xfId="4" applyNumberFormat="1" applyFont="1" applyFill="1"/>
    <xf numFmtId="0" fontId="0" fillId="3" borderId="0" xfId="0" applyFill="1"/>
    <xf numFmtId="0" fontId="3" fillId="2" borderId="1" xfId="18" applyFill="1" applyBorder="1" applyAlignment="1"/>
    <xf numFmtId="0" fontId="14" fillId="2" borderId="2" xfId="18" applyFont="1" applyFill="1" applyBorder="1" applyAlignment="1">
      <alignment horizontal="center"/>
    </xf>
    <xf numFmtId="0" fontId="14" fillId="2" borderId="2" xfId="18" applyFont="1" applyFill="1" applyBorder="1" applyAlignment="1">
      <alignment horizontal="right"/>
    </xf>
    <xf numFmtId="0" fontId="15" fillId="2" borderId="3" xfId="18" applyFont="1" applyFill="1" applyBorder="1" applyAlignment="1">
      <alignment horizontal="right"/>
    </xf>
    <xf numFmtId="0" fontId="3" fillId="2" borderId="4" xfId="18" applyFill="1" applyBorder="1" applyAlignment="1"/>
    <xf numFmtId="0" fontId="14" fillId="2" borderId="0" xfId="18" applyFont="1" applyFill="1" applyBorder="1" applyAlignment="1">
      <alignment horizontal="center"/>
    </xf>
    <xf numFmtId="0" fontId="14" fillId="2" borderId="0" xfId="18" applyFont="1" applyFill="1" applyBorder="1" applyAlignment="1">
      <alignment horizontal="right"/>
    </xf>
    <xf numFmtId="0" fontId="15" fillId="2" borderId="5" xfId="18" applyFont="1" applyFill="1" applyBorder="1" applyAlignment="1">
      <alignment horizontal="right"/>
    </xf>
    <xf numFmtId="0" fontId="14" fillId="2" borderId="0" xfId="18" applyFont="1" applyFill="1" applyBorder="1" applyAlignment="1">
      <alignment horizontal="centerContinuous"/>
    </xf>
    <xf numFmtId="0" fontId="15" fillId="2" borderId="5" xfId="18" applyFont="1" applyFill="1" applyBorder="1" applyAlignment="1">
      <alignment horizontal="center"/>
    </xf>
    <xf numFmtId="0" fontId="8" fillId="3" borderId="0" xfId="18" applyFont="1" applyFill="1" applyBorder="1" applyAlignment="1">
      <alignment horizontal="center"/>
    </xf>
    <xf numFmtId="0" fontId="8" fillId="3" borderId="5" xfId="18" applyFont="1" applyFill="1" applyBorder="1" applyAlignment="1">
      <alignment horizontal="center"/>
    </xf>
    <xf numFmtId="0" fontId="3" fillId="3" borderId="0" xfId="18" applyFill="1"/>
    <xf numFmtId="165" fontId="3" fillId="3" borderId="0" xfId="18" applyNumberFormat="1" applyFill="1"/>
    <xf numFmtId="3" fontId="8" fillId="3" borderId="0" xfId="18" applyNumberFormat="1" applyFont="1" applyFill="1" applyBorder="1" applyAlignment="1">
      <alignment horizontal="center"/>
    </xf>
    <xf numFmtId="165" fontId="8" fillId="3" borderId="5" xfId="18" applyNumberFormat="1" applyFont="1" applyFill="1" applyBorder="1" applyAlignment="1">
      <alignment horizontal="center"/>
    </xf>
    <xf numFmtId="10" fontId="3" fillId="3" borderId="0" xfId="18" applyNumberFormat="1" applyFill="1"/>
    <xf numFmtId="3" fontId="8" fillId="3" borderId="9" xfId="18" applyNumberFormat="1" applyFont="1" applyFill="1" applyBorder="1" applyAlignment="1">
      <alignment horizontal="center"/>
    </xf>
    <xf numFmtId="165" fontId="8" fillId="3" borderId="10" xfId="18" applyNumberFormat="1" applyFont="1" applyFill="1" applyBorder="1" applyAlignment="1">
      <alignment horizontal="center"/>
    </xf>
    <xf numFmtId="3" fontId="3" fillId="3" borderId="11" xfId="18" applyNumberFormat="1" applyFill="1" applyBorder="1" applyAlignment="1"/>
    <xf numFmtId="0" fontId="3" fillId="3" borderId="12" xfId="18" applyFill="1" applyBorder="1" applyAlignment="1"/>
    <xf numFmtId="3" fontId="3" fillId="3" borderId="0" xfId="18" applyNumberFormat="1" applyFill="1"/>
    <xf numFmtId="1" fontId="17" fillId="2" borderId="1" xfId="4" applyNumberFormat="1" applyFont="1" applyFill="1" applyBorder="1" applyAlignment="1">
      <alignment horizontal="left"/>
    </xf>
    <xf numFmtId="1" fontId="14" fillId="2" borderId="2" xfId="4" applyNumberFormat="1" applyFont="1" applyFill="1" applyBorder="1" applyAlignment="1">
      <alignment horizontal="right"/>
    </xf>
    <xf numFmtId="1" fontId="14" fillId="2" borderId="2" xfId="4" applyNumberFormat="1" applyFont="1" applyFill="1" applyBorder="1" applyAlignment="1">
      <alignment horizontal="center"/>
    </xf>
    <xf numFmtId="1" fontId="15" fillId="2" borderId="3" xfId="4" applyNumberFormat="1" applyFont="1" applyFill="1" applyBorder="1" applyAlignment="1">
      <alignment horizontal="right"/>
    </xf>
    <xf numFmtId="1" fontId="17" fillId="2" borderId="4" xfId="4" applyNumberFormat="1" applyFont="1" applyFill="1" applyBorder="1" applyAlignment="1">
      <alignment horizontal="left"/>
    </xf>
    <xf numFmtId="1" fontId="14" fillId="2" borderId="0" xfId="4" applyNumberFormat="1" applyFont="1" applyFill="1" applyBorder="1" applyAlignment="1">
      <alignment horizontal="right"/>
    </xf>
    <xf numFmtId="1" fontId="14" fillId="2" borderId="0" xfId="4" applyNumberFormat="1" applyFont="1" applyFill="1" applyBorder="1" applyAlignment="1">
      <alignment horizontal="center"/>
    </xf>
    <xf numFmtId="1" fontId="15" fillId="2" borderId="5" xfId="4" applyNumberFormat="1" applyFont="1" applyFill="1" applyBorder="1" applyAlignment="1">
      <alignment horizontal="right"/>
    </xf>
    <xf numFmtId="3" fontId="9" fillId="3" borderId="0" xfId="10" applyNumberFormat="1" applyFont="1" applyFill="1" applyAlignment="1">
      <alignment horizontal="center"/>
    </xf>
    <xf numFmtId="1" fontId="10" fillId="3" borderId="0" xfId="4" applyNumberFormat="1" applyFont="1" applyFill="1" applyAlignment="1">
      <alignment horizontal="center"/>
    </xf>
    <xf numFmtId="3" fontId="10" fillId="3" borderId="0" xfId="0" applyNumberFormat="1" applyFont="1" applyFill="1"/>
    <xf numFmtId="3" fontId="19" fillId="3" borderId="0" xfId="0" applyNumberFormat="1" applyFont="1" applyFill="1"/>
    <xf numFmtId="3" fontId="10" fillId="3" borderId="0" xfId="4" applyNumberFormat="1" applyFont="1" applyFill="1" applyAlignment="1">
      <alignment horizontal="center"/>
    </xf>
    <xf numFmtId="9" fontId="10" fillId="3" borderId="0" xfId="26" applyFont="1" applyFill="1"/>
    <xf numFmtId="4" fontId="9" fillId="3" borderId="0" xfId="10" applyNumberFormat="1" applyFont="1" applyFill="1" applyAlignment="1">
      <alignment horizontal="left"/>
    </xf>
    <xf numFmtId="3" fontId="9" fillId="3" borderId="0" xfId="10" applyNumberFormat="1" applyFont="1" applyFill="1" applyAlignment="1">
      <alignment horizontal="left"/>
    </xf>
    <xf numFmtId="165" fontId="19" fillId="3" borderId="0" xfId="4" applyNumberFormat="1" applyFont="1" applyFill="1" applyBorder="1" applyAlignment="1">
      <alignment horizontal="center"/>
    </xf>
    <xf numFmtId="166" fontId="19" fillId="3" borderId="0" xfId="4" applyNumberFormat="1" applyFont="1" applyFill="1" applyBorder="1" applyAlignment="1">
      <alignment horizontal="center"/>
    </xf>
    <xf numFmtId="3" fontId="19" fillId="3" borderId="0" xfId="4" applyNumberFormat="1" applyFont="1" applyFill="1" applyBorder="1" applyAlignment="1">
      <alignment horizontal="center"/>
    </xf>
    <xf numFmtId="1" fontId="3" fillId="3" borderId="0" xfId="4" applyNumberFormat="1" applyFont="1" applyFill="1" applyBorder="1" applyAlignment="1"/>
    <xf numFmtId="1" fontId="3" fillId="3" borderId="5" xfId="4" applyNumberFormat="1" applyFont="1" applyFill="1" applyBorder="1" applyAlignment="1"/>
    <xf numFmtId="3" fontId="8" fillId="3" borderId="0" xfId="4" applyNumberFormat="1" applyFont="1" applyFill="1" applyBorder="1" applyAlignment="1">
      <alignment horizontal="center"/>
    </xf>
    <xf numFmtId="3" fontId="8" fillId="3" borderId="5" xfId="4" applyNumberFormat="1" applyFont="1" applyFill="1" applyBorder="1" applyAlignment="1">
      <alignment horizontal="center"/>
    </xf>
    <xf numFmtId="3" fontId="8" fillId="3" borderId="9" xfId="4" applyNumberFormat="1" applyFont="1" applyFill="1" applyBorder="1" applyAlignment="1">
      <alignment horizontal="center"/>
    </xf>
    <xf numFmtId="3" fontId="8" fillId="3" borderId="10" xfId="4" applyNumberFormat="1" applyFont="1" applyFill="1" applyBorder="1" applyAlignment="1">
      <alignment horizontal="center"/>
    </xf>
    <xf numFmtId="165" fontId="3" fillId="3" borderId="13" xfId="4" applyNumberFormat="1" applyFont="1" applyFill="1" applyBorder="1" applyAlignment="1">
      <alignment horizontal="center"/>
    </xf>
    <xf numFmtId="166" fontId="3" fillId="3" borderId="13" xfId="4" applyNumberFormat="1" applyFont="1" applyFill="1" applyBorder="1" applyAlignment="1">
      <alignment horizontal="center"/>
    </xf>
    <xf numFmtId="3" fontId="3" fillId="3" borderId="14" xfId="4" applyNumberFormat="1" applyFont="1" applyFill="1" applyBorder="1" applyAlignment="1">
      <alignment horizontal="center"/>
    </xf>
    <xf numFmtId="3" fontId="0" fillId="3" borderId="0" xfId="0" applyNumberFormat="1" applyFill="1"/>
    <xf numFmtId="3" fontId="8" fillId="3" borderId="8" xfId="4" applyNumberFormat="1" applyFont="1" applyFill="1" applyBorder="1" applyAlignment="1">
      <alignment horizontal="center"/>
    </xf>
    <xf numFmtId="3" fontId="8" fillId="3" borderId="7" xfId="4" applyNumberFormat="1" applyFont="1" applyFill="1" applyBorder="1" applyAlignment="1">
      <alignment horizontal="center"/>
    </xf>
    <xf numFmtId="1" fontId="18" fillId="3" borderId="0" xfId="4" applyNumberFormat="1" applyFont="1" applyFill="1"/>
    <xf numFmtId="3" fontId="8" fillId="3" borderId="0" xfId="19" applyNumberFormat="1" applyFont="1" applyFill="1" applyBorder="1" applyAlignment="1"/>
    <xf numFmtId="3" fontId="3" fillId="3" borderId="0" xfId="19" applyNumberFormat="1" applyFill="1"/>
    <xf numFmtId="3" fontId="8" fillId="3" borderId="5" xfId="19" applyNumberFormat="1" applyFont="1" applyFill="1" applyBorder="1" applyAlignment="1"/>
    <xf numFmtId="0" fontId="3" fillId="3" borderId="0" xfId="19" applyFill="1"/>
    <xf numFmtId="3" fontId="8" fillId="3" borderId="8" xfId="19" applyNumberFormat="1" applyFont="1" applyFill="1" applyBorder="1" applyAlignment="1"/>
    <xf numFmtId="3" fontId="8" fillId="3" borderId="7" xfId="19" applyNumberFormat="1" applyFont="1" applyFill="1" applyBorder="1" applyAlignment="1"/>
    <xf numFmtId="0" fontId="10" fillId="3" borderId="0" xfId="19" applyFont="1" applyFill="1"/>
    <xf numFmtId="0" fontId="3" fillId="3" borderId="0" xfId="19" applyFill="1" applyBorder="1" applyAlignment="1"/>
    <xf numFmtId="9" fontId="3" fillId="3" borderId="0" xfId="19" applyNumberFormat="1" applyFill="1" applyBorder="1" applyAlignment="1"/>
    <xf numFmtId="3" fontId="3" fillId="3" borderId="0" xfId="19" applyNumberFormat="1" applyFill="1" applyBorder="1" applyAlignment="1"/>
    <xf numFmtId="3" fontId="3" fillId="3" borderId="0" xfId="19" applyNumberFormat="1" applyFill="1" applyBorder="1"/>
    <xf numFmtId="3" fontId="8" fillId="3" borderId="13" xfId="19" applyNumberFormat="1" applyFont="1" applyFill="1" applyBorder="1" applyAlignment="1"/>
    <xf numFmtId="3" fontId="8" fillId="3" borderId="14" xfId="19" applyNumberFormat="1" applyFont="1" applyFill="1" applyBorder="1" applyAlignment="1"/>
    <xf numFmtId="0" fontId="17" fillId="2" borderId="1" xfId="20" applyFont="1" applyFill="1" applyBorder="1" applyAlignment="1">
      <alignment horizontal="left"/>
    </xf>
    <xf numFmtId="0" fontId="14" fillId="2" borderId="2" xfId="20" applyFont="1" applyFill="1" applyBorder="1" applyAlignment="1">
      <alignment horizontal="right"/>
    </xf>
    <xf numFmtId="0" fontId="14" fillId="2" borderId="2" xfId="20" applyFont="1" applyFill="1" applyBorder="1" applyAlignment="1">
      <alignment horizontal="center"/>
    </xf>
    <xf numFmtId="0" fontId="14" fillId="2" borderId="3" xfId="20" applyFont="1" applyFill="1" applyBorder="1" applyAlignment="1">
      <alignment horizontal="right"/>
    </xf>
    <xf numFmtId="0" fontId="17" fillId="2" borderId="4" xfId="20" applyFont="1" applyFill="1" applyBorder="1" applyAlignment="1">
      <alignment horizontal="left"/>
    </xf>
    <xf numFmtId="0" fontId="14" fillId="2" borderId="0" xfId="20" applyFont="1" applyFill="1" applyBorder="1" applyAlignment="1">
      <alignment horizontal="right"/>
    </xf>
    <xf numFmtId="0" fontId="14" fillId="2" borderId="0" xfId="20" applyFont="1" applyFill="1" applyBorder="1" applyAlignment="1">
      <alignment horizontal="center"/>
    </xf>
    <xf numFmtId="0" fontId="14" fillId="2" borderId="5" xfId="20" applyFont="1" applyFill="1" applyBorder="1" applyAlignment="1">
      <alignment horizontal="right"/>
    </xf>
    <xf numFmtId="0" fontId="14" fillId="2" borderId="5" xfId="20" applyFont="1" applyFill="1" applyBorder="1" applyAlignment="1">
      <alignment horizontal="center"/>
    </xf>
    <xf numFmtId="0" fontId="17" fillId="2" borderId="1" xfId="21" applyFont="1" applyFill="1" applyBorder="1" applyAlignment="1">
      <alignment horizontal="left"/>
    </xf>
    <xf numFmtId="0" fontId="14" fillId="2" borderId="2" xfId="21" applyFont="1" applyFill="1" applyBorder="1" applyAlignment="1">
      <alignment horizontal="right"/>
    </xf>
    <xf numFmtId="0" fontId="14" fillId="2" borderId="3" xfId="21" applyFont="1" applyFill="1" applyBorder="1" applyAlignment="1">
      <alignment horizontal="right"/>
    </xf>
    <xf numFmtId="0" fontId="17" fillId="2" borderId="4" xfId="21" applyFont="1" applyFill="1" applyBorder="1" applyAlignment="1">
      <alignment horizontal="left"/>
    </xf>
    <xf numFmtId="0" fontId="14" fillId="2" borderId="0" xfId="21" applyFont="1" applyFill="1" applyBorder="1" applyAlignment="1">
      <alignment horizontal="right"/>
    </xf>
    <xf numFmtId="0" fontId="14" fillId="2" borderId="0" xfId="21" applyFont="1" applyFill="1" applyBorder="1" applyAlignment="1">
      <alignment horizontal="center"/>
    </xf>
    <xf numFmtId="0" fontId="14" fillId="2" borderId="5" xfId="21" applyFont="1" applyFill="1" applyBorder="1" applyAlignment="1">
      <alignment horizontal="right"/>
    </xf>
    <xf numFmtId="0" fontId="14" fillId="2" borderId="0" xfId="21" quotePrefix="1" applyFont="1" applyFill="1" applyBorder="1" applyAlignment="1">
      <alignment horizontal="center"/>
    </xf>
    <xf numFmtId="3" fontId="8" fillId="3" borderId="0" xfId="21" applyNumberFormat="1" applyFont="1" applyFill="1" applyBorder="1" applyAlignment="1"/>
    <xf numFmtId="0" fontId="3" fillId="3" borderId="0" xfId="21" applyFill="1"/>
    <xf numFmtId="0" fontId="3" fillId="3" borderId="0" xfId="21" applyFill="1" applyBorder="1" applyAlignment="1"/>
    <xf numFmtId="0" fontId="3" fillId="3" borderId="5" xfId="21" applyFill="1" applyBorder="1" applyAlignment="1"/>
    <xf numFmtId="3" fontId="3" fillId="3" borderId="0" xfId="21" applyNumberFormat="1" applyFill="1"/>
    <xf numFmtId="3" fontId="3" fillId="3" borderId="0" xfId="21" applyNumberFormat="1" applyFont="1" applyFill="1"/>
    <xf numFmtId="3" fontId="8" fillId="3" borderId="5" xfId="21" applyNumberFormat="1" applyFont="1" applyFill="1" applyBorder="1" applyAlignment="1"/>
    <xf numFmtId="3" fontId="8" fillId="3" borderId="7" xfId="21" applyNumberFormat="1" applyFont="1" applyFill="1" applyBorder="1" applyAlignment="1"/>
    <xf numFmtId="3" fontId="8" fillId="3" borderId="13" xfId="21" applyNumberFormat="1" applyFont="1" applyFill="1" applyBorder="1" applyAlignment="1"/>
    <xf numFmtId="3" fontId="3" fillId="3" borderId="13" xfId="21" applyNumberFormat="1" applyFill="1" applyBorder="1" applyAlignment="1"/>
    <xf numFmtId="3" fontId="3" fillId="3" borderId="14" xfId="21" applyNumberFormat="1" applyFill="1" applyBorder="1" applyAlignment="1"/>
    <xf numFmtId="0" fontId="3" fillId="3" borderId="15" xfId="19" applyFill="1" applyBorder="1" applyAlignment="1"/>
    <xf numFmtId="0" fontId="3" fillId="3" borderId="0" xfId="21" applyFont="1" applyFill="1"/>
    <xf numFmtId="3" fontId="8" fillId="3" borderId="2" xfId="21" applyNumberFormat="1" applyFont="1" applyFill="1" applyBorder="1" applyAlignment="1"/>
    <xf numFmtId="3" fontId="8" fillId="3" borderId="3" xfId="21" applyNumberFormat="1" applyFont="1" applyFill="1" applyBorder="1" applyAlignment="1"/>
    <xf numFmtId="3" fontId="8" fillId="3" borderId="14" xfId="21" applyNumberFormat="1" applyFont="1" applyFill="1" applyBorder="1" applyAlignment="1"/>
    <xf numFmtId="0" fontId="17" fillId="2" borderId="1" xfId="22" applyFont="1" applyFill="1" applyBorder="1" applyAlignment="1">
      <alignment horizontal="left"/>
    </xf>
    <xf numFmtId="0" fontId="14" fillId="2" borderId="2" xfId="22" applyFont="1" applyFill="1" applyBorder="1" applyAlignment="1">
      <alignment horizontal="right"/>
    </xf>
    <xf numFmtId="0" fontId="14" fillId="2" borderId="2" xfId="22" applyFont="1" applyFill="1" applyBorder="1" applyAlignment="1">
      <alignment horizontal="center"/>
    </xf>
    <xf numFmtId="0" fontId="15" fillId="2" borderId="3" xfId="22" applyFont="1" applyFill="1" applyBorder="1" applyAlignment="1">
      <alignment horizontal="right"/>
    </xf>
    <xf numFmtId="0" fontId="17" fillId="2" borderId="4" xfId="22" applyFont="1" applyFill="1" applyBorder="1" applyAlignment="1">
      <alignment horizontal="left"/>
    </xf>
    <xf numFmtId="0" fontId="14" fillId="2" borderId="0" xfId="22" applyFont="1" applyFill="1" applyBorder="1" applyAlignment="1">
      <alignment horizontal="right"/>
    </xf>
    <xf numFmtId="0" fontId="14" fillId="2" borderId="0" xfId="22" applyFont="1" applyFill="1" applyBorder="1" applyAlignment="1">
      <alignment horizontal="center"/>
    </xf>
    <xf numFmtId="0" fontId="15" fillId="2" borderId="5" xfId="22" applyFont="1" applyFill="1" applyBorder="1" applyAlignment="1">
      <alignment horizontal="right"/>
    </xf>
    <xf numFmtId="0" fontId="14" fillId="2" borderId="0" xfId="22" applyFont="1" applyFill="1" applyBorder="1" applyAlignment="1">
      <alignment horizontal="left"/>
    </xf>
    <xf numFmtId="0" fontId="15" fillId="2" borderId="5" xfId="22" applyFont="1" applyFill="1" applyBorder="1" applyAlignment="1">
      <alignment horizontal="center"/>
    </xf>
    <xf numFmtId="0" fontId="17" fillId="2" borderId="1" xfId="23" applyFont="1" applyFill="1" applyBorder="1" applyAlignment="1">
      <alignment horizontal="left"/>
    </xf>
    <xf numFmtId="0" fontId="14" fillId="2" borderId="2" xfId="23" applyFont="1" applyFill="1" applyBorder="1" applyAlignment="1">
      <alignment horizontal="left"/>
    </xf>
    <xf numFmtId="0" fontId="14" fillId="2" borderId="2" xfId="23" applyFont="1" applyFill="1" applyBorder="1" applyAlignment="1">
      <alignment horizontal="right"/>
    </xf>
    <xf numFmtId="0" fontId="15" fillId="2" borderId="2" xfId="23" applyFont="1" applyFill="1" applyBorder="1" applyAlignment="1">
      <alignment horizontal="right"/>
    </xf>
    <xf numFmtId="0" fontId="15" fillId="2" borderId="3" xfId="23" applyFont="1" applyFill="1" applyBorder="1" applyAlignment="1">
      <alignment horizontal="right"/>
    </xf>
    <xf numFmtId="0" fontId="17" fillId="2" borderId="4" xfId="23" applyFont="1" applyFill="1" applyBorder="1" applyAlignment="1">
      <alignment horizontal="left"/>
    </xf>
    <xf numFmtId="0" fontId="14" fillId="2" borderId="0" xfId="23" applyFont="1" applyFill="1" applyBorder="1" applyAlignment="1">
      <alignment horizontal="right"/>
    </xf>
    <xf numFmtId="0" fontId="14" fillId="2" borderId="0" xfId="23" applyFont="1" applyFill="1" applyBorder="1" applyAlignment="1">
      <alignment horizontal="center"/>
    </xf>
    <xf numFmtId="0" fontId="15" fillId="2" borderId="0" xfId="23" applyFont="1" applyFill="1" applyBorder="1" applyAlignment="1">
      <alignment horizontal="right"/>
    </xf>
    <xf numFmtId="0" fontId="15" fillId="2" borderId="5" xfId="23" applyFont="1" applyFill="1" applyBorder="1" applyAlignment="1">
      <alignment horizontal="right"/>
    </xf>
    <xf numFmtId="0" fontId="14" fillId="2" borderId="0" xfId="23" applyFont="1" applyFill="1" applyBorder="1" applyAlignment="1">
      <alignment horizontal="left"/>
    </xf>
    <xf numFmtId="3" fontId="8" fillId="3" borderId="0" xfId="22" applyNumberFormat="1" applyFont="1" applyFill="1" applyBorder="1" applyAlignment="1"/>
    <xf numFmtId="0" fontId="21" fillId="3" borderId="0" xfId="22" applyFont="1" applyFill="1"/>
    <xf numFmtId="3" fontId="20" fillId="3" borderId="0" xfId="22" applyNumberFormat="1" applyFont="1" applyFill="1"/>
    <xf numFmtId="0" fontId="20" fillId="3" borderId="0" xfId="22" applyFont="1" applyFill="1"/>
    <xf numFmtId="3" fontId="8" fillId="3" borderId="5" xfId="22" applyNumberFormat="1" applyFont="1" applyFill="1" applyBorder="1" applyAlignment="1"/>
    <xf numFmtId="3" fontId="25" fillId="3" borderId="0" xfId="22" applyNumberFormat="1" applyFont="1" applyFill="1" applyBorder="1" applyAlignment="1"/>
    <xf numFmtId="3" fontId="25" fillId="3" borderId="5" xfId="22" applyNumberFormat="1" applyFont="1" applyFill="1" applyBorder="1" applyAlignment="1"/>
    <xf numFmtId="3" fontId="21" fillId="3" borderId="0" xfId="22" applyNumberFormat="1" applyFont="1" applyFill="1"/>
    <xf numFmtId="3" fontId="8" fillId="3" borderId="9" xfId="22" applyNumberFormat="1" applyFont="1" applyFill="1" applyBorder="1" applyAlignment="1"/>
    <xf numFmtId="3" fontId="3" fillId="3" borderId="13" xfId="22" applyNumberFormat="1" applyFill="1" applyBorder="1" applyAlignment="1"/>
    <xf numFmtId="3" fontId="3" fillId="3" borderId="14" xfId="22" applyNumberFormat="1" applyFill="1" applyBorder="1" applyAlignment="1"/>
    <xf numFmtId="3" fontId="8" fillId="3" borderId="0" xfId="23" applyNumberFormat="1" applyFont="1" applyFill="1" applyBorder="1" applyAlignment="1"/>
    <xf numFmtId="0" fontId="3" fillId="3" borderId="5" xfId="23" applyFill="1" applyBorder="1" applyAlignment="1"/>
    <xf numFmtId="0" fontId="3" fillId="3" borderId="0" xfId="23" applyFill="1"/>
    <xf numFmtId="166" fontId="3" fillId="3" borderId="5" xfId="26" applyNumberFormat="1" applyFont="1" applyFill="1" applyBorder="1" applyAlignment="1"/>
    <xf numFmtId="3" fontId="3" fillId="3" borderId="0" xfId="23" applyNumberFormat="1" applyFill="1"/>
    <xf numFmtId="3" fontId="3" fillId="3" borderId="0" xfId="23" applyNumberFormat="1" applyFill="1" applyAlignment="1">
      <alignment horizontal="center"/>
    </xf>
    <xf numFmtId="0" fontId="8" fillId="3" borderId="0" xfId="23" applyFont="1" applyFill="1" applyBorder="1" applyAlignment="1"/>
    <xf numFmtId="3" fontId="8" fillId="3" borderId="9" xfId="26" applyNumberFormat="1" applyFont="1" applyFill="1" applyBorder="1"/>
    <xf numFmtId="3" fontId="3" fillId="3" borderId="10" xfId="26" applyNumberFormat="1" applyFont="1" applyFill="1" applyBorder="1"/>
    <xf numFmtId="3" fontId="3" fillId="3" borderId="13" xfId="26" applyNumberFormat="1" applyFont="1" applyFill="1" applyBorder="1" applyAlignment="1"/>
    <xf numFmtId="0" fontId="3" fillId="3" borderId="14" xfId="23" applyFill="1" applyBorder="1" applyAlignment="1"/>
    <xf numFmtId="0" fontId="26" fillId="3" borderId="0" xfId="23" applyFont="1" applyFill="1"/>
    <xf numFmtId="0" fontId="26" fillId="3" borderId="0" xfId="23" applyFont="1" applyFill="1" applyAlignment="1">
      <alignment horizontal="left"/>
    </xf>
    <xf numFmtId="0" fontId="3" fillId="3" borderId="0" xfId="23" applyFill="1" applyAlignment="1">
      <alignment horizontal="center"/>
    </xf>
    <xf numFmtId="0" fontId="27" fillId="2" borderId="1" xfId="0" applyFont="1" applyFill="1" applyBorder="1" applyAlignment="1">
      <alignment horizontal="left"/>
    </xf>
    <xf numFmtId="0" fontId="11" fillId="2" borderId="2" xfId="0" applyFont="1" applyFill="1" applyBorder="1" applyAlignment="1">
      <alignment horizontal="left"/>
    </xf>
    <xf numFmtId="0" fontId="28" fillId="2" borderId="2" xfId="20" applyFont="1" applyFill="1" applyBorder="1" applyAlignment="1">
      <alignment horizontal="center"/>
    </xf>
    <xf numFmtId="0" fontId="11" fillId="2" borderId="2" xfId="0" applyFont="1" applyFill="1" applyBorder="1" applyAlignment="1">
      <alignment horizontal="right"/>
    </xf>
    <xf numFmtId="0" fontId="29" fillId="2" borderId="2" xfId="0" applyFont="1" applyFill="1" applyBorder="1" applyAlignment="1">
      <alignment horizontal="right"/>
    </xf>
    <xf numFmtId="0" fontId="30" fillId="2" borderId="3" xfId="0" applyFont="1" applyFill="1" applyBorder="1" applyAlignment="1">
      <alignment horizontal="right"/>
    </xf>
    <xf numFmtId="0" fontId="27" fillId="2" borderId="4" xfId="0" applyFont="1" applyFill="1" applyBorder="1" applyAlignment="1">
      <alignment horizontal="left"/>
    </xf>
    <xf numFmtId="0" fontId="11" fillId="2" borderId="0" xfId="0" applyFont="1" applyFill="1" applyBorder="1" applyAlignment="1">
      <alignment horizontal="right"/>
    </xf>
    <xf numFmtId="0" fontId="11" fillId="2" borderId="0" xfId="0" applyFont="1" applyFill="1" applyBorder="1" applyAlignment="1">
      <alignment horizontal="center"/>
    </xf>
    <xf numFmtId="0" fontId="29" fillId="2" borderId="0" xfId="0" applyFont="1" applyFill="1" applyBorder="1" applyAlignment="1">
      <alignment horizontal="right"/>
    </xf>
    <xf numFmtId="0" fontId="30" fillId="2" borderId="5" xfId="0" applyFont="1" applyFill="1" applyBorder="1" applyAlignment="1">
      <alignment horizontal="right"/>
    </xf>
    <xf numFmtId="0" fontId="11" fillId="2" borderId="0" xfId="0" applyFont="1" applyFill="1" applyBorder="1" applyAlignment="1">
      <alignment horizontal="left"/>
    </xf>
    <xf numFmtId="0" fontId="29" fillId="2" borderId="0" xfId="0" applyFont="1" applyFill="1" applyBorder="1" applyAlignment="1">
      <alignment horizontal="center"/>
    </xf>
    <xf numFmtId="0" fontId="30" fillId="2" borderId="5" xfId="0" applyFont="1" applyFill="1" applyBorder="1" applyAlignment="1">
      <alignment horizontal="center"/>
    </xf>
    <xf numFmtId="3" fontId="13" fillId="3" borderId="0" xfId="0" applyNumberFormat="1" applyFont="1" applyFill="1" applyBorder="1" applyAlignment="1"/>
    <xf numFmtId="3" fontId="13" fillId="3" borderId="5" xfId="0" applyNumberFormat="1" applyFont="1" applyFill="1" applyBorder="1" applyAlignment="1"/>
    <xf numFmtId="3" fontId="13" fillId="3" borderId="7" xfId="0" applyNumberFormat="1" applyFont="1" applyFill="1" applyBorder="1" applyAlignment="1"/>
    <xf numFmtId="3" fontId="13" fillId="3" borderId="9" xfId="0" applyNumberFormat="1" applyFont="1" applyFill="1" applyBorder="1" applyAlignment="1"/>
    <xf numFmtId="3" fontId="13" fillId="3" borderId="10" xfId="0" applyNumberFormat="1" applyFont="1" applyFill="1" applyBorder="1" applyAlignment="1"/>
    <xf numFmtId="3" fontId="13" fillId="3" borderId="2" xfId="0" applyNumberFormat="1" applyFont="1" applyFill="1" applyBorder="1" applyAlignment="1"/>
    <xf numFmtId="3" fontId="13" fillId="3" borderId="3" xfId="0" applyNumberFormat="1" applyFont="1" applyFill="1" applyBorder="1" applyAlignment="1"/>
    <xf numFmtId="3" fontId="0" fillId="3" borderId="11" xfId="0" applyNumberFormat="1" applyFill="1" applyBorder="1" applyAlignment="1"/>
    <xf numFmtId="3" fontId="0" fillId="3" borderId="12" xfId="0" applyNumberFormat="1" applyFill="1" applyBorder="1" applyAlignment="1"/>
    <xf numFmtId="0" fontId="17" fillId="2" borderId="1" xfId="9" applyFont="1" applyFill="1" applyBorder="1" applyAlignment="1">
      <alignment horizontal="center"/>
    </xf>
    <xf numFmtId="0" fontId="14" fillId="2" borderId="3" xfId="9" applyFont="1" applyFill="1" applyBorder="1" applyAlignment="1">
      <alignment horizontal="right"/>
    </xf>
    <xf numFmtId="0" fontId="17" fillId="2" borderId="4" xfId="9" applyFont="1" applyFill="1" applyBorder="1" applyAlignment="1">
      <alignment horizontal="center"/>
    </xf>
    <xf numFmtId="0" fontId="14" fillId="2" borderId="5" xfId="9" applyFont="1" applyFill="1" applyBorder="1" applyAlignment="1">
      <alignment horizontal="right"/>
    </xf>
    <xf numFmtId="0" fontId="17" fillId="2" borderId="4" xfId="9" applyFont="1" applyFill="1" applyBorder="1" applyAlignment="1">
      <alignment horizontal="centerContinuous"/>
    </xf>
    <xf numFmtId="0" fontId="14" fillId="2" borderId="5" xfId="9" applyFont="1" applyFill="1" applyBorder="1" applyAlignment="1">
      <alignment horizontal="centerContinuous"/>
    </xf>
    <xf numFmtId="0" fontId="17" fillId="2" borderId="4" xfId="9" applyFont="1" applyFill="1" applyBorder="1" applyAlignment="1">
      <alignment horizontal="left"/>
    </xf>
    <xf numFmtId="0" fontId="3" fillId="3" borderId="5" xfId="9" applyFill="1" applyBorder="1" applyAlignment="1"/>
    <xf numFmtId="0" fontId="3" fillId="3" borderId="0" xfId="9" applyFill="1"/>
    <xf numFmtId="0" fontId="8" fillId="3" borderId="5" xfId="9" applyFont="1" applyFill="1" applyBorder="1" applyAlignment="1"/>
    <xf numFmtId="164" fontId="8" fillId="3" borderId="5" xfId="9" applyNumberFormat="1" applyFont="1" applyFill="1" applyBorder="1" applyAlignment="1"/>
    <xf numFmtId="164" fontId="8" fillId="3" borderId="10" xfId="9" applyNumberFormat="1" applyFont="1" applyFill="1" applyBorder="1" applyAlignment="1"/>
    <xf numFmtId="164" fontId="8" fillId="3" borderId="12" xfId="9" applyNumberFormat="1" applyFont="1" applyFill="1" applyBorder="1" applyAlignment="1"/>
    <xf numFmtId="0" fontId="17" fillId="2" borderId="1" xfId="10" applyFont="1" applyFill="1" applyBorder="1" applyAlignment="1">
      <alignment horizontal="left"/>
    </xf>
    <xf numFmtId="0" fontId="17" fillId="2" borderId="2" xfId="10" applyFont="1" applyFill="1" applyBorder="1" applyAlignment="1"/>
    <xf numFmtId="0" fontId="14" fillId="2" borderId="2" xfId="10" applyFont="1" applyFill="1" applyBorder="1" applyAlignment="1">
      <alignment horizontal="right"/>
    </xf>
    <xf numFmtId="0" fontId="15" fillId="2" borderId="3" xfId="10" applyFont="1" applyFill="1" applyBorder="1" applyAlignment="1">
      <alignment horizontal="right"/>
    </xf>
    <xf numFmtId="0" fontId="17" fillId="2" borderId="4" xfId="10" applyFont="1" applyFill="1" applyBorder="1" applyAlignment="1">
      <alignment horizontal="left"/>
    </xf>
    <xf numFmtId="0" fontId="17" fillId="2" borderId="0" xfId="10" applyFont="1" applyFill="1" applyBorder="1" applyAlignment="1">
      <alignment horizontal="left"/>
    </xf>
    <xf numFmtId="0" fontId="14" fillId="2" borderId="0" xfId="10" applyFont="1" applyFill="1" applyBorder="1" applyAlignment="1">
      <alignment horizontal="right"/>
    </xf>
    <xf numFmtId="0" fontId="15" fillId="2" borderId="5" xfId="10" applyFont="1" applyFill="1" applyBorder="1" applyAlignment="1">
      <alignment horizontal="right"/>
    </xf>
    <xf numFmtId="0" fontId="6" fillId="5" borderId="4" xfId="10" applyFont="1" applyFill="1" applyBorder="1" applyAlignment="1">
      <alignment horizontal="left"/>
    </xf>
    <xf numFmtId="0" fontId="6" fillId="5" borderId="16" xfId="10" applyFont="1" applyFill="1" applyBorder="1" applyAlignment="1">
      <alignment horizontal="left"/>
    </xf>
    <xf numFmtId="0" fontId="8" fillId="3" borderId="2" xfId="10" applyFont="1" applyFill="1" applyBorder="1" applyAlignment="1"/>
    <xf numFmtId="0" fontId="8" fillId="3" borderId="3" xfId="10" applyFont="1" applyFill="1" applyBorder="1" applyAlignment="1"/>
    <xf numFmtId="0" fontId="3" fillId="3" borderId="0" xfId="10" applyFill="1"/>
    <xf numFmtId="0" fontId="8" fillId="3" borderId="0" xfId="10" applyFont="1" applyFill="1" applyBorder="1" applyAlignment="1"/>
    <xf numFmtId="0" fontId="8" fillId="3" borderId="5" xfId="10" applyFont="1" applyFill="1" applyBorder="1" applyAlignment="1"/>
    <xf numFmtId="0" fontId="21" fillId="3" borderId="0" xfId="10" applyFont="1" applyFill="1"/>
    <xf numFmtId="3" fontId="13" fillId="3" borderId="0" xfId="0" applyNumberFormat="1" applyFont="1" applyFill="1" applyBorder="1"/>
    <xf numFmtId="3" fontId="13" fillId="3" borderId="5" xfId="0" applyNumberFormat="1" applyFont="1" applyFill="1" applyBorder="1"/>
    <xf numFmtId="1" fontId="21" fillId="3" borderId="0" xfId="3" applyNumberFormat="1" applyFont="1" applyFill="1"/>
    <xf numFmtId="3" fontId="3" fillId="3" borderId="0" xfId="10" applyNumberFormat="1" applyFill="1"/>
    <xf numFmtId="3" fontId="8" fillId="3" borderId="0" xfId="3" applyNumberFormat="1" applyFont="1" applyFill="1" applyBorder="1" applyAlignment="1"/>
    <xf numFmtId="3" fontId="8" fillId="3" borderId="5" xfId="3" applyNumberFormat="1" applyFont="1" applyFill="1" applyBorder="1" applyAlignment="1"/>
    <xf numFmtId="3" fontId="8" fillId="3" borderId="0" xfId="10" applyNumberFormat="1" applyFont="1" applyFill="1" applyBorder="1" applyAlignment="1"/>
    <xf numFmtId="3" fontId="8" fillId="3" borderId="5" xfId="10" applyNumberFormat="1" applyFont="1" applyFill="1" applyBorder="1" applyAlignment="1"/>
    <xf numFmtId="3" fontId="8" fillId="3" borderId="5" xfId="3" applyNumberFormat="1" applyFont="1" applyFill="1" applyBorder="1" applyAlignment="1">
      <alignment horizontal="right"/>
    </xf>
    <xf numFmtId="0" fontId="3" fillId="3" borderId="11" xfId="10" applyFill="1" applyBorder="1" applyAlignment="1"/>
    <xf numFmtId="0" fontId="3" fillId="3" borderId="12" xfId="10" applyFill="1" applyBorder="1" applyAlignment="1"/>
    <xf numFmtId="0" fontId="9" fillId="3" borderId="0" xfId="10" applyFont="1" applyFill="1" applyAlignment="1">
      <alignment horizontal="left"/>
    </xf>
    <xf numFmtId="0" fontId="33" fillId="3" borderId="0" xfId="10" applyFont="1" applyFill="1"/>
    <xf numFmtId="0" fontId="34" fillId="3" borderId="0" xfId="10" applyFont="1" applyFill="1"/>
    <xf numFmtId="164" fontId="9" fillId="3" borderId="0" xfId="10" applyNumberFormat="1" applyFont="1" applyFill="1" applyAlignment="1">
      <alignment horizontal="left"/>
    </xf>
    <xf numFmtId="1" fontId="9" fillId="3" borderId="0" xfId="4" applyNumberFormat="1" applyFont="1" applyFill="1"/>
    <xf numFmtId="0" fontId="3" fillId="3" borderId="5" xfId="10" applyFill="1" applyBorder="1" applyAlignment="1"/>
    <xf numFmtId="0" fontId="35" fillId="3" borderId="0" xfId="10" applyFont="1" applyFill="1"/>
    <xf numFmtId="4" fontId="8" fillId="3" borderId="0" xfId="10" applyNumberFormat="1" applyFont="1" applyFill="1" applyBorder="1" applyAlignment="1"/>
    <xf numFmtId="0" fontId="2" fillId="2" borderId="1" xfId="11" applyFont="1" applyFill="1" applyBorder="1" applyAlignment="1">
      <alignment horizontal="left"/>
    </xf>
    <xf numFmtId="0" fontId="2" fillId="2" borderId="2" xfId="11" applyFont="1" applyFill="1" applyBorder="1" applyAlignment="1">
      <alignment horizontal="left"/>
    </xf>
    <xf numFmtId="0" fontId="16" fillId="2" borderId="2" xfId="11" applyFont="1" applyFill="1" applyBorder="1" applyAlignment="1">
      <alignment horizontal="right"/>
    </xf>
    <xf numFmtId="0" fontId="2" fillId="2" borderId="3" xfId="11" applyFont="1" applyFill="1" applyBorder="1" applyAlignment="1">
      <alignment horizontal="right"/>
    </xf>
    <xf numFmtId="0" fontId="2" fillId="2" borderId="4" xfId="11" applyFont="1" applyFill="1" applyBorder="1" applyAlignment="1">
      <alignment horizontal="left"/>
    </xf>
    <xf numFmtId="0" fontId="2" fillId="2" borderId="0" xfId="11" applyFont="1" applyFill="1" applyBorder="1" applyAlignment="1">
      <alignment horizontal="left"/>
    </xf>
    <xf numFmtId="0" fontId="2" fillId="2" borderId="0" xfId="11" applyFont="1" applyFill="1" applyBorder="1" applyAlignment="1"/>
    <xf numFmtId="0" fontId="16" fillId="2" borderId="0" xfId="11" applyFont="1" applyFill="1" applyBorder="1" applyAlignment="1">
      <alignment horizontal="right"/>
    </xf>
    <xf numFmtId="0" fontId="2" fillId="2" borderId="5" xfId="11" applyFont="1" applyFill="1" applyBorder="1" applyAlignment="1">
      <alignment horizontal="right"/>
    </xf>
    <xf numFmtId="0" fontId="2" fillId="2" borderId="0" xfId="11" applyFont="1" applyFill="1" applyBorder="1" applyAlignment="1">
      <alignment horizontal="center"/>
    </xf>
    <xf numFmtId="0" fontId="2" fillId="2" borderId="5" xfId="11" applyFont="1" applyFill="1" applyBorder="1" applyAlignment="1">
      <alignment horizontal="center"/>
    </xf>
    <xf numFmtId="0" fontId="14" fillId="2" borderId="1" xfId="12" applyFont="1" applyFill="1" applyBorder="1" applyAlignment="1">
      <alignment horizontal="right"/>
    </xf>
    <xf numFmtId="0" fontId="14" fillId="2" borderId="2" xfId="12" applyFont="1" applyFill="1" applyBorder="1" applyAlignment="1">
      <alignment horizontal="right"/>
    </xf>
    <xf numFmtId="3" fontId="14" fillId="2" borderId="3" xfId="12" applyNumberFormat="1" applyFont="1" applyFill="1" applyBorder="1" applyAlignment="1">
      <alignment horizontal="right"/>
    </xf>
    <xf numFmtId="0" fontId="14" fillId="2" borderId="4" xfId="12" applyFont="1" applyFill="1" applyBorder="1" applyAlignment="1">
      <alignment horizontal="right"/>
    </xf>
    <xf numFmtId="0" fontId="14" fillId="2" borderId="0" xfId="12" applyFont="1" applyFill="1" applyBorder="1" applyAlignment="1">
      <alignment horizontal="right"/>
    </xf>
    <xf numFmtId="0" fontId="14" fillId="2" borderId="0" xfId="12" applyFont="1" applyFill="1" applyBorder="1" applyAlignment="1">
      <alignment horizontal="center"/>
    </xf>
    <xf numFmtId="3" fontId="14" fillId="2" borderId="5" xfId="12" applyNumberFormat="1" applyFont="1" applyFill="1" applyBorder="1" applyAlignment="1">
      <alignment horizontal="right"/>
    </xf>
    <xf numFmtId="0" fontId="14" fillId="2" borderId="4" xfId="12" applyFont="1" applyFill="1" applyBorder="1" applyAlignment="1">
      <alignment horizontal="left"/>
    </xf>
    <xf numFmtId="3" fontId="14" fillId="2" borderId="5" xfId="12" applyNumberFormat="1" applyFont="1" applyFill="1" applyBorder="1" applyAlignment="1">
      <alignment horizontal="center"/>
    </xf>
    <xf numFmtId="0" fontId="38" fillId="3" borderId="0" xfId="11" applyFont="1" applyFill="1" applyBorder="1" applyAlignment="1">
      <alignment horizontal="center"/>
    </xf>
    <xf numFmtId="0" fontId="38" fillId="3" borderId="5" xfId="11" applyFont="1" applyFill="1" applyBorder="1" applyAlignment="1">
      <alignment horizontal="center"/>
    </xf>
    <xf numFmtId="0" fontId="3" fillId="3" borderId="0" xfId="11" applyFill="1"/>
    <xf numFmtId="3" fontId="38" fillId="3" borderId="0" xfId="11" applyNumberFormat="1" applyFont="1" applyFill="1" applyBorder="1" applyAlignment="1">
      <alignment horizontal="center"/>
    </xf>
    <xf numFmtId="3" fontId="38" fillId="3" borderId="5" xfId="11" applyNumberFormat="1" applyFont="1" applyFill="1" applyBorder="1" applyAlignment="1">
      <alignment horizontal="center"/>
    </xf>
    <xf numFmtId="3" fontId="3" fillId="3" borderId="0" xfId="11" applyNumberFormat="1" applyFill="1"/>
    <xf numFmtId="3" fontId="40" fillId="3" borderId="0" xfId="11" applyNumberFormat="1" applyFont="1" applyFill="1" applyBorder="1" applyAlignment="1">
      <alignment horizontal="center"/>
    </xf>
    <xf numFmtId="3" fontId="40" fillId="3" borderId="5" xfId="11" applyNumberFormat="1" applyFont="1" applyFill="1" applyBorder="1" applyAlignment="1">
      <alignment horizontal="center"/>
    </xf>
    <xf numFmtId="166" fontId="40" fillId="3" borderId="11" xfId="11" applyNumberFormat="1" applyFont="1" applyFill="1" applyBorder="1" applyAlignment="1">
      <alignment horizontal="center"/>
    </xf>
    <xf numFmtId="166" fontId="40" fillId="3" borderId="12" xfId="11" applyNumberFormat="1" applyFont="1" applyFill="1" applyBorder="1" applyAlignment="1">
      <alignment horizontal="center"/>
    </xf>
    <xf numFmtId="0" fontId="8" fillId="3" borderId="0" xfId="11" applyFont="1" applyFill="1"/>
    <xf numFmtId="9" fontId="3" fillId="3" borderId="0" xfId="11" applyNumberFormat="1" applyFill="1"/>
    <xf numFmtId="4" fontId="8" fillId="3" borderId="0" xfId="11" applyNumberFormat="1" applyFont="1" applyFill="1"/>
    <xf numFmtId="165" fontId="8" fillId="3" borderId="0" xfId="11" applyNumberFormat="1" applyFont="1" applyFill="1"/>
    <xf numFmtId="0" fontId="36" fillId="3" borderId="0" xfId="11" applyFont="1" applyFill="1" applyBorder="1"/>
    <xf numFmtId="0" fontId="36" fillId="3" borderId="0" xfId="11" applyFont="1" applyFill="1"/>
    <xf numFmtId="0" fontId="41" fillId="3" borderId="0" xfId="11" applyFont="1" applyFill="1"/>
    <xf numFmtId="1" fontId="8" fillId="3" borderId="0" xfId="4" applyNumberFormat="1" applyFont="1" applyFill="1"/>
    <xf numFmtId="0" fontId="42" fillId="3" borderId="0" xfId="11" applyFont="1" applyFill="1"/>
    <xf numFmtId="0" fontId="17" fillId="2" borderId="1" xfId="13" applyFont="1" applyFill="1" applyBorder="1" applyAlignment="1">
      <alignment horizontal="left"/>
    </xf>
    <xf numFmtId="0" fontId="14" fillId="2" borderId="2" xfId="13" applyFont="1" applyFill="1" applyBorder="1" applyAlignment="1">
      <alignment horizontal="right"/>
    </xf>
    <xf numFmtId="0" fontId="15" fillId="2" borderId="3" xfId="13" applyFont="1" applyFill="1" applyBorder="1" applyAlignment="1">
      <alignment horizontal="right"/>
    </xf>
    <xf numFmtId="0" fontId="17" fillId="2" borderId="4" xfId="13" applyFont="1" applyFill="1" applyBorder="1" applyAlignment="1">
      <alignment horizontal="left"/>
    </xf>
    <xf numFmtId="0" fontId="14" fillId="2" borderId="0" xfId="13" applyFont="1" applyFill="1" applyBorder="1" applyAlignment="1">
      <alignment horizontal="right"/>
    </xf>
    <xf numFmtId="0" fontId="14" fillId="2" borderId="0" xfId="13" applyFont="1" applyFill="1" applyBorder="1" applyAlignment="1">
      <alignment horizontal="center"/>
    </xf>
    <xf numFmtId="0" fontId="15" fillId="2" borderId="5" xfId="13" applyFont="1" applyFill="1" applyBorder="1" applyAlignment="1">
      <alignment horizontal="right"/>
    </xf>
    <xf numFmtId="0" fontId="8" fillId="3" borderId="0" xfId="13" applyFont="1" applyFill="1" applyBorder="1" applyAlignment="1"/>
    <xf numFmtId="0" fontId="8" fillId="3" borderId="5" xfId="13" applyFont="1" applyFill="1" applyBorder="1" applyAlignment="1"/>
    <xf numFmtId="0" fontId="3" fillId="3" borderId="0" xfId="13" applyFill="1"/>
    <xf numFmtId="3" fontId="8" fillId="3" borderId="0" xfId="13" applyNumberFormat="1" applyFont="1" applyFill="1" applyBorder="1" applyAlignment="1"/>
    <xf numFmtId="3" fontId="8" fillId="3" borderId="5" xfId="13" applyNumberFormat="1" applyFont="1" applyFill="1" applyBorder="1" applyAlignment="1"/>
    <xf numFmtId="3" fontId="3" fillId="3" borderId="0" xfId="13" applyNumberFormat="1" applyFill="1"/>
    <xf numFmtId="0" fontId="3" fillId="3" borderId="0" xfId="13" applyFill="1" applyAlignment="1">
      <alignment horizontal="center"/>
    </xf>
    <xf numFmtId="3" fontId="3" fillId="3" borderId="11" xfId="13" applyNumberFormat="1" applyFill="1" applyBorder="1" applyAlignment="1"/>
    <xf numFmtId="3" fontId="3" fillId="3" borderId="12" xfId="13" applyNumberFormat="1" applyFill="1" applyBorder="1" applyAlignment="1"/>
    <xf numFmtId="0" fontId="17" fillId="2" borderId="1" xfId="14" applyFont="1" applyFill="1" applyBorder="1" applyAlignment="1">
      <alignment horizontal="left"/>
    </xf>
    <xf numFmtId="0" fontId="14" fillId="2" borderId="2" xfId="14" applyFont="1" applyFill="1" applyBorder="1" applyAlignment="1">
      <alignment horizontal="right"/>
    </xf>
    <xf numFmtId="0" fontId="14" fillId="2" borderId="2" xfId="14" applyFont="1" applyFill="1" applyBorder="1" applyAlignment="1">
      <alignment horizontal="left"/>
    </xf>
    <xf numFmtId="0" fontId="15" fillId="2" borderId="3" xfId="14" applyFont="1" applyFill="1" applyBorder="1" applyAlignment="1">
      <alignment horizontal="right"/>
    </xf>
    <xf numFmtId="0" fontId="17" fillId="2" borderId="4" xfId="14" applyFont="1" applyFill="1" applyBorder="1" applyAlignment="1">
      <alignment horizontal="left"/>
    </xf>
    <xf numFmtId="0" fontId="14" fillId="2" borderId="0" xfId="14" applyFont="1" applyFill="1" applyBorder="1" applyAlignment="1">
      <alignment horizontal="right"/>
    </xf>
    <xf numFmtId="0" fontId="14" fillId="2" borderId="0" xfId="14" applyFont="1" applyFill="1" applyBorder="1" applyAlignment="1">
      <alignment horizontal="left"/>
    </xf>
    <xf numFmtId="0" fontId="15" fillId="2" borderId="5" xfId="14" applyFont="1" applyFill="1" applyBorder="1" applyAlignment="1">
      <alignment horizontal="right"/>
    </xf>
    <xf numFmtId="0" fontId="14" fillId="2" borderId="0" xfId="14" applyFont="1" applyFill="1" applyBorder="1" applyAlignment="1">
      <alignment horizontal="center"/>
    </xf>
    <xf numFmtId="0" fontId="15" fillId="2" borderId="5" xfId="14" applyFont="1" applyFill="1" applyBorder="1" applyAlignment="1">
      <alignment horizontal="center"/>
    </xf>
    <xf numFmtId="3" fontId="8" fillId="3" borderId="0" xfId="14" applyNumberFormat="1" applyFont="1" applyFill="1" applyBorder="1" applyAlignment="1"/>
    <xf numFmtId="3" fontId="8" fillId="3" borderId="5" xfId="14" applyNumberFormat="1" applyFont="1" applyFill="1" applyBorder="1" applyAlignment="1"/>
    <xf numFmtId="0" fontId="3" fillId="3" borderId="0" xfId="14" applyFill="1"/>
    <xf numFmtId="0" fontId="20" fillId="3" borderId="0" xfId="14" applyFont="1" applyFill="1"/>
    <xf numFmtId="3" fontId="8" fillId="3" borderId="2" xfId="14" applyNumberFormat="1" applyFont="1" applyFill="1" applyBorder="1" applyAlignment="1"/>
    <xf numFmtId="3" fontId="8" fillId="3" borderId="3" xfId="14" applyNumberFormat="1" applyFont="1" applyFill="1" applyBorder="1" applyAlignment="1"/>
    <xf numFmtId="0" fontId="0" fillId="3" borderId="0" xfId="0" applyFill="1" applyBorder="1"/>
    <xf numFmtId="0" fontId="0" fillId="3" borderId="5" xfId="0" applyFill="1" applyBorder="1"/>
    <xf numFmtId="3" fontId="8" fillId="3" borderId="11" xfId="14" applyNumberFormat="1" applyFont="1" applyFill="1" applyBorder="1" applyAlignment="1"/>
    <xf numFmtId="3" fontId="8" fillId="3" borderId="12" xfId="14" applyNumberFormat="1" applyFont="1" applyFill="1" applyBorder="1" applyAlignment="1"/>
    <xf numFmtId="0" fontId="17" fillId="2" borderId="1" xfId="15" applyFont="1" applyFill="1" applyBorder="1" applyAlignment="1">
      <alignment horizontal="left"/>
    </xf>
    <xf numFmtId="0" fontId="14" fillId="2" borderId="2" xfId="15" applyFont="1" applyFill="1" applyBorder="1" applyAlignment="1">
      <alignment horizontal="right"/>
    </xf>
    <xf numFmtId="0" fontId="15" fillId="2" borderId="3" xfId="15" applyFont="1" applyFill="1" applyBorder="1" applyAlignment="1">
      <alignment horizontal="right"/>
    </xf>
    <xf numFmtId="0" fontId="17" fillId="2" borderId="4" xfId="15" applyFont="1" applyFill="1" applyBorder="1" applyAlignment="1">
      <alignment horizontal="left"/>
    </xf>
    <xf numFmtId="0" fontId="14" fillId="2" borderId="0" xfId="15" applyFont="1" applyFill="1" applyBorder="1" applyAlignment="1">
      <alignment horizontal="center"/>
    </xf>
    <xf numFmtId="0" fontId="14" fillId="2" borderId="0" xfId="15" applyFont="1" applyFill="1" applyBorder="1" applyAlignment="1">
      <alignment horizontal="left"/>
    </xf>
    <xf numFmtId="0" fontId="14" fillId="2" borderId="0" xfId="15" applyFont="1" applyFill="1" applyBorder="1" applyAlignment="1">
      <alignment horizontal="right"/>
    </xf>
    <xf numFmtId="0" fontId="15" fillId="2" borderId="5" xfId="15" applyFont="1" applyFill="1" applyBorder="1" applyAlignment="1">
      <alignment horizontal="right"/>
    </xf>
    <xf numFmtId="0" fontId="17" fillId="2" borderId="6" xfId="15" applyFont="1" applyFill="1" applyBorder="1" applyAlignment="1">
      <alignment horizontal="left"/>
    </xf>
    <xf numFmtId="0" fontId="14" fillId="2" borderId="8" xfId="15" applyFont="1" applyFill="1" applyBorder="1" applyAlignment="1">
      <alignment horizontal="right"/>
    </xf>
    <xf numFmtId="0" fontId="15" fillId="2" borderId="7" xfId="15" applyFont="1" applyFill="1" applyBorder="1" applyAlignment="1">
      <alignment horizontal="right"/>
    </xf>
    <xf numFmtId="0" fontId="8" fillId="3" borderId="0" xfId="15" applyFont="1" applyFill="1" applyBorder="1" applyAlignment="1"/>
    <xf numFmtId="0" fontId="8" fillId="3" borderId="5" xfId="15" applyFont="1" applyFill="1" applyBorder="1" applyAlignment="1"/>
    <xf numFmtId="0" fontId="3" fillId="3" borderId="0" xfId="15" applyFill="1"/>
    <xf numFmtId="3" fontId="8" fillId="3" borderId="0" xfId="15" applyNumberFormat="1" applyFont="1" applyFill="1" applyBorder="1" applyAlignment="1"/>
    <xf numFmtId="3" fontId="8" fillId="3" borderId="5" xfId="15" applyNumberFormat="1" applyFont="1" applyFill="1" applyBorder="1" applyAlignment="1"/>
    <xf numFmtId="3" fontId="3" fillId="3" borderId="0" xfId="15" applyNumberFormat="1" applyFill="1"/>
    <xf numFmtId="3" fontId="8" fillId="3" borderId="11" xfId="15" applyNumberFormat="1" applyFont="1" applyFill="1" applyBorder="1" applyAlignment="1"/>
    <xf numFmtId="3" fontId="8" fillId="3" borderId="12" xfId="15" applyNumberFormat="1" applyFont="1" applyFill="1" applyBorder="1" applyAlignment="1"/>
    <xf numFmtId="0" fontId="3" fillId="3" borderId="0" xfId="16" applyFill="1"/>
    <xf numFmtId="0" fontId="17" fillId="2" borderId="1" xfId="16" applyFont="1" applyFill="1" applyBorder="1" applyAlignment="1">
      <alignment horizontal="left"/>
    </xf>
    <xf numFmtId="0" fontId="14" fillId="2" borderId="2" xfId="16" applyFont="1" applyFill="1" applyBorder="1" applyAlignment="1">
      <alignment horizontal="right"/>
    </xf>
    <xf numFmtId="0" fontId="15" fillId="2" borderId="3" xfId="16" applyFont="1" applyFill="1" applyBorder="1" applyAlignment="1">
      <alignment horizontal="right"/>
    </xf>
    <xf numFmtId="0" fontId="20" fillId="3" borderId="0" xfId="16" applyFont="1" applyFill="1"/>
    <xf numFmtId="0" fontId="17" fillId="2" borderId="4" xfId="16" applyFont="1" applyFill="1" applyBorder="1" applyAlignment="1">
      <alignment horizontal="left"/>
    </xf>
    <xf numFmtId="0" fontId="14" fillId="2" borderId="0" xfId="16" applyFont="1" applyFill="1" applyBorder="1" applyAlignment="1">
      <alignment horizontal="right"/>
    </xf>
    <xf numFmtId="0" fontId="14" fillId="2" borderId="0" xfId="16" applyFont="1" applyFill="1" applyBorder="1" applyAlignment="1">
      <alignment horizontal="left"/>
    </xf>
    <xf numFmtId="0" fontId="15" fillId="2" borderId="5" xfId="16" applyFont="1" applyFill="1" applyBorder="1" applyAlignment="1">
      <alignment horizontal="right"/>
    </xf>
    <xf numFmtId="0" fontId="14" fillId="2" borderId="0" xfId="16" applyFont="1" applyFill="1" applyBorder="1" applyAlignment="1">
      <alignment horizontal="center"/>
    </xf>
    <xf numFmtId="0" fontId="15" fillId="2" borderId="5" xfId="16" applyFont="1" applyFill="1" applyBorder="1" applyAlignment="1">
      <alignment horizontal="center"/>
    </xf>
    <xf numFmtId="3" fontId="3" fillId="3" borderId="2" xfId="16" applyNumberFormat="1" applyFill="1" applyBorder="1" applyAlignment="1"/>
    <xf numFmtId="0" fontId="3" fillId="3" borderId="2" xfId="16" applyFill="1" applyBorder="1" applyAlignment="1"/>
    <xf numFmtId="3" fontId="3" fillId="3" borderId="3" xfId="16" applyNumberFormat="1" applyFill="1" applyBorder="1" applyAlignment="1"/>
    <xf numFmtId="3" fontId="3" fillId="3" borderId="0" xfId="16" applyNumberFormat="1" applyFill="1"/>
    <xf numFmtId="3" fontId="43" fillId="3" borderId="11" xfId="16" applyNumberFormat="1" applyFont="1" applyFill="1" applyBorder="1" applyAlignment="1"/>
    <xf numFmtId="3" fontId="43" fillId="3" borderId="12" xfId="16" applyNumberFormat="1" applyFont="1" applyFill="1" applyBorder="1" applyAlignment="1"/>
    <xf numFmtId="0" fontId="3" fillId="3" borderId="0" xfId="17" applyFill="1"/>
    <xf numFmtId="0" fontId="17" fillId="2" borderId="1" xfId="17" applyFont="1" applyFill="1" applyBorder="1" applyAlignment="1">
      <alignment horizontal="left"/>
    </xf>
    <xf numFmtId="0" fontId="17" fillId="2" borderId="2" xfId="17" applyFont="1" applyFill="1" applyBorder="1" applyAlignment="1">
      <alignment horizontal="left"/>
    </xf>
    <xf numFmtId="0" fontId="14" fillId="2" borderId="3" xfId="17" applyFont="1" applyFill="1" applyBorder="1" applyAlignment="1">
      <alignment horizontal="right"/>
    </xf>
    <xf numFmtId="0" fontId="17" fillId="2" borderId="4" xfId="17" applyFont="1" applyFill="1" applyBorder="1" applyAlignment="1">
      <alignment horizontal="left"/>
    </xf>
    <xf numFmtId="0" fontId="17" fillId="2" borderId="0" xfId="17" applyFont="1" applyFill="1" applyBorder="1" applyAlignment="1">
      <alignment horizontal="left"/>
    </xf>
    <xf numFmtId="0" fontId="14" fillId="2" borderId="5" xfId="17" applyFont="1" applyFill="1" applyBorder="1" applyAlignment="1">
      <alignment horizontal="right"/>
    </xf>
    <xf numFmtId="0" fontId="17" fillId="2" borderId="4" xfId="17" applyFont="1" applyFill="1" applyBorder="1" applyAlignment="1">
      <alignment horizontal="right"/>
    </xf>
    <xf numFmtId="0" fontId="14" fillId="2" borderId="5" xfId="17" applyFont="1" applyFill="1" applyBorder="1" applyAlignment="1">
      <alignment horizontal="center"/>
    </xf>
    <xf numFmtId="0" fontId="3" fillId="3" borderId="5" xfId="17" applyFill="1" applyBorder="1" applyAlignment="1"/>
    <xf numFmtId="0" fontId="7" fillId="5" borderId="4" xfId="17" applyFont="1" applyFill="1" applyBorder="1" applyAlignment="1">
      <alignment horizontal="left"/>
    </xf>
    <xf numFmtId="165" fontId="8" fillId="3" borderId="5" xfId="17" applyNumberFormat="1" applyFont="1" applyFill="1" applyBorder="1" applyAlignment="1"/>
    <xf numFmtId="3" fontId="7" fillId="5" borderId="4" xfId="17" applyNumberFormat="1" applyFont="1" applyFill="1" applyBorder="1" applyAlignment="1">
      <alignment horizontal="left"/>
    </xf>
    <xf numFmtId="0" fontId="8" fillId="3" borderId="5" xfId="17" applyFont="1" applyFill="1" applyBorder="1" applyAlignment="1"/>
    <xf numFmtId="3" fontId="6" fillId="5" borderId="17" xfId="17" applyNumberFormat="1" applyFont="1" applyFill="1" applyBorder="1" applyAlignment="1">
      <alignment horizontal="left"/>
    </xf>
    <xf numFmtId="165" fontId="8" fillId="3" borderId="10" xfId="17" applyNumberFormat="1" applyFont="1" applyFill="1" applyBorder="1" applyAlignment="1"/>
    <xf numFmtId="3" fontId="6" fillId="5" borderId="16" xfId="17" applyNumberFormat="1" applyFont="1" applyFill="1" applyBorder="1" applyAlignment="1">
      <alignment horizontal="left"/>
    </xf>
    <xf numFmtId="0" fontId="8" fillId="3" borderId="12" xfId="17" applyFont="1" applyFill="1" applyBorder="1" applyAlignment="1"/>
    <xf numFmtId="0" fontId="3" fillId="3" borderId="0" xfId="17" applyFill="1" applyBorder="1"/>
    <xf numFmtId="0" fontId="44" fillId="0" borderId="0" xfId="5" applyFont="1"/>
    <xf numFmtId="0" fontId="46" fillId="0" borderId="0" xfId="5" applyFont="1" applyAlignment="1">
      <alignment horizontal="center"/>
    </xf>
    <xf numFmtId="3" fontId="46" fillId="0" borderId="0" xfId="5" applyNumberFormat="1" applyFont="1" applyAlignment="1">
      <alignment horizontal="center"/>
    </xf>
    <xf numFmtId="3" fontId="46" fillId="0" borderId="8" xfId="5" applyNumberFormat="1" applyFont="1" applyBorder="1" applyAlignment="1">
      <alignment horizontal="center"/>
    </xf>
    <xf numFmtId="3" fontId="47" fillId="0" borderId="8" xfId="5" applyNumberFormat="1" applyFont="1" applyBorder="1" applyAlignment="1">
      <alignment horizontal="center"/>
    </xf>
    <xf numFmtId="0" fontId="46" fillId="0" borderId="18" xfId="5" applyFont="1" applyBorder="1" applyAlignment="1">
      <alignment horizontal="center"/>
    </xf>
    <xf numFmtId="3" fontId="46" fillId="0" borderId="18" xfId="5" applyNumberFormat="1" applyFont="1" applyBorder="1" applyAlignment="1">
      <alignment horizontal="left"/>
    </xf>
    <xf numFmtId="3" fontId="46" fillId="0" borderId="18" xfId="5" applyNumberFormat="1" applyFont="1" applyBorder="1" applyAlignment="1">
      <alignment horizontal="center"/>
    </xf>
    <xf numFmtId="0" fontId="46" fillId="0" borderId="0" xfId="5" applyFont="1" applyBorder="1" applyAlignment="1">
      <alignment horizontal="center"/>
    </xf>
    <xf numFmtId="3" fontId="46" fillId="0" borderId="0" xfId="5" applyNumberFormat="1" applyFont="1" applyBorder="1" applyAlignment="1">
      <alignment horizontal="center"/>
    </xf>
    <xf numFmtId="3" fontId="46" fillId="0" borderId="0" xfId="5" applyNumberFormat="1" applyFont="1" applyBorder="1" applyAlignment="1">
      <alignment horizontal="left"/>
    </xf>
    <xf numFmtId="0" fontId="46" fillId="0" borderId="19" xfId="5" applyFont="1" applyBorder="1" applyAlignment="1">
      <alignment horizontal="center"/>
    </xf>
    <xf numFmtId="3" fontId="46" fillId="0" borderId="19" xfId="5" applyNumberFormat="1" applyFont="1" applyBorder="1" applyAlignment="1">
      <alignment horizontal="center"/>
    </xf>
    <xf numFmtId="0" fontId="46" fillId="0" borderId="0" xfId="5" applyFont="1"/>
    <xf numFmtId="3" fontId="46" fillId="0" borderId="0" xfId="5" applyNumberFormat="1" applyFont="1" applyFill="1" applyAlignment="1">
      <alignment horizontal="center"/>
    </xf>
    <xf numFmtId="0" fontId="48" fillId="0" borderId="0" xfId="5" applyFont="1"/>
    <xf numFmtId="0" fontId="44" fillId="0" borderId="0" xfId="6" applyFont="1"/>
    <xf numFmtId="0" fontId="46" fillId="0" borderId="0" xfId="6" applyFont="1" applyAlignment="1">
      <alignment horizontal="center"/>
    </xf>
    <xf numFmtId="3" fontId="46" fillId="0" borderId="0" xfId="6" applyNumberFormat="1" applyFont="1" applyAlignment="1">
      <alignment horizontal="center"/>
    </xf>
    <xf numFmtId="3" fontId="46" fillId="0" borderId="8" xfId="6" applyNumberFormat="1" applyFont="1" applyBorder="1" applyAlignment="1">
      <alignment horizontal="center"/>
    </xf>
    <xf numFmtId="3" fontId="47" fillId="0" borderId="8" xfId="6" applyNumberFormat="1" applyFont="1" applyBorder="1" applyAlignment="1">
      <alignment horizontal="center"/>
    </xf>
    <xf numFmtId="0" fontId="45" fillId="0" borderId="0" xfId="6"/>
    <xf numFmtId="0" fontId="46" fillId="0" borderId="18" xfId="6" applyFont="1" applyBorder="1" applyAlignment="1">
      <alignment horizontal="center"/>
    </xf>
    <xf numFmtId="3" fontId="46" fillId="0" borderId="18" xfId="6" applyNumberFormat="1" applyFont="1" applyBorder="1" applyAlignment="1">
      <alignment horizontal="center"/>
    </xf>
    <xf numFmtId="0" fontId="48" fillId="0" borderId="0" xfId="6" applyFont="1" applyBorder="1" applyAlignment="1">
      <alignment horizontal="center"/>
    </xf>
    <xf numFmtId="0" fontId="46" fillId="0" borderId="0" xfId="6" applyFont="1" applyBorder="1" applyAlignment="1">
      <alignment horizontal="center"/>
    </xf>
    <xf numFmtId="3" fontId="46" fillId="0" borderId="0" xfId="6" applyNumberFormat="1" applyFont="1" applyBorder="1" applyAlignment="1">
      <alignment horizontal="center"/>
    </xf>
    <xf numFmtId="3" fontId="46" fillId="0" borderId="0" xfId="6" applyNumberFormat="1" applyFont="1" applyBorder="1" applyAlignment="1">
      <alignment horizontal="left"/>
    </xf>
    <xf numFmtId="0" fontId="46" fillId="0" borderId="19" xfId="6" applyFont="1" applyBorder="1" applyAlignment="1">
      <alignment horizontal="center"/>
    </xf>
    <xf numFmtId="3" fontId="46" fillId="0" borderId="19" xfId="6" applyNumberFormat="1" applyFont="1" applyBorder="1" applyAlignment="1">
      <alignment horizontal="center"/>
    </xf>
    <xf numFmtId="0" fontId="46" fillId="0" borderId="0" xfId="6" applyFont="1"/>
    <xf numFmtId="3" fontId="45" fillId="0" borderId="0" xfId="6" applyNumberFormat="1" applyAlignment="1">
      <alignment horizontal="center"/>
    </xf>
    <xf numFmtId="3" fontId="45" fillId="0" borderId="0" xfId="6" applyNumberFormat="1" applyFont="1" applyAlignment="1">
      <alignment horizontal="center"/>
    </xf>
    <xf numFmtId="0" fontId="45" fillId="0" borderId="0" xfId="6" applyBorder="1"/>
    <xf numFmtId="3" fontId="45" fillId="0" borderId="0" xfId="6" applyNumberFormat="1" applyBorder="1" applyAlignment="1">
      <alignment horizontal="center"/>
    </xf>
    <xf numFmtId="3" fontId="0" fillId="0" borderId="0" xfId="0" applyNumberFormat="1"/>
    <xf numFmtId="1" fontId="50" fillId="2" borderId="4" xfId="7" applyNumberFormat="1" applyFont="1" applyFill="1" applyBorder="1" applyAlignment="1"/>
    <xf numFmtId="0" fontId="3" fillId="3" borderId="0" xfId="7" applyFill="1"/>
    <xf numFmtId="0" fontId="3" fillId="3" borderId="0" xfId="7" applyFont="1" applyFill="1"/>
    <xf numFmtId="3" fontId="3" fillId="3" borderId="0" xfId="7" applyNumberFormat="1" applyFill="1"/>
    <xf numFmtId="166" fontId="3" fillId="3" borderId="0" xfId="7" applyNumberFormat="1" applyFill="1"/>
    <xf numFmtId="0" fontId="51" fillId="3" borderId="0" xfId="0" applyFont="1" applyFill="1"/>
    <xf numFmtId="0" fontId="52" fillId="3" borderId="0" xfId="0" applyFont="1" applyFill="1"/>
    <xf numFmtId="0" fontId="55" fillId="6" borderId="0" xfId="0" applyFont="1" applyFill="1"/>
    <xf numFmtId="0" fontId="11" fillId="4" borderId="1" xfId="0" applyFont="1" applyFill="1" applyBorder="1"/>
    <xf numFmtId="0" fontId="56" fillId="4" borderId="20" xfId="0" applyFont="1" applyFill="1" applyBorder="1" applyAlignment="1">
      <alignment horizontal="center"/>
    </xf>
    <xf numFmtId="0" fontId="56" fillId="4" borderId="2" xfId="0" applyFont="1" applyFill="1" applyBorder="1" applyAlignment="1">
      <alignment horizontal="center"/>
    </xf>
    <xf numFmtId="0" fontId="56" fillId="4" borderId="3" xfId="0" applyFont="1" applyFill="1" applyBorder="1" applyAlignment="1">
      <alignment horizontal="center"/>
    </xf>
    <xf numFmtId="0" fontId="11" fillId="4" borderId="16" xfId="0" applyFont="1" applyFill="1" applyBorder="1"/>
    <xf numFmtId="0" fontId="56" fillId="4" borderId="21" xfId="0" applyFont="1" applyFill="1" applyBorder="1" applyAlignment="1">
      <alignment horizontal="center"/>
    </xf>
    <xf numFmtId="0" fontId="11" fillId="4" borderId="12" xfId="0" applyFont="1" applyFill="1" applyBorder="1"/>
    <xf numFmtId="0" fontId="49" fillId="7" borderId="22" xfId="0" applyFont="1" applyFill="1" applyBorder="1"/>
    <xf numFmtId="0" fontId="49" fillId="7" borderId="22" xfId="0" applyFont="1" applyFill="1" applyBorder="1" applyAlignment="1">
      <alignment horizontal="center"/>
    </xf>
    <xf numFmtId="0" fontId="49" fillId="8" borderId="0" xfId="0" applyFont="1" applyFill="1" applyBorder="1" applyAlignment="1">
      <alignment horizontal="left"/>
    </xf>
    <xf numFmtId="166" fontId="49" fillId="8" borderId="0" xfId="0" applyNumberFormat="1" applyFont="1" applyFill="1" applyBorder="1" applyAlignment="1">
      <alignment horizontal="right"/>
    </xf>
    <xf numFmtId="0" fontId="11" fillId="4" borderId="4" xfId="0" applyFont="1" applyFill="1" applyBorder="1"/>
    <xf numFmtId="0" fontId="49" fillId="7" borderId="0" xfId="0" applyFont="1" applyFill="1" applyBorder="1" applyAlignment="1">
      <alignment horizontal="center"/>
    </xf>
    <xf numFmtId="0" fontId="56" fillId="4" borderId="1" xfId="0" applyFont="1" applyFill="1" applyBorder="1" applyAlignment="1">
      <alignment horizontal="center"/>
    </xf>
    <xf numFmtId="0" fontId="56" fillId="4" borderId="4" xfId="0" applyFont="1" applyFill="1" applyBorder="1" applyAlignment="1">
      <alignment horizontal="center"/>
    </xf>
    <xf numFmtId="0" fontId="56" fillId="4" borderId="12" xfId="0" applyFont="1" applyFill="1" applyBorder="1" applyAlignment="1">
      <alignment horizontal="center"/>
    </xf>
    <xf numFmtId="0" fontId="55" fillId="6" borderId="0" xfId="0" applyFont="1" applyFill="1" applyAlignment="1">
      <alignment horizontal="center"/>
    </xf>
    <xf numFmtId="0" fontId="11" fillId="4" borderId="22" xfId="0" applyFont="1" applyFill="1" applyBorder="1" applyAlignment="1">
      <alignment horizontal="center"/>
    </xf>
    <xf numFmtId="164" fontId="49" fillId="7" borderId="20" xfId="0" applyNumberFormat="1" applyFont="1" applyFill="1" applyBorder="1" applyAlignment="1">
      <alignment horizontal="center"/>
    </xf>
    <xf numFmtId="166" fontId="49" fillId="7" borderId="22" xfId="0" applyNumberFormat="1" applyFont="1" applyFill="1" applyBorder="1" applyAlignment="1">
      <alignment horizontal="center"/>
    </xf>
    <xf numFmtId="164" fontId="49" fillId="7" borderId="22" xfId="0" applyNumberFormat="1" applyFont="1" applyFill="1" applyBorder="1" applyAlignment="1">
      <alignment horizontal="center"/>
    </xf>
    <xf numFmtId="166" fontId="49" fillId="7" borderId="21" xfId="0" applyNumberFormat="1" applyFont="1" applyFill="1" applyBorder="1" applyAlignment="1">
      <alignment horizontal="center"/>
    </xf>
    <xf numFmtId="166" fontId="49" fillId="8" borderId="0" xfId="0" applyNumberFormat="1" applyFont="1" applyFill="1" applyBorder="1" applyAlignment="1">
      <alignment horizontal="center"/>
    </xf>
    <xf numFmtId="0" fontId="53" fillId="3" borderId="0" xfId="0" applyFont="1" applyFill="1"/>
    <xf numFmtId="0" fontId="0" fillId="3" borderId="0" xfId="0" applyFill="1" applyAlignment="1">
      <alignment horizontal="center"/>
    </xf>
    <xf numFmtId="0" fontId="54" fillId="3" borderId="0" xfId="0" applyFont="1" applyFill="1"/>
    <xf numFmtId="0" fontId="55" fillId="3" borderId="0" xfId="0" applyFont="1" applyFill="1"/>
    <xf numFmtId="0" fontId="55" fillId="3" borderId="0" xfId="0" applyFont="1" applyFill="1" applyAlignment="1">
      <alignment horizontal="center"/>
    </xf>
    <xf numFmtId="0" fontId="52" fillId="3" borderId="0" xfId="0" applyFont="1" applyFill="1" applyAlignment="1">
      <alignment horizontal="center"/>
    </xf>
    <xf numFmtId="0" fontId="11" fillId="4" borderId="21" xfId="0" applyFont="1" applyFill="1" applyBorder="1" applyAlignment="1">
      <alignment horizontal="center"/>
    </xf>
    <xf numFmtId="0" fontId="11" fillId="4" borderId="11" xfId="0" applyFont="1" applyFill="1" applyBorder="1" applyAlignment="1">
      <alignment horizontal="center"/>
    </xf>
    <xf numFmtId="0" fontId="56" fillId="4" borderId="11" xfId="0" applyFont="1" applyFill="1" applyBorder="1"/>
    <xf numFmtId="0" fontId="57" fillId="7" borderId="4" xfId="0" applyFont="1" applyFill="1" applyBorder="1" applyAlignment="1">
      <alignment horizontal="left"/>
    </xf>
    <xf numFmtId="164" fontId="57" fillId="7" borderId="22" xfId="0" applyNumberFormat="1" applyFont="1" applyFill="1" applyBorder="1" applyAlignment="1">
      <alignment horizontal="center"/>
    </xf>
    <xf numFmtId="164" fontId="57" fillId="7" borderId="0" xfId="0" applyNumberFormat="1" applyFont="1" applyFill="1" applyBorder="1" applyAlignment="1">
      <alignment horizontal="center"/>
    </xf>
    <xf numFmtId="3" fontId="57" fillId="7" borderId="5" xfId="0" applyNumberFormat="1" applyFont="1" applyFill="1" applyBorder="1" applyAlignment="1">
      <alignment horizontal="center"/>
    </xf>
    <xf numFmtId="166" fontId="57" fillId="7" borderId="22" xfId="0" applyNumberFormat="1" applyFont="1" applyFill="1" applyBorder="1" applyAlignment="1">
      <alignment horizontal="center"/>
    </xf>
    <xf numFmtId="166" fontId="57" fillId="7" borderId="0" xfId="0" applyNumberFormat="1" applyFont="1" applyFill="1" applyBorder="1" applyAlignment="1">
      <alignment horizontal="center"/>
    </xf>
    <xf numFmtId="166" fontId="57" fillId="7" borderId="5" xfId="0" applyNumberFormat="1" applyFont="1" applyFill="1" applyBorder="1" applyAlignment="1">
      <alignment horizontal="center"/>
    </xf>
    <xf numFmtId="0" fontId="57" fillId="7" borderId="6" xfId="0" applyFont="1" applyFill="1" applyBorder="1" applyAlignment="1">
      <alignment horizontal="left"/>
    </xf>
    <xf numFmtId="0" fontId="57" fillId="7" borderId="23" xfId="0" applyFont="1" applyFill="1" applyBorder="1" applyAlignment="1">
      <alignment horizontal="center"/>
    </xf>
    <xf numFmtId="0" fontId="57" fillId="7" borderId="8" xfId="0" applyFont="1" applyFill="1" applyBorder="1" applyAlignment="1">
      <alignment horizontal="center"/>
    </xf>
    <xf numFmtId="0" fontId="57" fillId="7" borderId="7" xfId="0" applyFont="1" applyFill="1" applyBorder="1" applyAlignment="1">
      <alignment horizontal="center"/>
    </xf>
    <xf numFmtId="0" fontId="57" fillId="7" borderId="24" xfId="0" applyFont="1" applyFill="1" applyBorder="1" applyAlignment="1">
      <alignment horizontal="left"/>
    </xf>
    <xf numFmtId="164" fontId="57" fillId="7" borderId="25" xfId="0" applyNumberFormat="1" applyFont="1" applyFill="1" applyBorder="1" applyAlignment="1">
      <alignment horizontal="center"/>
    </xf>
    <xf numFmtId="164" fontId="57" fillId="7" borderId="15" xfId="0" applyNumberFormat="1" applyFont="1" applyFill="1" applyBorder="1" applyAlignment="1">
      <alignment horizontal="center"/>
    </xf>
    <xf numFmtId="3" fontId="57" fillId="7" borderId="26" xfId="0" applyNumberFormat="1" applyFont="1" applyFill="1" applyBorder="1" applyAlignment="1">
      <alignment horizontal="center"/>
    </xf>
    <xf numFmtId="166" fontId="57" fillId="7" borderId="23" xfId="0" applyNumberFormat="1" applyFont="1" applyFill="1" applyBorder="1" applyAlignment="1">
      <alignment horizontal="center"/>
    </xf>
    <xf numFmtId="166" fontId="57" fillId="7" borderId="8" xfId="0" applyNumberFormat="1" applyFont="1" applyFill="1" applyBorder="1" applyAlignment="1">
      <alignment horizontal="center"/>
    </xf>
    <xf numFmtId="166" fontId="57" fillId="7" borderId="7" xfId="0" applyNumberFormat="1" applyFont="1" applyFill="1" applyBorder="1" applyAlignment="1">
      <alignment horizontal="center"/>
    </xf>
    <xf numFmtId="0" fontId="57" fillId="7" borderId="16" xfId="0" applyFont="1" applyFill="1" applyBorder="1" applyAlignment="1">
      <alignment horizontal="left"/>
    </xf>
    <xf numFmtId="166" fontId="57" fillId="7" borderId="21" xfId="0" applyNumberFormat="1" applyFont="1" applyFill="1" applyBorder="1" applyAlignment="1">
      <alignment horizontal="center"/>
    </xf>
    <xf numFmtId="166" fontId="57" fillId="7" borderId="11" xfId="0" applyNumberFormat="1" applyFont="1" applyFill="1" applyBorder="1" applyAlignment="1">
      <alignment horizontal="center"/>
    </xf>
    <xf numFmtId="166" fontId="57" fillId="7" borderId="12" xfId="0" applyNumberFormat="1" applyFont="1" applyFill="1" applyBorder="1" applyAlignment="1">
      <alignment horizontal="center"/>
    </xf>
    <xf numFmtId="0" fontId="57" fillId="7" borderId="25" xfId="0" applyFont="1" applyFill="1" applyBorder="1" applyAlignment="1">
      <alignment horizontal="center"/>
    </xf>
    <xf numFmtId="0" fontId="57" fillId="7" borderId="15" xfId="0" applyFont="1" applyFill="1" applyBorder="1" applyAlignment="1">
      <alignment horizontal="center"/>
    </xf>
    <xf numFmtId="0" fontId="57" fillId="7" borderId="26" xfId="0" applyFont="1" applyFill="1" applyBorder="1" applyAlignment="1">
      <alignment horizontal="center"/>
    </xf>
    <xf numFmtId="0" fontId="57" fillId="8" borderId="0" xfId="0" applyFont="1" applyFill="1" applyBorder="1" applyAlignment="1">
      <alignment horizontal="left"/>
    </xf>
    <xf numFmtId="166" fontId="57" fillId="8" borderId="0" xfId="0" applyNumberFormat="1" applyFont="1" applyFill="1" applyBorder="1" applyAlignment="1">
      <alignment horizontal="center"/>
    </xf>
    <xf numFmtId="0" fontId="58" fillId="3" borderId="0" xfId="0" applyFont="1" applyFill="1"/>
    <xf numFmtId="0" fontId="59" fillId="3" borderId="0" xfId="0" applyFont="1" applyFill="1"/>
    <xf numFmtId="0" fontId="57" fillId="7" borderId="20" xfId="0" applyFont="1" applyFill="1" applyBorder="1" applyAlignment="1">
      <alignment horizontal="left"/>
    </xf>
    <xf numFmtId="0" fontId="57" fillId="7" borderId="22" xfId="0" applyFont="1" applyFill="1" applyBorder="1" applyAlignment="1">
      <alignment horizontal="left"/>
    </xf>
    <xf numFmtId="0" fontId="57" fillId="7" borderId="21" xfId="0" applyFont="1" applyFill="1" applyBorder="1" applyAlignment="1">
      <alignment horizontal="left"/>
    </xf>
    <xf numFmtId="166" fontId="57" fillId="7" borderId="20" xfId="0" applyNumberFormat="1" applyFont="1" applyFill="1" applyBorder="1" applyAlignment="1">
      <alignment horizontal="center"/>
    </xf>
    <xf numFmtId="3" fontId="57" fillId="7" borderId="22" xfId="0" applyNumberFormat="1" applyFont="1" applyFill="1" applyBorder="1" applyAlignment="1">
      <alignment horizontal="center"/>
    </xf>
    <xf numFmtId="166" fontId="57" fillId="7" borderId="2" xfId="0" applyNumberFormat="1" applyFont="1" applyFill="1" applyBorder="1" applyAlignment="1">
      <alignment horizontal="center"/>
    </xf>
    <xf numFmtId="0" fontId="62" fillId="4" borderId="27" xfId="0" applyFont="1" applyFill="1" applyBorder="1" applyAlignment="1">
      <alignment horizontal="right"/>
    </xf>
    <xf numFmtId="0" fontId="62" fillId="4" borderId="28" xfId="0" applyFont="1" applyFill="1" applyBorder="1" applyAlignment="1">
      <alignment horizontal="right"/>
    </xf>
    <xf numFmtId="0" fontId="62" fillId="4" borderId="3" xfId="0" applyFont="1" applyFill="1" applyBorder="1" applyAlignment="1">
      <alignment horizontal="right"/>
    </xf>
    <xf numFmtId="9" fontId="63" fillId="9" borderId="29" xfId="26" applyFont="1" applyFill="1" applyBorder="1" applyAlignment="1">
      <alignment horizontal="right"/>
    </xf>
    <xf numFmtId="9" fontId="63" fillId="9" borderId="15" xfId="26" applyFont="1" applyFill="1" applyBorder="1" applyAlignment="1">
      <alignment horizontal="right"/>
    </xf>
    <xf numFmtId="9" fontId="64" fillId="10" borderId="30" xfId="26" applyNumberFormat="1" applyFont="1" applyFill="1" applyBorder="1" applyAlignment="1">
      <alignment horizontal="right"/>
    </xf>
    <xf numFmtId="9" fontId="64" fillId="10" borderId="31" xfId="26" applyFont="1" applyFill="1" applyBorder="1" applyAlignment="1">
      <alignment horizontal="right"/>
    </xf>
    <xf numFmtId="9" fontId="64" fillId="10" borderId="26" xfId="26" applyFont="1" applyFill="1" applyBorder="1" applyAlignment="1">
      <alignment horizontal="right"/>
    </xf>
    <xf numFmtId="9" fontId="63" fillId="9" borderId="32" xfId="26" applyFont="1" applyFill="1" applyBorder="1" applyAlignment="1">
      <alignment horizontal="right"/>
    </xf>
    <xf numFmtId="9" fontId="63" fillId="9" borderId="0" xfId="26" applyFont="1" applyFill="1" applyBorder="1" applyAlignment="1">
      <alignment horizontal="right"/>
    </xf>
    <xf numFmtId="9" fontId="64" fillId="10" borderId="33" xfId="26" applyNumberFormat="1" applyFont="1" applyFill="1" applyBorder="1" applyAlignment="1">
      <alignment horizontal="right"/>
    </xf>
    <xf numFmtId="9" fontId="64" fillId="10" borderId="34" xfId="26" applyFont="1" applyFill="1" applyBorder="1" applyAlignment="1">
      <alignment horizontal="right"/>
    </xf>
    <xf numFmtId="9" fontId="64" fillId="10" borderId="5" xfId="26" applyFont="1" applyFill="1" applyBorder="1" applyAlignment="1">
      <alignment horizontal="right"/>
    </xf>
    <xf numFmtId="9" fontId="63" fillId="9" borderId="35" xfId="26" applyFont="1" applyFill="1" applyBorder="1" applyAlignment="1">
      <alignment horizontal="right"/>
    </xf>
    <xf numFmtId="9" fontId="63" fillId="9" borderId="8" xfId="26" applyFont="1" applyFill="1" applyBorder="1" applyAlignment="1">
      <alignment horizontal="right"/>
    </xf>
    <xf numFmtId="9" fontId="64" fillId="10" borderId="36" xfId="26" applyNumberFormat="1" applyFont="1" applyFill="1" applyBorder="1" applyAlignment="1">
      <alignment horizontal="right"/>
    </xf>
    <xf numFmtId="9" fontId="64" fillId="10" borderId="37" xfId="26" applyFont="1" applyFill="1" applyBorder="1" applyAlignment="1">
      <alignment horizontal="right"/>
    </xf>
    <xf numFmtId="9" fontId="64" fillId="10" borderId="7" xfId="26" applyFont="1" applyFill="1" applyBorder="1" applyAlignment="1">
      <alignment horizontal="right"/>
    </xf>
    <xf numFmtId="3" fontId="11" fillId="4" borderId="35" xfId="0" applyNumberFormat="1" applyFont="1" applyFill="1" applyBorder="1" applyAlignment="1">
      <alignment horizontal="right"/>
    </xf>
    <xf numFmtId="3" fontId="11" fillId="4" borderId="8" xfId="0" applyNumberFormat="1" applyFont="1" applyFill="1" applyBorder="1" applyAlignment="1">
      <alignment horizontal="right"/>
    </xf>
    <xf numFmtId="3" fontId="65" fillId="10" borderId="27" xfId="0" applyNumberFormat="1" applyFont="1" applyFill="1" applyBorder="1" applyAlignment="1">
      <alignment horizontal="right"/>
    </xf>
    <xf numFmtId="3" fontId="65" fillId="10" borderId="28" xfId="0" applyNumberFormat="1" applyFont="1" applyFill="1" applyBorder="1" applyAlignment="1">
      <alignment horizontal="right"/>
    </xf>
    <xf numFmtId="3" fontId="65" fillId="10" borderId="3" xfId="0" applyNumberFormat="1" applyFont="1" applyFill="1" applyBorder="1" applyAlignment="1">
      <alignment horizontal="right"/>
    </xf>
    <xf numFmtId="4" fontId="66" fillId="9" borderId="38" xfId="0" applyNumberFormat="1" applyFont="1" applyFill="1" applyBorder="1" applyAlignment="1">
      <alignment horizontal="right"/>
    </xf>
    <xf numFmtId="4" fontId="66" fillId="9" borderId="9" xfId="0" applyNumberFormat="1" applyFont="1" applyFill="1" applyBorder="1" applyAlignment="1">
      <alignment horizontal="right"/>
    </xf>
    <xf numFmtId="4" fontId="64" fillId="10" borderId="39" xfId="0" applyNumberFormat="1" applyFont="1" applyFill="1" applyBorder="1" applyAlignment="1">
      <alignment horizontal="right"/>
    </xf>
    <xf numFmtId="4" fontId="64" fillId="10" borderId="40" xfId="0" applyNumberFormat="1" applyFont="1" applyFill="1" applyBorder="1" applyAlignment="1">
      <alignment horizontal="right"/>
    </xf>
    <xf numFmtId="4" fontId="64" fillId="10" borderId="10" xfId="0" applyNumberFormat="1" applyFont="1" applyFill="1" applyBorder="1" applyAlignment="1">
      <alignment horizontal="right"/>
    </xf>
    <xf numFmtId="166" fontId="63" fillId="9" borderId="29" xfId="26" applyNumberFormat="1" applyFont="1" applyFill="1" applyBorder="1" applyAlignment="1">
      <alignment horizontal="right"/>
    </xf>
    <xf numFmtId="166" fontId="63" fillId="9" borderId="15" xfId="26" applyNumberFormat="1" applyFont="1" applyFill="1" applyBorder="1" applyAlignment="1">
      <alignment horizontal="right"/>
    </xf>
    <xf numFmtId="166" fontId="64" fillId="10" borderId="30" xfId="26" applyNumberFormat="1" applyFont="1" applyFill="1" applyBorder="1" applyAlignment="1">
      <alignment horizontal="right"/>
    </xf>
    <xf numFmtId="166" fontId="64" fillId="10" borderId="31" xfId="26" applyNumberFormat="1" applyFont="1" applyFill="1" applyBorder="1" applyAlignment="1">
      <alignment horizontal="right"/>
    </xf>
    <xf numFmtId="166" fontId="64" fillId="10" borderId="26" xfId="26" applyNumberFormat="1" applyFont="1" applyFill="1" applyBorder="1" applyAlignment="1">
      <alignment horizontal="right"/>
    </xf>
    <xf numFmtId="166" fontId="63" fillId="9" borderId="32" xfId="26" applyNumberFormat="1" applyFont="1" applyFill="1" applyBorder="1" applyAlignment="1">
      <alignment horizontal="right"/>
    </xf>
    <xf numFmtId="166" fontId="63" fillId="9" borderId="0" xfId="26" applyNumberFormat="1" applyFont="1" applyFill="1" applyBorder="1" applyAlignment="1">
      <alignment horizontal="right"/>
    </xf>
    <xf numFmtId="166" fontId="64" fillId="10" borderId="33" xfId="26" applyNumberFormat="1" applyFont="1" applyFill="1" applyBorder="1" applyAlignment="1">
      <alignment horizontal="right"/>
    </xf>
    <xf numFmtId="166" fontId="64" fillId="10" borderId="34" xfId="26" applyNumberFormat="1" applyFont="1" applyFill="1" applyBorder="1" applyAlignment="1">
      <alignment horizontal="right"/>
    </xf>
    <xf numFmtId="166" fontId="64" fillId="10" borderId="5" xfId="26" applyNumberFormat="1" applyFont="1" applyFill="1" applyBorder="1" applyAlignment="1">
      <alignment horizontal="right"/>
    </xf>
    <xf numFmtId="166" fontId="63" fillId="9" borderId="35" xfId="26" applyNumberFormat="1" applyFont="1" applyFill="1" applyBorder="1" applyAlignment="1">
      <alignment horizontal="right"/>
    </xf>
    <xf numFmtId="166" fontId="63" fillId="9" borderId="8" xfId="26" applyNumberFormat="1" applyFont="1" applyFill="1" applyBorder="1" applyAlignment="1">
      <alignment horizontal="right"/>
    </xf>
    <xf numFmtId="166" fontId="64" fillId="10" borderId="36" xfId="26" applyNumberFormat="1" applyFont="1" applyFill="1" applyBorder="1" applyAlignment="1">
      <alignment horizontal="right"/>
    </xf>
    <xf numFmtId="166" fontId="64" fillId="10" borderId="37" xfId="26" applyNumberFormat="1" applyFont="1" applyFill="1" applyBorder="1" applyAlignment="1">
      <alignment horizontal="right"/>
    </xf>
    <xf numFmtId="166" fontId="64" fillId="10" borderId="7" xfId="26" applyNumberFormat="1" applyFont="1" applyFill="1" applyBorder="1" applyAlignment="1">
      <alignment horizontal="right"/>
    </xf>
    <xf numFmtId="3" fontId="11" fillId="4" borderId="38" xfId="0" applyNumberFormat="1" applyFont="1" applyFill="1" applyBorder="1" applyAlignment="1">
      <alignment horizontal="right"/>
    </xf>
    <xf numFmtId="3" fontId="11" fillId="4" borderId="9" xfId="0" applyNumberFormat="1" applyFont="1" applyFill="1" applyBorder="1" applyAlignment="1">
      <alignment horizontal="right"/>
    </xf>
    <xf numFmtId="4" fontId="68" fillId="9" borderId="38" xfId="0" applyNumberFormat="1" applyFont="1" applyFill="1" applyBorder="1" applyAlignment="1">
      <alignment horizontal="right"/>
    </xf>
    <xf numFmtId="4" fontId="68" fillId="9" borderId="9" xfId="0" applyNumberFormat="1" applyFont="1" applyFill="1" applyBorder="1" applyAlignment="1">
      <alignment horizontal="right"/>
    </xf>
    <xf numFmtId="4" fontId="69" fillId="10" borderId="39" xfId="0" applyNumberFormat="1" applyFont="1" applyFill="1" applyBorder="1" applyAlignment="1">
      <alignment horizontal="right"/>
    </xf>
    <xf numFmtId="4" fontId="69" fillId="10" borderId="41" xfId="0" applyNumberFormat="1" applyFont="1" applyFill="1" applyBorder="1" applyAlignment="1">
      <alignment horizontal="right"/>
    </xf>
    <xf numFmtId="4" fontId="69" fillId="10" borderId="14" xfId="0" applyNumberFormat="1" applyFont="1" applyFill="1" applyBorder="1" applyAlignment="1">
      <alignment horizontal="right"/>
    </xf>
    <xf numFmtId="3" fontId="63" fillId="9" borderId="31" xfId="26" applyNumberFormat="1" applyFont="1" applyFill="1" applyBorder="1" applyAlignment="1">
      <alignment horizontal="right"/>
    </xf>
    <xf numFmtId="166" fontId="63" fillId="9" borderId="31" xfId="26" applyNumberFormat="1" applyFont="1" applyFill="1" applyBorder="1" applyAlignment="1">
      <alignment horizontal="right"/>
    </xf>
    <xf numFmtId="166" fontId="0" fillId="3" borderId="0" xfId="0" applyNumberFormat="1" applyFill="1"/>
    <xf numFmtId="3" fontId="63" fillId="9" borderId="29" xfId="0" applyNumberFormat="1" applyFont="1" applyFill="1" applyBorder="1" applyAlignment="1">
      <alignment horizontal="right"/>
    </xf>
    <xf numFmtId="9" fontId="63" fillId="9" borderId="42" xfId="26" applyFont="1" applyFill="1" applyBorder="1"/>
    <xf numFmtId="3" fontId="63" fillId="9" borderId="32" xfId="0" applyNumberFormat="1" applyFont="1" applyFill="1" applyBorder="1" applyAlignment="1">
      <alignment horizontal="right"/>
    </xf>
    <xf numFmtId="9" fontId="63" fillId="9" borderId="43" xfId="26" applyFont="1" applyFill="1" applyBorder="1"/>
    <xf numFmtId="0" fontId="11" fillId="4" borderId="44" xfId="0" applyFont="1" applyFill="1" applyBorder="1"/>
    <xf numFmtId="0" fontId="11" fillId="4" borderId="45" xfId="0" applyFont="1" applyFill="1" applyBorder="1" applyAlignment="1">
      <alignment horizontal="right"/>
    </xf>
    <xf numFmtId="0" fontId="11" fillId="4" borderId="2" xfId="0" applyFont="1" applyFill="1" applyBorder="1" applyAlignment="1">
      <alignment horizontal="right"/>
    </xf>
    <xf numFmtId="0" fontId="13" fillId="9" borderId="24" xfId="0" applyFont="1" applyFill="1" applyBorder="1"/>
    <xf numFmtId="0" fontId="13" fillId="9" borderId="4" xfId="0" applyFont="1" applyFill="1" applyBorder="1"/>
    <xf numFmtId="0" fontId="11" fillId="4" borderId="17" xfId="0" applyFont="1" applyFill="1" applyBorder="1"/>
    <xf numFmtId="0" fontId="0" fillId="9" borderId="17" xfId="0" applyFill="1" applyBorder="1"/>
    <xf numFmtId="0" fontId="11" fillId="4" borderId="46" xfId="0" applyFont="1" applyFill="1" applyBorder="1"/>
    <xf numFmtId="0" fontId="11" fillId="4" borderId="47" xfId="0" applyFont="1" applyFill="1" applyBorder="1" applyAlignment="1">
      <alignment horizontal="right"/>
    </xf>
    <xf numFmtId="166" fontId="11" fillId="4" borderId="13" xfId="0" applyNumberFormat="1" applyFont="1" applyFill="1" applyBorder="1" applyAlignment="1">
      <alignment horizontal="right"/>
    </xf>
    <xf numFmtId="166" fontId="65" fillId="10" borderId="48" xfId="0" applyNumberFormat="1" applyFont="1" applyFill="1" applyBorder="1" applyAlignment="1">
      <alignment horizontal="right"/>
    </xf>
    <xf numFmtId="166" fontId="65" fillId="10" borderId="49" xfId="0" applyNumberFormat="1" applyFont="1" applyFill="1" applyBorder="1" applyAlignment="1">
      <alignment horizontal="right"/>
    </xf>
    <xf numFmtId="166" fontId="65" fillId="10" borderId="50" xfId="0" applyNumberFormat="1" applyFont="1" applyFill="1" applyBorder="1" applyAlignment="1">
      <alignment horizontal="right"/>
    </xf>
    <xf numFmtId="164" fontId="0" fillId="3" borderId="1" xfId="0" applyNumberFormat="1" applyFill="1" applyBorder="1"/>
    <xf numFmtId="164" fontId="0" fillId="3" borderId="2" xfId="0" applyNumberFormat="1" applyFill="1" applyBorder="1"/>
    <xf numFmtId="164" fontId="0" fillId="3" borderId="3" xfId="0" applyNumberFormat="1" applyFill="1" applyBorder="1"/>
    <xf numFmtId="164" fontId="0" fillId="3" borderId="16" xfId="0" applyNumberFormat="1" applyFill="1" applyBorder="1"/>
    <xf numFmtId="164" fontId="0" fillId="3" borderId="11" xfId="0" applyNumberFormat="1" applyFill="1" applyBorder="1"/>
    <xf numFmtId="164" fontId="0" fillId="3" borderId="12" xfId="0" applyNumberFormat="1" applyFill="1" applyBorder="1"/>
    <xf numFmtId="164" fontId="8" fillId="3" borderId="12" xfId="4" applyNumberFormat="1" applyFont="1" applyFill="1" applyBorder="1" applyAlignment="1">
      <alignment horizontal="center"/>
    </xf>
    <xf numFmtId="164" fontId="0" fillId="3" borderId="4" xfId="0" applyNumberFormat="1" applyFill="1" applyBorder="1"/>
    <xf numFmtId="164" fontId="0" fillId="3" borderId="0" xfId="0" applyNumberFormat="1" applyFill="1" applyBorder="1"/>
    <xf numFmtId="164" fontId="0" fillId="3" borderId="5" xfId="0" applyNumberFormat="1" applyFill="1" applyBorder="1"/>
    <xf numFmtId="3" fontId="0" fillId="8" borderId="0" xfId="0" applyNumberFormat="1" applyFill="1"/>
    <xf numFmtId="0" fontId="0" fillId="3" borderId="29" xfId="0" applyFill="1" applyBorder="1"/>
    <xf numFmtId="0" fontId="0" fillId="3" borderId="15" xfId="0" applyFill="1" applyBorder="1"/>
    <xf numFmtId="3" fontId="0" fillId="3" borderId="42" xfId="0" applyNumberFormat="1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3" fontId="0" fillId="3" borderId="15" xfId="0" applyNumberFormat="1" applyFill="1" applyBorder="1" applyAlignment="1">
      <alignment horizontal="center"/>
    </xf>
    <xf numFmtId="9" fontId="0" fillId="3" borderId="42" xfId="0" applyNumberFormat="1" applyFill="1" applyBorder="1" applyAlignment="1">
      <alignment horizontal="center"/>
    </xf>
    <xf numFmtId="3" fontId="0" fillId="3" borderId="31" xfId="0" applyNumberFormat="1" applyFill="1" applyBorder="1" applyAlignment="1">
      <alignment horizontal="center"/>
    </xf>
    <xf numFmtId="0" fontId="0" fillId="3" borderId="32" xfId="0" applyFill="1" applyBorder="1" applyAlignment="1">
      <alignment horizontal="left"/>
    </xf>
    <xf numFmtId="0" fontId="0" fillId="3" borderId="0" xfId="0" applyFill="1" applyBorder="1" applyAlignment="1">
      <alignment horizontal="left"/>
    </xf>
    <xf numFmtId="3" fontId="0" fillId="3" borderId="43" xfId="0" applyNumberFormat="1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43" xfId="0" applyFill="1" applyBorder="1" applyAlignment="1">
      <alignment horizontal="center"/>
    </xf>
    <xf numFmtId="3" fontId="0" fillId="3" borderId="0" xfId="0" applyNumberFormat="1" applyFill="1" applyBorder="1" applyAlignment="1">
      <alignment horizontal="center"/>
    </xf>
    <xf numFmtId="9" fontId="0" fillId="3" borderId="43" xfId="0" applyNumberFormat="1" applyFill="1" applyBorder="1" applyAlignment="1">
      <alignment horizontal="center"/>
    </xf>
    <xf numFmtId="3" fontId="0" fillId="3" borderId="34" xfId="0" applyNumberFormat="1" applyFill="1" applyBorder="1" applyAlignment="1">
      <alignment horizontal="center"/>
    </xf>
    <xf numFmtId="0" fontId="0" fillId="3" borderId="35" xfId="0" applyFill="1" applyBorder="1"/>
    <xf numFmtId="0" fontId="0" fillId="3" borderId="8" xfId="0" applyFill="1" applyBorder="1"/>
    <xf numFmtId="3" fontId="0" fillId="3" borderId="51" xfId="0" applyNumberFormat="1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51" xfId="0" applyFill="1" applyBorder="1" applyAlignment="1">
      <alignment horizontal="center"/>
    </xf>
    <xf numFmtId="3" fontId="0" fillId="3" borderId="8" xfId="0" applyNumberFormat="1" applyFill="1" applyBorder="1" applyAlignment="1">
      <alignment horizontal="center"/>
    </xf>
    <xf numFmtId="9" fontId="0" fillId="3" borderId="51" xfId="0" applyNumberFormat="1" applyFill="1" applyBorder="1" applyAlignment="1">
      <alignment horizontal="center"/>
    </xf>
    <xf numFmtId="3" fontId="0" fillId="3" borderId="37" xfId="0" applyNumberFormat="1" applyFill="1" applyBorder="1" applyAlignment="1">
      <alignment horizontal="center"/>
    </xf>
    <xf numFmtId="0" fontId="0" fillId="3" borderId="32" xfId="0" applyFill="1" applyBorder="1"/>
    <xf numFmtId="0" fontId="0" fillId="3" borderId="0" xfId="0" quotePrefix="1" applyFill="1" applyBorder="1"/>
    <xf numFmtId="166" fontId="0" fillId="3" borderId="43" xfId="0" applyNumberFormat="1" applyFill="1" applyBorder="1" applyAlignment="1">
      <alignment horizontal="center"/>
    </xf>
    <xf numFmtId="0" fontId="0" fillId="3" borderId="38" xfId="0" applyFill="1" applyBorder="1"/>
    <xf numFmtId="0" fontId="0" fillId="3" borderId="9" xfId="0" applyFill="1" applyBorder="1"/>
    <xf numFmtId="3" fontId="0" fillId="3" borderId="52" xfId="0" applyNumberFormat="1" applyFill="1" applyBorder="1" applyAlignment="1">
      <alignment horizontal="center"/>
    </xf>
    <xf numFmtId="3" fontId="0" fillId="3" borderId="9" xfId="0" applyNumberFormat="1" applyFill="1" applyBorder="1" applyAlignment="1">
      <alignment horizontal="center"/>
    </xf>
    <xf numFmtId="166" fontId="0" fillId="3" borderId="52" xfId="0" applyNumberFormat="1" applyFill="1" applyBorder="1" applyAlignment="1">
      <alignment horizontal="center"/>
    </xf>
    <xf numFmtId="3" fontId="0" fillId="3" borderId="40" xfId="0" applyNumberFormat="1" applyFill="1" applyBorder="1" applyAlignment="1">
      <alignment horizontal="center"/>
    </xf>
    <xf numFmtId="3" fontId="0" fillId="3" borderId="0" xfId="0" applyNumberFormat="1" applyFill="1" applyAlignment="1">
      <alignment horizontal="center"/>
    </xf>
    <xf numFmtId="0" fontId="11" fillId="4" borderId="53" xfId="0" applyFont="1" applyFill="1" applyBorder="1" applyAlignment="1">
      <alignment horizontal="right"/>
    </xf>
    <xf numFmtId="0" fontId="11" fillId="4" borderId="54" xfId="0" applyFont="1" applyFill="1" applyBorder="1"/>
    <xf numFmtId="3" fontId="13" fillId="9" borderId="29" xfId="0" applyNumberFormat="1" applyFont="1" applyFill="1" applyBorder="1" applyAlignment="1">
      <alignment horizontal="right"/>
    </xf>
    <xf numFmtId="166" fontId="13" fillId="9" borderId="42" xfId="26" applyNumberFormat="1" applyFont="1" applyFill="1" applyBorder="1"/>
    <xf numFmtId="3" fontId="13" fillId="9" borderId="32" xfId="0" applyNumberFormat="1" applyFont="1" applyFill="1" applyBorder="1" applyAlignment="1">
      <alignment horizontal="right"/>
    </xf>
    <xf numFmtId="166" fontId="13" fillId="9" borderId="43" xfId="26" applyNumberFormat="1" applyFont="1" applyFill="1" applyBorder="1"/>
    <xf numFmtId="1" fontId="3" fillId="6" borderId="2" xfId="0" applyNumberFormat="1" applyFont="1" applyFill="1" applyBorder="1"/>
    <xf numFmtId="1" fontId="3" fillId="6" borderId="3" xfId="0" applyNumberFormat="1" applyFont="1" applyFill="1" applyBorder="1"/>
    <xf numFmtId="0" fontId="11" fillId="4" borderId="30" xfId="0" applyFont="1" applyFill="1" applyBorder="1" applyAlignment="1">
      <alignment horizontal="center" vertical="center" wrapText="1"/>
    </xf>
    <xf numFmtId="0" fontId="11" fillId="4" borderId="31" xfId="0" applyFont="1" applyFill="1" applyBorder="1" applyAlignment="1">
      <alignment horizontal="center" vertical="center" wrapText="1"/>
    </xf>
    <xf numFmtId="0" fontId="11" fillId="4" borderId="15" xfId="0" applyFont="1" applyFill="1" applyBorder="1" applyAlignment="1">
      <alignment horizontal="center" vertical="center" wrapText="1"/>
    </xf>
    <xf numFmtId="0" fontId="11" fillId="4" borderId="55" xfId="0" applyFont="1" applyFill="1" applyBorder="1" applyAlignment="1">
      <alignment horizontal="center" vertical="center" wrapText="1"/>
    </xf>
    <xf numFmtId="0" fontId="11" fillId="4" borderId="56" xfId="0" applyFont="1" applyFill="1" applyBorder="1" applyAlignment="1">
      <alignment horizontal="center" vertical="center" wrapText="1"/>
    </xf>
    <xf numFmtId="0" fontId="11" fillId="4" borderId="36" xfId="0" applyFont="1" applyFill="1" applyBorder="1" applyAlignment="1">
      <alignment horizontal="center" vertical="center" wrapText="1"/>
    </xf>
    <xf numFmtId="0" fontId="11" fillId="4" borderId="37" xfId="0" applyFont="1" applyFill="1" applyBorder="1" applyAlignment="1">
      <alignment horizontal="center" vertical="center" wrapText="1"/>
    </xf>
    <xf numFmtId="0" fontId="11" fillId="4" borderId="8" xfId="0" applyFont="1" applyFill="1" applyBorder="1" applyAlignment="1">
      <alignment horizontal="center" vertical="center" wrapText="1"/>
    </xf>
    <xf numFmtId="0" fontId="11" fillId="4" borderId="57" xfId="0" applyFont="1" applyFill="1" applyBorder="1" applyAlignment="1">
      <alignment horizontal="center" vertical="center" wrapText="1"/>
    </xf>
    <xf numFmtId="0" fontId="11" fillId="4" borderId="58" xfId="0" applyFont="1" applyFill="1" applyBorder="1" applyAlignment="1">
      <alignment horizontal="center" vertical="center" wrapText="1"/>
    </xf>
    <xf numFmtId="0" fontId="74" fillId="7" borderId="33" xfId="0" applyFont="1" applyFill="1" applyBorder="1" applyAlignment="1">
      <alignment horizontal="left" wrapText="1"/>
    </xf>
    <xf numFmtId="3" fontId="74" fillId="7" borderId="34" xfId="0" applyNumberFormat="1" applyFont="1" applyFill="1" applyBorder="1" applyAlignment="1">
      <alignment horizontal="center" wrapText="1"/>
    </xf>
    <xf numFmtId="166" fontId="74" fillId="7" borderId="0" xfId="0" applyNumberFormat="1" applyFont="1" applyFill="1" applyBorder="1" applyAlignment="1">
      <alignment horizontal="center" wrapText="1"/>
    </xf>
    <xf numFmtId="3" fontId="74" fillId="7" borderId="59" xfId="0" applyNumberFormat="1" applyFont="1" applyFill="1" applyBorder="1" applyAlignment="1">
      <alignment horizontal="center" wrapText="1"/>
    </xf>
    <xf numFmtId="166" fontId="74" fillId="7" borderId="5" xfId="0" applyNumberFormat="1" applyFont="1" applyFill="1" applyBorder="1" applyAlignment="1">
      <alignment horizontal="center" wrapText="1"/>
    </xf>
    <xf numFmtId="164" fontId="74" fillId="7" borderId="59" xfId="0" applyNumberFormat="1" applyFont="1" applyFill="1" applyBorder="1" applyAlignment="1">
      <alignment horizontal="center" wrapText="1"/>
    </xf>
    <xf numFmtId="0" fontId="74" fillId="7" borderId="36" xfId="0" applyFont="1" applyFill="1" applyBorder="1" applyAlignment="1">
      <alignment horizontal="left" wrapText="1"/>
    </xf>
    <xf numFmtId="3" fontId="74" fillId="7" borderId="37" xfId="0" applyNumberFormat="1" applyFont="1" applyFill="1" applyBorder="1" applyAlignment="1">
      <alignment horizontal="center" wrapText="1"/>
    </xf>
    <xf numFmtId="164" fontId="74" fillId="7" borderId="60" xfId="0" applyNumberFormat="1" applyFont="1" applyFill="1" applyBorder="1" applyAlignment="1">
      <alignment horizontal="center" wrapText="1"/>
    </xf>
    <xf numFmtId="0" fontId="74" fillId="7" borderId="61" xfId="0" applyFont="1" applyFill="1" applyBorder="1" applyAlignment="1">
      <alignment horizontal="left" wrapText="1"/>
    </xf>
    <xf numFmtId="3" fontId="74" fillId="7" borderId="62" xfId="0" applyNumberFormat="1" applyFont="1" applyFill="1" applyBorder="1" applyAlignment="1">
      <alignment horizontal="center" wrapText="1"/>
    </xf>
    <xf numFmtId="166" fontId="74" fillId="7" borderId="63" xfId="0" applyNumberFormat="1" applyFont="1" applyFill="1" applyBorder="1" applyAlignment="1">
      <alignment horizontal="center" wrapText="1"/>
    </xf>
    <xf numFmtId="166" fontId="74" fillId="7" borderId="64" xfId="0" applyNumberFormat="1" applyFont="1" applyFill="1" applyBorder="1" applyAlignment="1">
      <alignment horizontal="center" wrapText="1"/>
    </xf>
    <xf numFmtId="0" fontId="13" fillId="3" borderId="0" xfId="0" applyFont="1" applyFill="1"/>
    <xf numFmtId="4" fontId="64" fillId="3" borderId="0" xfId="0" applyNumberFormat="1" applyFont="1" applyFill="1" applyBorder="1" applyAlignment="1">
      <alignment horizontal="right"/>
    </xf>
    <xf numFmtId="169" fontId="65" fillId="3" borderId="0" xfId="0" applyNumberFormat="1" applyFont="1" applyFill="1" applyBorder="1" applyAlignment="1">
      <alignment horizontal="right"/>
    </xf>
    <xf numFmtId="9" fontId="0" fillId="3" borderId="0" xfId="0" applyNumberFormat="1" applyFill="1"/>
    <xf numFmtId="3" fontId="65" fillId="3" borderId="0" xfId="0" applyNumberFormat="1" applyFont="1" applyFill="1" applyBorder="1" applyAlignment="1">
      <alignment horizontal="right"/>
    </xf>
    <xf numFmtId="2" fontId="0" fillId="3" borderId="0" xfId="0" applyNumberFormat="1" applyFill="1"/>
    <xf numFmtId="0" fontId="11" fillId="3" borderId="0" xfId="0" applyFont="1" applyFill="1" applyBorder="1" applyAlignment="1">
      <alignment horizontal="right"/>
    </xf>
    <xf numFmtId="0" fontId="11" fillId="3" borderId="0" xfId="0" applyFont="1" applyFill="1" applyBorder="1" applyAlignment="1">
      <alignment horizontal="center"/>
    </xf>
    <xf numFmtId="0" fontId="56" fillId="3" borderId="0" xfId="0" applyFont="1" applyFill="1" applyBorder="1" applyAlignment="1">
      <alignment horizontal="left" wrapText="1"/>
    </xf>
    <xf numFmtId="0" fontId="74" fillId="3" borderId="0" xfId="0" applyFont="1" applyFill="1" applyBorder="1" applyAlignment="1">
      <alignment horizontal="left" vertical="center" wrapText="1"/>
    </xf>
    <xf numFmtId="164" fontId="74" fillId="3" borderId="0" xfId="0" applyNumberFormat="1" applyFont="1" applyFill="1" applyBorder="1" applyAlignment="1">
      <alignment horizontal="center" wrapText="1"/>
    </xf>
    <xf numFmtId="0" fontId="74" fillId="3" borderId="0" xfId="0" applyFont="1" applyFill="1" applyBorder="1" applyAlignment="1">
      <alignment horizontal="left" wrapText="1"/>
    </xf>
    <xf numFmtId="0" fontId="13" fillId="3" borderId="0" xfId="0" applyFont="1" applyFill="1" applyBorder="1"/>
    <xf numFmtId="0" fontId="72" fillId="3" borderId="0" xfId="0" applyFont="1" applyFill="1"/>
    <xf numFmtId="0" fontId="73" fillId="3" borderId="0" xfId="0" applyFont="1" applyFill="1"/>
    <xf numFmtId="0" fontId="0" fillId="6" borderId="1" xfId="0" applyFill="1" applyBorder="1"/>
    <xf numFmtId="0" fontId="0" fillId="6" borderId="2" xfId="0" applyFill="1" applyBorder="1"/>
    <xf numFmtId="0" fontId="0" fillId="6" borderId="3" xfId="0" applyFill="1" applyBorder="1"/>
    <xf numFmtId="0" fontId="11" fillId="4" borderId="65" xfId="0" applyFont="1" applyFill="1" applyBorder="1"/>
    <xf numFmtId="0" fontId="11" fillId="4" borderId="66" xfId="0" applyFont="1" applyFill="1" applyBorder="1"/>
    <xf numFmtId="166" fontId="13" fillId="9" borderId="56" xfId="26" applyNumberFormat="1" applyFont="1" applyFill="1" applyBorder="1"/>
    <xf numFmtId="166" fontId="13" fillId="9" borderId="67" xfId="26" applyNumberFormat="1" applyFont="1" applyFill="1" applyBorder="1"/>
    <xf numFmtId="0" fontId="13" fillId="9" borderId="46" xfId="0" applyFont="1" applyFill="1" applyBorder="1"/>
    <xf numFmtId="3" fontId="13" fillId="9" borderId="68" xfId="0" applyNumberFormat="1" applyFont="1" applyFill="1" applyBorder="1" applyAlignment="1">
      <alignment horizontal="right"/>
    </xf>
    <xf numFmtId="0" fontId="13" fillId="9" borderId="69" xfId="0" applyFont="1" applyFill="1" applyBorder="1"/>
    <xf numFmtId="0" fontId="13" fillId="9" borderId="64" xfId="0" applyFont="1" applyFill="1" applyBorder="1"/>
    <xf numFmtId="166" fontId="13" fillId="9" borderId="69" xfId="0" applyNumberFormat="1" applyFont="1" applyFill="1" applyBorder="1"/>
    <xf numFmtId="166" fontId="13" fillId="9" borderId="64" xfId="0" applyNumberFormat="1" applyFont="1" applyFill="1" applyBorder="1"/>
    <xf numFmtId="3" fontId="63" fillId="9" borderId="30" xfId="26" applyNumberFormat="1" applyFont="1" applyFill="1" applyBorder="1" applyAlignment="1">
      <alignment horizontal="left"/>
    </xf>
    <xf numFmtId="166" fontId="63" fillId="9" borderId="26" xfId="26" applyNumberFormat="1" applyFont="1" applyFill="1" applyBorder="1" applyAlignment="1">
      <alignment horizontal="right"/>
    </xf>
    <xf numFmtId="3" fontId="11" fillId="4" borderId="47" xfId="0" applyNumberFormat="1" applyFont="1" applyFill="1" applyBorder="1" applyAlignment="1">
      <alignment horizontal="right"/>
    </xf>
    <xf numFmtId="3" fontId="11" fillId="4" borderId="13" xfId="0" applyNumberFormat="1" applyFont="1" applyFill="1" applyBorder="1" applyAlignment="1">
      <alignment horizontal="right"/>
    </xf>
    <xf numFmtId="3" fontId="11" fillId="4" borderId="41" xfId="0" applyNumberFormat="1" applyFont="1" applyFill="1" applyBorder="1" applyAlignment="1">
      <alignment horizontal="right"/>
    </xf>
    <xf numFmtId="3" fontId="11" fillId="4" borderId="14" xfId="0" applyNumberFormat="1" applyFont="1" applyFill="1" applyBorder="1" applyAlignment="1">
      <alignment horizontal="right"/>
    </xf>
    <xf numFmtId="9" fontId="63" fillId="9" borderId="56" xfId="26" applyFont="1" applyFill="1" applyBorder="1"/>
    <xf numFmtId="9" fontId="63" fillId="9" borderId="67" xfId="26" applyFont="1" applyFill="1" applyBorder="1"/>
    <xf numFmtId="3" fontId="63" fillId="9" borderId="68" xfId="0" applyNumberFormat="1" applyFont="1" applyFill="1" applyBorder="1" applyAlignment="1">
      <alignment horizontal="right"/>
    </xf>
    <xf numFmtId="0" fontId="63" fillId="9" borderId="69" xfId="0" applyFont="1" applyFill="1" applyBorder="1"/>
    <xf numFmtId="0" fontId="63" fillId="9" borderId="64" xfId="0" applyFont="1" applyFill="1" applyBorder="1"/>
    <xf numFmtId="0" fontId="55" fillId="3" borderId="29" xfId="0" applyFont="1" applyFill="1" applyBorder="1"/>
    <xf numFmtId="0" fontId="55" fillId="3" borderId="29" xfId="0" applyFont="1" applyFill="1" applyBorder="1" applyAlignment="1">
      <alignment horizontal="center"/>
    </xf>
    <xf numFmtId="0" fontId="55" fillId="3" borderId="42" xfId="0" applyFont="1" applyFill="1" applyBorder="1" applyAlignment="1">
      <alignment horizontal="center"/>
    </xf>
    <xf numFmtId="0" fontId="55" fillId="3" borderId="15" xfId="0" applyFont="1" applyFill="1" applyBorder="1" applyAlignment="1">
      <alignment horizontal="center"/>
    </xf>
    <xf numFmtId="0" fontId="55" fillId="3" borderId="35" xfId="0" applyFont="1" applyFill="1" applyBorder="1"/>
    <xf numFmtId="0" fontId="55" fillId="3" borderId="35" xfId="0" applyFont="1" applyFill="1" applyBorder="1" applyAlignment="1">
      <alignment horizontal="center"/>
    </xf>
    <xf numFmtId="0" fontId="55" fillId="3" borderId="51" xfId="0" applyFont="1" applyFill="1" applyBorder="1" applyAlignment="1">
      <alignment horizontal="center"/>
    </xf>
    <xf numFmtId="0" fontId="55" fillId="3" borderId="8" xfId="0" applyFont="1" applyFill="1" applyBorder="1" applyAlignment="1">
      <alignment horizontal="center"/>
    </xf>
    <xf numFmtId="0" fontId="55" fillId="3" borderId="32" xfId="0" applyFont="1" applyFill="1" applyBorder="1"/>
    <xf numFmtId="3" fontId="55" fillId="3" borderId="32" xfId="0" applyNumberFormat="1" applyFont="1" applyFill="1" applyBorder="1" applyAlignment="1">
      <alignment horizontal="center"/>
    </xf>
    <xf numFmtId="3" fontId="55" fillId="3" borderId="43" xfId="0" applyNumberFormat="1" applyFont="1" applyFill="1" applyBorder="1" applyAlignment="1">
      <alignment horizontal="center"/>
    </xf>
    <xf numFmtId="3" fontId="55" fillId="3" borderId="0" xfId="0" applyNumberFormat="1" applyFont="1" applyFill="1" applyBorder="1" applyAlignment="1">
      <alignment horizontal="center"/>
    </xf>
    <xf numFmtId="0" fontId="55" fillId="3" borderId="43" xfId="0" applyFont="1" applyFill="1" applyBorder="1" applyAlignment="1">
      <alignment horizontal="center"/>
    </xf>
    <xf numFmtId="0" fontId="55" fillId="3" borderId="0" xfId="0" applyFont="1" applyFill="1" applyBorder="1" applyAlignment="1">
      <alignment horizontal="center"/>
    </xf>
    <xf numFmtId="0" fontId="55" fillId="3" borderId="32" xfId="0" applyFont="1" applyFill="1" applyBorder="1" applyAlignment="1">
      <alignment horizontal="center"/>
    </xf>
    <xf numFmtId="0" fontId="55" fillId="3" borderId="38" xfId="0" applyFont="1" applyFill="1" applyBorder="1"/>
    <xf numFmtId="3" fontId="55" fillId="3" borderId="38" xfId="0" applyNumberFormat="1" applyFont="1" applyFill="1" applyBorder="1" applyAlignment="1">
      <alignment horizontal="center"/>
    </xf>
    <xf numFmtId="3" fontId="55" fillId="3" borderId="52" xfId="0" applyNumberFormat="1" applyFont="1" applyFill="1" applyBorder="1" applyAlignment="1">
      <alignment horizontal="center"/>
    </xf>
    <xf numFmtId="3" fontId="55" fillId="3" borderId="9" xfId="0" applyNumberFormat="1" applyFont="1" applyFill="1" applyBorder="1" applyAlignment="1">
      <alignment horizontal="center"/>
    </xf>
    <xf numFmtId="0" fontId="54" fillId="3" borderId="32" xfId="0" applyFont="1" applyFill="1" applyBorder="1"/>
    <xf numFmtId="3" fontId="55" fillId="3" borderId="35" xfId="0" applyNumberFormat="1" applyFont="1" applyFill="1" applyBorder="1" applyAlignment="1">
      <alignment horizontal="center"/>
    </xf>
    <xf numFmtId="3" fontId="55" fillId="3" borderId="51" xfId="0" applyNumberFormat="1" applyFont="1" applyFill="1" applyBorder="1" applyAlignment="1">
      <alignment horizontal="center"/>
    </xf>
    <xf numFmtId="3" fontId="55" fillId="3" borderId="8" xfId="0" applyNumberFormat="1" applyFont="1" applyFill="1" applyBorder="1" applyAlignment="1">
      <alignment horizontal="center"/>
    </xf>
    <xf numFmtId="0" fontId="55" fillId="3" borderId="0" xfId="0" applyFont="1" applyFill="1" applyBorder="1"/>
    <xf numFmtId="3" fontId="55" fillId="3" borderId="0" xfId="0" applyNumberFormat="1" applyFont="1" applyFill="1" applyBorder="1"/>
    <xf numFmtId="0" fontId="59" fillId="3" borderId="0" xfId="0" applyFont="1" applyFill="1" applyBorder="1"/>
    <xf numFmtId="0" fontId="0" fillId="3" borderId="0" xfId="0" applyNumberFormat="1" applyFill="1"/>
    <xf numFmtId="167" fontId="0" fillId="3" borderId="0" xfId="0" applyNumberFormat="1" applyFill="1"/>
    <xf numFmtId="0" fontId="0" fillId="3" borderId="0" xfId="0" applyNumberFormat="1" applyFill="1" applyAlignment="1">
      <alignment horizontal="center"/>
    </xf>
    <xf numFmtId="0" fontId="32" fillId="9" borderId="20" xfId="0" applyNumberFormat="1" applyFont="1" applyFill="1" applyBorder="1"/>
    <xf numFmtId="0" fontId="32" fillId="9" borderId="22" xfId="0" applyNumberFormat="1" applyFont="1" applyFill="1" applyBorder="1"/>
    <xf numFmtId="0" fontId="32" fillId="9" borderId="21" xfId="0" applyNumberFormat="1" applyFont="1" applyFill="1" applyBorder="1"/>
    <xf numFmtId="0" fontId="0" fillId="3" borderId="1" xfId="0" applyNumberFormat="1" applyFill="1" applyBorder="1"/>
    <xf numFmtId="0" fontId="0" fillId="3" borderId="4" xfId="0" applyNumberFormat="1" applyFill="1" applyBorder="1"/>
    <xf numFmtId="0" fontId="0" fillId="9" borderId="70" xfId="0" applyNumberFormat="1" applyFill="1" applyBorder="1"/>
    <xf numFmtId="0" fontId="13" fillId="3" borderId="20" xfId="0" applyNumberFormat="1" applyFont="1" applyFill="1" applyBorder="1"/>
    <xf numFmtId="0" fontId="13" fillId="3" borderId="22" xfId="0" applyNumberFormat="1" applyFont="1" applyFill="1" applyBorder="1"/>
    <xf numFmtId="0" fontId="0" fillId="3" borderId="22" xfId="0" applyNumberFormat="1" applyFill="1" applyBorder="1"/>
    <xf numFmtId="3" fontId="0" fillId="3" borderId="11" xfId="0" applyNumberFormat="1" applyFill="1" applyBorder="1" applyAlignment="1">
      <alignment horizontal="center"/>
    </xf>
    <xf numFmtId="3" fontId="0" fillId="3" borderId="2" xfId="0" applyNumberFormat="1" applyFill="1" applyBorder="1" applyAlignment="1">
      <alignment horizontal="center"/>
    </xf>
    <xf numFmtId="3" fontId="0" fillId="3" borderId="1" xfId="0" applyNumberFormat="1" applyFill="1" applyBorder="1" applyAlignment="1">
      <alignment horizontal="center"/>
    </xf>
    <xf numFmtId="3" fontId="0" fillId="3" borderId="4" xfId="0" applyNumberFormat="1" applyFill="1" applyBorder="1" applyAlignment="1">
      <alignment horizontal="center"/>
    </xf>
    <xf numFmtId="0" fontId="32" fillId="9" borderId="3" xfId="0" applyNumberFormat="1" applyFont="1" applyFill="1" applyBorder="1" applyAlignment="1">
      <alignment horizontal="center"/>
    </xf>
    <xf numFmtId="3" fontId="0" fillId="9" borderId="11" xfId="0" applyNumberFormat="1" applyFill="1" applyBorder="1" applyAlignment="1">
      <alignment horizontal="center"/>
    </xf>
    <xf numFmtId="0" fontId="0" fillId="9" borderId="16" xfId="0" applyNumberFormat="1" applyFill="1" applyBorder="1"/>
    <xf numFmtId="3" fontId="0" fillId="9" borderId="1" xfId="0" applyNumberFormat="1" applyFill="1" applyBorder="1" applyAlignment="1">
      <alignment horizontal="center"/>
    </xf>
    <xf numFmtId="3" fontId="0" fillId="9" borderId="4" xfId="0" applyNumberFormat="1" applyFill="1" applyBorder="1" applyAlignment="1">
      <alignment horizontal="center"/>
    </xf>
    <xf numFmtId="3" fontId="0" fillId="9" borderId="16" xfId="0" applyNumberFormat="1" applyFill="1" applyBorder="1" applyAlignment="1">
      <alignment horizontal="center"/>
    </xf>
    <xf numFmtId="0" fontId="13" fillId="3" borderId="0" xfId="0" applyNumberFormat="1" applyFont="1" applyFill="1" applyAlignment="1">
      <alignment horizontal="center"/>
    </xf>
    <xf numFmtId="17" fontId="0" fillId="3" borderId="0" xfId="0" applyNumberFormat="1" applyFill="1" applyAlignment="1">
      <alignment horizontal="center"/>
    </xf>
    <xf numFmtId="0" fontId="32" fillId="9" borderId="5" xfId="0" applyNumberFormat="1" applyFont="1" applyFill="1" applyBorder="1" applyAlignment="1">
      <alignment horizontal="center"/>
    </xf>
    <xf numFmtId="3" fontId="0" fillId="9" borderId="5" xfId="0" applyNumberFormat="1" applyFill="1" applyBorder="1" applyAlignment="1">
      <alignment horizontal="center"/>
    </xf>
    <xf numFmtId="3" fontId="0" fillId="3" borderId="69" xfId="0" applyNumberFormat="1" applyFill="1" applyBorder="1" applyAlignment="1">
      <alignment horizontal="center"/>
    </xf>
    <xf numFmtId="3" fontId="0" fillId="9" borderId="12" xfId="0" applyNumberFormat="1" applyFill="1" applyBorder="1" applyAlignment="1">
      <alignment horizontal="center"/>
    </xf>
    <xf numFmtId="3" fontId="0" fillId="9" borderId="69" xfId="0" applyNumberFormat="1" applyFill="1" applyBorder="1" applyAlignment="1">
      <alignment horizontal="center"/>
    </xf>
    <xf numFmtId="3" fontId="0" fillId="3" borderId="71" xfId="0" applyNumberFormat="1" applyFill="1" applyBorder="1" applyAlignment="1">
      <alignment horizontal="center"/>
    </xf>
    <xf numFmtId="3" fontId="0" fillId="9" borderId="3" xfId="0" applyNumberFormat="1" applyFill="1" applyBorder="1" applyAlignment="1">
      <alignment horizontal="center"/>
    </xf>
    <xf numFmtId="3" fontId="0" fillId="9" borderId="71" xfId="0" applyNumberFormat="1" applyFill="1" applyBorder="1" applyAlignment="1">
      <alignment horizontal="center"/>
    </xf>
    <xf numFmtId="3" fontId="0" fillId="9" borderId="2" xfId="0" applyNumberFormat="1" applyFill="1" applyBorder="1" applyAlignment="1">
      <alignment horizontal="center"/>
    </xf>
    <xf numFmtId="3" fontId="0" fillId="9" borderId="43" xfId="0" applyNumberFormat="1" applyFill="1" applyBorder="1" applyAlignment="1">
      <alignment horizontal="center"/>
    </xf>
    <xf numFmtId="3" fontId="0" fillId="9" borderId="0" xfId="0" applyNumberFormat="1" applyFill="1" applyBorder="1" applyAlignment="1">
      <alignment horizontal="center"/>
    </xf>
    <xf numFmtId="3" fontId="0" fillId="9" borderId="72" xfId="0" applyNumberFormat="1" applyFill="1" applyBorder="1" applyAlignment="1">
      <alignment horizontal="center"/>
    </xf>
    <xf numFmtId="3" fontId="0" fillId="9" borderId="73" xfId="0" applyNumberFormat="1" applyFill="1" applyBorder="1" applyAlignment="1">
      <alignment horizontal="center"/>
    </xf>
    <xf numFmtId="3" fontId="0" fillId="9" borderId="50" xfId="0" applyNumberFormat="1" applyFill="1" applyBorder="1" applyAlignment="1">
      <alignment horizontal="center"/>
    </xf>
    <xf numFmtId="0" fontId="32" fillId="9" borderId="2" xfId="0" applyNumberFormat="1" applyFont="1" applyFill="1" applyBorder="1" applyAlignment="1">
      <alignment horizontal="center"/>
    </xf>
    <xf numFmtId="0" fontId="32" fillId="9" borderId="71" xfId="0" applyNumberFormat="1" applyFont="1" applyFill="1" applyBorder="1" applyAlignment="1">
      <alignment horizontal="center"/>
    </xf>
    <xf numFmtId="0" fontId="49" fillId="9" borderId="71" xfId="0" applyNumberFormat="1" applyFont="1" applyFill="1" applyBorder="1" applyAlignment="1">
      <alignment horizontal="center"/>
    </xf>
    <xf numFmtId="0" fontId="32" fillId="9" borderId="43" xfId="0" applyNumberFormat="1" applyFont="1" applyFill="1" applyBorder="1" applyAlignment="1">
      <alignment horizontal="center"/>
    </xf>
    <xf numFmtId="0" fontId="32" fillId="9" borderId="0" xfId="0" applyNumberFormat="1" applyFont="1" applyFill="1" applyBorder="1" applyAlignment="1">
      <alignment horizontal="center"/>
    </xf>
    <xf numFmtId="0" fontId="49" fillId="9" borderId="0" xfId="0" applyNumberFormat="1" applyFont="1" applyFill="1" applyBorder="1" applyAlignment="1">
      <alignment horizontal="center"/>
    </xf>
    <xf numFmtId="0" fontId="0" fillId="9" borderId="43" xfId="0" applyFill="1" applyBorder="1" applyAlignment="1">
      <alignment horizontal="center"/>
    </xf>
    <xf numFmtId="3" fontId="0" fillId="9" borderId="49" xfId="0" applyNumberFormat="1" applyFill="1" applyBorder="1" applyAlignment="1">
      <alignment horizontal="center"/>
    </xf>
    <xf numFmtId="0" fontId="0" fillId="9" borderId="4" xfId="0" applyNumberFormat="1" applyFill="1" applyBorder="1"/>
    <xf numFmtId="0" fontId="0" fillId="3" borderId="0" xfId="0" applyFill="1" applyAlignment="1">
      <alignment horizontal="left"/>
    </xf>
    <xf numFmtId="0" fontId="0" fillId="3" borderId="74" xfId="0" applyFill="1" applyBorder="1"/>
    <xf numFmtId="0" fontId="32" fillId="9" borderId="70" xfId="0" applyNumberFormat="1" applyFont="1" applyFill="1" applyBorder="1"/>
    <xf numFmtId="0" fontId="13" fillId="9" borderId="70" xfId="0" applyFont="1" applyFill="1" applyBorder="1"/>
    <xf numFmtId="0" fontId="49" fillId="9" borderId="22" xfId="0" applyNumberFormat="1" applyFont="1" applyFill="1" applyBorder="1"/>
    <xf numFmtId="3" fontId="52" fillId="3" borderId="0" xfId="0" applyNumberFormat="1" applyFont="1" applyFill="1" applyBorder="1" applyAlignment="1">
      <alignment horizontal="center"/>
    </xf>
    <xf numFmtId="3" fontId="52" fillId="3" borderId="43" xfId="0" applyNumberFormat="1" applyFont="1" applyFill="1" applyBorder="1" applyAlignment="1">
      <alignment horizontal="center"/>
    </xf>
    <xf numFmtId="3" fontId="52" fillId="9" borderId="43" xfId="0" applyNumberFormat="1" applyFont="1" applyFill="1" applyBorder="1" applyAlignment="1">
      <alignment horizontal="center"/>
    </xf>
    <xf numFmtId="3" fontId="52" fillId="3" borderId="0" xfId="0" applyNumberFormat="1" applyFont="1" applyFill="1"/>
    <xf numFmtId="164" fontId="52" fillId="3" borderId="43" xfId="0" applyNumberFormat="1" applyFont="1" applyFill="1" applyBorder="1" applyAlignment="1">
      <alignment horizontal="center"/>
    </xf>
    <xf numFmtId="3" fontId="52" fillId="9" borderId="5" xfId="0" applyNumberFormat="1" applyFont="1" applyFill="1" applyBorder="1" applyAlignment="1">
      <alignment horizontal="center"/>
    </xf>
    <xf numFmtId="0" fontId="75" fillId="3" borderId="0" xfId="0" applyFont="1" applyFill="1" applyBorder="1" applyAlignment="1">
      <alignment horizontal="center"/>
    </xf>
    <xf numFmtId="0" fontId="59" fillId="3" borderId="0" xfId="0" applyFont="1" applyFill="1" applyAlignment="1">
      <alignment horizontal="center"/>
    </xf>
    <xf numFmtId="0" fontId="76" fillId="3" borderId="75" xfId="0" applyFont="1" applyFill="1" applyBorder="1"/>
    <xf numFmtId="0" fontId="76" fillId="3" borderId="76" xfId="0" applyFont="1" applyFill="1" applyBorder="1"/>
    <xf numFmtId="0" fontId="76" fillId="3" borderId="77" xfId="0" applyFont="1" applyFill="1" applyBorder="1"/>
    <xf numFmtId="0" fontId="76" fillId="3" borderId="78" xfId="0" applyFont="1" applyFill="1" applyBorder="1"/>
    <xf numFmtId="0" fontId="77" fillId="3" borderId="77" xfId="0" applyFont="1" applyFill="1" applyBorder="1"/>
    <xf numFmtId="0" fontId="78" fillId="3" borderId="78" xfId="0" applyFont="1" applyFill="1" applyBorder="1" applyAlignment="1">
      <alignment horizontal="center"/>
    </xf>
    <xf numFmtId="17" fontId="78" fillId="3" borderId="78" xfId="0" applyNumberFormat="1" applyFont="1" applyFill="1" applyBorder="1" applyAlignment="1">
      <alignment horizontal="center"/>
    </xf>
    <xf numFmtId="0" fontId="77" fillId="3" borderId="78" xfId="0" applyFont="1" applyFill="1" applyBorder="1"/>
    <xf numFmtId="0" fontId="79" fillId="3" borderId="78" xfId="0" applyFont="1" applyFill="1" applyBorder="1" applyAlignment="1">
      <alignment horizontal="center"/>
    </xf>
    <xf numFmtId="0" fontId="75" fillId="3" borderId="77" xfId="0" applyFont="1" applyFill="1" applyBorder="1"/>
    <xf numFmtId="0" fontId="75" fillId="3" borderId="78" xfId="0" applyFont="1" applyFill="1" applyBorder="1" applyAlignment="1">
      <alignment horizontal="center"/>
    </xf>
    <xf numFmtId="0" fontId="77" fillId="3" borderId="79" xfId="0" applyFont="1" applyFill="1" applyBorder="1" applyAlignment="1">
      <alignment horizontal="left"/>
    </xf>
    <xf numFmtId="0" fontId="77" fillId="3" borderId="80" xfId="0" applyFont="1" applyFill="1" applyBorder="1" applyAlignment="1">
      <alignment horizontal="left"/>
    </xf>
    <xf numFmtId="0" fontId="80" fillId="3" borderId="78" xfId="0" applyFont="1" applyFill="1" applyBorder="1" applyAlignment="1">
      <alignment horizontal="center"/>
    </xf>
    <xf numFmtId="0" fontId="20" fillId="3" borderId="0" xfId="20" applyFont="1" applyFill="1" applyBorder="1"/>
    <xf numFmtId="0" fontId="3" fillId="3" borderId="0" xfId="20" applyFill="1"/>
    <xf numFmtId="3" fontId="3" fillId="3" borderId="0" xfId="20" applyNumberFormat="1" applyFill="1"/>
    <xf numFmtId="3" fontId="8" fillId="3" borderId="0" xfId="20" applyNumberFormat="1" applyFont="1" applyFill="1" applyBorder="1" applyAlignment="1"/>
    <xf numFmtId="0" fontId="3" fillId="3" borderId="5" xfId="20" applyFill="1" applyBorder="1" applyAlignment="1"/>
    <xf numFmtId="166" fontId="3" fillId="3" borderId="5" xfId="20" applyNumberFormat="1" applyFill="1" applyBorder="1" applyAlignment="1"/>
    <xf numFmtId="3" fontId="3" fillId="3" borderId="5" xfId="20" applyNumberFormat="1" applyFill="1" applyBorder="1" applyAlignment="1"/>
    <xf numFmtId="3" fontId="8" fillId="3" borderId="9" xfId="20" applyNumberFormat="1" applyFont="1" applyFill="1" applyBorder="1" applyAlignment="1"/>
    <xf numFmtId="166" fontId="3" fillId="3" borderId="10" xfId="20" applyNumberFormat="1" applyFill="1" applyBorder="1" applyAlignment="1"/>
    <xf numFmtId="3" fontId="3" fillId="3" borderId="13" xfId="20" applyNumberFormat="1" applyFill="1" applyBorder="1" applyAlignment="1"/>
    <xf numFmtId="3" fontId="3" fillId="3" borderId="14" xfId="20" applyNumberFormat="1" applyFill="1" applyBorder="1" applyAlignment="1"/>
    <xf numFmtId="3" fontId="8" fillId="3" borderId="2" xfId="22" applyNumberFormat="1" applyFont="1" applyFill="1" applyBorder="1" applyAlignment="1"/>
    <xf numFmtId="3" fontId="8" fillId="3" borderId="3" xfId="22" applyNumberFormat="1" applyFont="1" applyFill="1" applyBorder="1" applyAlignment="1"/>
    <xf numFmtId="3" fontId="8" fillId="3" borderId="10" xfId="22" applyNumberFormat="1" applyFont="1" applyFill="1" applyBorder="1" applyAlignment="1"/>
    <xf numFmtId="1" fontId="17" fillId="2" borderId="16" xfId="4" applyNumberFormat="1" applyFont="1" applyFill="1" applyBorder="1" applyAlignment="1">
      <alignment horizontal="left"/>
    </xf>
    <xf numFmtId="1" fontId="14" fillId="2" borderId="11" xfId="4" applyNumberFormat="1" applyFont="1" applyFill="1" applyBorder="1" applyAlignment="1">
      <alignment horizontal="right"/>
    </xf>
    <xf numFmtId="1" fontId="15" fillId="2" borderId="12" xfId="4" applyNumberFormat="1" applyFont="1" applyFill="1" applyBorder="1" applyAlignment="1">
      <alignment horizontal="right"/>
    </xf>
    <xf numFmtId="3" fontId="3" fillId="3" borderId="0" xfId="21" applyNumberFormat="1" applyFill="1" applyBorder="1"/>
    <xf numFmtId="0" fontId="3" fillId="3" borderId="0" xfId="21" applyFill="1" applyBorder="1"/>
    <xf numFmtId="0" fontId="3" fillId="3" borderId="0" xfId="12" applyFill="1"/>
    <xf numFmtId="0" fontId="20" fillId="3" borderId="0" xfId="12" applyFont="1" applyFill="1" applyBorder="1"/>
    <xf numFmtId="3" fontId="21" fillId="3" borderId="0" xfId="12" applyNumberFormat="1" applyFont="1" applyFill="1"/>
    <xf numFmtId="3" fontId="3" fillId="3" borderId="0" xfId="12" applyNumberFormat="1" applyFill="1"/>
    <xf numFmtId="0" fontId="8" fillId="3" borderId="0" xfId="12" applyFont="1" applyFill="1" applyBorder="1" applyAlignment="1"/>
    <xf numFmtId="3" fontId="8" fillId="3" borderId="5" xfId="12" applyNumberFormat="1" applyFont="1" applyFill="1" applyBorder="1" applyAlignment="1"/>
    <xf numFmtId="3" fontId="8" fillId="3" borderId="0" xfId="12" applyNumberFormat="1" applyFont="1" applyFill="1" applyBorder="1" applyAlignment="1"/>
    <xf numFmtId="3" fontId="3" fillId="3" borderId="11" xfId="12" applyNumberFormat="1" applyFill="1" applyBorder="1" applyAlignment="1"/>
    <xf numFmtId="3" fontId="3" fillId="3" borderId="12" xfId="12" applyNumberFormat="1" applyFill="1" applyBorder="1" applyAlignment="1"/>
    <xf numFmtId="166" fontId="3" fillId="3" borderId="11" xfId="7" applyNumberFormat="1" applyFont="1" applyFill="1" applyBorder="1" applyAlignment="1">
      <alignment horizontal="center"/>
    </xf>
    <xf numFmtId="168" fontId="50" fillId="2" borderId="0" xfId="7" applyNumberFormat="1" applyFont="1" applyFill="1" applyBorder="1" applyAlignment="1">
      <alignment horizontal="center"/>
    </xf>
    <xf numFmtId="3" fontId="5" fillId="2" borderId="0" xfId="7" applyNumberFormat="1" applyFont="1" applyFill="1" applyBorder="1" applyAlignment="1">
      <alignment horizontal="center"/>
    </xf>
    <xf numFmtId="3" fontId="8" fillId="3" borderId="2" xfId="7" applyNumberFormat="1" applyFont="1" applyFill="1" applyBorder="1" applyAlignment="1">
      <alignment horizontal="center"/>
    </xf>
    <xf numFmtId="3" fontId="3" fillId="3" borderId="0" xfId="7" applyNumberFormat="1" applyFill="1" applyBorder="1" applyAlignment="1">
      <alignment horizontal="center"/>
    </xf>
    <xf numFmtId="3" fontId="8" fillId="3" borderId="0" xfId="7" applyNumberFormat="1" applyFont="1" applyFill="1" applyBorder="1" applyAlignment="1">
      <alignment horizontal="center"/>
    </xf>
    <xf numFmtId="3" fontId="3" fillId="3" borderId="11" xfId="7" applyNumberFormat="1" applyFill="1" applyBorder="1" applyAlignment="1">
      <alignment horizontal="center"/>
    </xf>
    <xf numFmtId="0" fontId="3" fillId="3" borderId="0" xfId="7" applyFill="1" applyAlignment="1">
      <alignment horizontal="center"/>
    </xf>
    <xf numFmtId="9" fontId="5" fillId="2" borderId="0" xfId="7" applyNumberFormat="1" applyFont="1" applyFill="1" applyBorder="1" applyAlignment="1">
      <alignment horizontal="center"/>
    </xf>
    <xf numFmtId="9" fontId="5" fillId="2" borderId="0" xfId="7" applyNumberFormat="1" applyFont="1" applyFill="1" applyBorder="1" applyAlignment="1">
      <alignment horizontal="center" wrapText="1"/>
    </xf>
    <xf numFmtId="9" fontId="3" fillId="3" borderId="2" xfId="7" applyNumberFormat="1" applyFill="1" applyBorder="1" applyAlignment="1">
      <alignment horizontal="center"/>
    </xf>
    <xf numFmtId="9" fontId="3" fillId="3" borderId="0" xfId="7" applyNumberFormat="1" applyFill="1" applyBorder="1" applyAlignment="1">
      <alignment horizontal="center"/>
    </xf>
    <xf numFmtId="9" fontId="3" fillId="3" borderId="0" xfId="26" applyFont="1" applyFill="1" applyBorder="1" applyAlignment="1">
      <alignment horizontal="center"/>
    </xf>
    <xf numFmtId="166" fontId="3" fillId="3" borderId="0" xfId="26" applyNumberFormat="1" applyFont="1" applyFill="1" applyBorder="1" applyAlignment="1">
      <alignment horizontal="center"/>
    </xf>
    <xf numFmtId="0" fontId="21" fillId="6" borderId="3" xfId="7" applyFont="1" applyFill="1" applyBorder="1"/>
    <xf numFmtId="1" fontId="50" fillId="2" borderId="4" xfId="7" applyNumberFormat="1" applyFont="1" applyFill="1" applyBorder="1" applyAlignment="1">
      <alignment horizontal="left"/>
    </xf>
    <xf numFmtId="0" fontId="3" fillId="4" borderId="5" xfId="7" applyFill="1" applyBorder="1"/>
    <xf numFmtId="0" fontId="3" fillId="3" borderId="5" xfId="7" applyFill="1" applyBorder="1"/>
    <xf numFmtId="3" fontId="3" fillId="3" borderId="5" xfId="7" applyNumberFormat="1" applyFill="1" applyBorder="1"/>
    <xf numFmtId="9" fontId="3" fillId="3" borderId="5" xfId="7" applyNumberFormat="1" applyFill="1" applyBorder="1"/>
    <xf numFmtId="3" fontId="3" fillId="3" borderId="5" xfId="7" applyNumberFormat="1" applyFill="1" applyBorder="1" applyAlignment="1"/>
    <xf numFmtId="9" fontId="3" fillId="3" borderId="11" xfId="7" applyNumberFormat="1" applyFill="1" applyBorder="1" applyAlignment="1">
      <alignment horizontal="center"/>
    </xf>
    <xf numFmtId="0" fontId="3" fillId="3" borderId="12" xfId="7" applyFill="1" applyBorder="1"/>
    <xf numFmtId="0" fontId="3" fillId="3" borderId="3" xfId="7" applyFill="1" applyBorder="1"/>
    <xf numFmtId="164" fontId="49" fillId="7" borderId="2" xfId="0" applyNumberFormat="1" applyFont="1" applyFill="1" applyBorder="1" applyAlignment="1">
      <alignment horizontal="center"/>
    </xf>
    <xf numFmtId="166" fontId="49" fillId="7" borderId="0" xfId="0" applyNumberFormat="1" applyFont="1" applyFill="1" applyBorder="1" applyAlignment="1">
      <alignment horizontal="center"/>
    </xf>
    <xf numFmtId="164" fontId="49" fillId="7" borderId="0" xfId="0" applyNumberFormat="1" applyFont="1" applyFill="1" applyBorder="1" applyAlignment="1">
      <alignment horizontal="center"/>
    </xf>
    <xf numFmtId="166" fontId="49" fillId="7" borderId="11" xfId="0" applyNumberFormat="1" applyFont="1" applyFill="1" applyBorder="1" applyAlignment="1">
      <alignment horizontal="center"/>
    </xf>
    <xf numFmtId="0" fontId="11" fillId="4" borderId="5" xfId="0" applyFont="1" applyFill="1" applyBorder="1" applyAlignment="1">
      <alignment horizontal="center"/>
    </xf>
    <xf numFmtId="0" fontId="54" fillId="3" borderId="0" xfId="0" applyFont="1" applyFill="1" applyAlignment="1">
      <alignment horizontal="center"/>
    </xf>
    <xf numFmtId="0" fontId="11" fillId="4" borderId="0" xfId="0" applyFont="1" applyFill="1" applyBorder="1" applyAlignment="1">
      <alignment horizontal="center"/>
    </xf>
    <xf numFmtId="0" fontId="82" fillId="4" borderId="0" xfId="24" applyFont="1" applyFill="1" applyBorder="1" applyAlignment="1">
      <alignment horizontal="center"/>
    </xf>
    <xf numFmtId="0" fontId="45" fillId="4" borderId="0" xfId="24" applyFill="1" applyBorder="1"/>
    <xf numFmtId="0" fontId="45" fillId="3" borderId="0" xfId="24" applyFill="1"/>
    <xf numFmtId="0" fontId="45" fillId="6" borderId="29" xfId="24" applyFill="1" applyBorder="1"/>
    <xf numFmtId="0" fontId="45" fillId="6" borderId="15" xfId="24" applyFill="1" applyBorder="1"/>
    <xf numFmtId="0" fontId="45" fillId="6" borderId="31" xfId="24" applyFill="1" applyBorder="1"/>
    <xf numFmtId="0" fontId="81" fillId="4" borderId="32" xfId="24" applyFont="1" applyFill="1" applyBorder="1"/>
    <xf numFmtId="0" fontId="81" fillId="4" borderId="34" xfId="24" applyFont="1" applyFill="1" applyBorder="1"/>
    <xf numFmtId="0" fontId="46" fillId="4" borderId="32" xfId="24" applyFont="1" applyFill="1" applyBorder="1"/>
    <xf numFmtId="0" fontId="45" fillId="4" borderId="34" xfId="24" applyFill="1" applyBorder="1"/>
    <xf numFmtId="0" fontId="81" fillId="4" borderId="29" xfId="24" applyFont="1" applyFill="1" applyBorder="1"/>
    <xf numFmtId="0" fontId="81" fillId="4" borderId="31" xfId="24" applyFont="1" applyFill="1" applyBorder="1"/>
    <xf numFmtId="0" fontId="46" fillId="4" borderId="35" xfId="24" applyFont="1" applyFill="1" applyBorder="1"/>
    <xf numFmtId="0" fontId="45" fillId="4" borderId="8" xfId="24" applyFill="1" applyBorder="1"/>
    <xf numFmtId="0" fontId="45" fillId="4" borderId="37" xfId="24" applyFill="1" applyBorder="1"/>
    <xf numFmtId="0" fontId="84" fillId="4" borderId="0" xfId="25" applyNumberFormat="1" applyFont="1" applyFill="1" applyBorder="1" applyAlignment="1">
      <alignment horizontal="center"/>
    </xf>
    <xf numFmtId="0" fontId="84" fillId="4" borderId="0" xfId="25" applyNumberFormat="1" applyFont="1" applyFill="1" applyBorder="1" applyAlignment="1">
      <alignment horizontal="left"/>
    </xf>
    <xf numFmtId="0" fontId="84" fillId="4" borderId="15" xfId="25" applyNumberFormat="1" applyFont="1" applyFill="1" applyBorder="1" applyAlignment="1">
      <alignment horizontal="center"/>
    </xf>
    <xf numFmtId="0" fontId="20" fillId="4" borderId="15" xfId="25" applyNumberFormat="1" applyFont="1" applyFill="1" applyBorder="1"/>
    <xf numFmtId="0" fontId="84" fillId="4" borderId="8" xfId="25" applyNumberFormat="1" applyFont="1" applyFill="1" applyBorder="1" applyAlignment="1">
      <alignment horizontal="center"/>
    </xf>
    <xf numFmtId="0" fontId="20" fillId="3" borderId="0" xfId="25" applyNumberFormat="1" applyFont="1" applyFill="1"/>
    <xf numFmtId="0" fontId="20" fillId="3" borderId="0" xfId="25" applyFont="1" applyFill="1"/>
    <xf numFmtId="0" fontId="20" fillId="3" borderId="81" xfId="25" applyFont="1" applyFill="1" applyBorder="1"/>
    <xf numFmtId="0" fontId="20" fillId="3" borderId="32" xfId="25" applyFont="1" applyFill="1" applyBorder="1"/>
    <xf numFmtId="3" fontId="52" fillId="3" borderId="33" xfId="0" applyNumberFormat="1" applyFont="1" applyFill="1" applyBorder="1" applyAlignment="1">
      <alignment horizontal="center"/>
    </xf>
    <xf numFmtId="3" fontId="0" fillId="3" borderId="32" xfId="0" applyNumberFormat="1" applyFill="1" applyBorder="1" applyAlignment="1">
      <alignment horizontal="center"/>
    </xf>
    <xf numFmtId="3" fontId="52" fillId="3" borderId="32" xfId="0" applyNumberFormat="1" applyFont="1" applyFill="1" applyBorder="1" applyAlignment="1">
      <alignment horizontal="center"/>
    </xf>
    <xf numFmtId="0" fontId="88" fillId="3" borderId="0" xfId="1" applyFill="1" applyAlignment="1" applyProtection="1"/>
    <xf numFmtId="165" fontId="88" fillId="3" borderId="0" xfId="1" applyNumberFormat="1" applyFill="1" applyAlignment="1" applyProtection="1"/>
    <xf numFmtId="0" fontId="89" fillId="3" borderId="0" xfId="0" applyFont="1" applyFill="1"/>
    <xf numFmtId="0" fontId="88" fillId="3" borderId="0" xfId="1" applyFill="1" applyBorder="1" applyAlignment="1" applyProtection="1"/>
    <xf numFmtId="1" fontId="88" fillId="3" borderId="0" xfId="1" applyNumberFormat="1" applyFill="1" applyAlignment="1" applyProtection="1"/>
    <xf numFmtId="3" fontId="88" fillId="0" borderId="0" xfId="1" applyNumberFormat="1" applyAlignment="1" applyProtection="1">
      <alignment horizontal="center"/>
    </xf>
    <xf numFmtId="0" fontId="88" fillId="3" borderId="0" xfId="1" quotePrefix="1" applyFill="1" applyAlignment="1" applyProtection="1"/>
    <xf numFmtId="0" fontId="88" fillId="3" borderId="0" xfId="1" applyNumberFormat="1" applyFill="1" applyAlignment="1" applyProtection="1">
      <alignment horizontal="center"/>
    </xf>
    <xf numFmtId="0" fontId="88" fillId="3" borderId="0" xfId="1" applyFill="1" applyAlignment="1" applyProtection="1">
      <alignment horizontal="center"/>
    </xf>
    <xf numFmtId="0" fontId="88" fillId="3" borderId="0" xfId="1" applyNumberFormat="1" applyFill="1" applyAlignment="1" applyProtection="1"/>
    <xf numFmtId="3" fontId="3" fillId="6" borderId="1" xfId="19" applyNumberFormat="1" applyFill="1" applyBorder="1"/>
    <xf numFmtId="3" fontId="3" fillId="6" borderId="2" xfId="19" applyNumberFormat="1" applyFill="1" applyBorder="1"/>
    <xf numFmtId="3" fontId="3" fillId="6" borderId="3" xfId="19" applyNumberFormat="1" applyFill="1" applyBorder="1"/>
    <xf numFmtId="3" fontId="88" fillId="3" borderId="0" xfId="1" applyNumberFormat="1" applyFill="1" applyAlignment="1" applyProtection="1"/>
    <xf numFmtId="3" fontId="17" fillId="2" borderId="1" xfId="19" applyNumberFormat="1" applyFont="1" applyFill="1" applyBorder="1" applyAlignment="1">
      <alignment horizontal="left"/>
    </xf>
    <xf numFmtId="3" fontId="15" fillId="2" borderId="2" xfId="19" applyNumberFormat="1" applyFont="1" applyFill="1" applyBorder="1" applyAlignment="1">
      <alignment horizontal="right"/>
    </xf>
    <xf numFmtId="3" fontId="15" fillId="2" borderId="2" xfId="19" applyNumberFormat="1" applyFont="1" applyFill="1" applyBorder="1" applyAlignment="1">
      <alignment horizontal="center"/>
    </xf>
    <xf numFmtId="3" fontId="14" fillId="2" borderId="2" xfId="19" applyNumberFormat="1" applyFont="1" applyFill="1" applyBorder="1" applyAlignment="1">
      <alignment horizontal="right"/>
    </xf>
    <xf numFmtId="3" fontId="15" fillId="2" borderId="3" xfId="19" applyNumberFormat="1" applyFont="1" applyFill="1" applyBorder="1" applyAlignment="1">
      <alignment horizontal="right"/>
    </xf>
    <xf numFmtId="3" fontId="20" fillId="3" borderId="0" xfId="19" applyNumberFormat="1" applyFont="1" applyFill="1" applyBorder="1"/>
    <xf numFmtId="3" fontId="17" fillId="2" borderId="4" xfId="19" applyNumberFormat="1" applyFont="1" applyFill="1" applyBorder="1" applyAlignment="1">
      <alignment horizontal="left"/>
    </xf>
    <xf numFmtId="3" fontId="15" fillId="2" borderId="0" xfId="19" applyNumberFormat="1" applyFont="1" applyFill="1" applyBorder="1" applyAlignment="1">
      <alignment horizontal="right"/>
    </xf>
    <xf numFmtId="3" fontId="15" fillId="2" borderId="0" xfId="19" applyNumberFormat="1" applyFont="1" applyFill="1" applyBorder="1" applyAlignment="1">
      <alignment horizontal="center"/>
    </xf>
    <xf numFmtId="3" fontId="14" fillId="2" borderId="0" xfId="19" applyNumberFormat="1" applyFont="1" applyFill="1" applyBorder="1" applyAlignment="1">
      <alignment horizontal="right"/>
    </xf>
    <xf numFmtId="3" fontId="15" fillId="2" borderId="5" xfId="19" applyNumberFormat="1" applyFont="1" applyFill="1" applyBorder="1" applyAlignment="1">
      <alignment horizontal="right"/>
    </xf>
    <xf numFmtId="3" fontId="5" fillId="2" borderId="0" xfId="19" applyNumberFormat="1" applyFont="1" applyFill="1" applyBorder="1" applyAlignment="1">
      <alignment horizontal="center"/>
    </xf>
    <xf numFmtId="3" fontId="5" fillId="2" borderId="5" xfId="19" applyNumberFormat="1" applyFont="1" applyFill="1" applyBorder="1" applyAlignment="1">
      <alignment horizontal="center"/>
    </xf>
    <xf numFmtId="3" fontId="21" fillId="3" borderId="0" xfId="19" applyNumberFormat="1" applyFont="1" applyFill="1"/>
    <xf numFmtId="3" fontId="23" fillId="11" borderId="0" xfId="19" applyNumberFormat="1" applyFont="1" applyFill="1" applyBorder="1" applyAlignment="1">
      <alignment horizontal="left"/>
    </xf>
    <xf numFmtId="3" fontId="10" fillId="3" borderId="0" xfId="19" applyNumberFormat="1" applyFont="1" applyFill="1"/>
    <xf numFmtId="3" fontId="9" fillId="3" borderId="0" xfId="10" applyNumberFormat="1" applyFont="1" applyFill="1"/>
    <xf numFmtId="3" fontId="10" fillId="3" borderId="0" xfId="4" applyNumberFormat="1" applyFont="1" applyFill="1"/>
    <xf numFmtId="3" fontId="18" fillId="3" borderId="0" xfId="4" applyNumberFormat="1" applyFont="1" applyFill="1"/>
    <xf numFmtId="0" fontId="90" fillId="3" borderId="0" xfId="0" applyFont="1" applyFill="1"/>
    <xf numFmtId="0" fontId="12" fillId="3" borderId="0" xfId="0" applyFont="1" applyFill="1" applyBorder="1"/>
    <xf numFmtId="0" fontId="9" fillId="3" borderId="0" xfId="10" applyFont="1" applyFill="1" applyBorder="1"/>
    <xf numFmtId="3" fontId="12" fillId="3" borderId="0" xfId="0" applyNumberFormat="1" applyFont="1" applyFill="1" applyBorder="1"/>
    <xf numFmtId="1" fontId="10" fillId="3" borderId="0" xfId="4" applyNumberFormat="1" applyFont="1" applyFill="1" applyBorder="1"/>
    <xf numFmtId="0" fontId="0" fillId="12" borderId="0" xfId="0" applyFill="1" applyBorder="1"/>
    <xf numFmtId="0" fontId="0" fillId="12" borderId="0" xfId="0" applyFill="1"/>
    <xf numFmtId="3" fontId="0" fillId="12" borderId="0" xfId="0" applyNumberFormat="1" applyFill="1"/>
    <xf numFmtId="3" fontId="3" fillId="12" borderId="0" xfId="19" applyNumberFormat="1" applyFill="1" applyBorder="1" applyAlignment="1"/>
    <xf numFmtId="3" fontId="3" fillId="12" borderId="0" xfId="19" applyNumberFormat="1" applyFill="1" applyBorder="1"/>
    <xf numFmtId="3" fontId="18" fillId="12" borderId="0" xfId="4" applyNumberFormat="1" applyFont="1" applyFill="1" applyBorder="1"/>
    <xf numFmtId="3" fontId="10" fillId="3" borderId="0" xfId="4" applyNumberFormat="1" applyFont="1" applyFill="1" applyBorder="1"/>
    <xf numFmtId="0" fontId="52" fillId="12" borderId="0" xfId="0" applyFont="1" applyFill="1"/>
    <xf numFmtId="11" fontId="86" fillId="9" borderId="82" xfId="25" applyNumberFormat="1" applyFont="1" applyFill="1" applyBorder="1" applyAlignment="1">
      <alignment horizontal="center"/>
    </xf>
    <xf numFmtId="11" fontId="86" fillId="9" borderId="0" xfId="25" applyNumberFormat="1" applyFont="1" applyFill="1" applyBorder="1" applyAlignment="1">
      <alignment horizontal="center"/>
    </xf>
    <xf numFmtId="11" fontId="86" fillId="9" borderId="81" xfId="25" applyNumberFormat="1" applyFont="1" applyFill="1" applyBorder="1" applyAlignment="1"/>
    <xf numFmtId="11" fontId="86" fillId="9" borderId="83" xfId="25" applyNumberFormat="1" applyFont="1" applyFill="1" applyBorder="1" applyAlignment="1">
      <alignment horizontal="center"/>
    </xf>
    <xf numFmtId="11" fontId="86" fillId="9" borderId="84" xfId="25" applyNumberFormat="1" applyFont="1" applyFill="1" applyBorder="1" applyAlignment="1"/>
    <xf numFmtId="11" fontId="86" fillId="9" borderId="85" xfId="25" applyNumberFormat="1" applyFont="1" applyFill="1" applyBorder="1" applyAlignment="1"/>
    <xf numFmtId="0" fontId="85" fillId="9" borderId="86" xfId="25" applyFont="1" applyFill="1" applyBorder="1" applyAlignment="1">
      <alignment horizontal="center"/>
    </xf>
    <xf numFmtId="0" fontId="87" fillId="9" borderId="18" xfId="25" applyFont="1" applyFill="1" applyBorder="1" applyAlignment="1">
      <alignment horizontal="center"/>
    </xf>
    <xf numFmtId="0" fontId="87" fillId="9" borderId="87" xfId="25" applyFont="1" applyFill="1" applyBorder="1" applyAlignment="1">
      <alignment horizontal="center"/>
    </xf>
    <xf numFmtId="0" fontId="85" fillId="9" borderId="86" xfId="25" applyFont="1" applyFill="1" applyBorder="1" applyAlignment="1">
      <alignment horizontal="left"/>
    </xf>
    <xf numFmtId="0" fontId="85" fillId="9" borderId="88" xfId="25" applyFont="1" applyFill="1" applyBorder="1" applyAlignment="1"/>
    <xf numFmtId="0" fontId="35" fillId="9" borderId="83" xfId="25" applyFont="1" applyFill="1" applyBorder="1" applyAlignment="1"/>
    <xf numFmtId="0" fontId="85" fillId="9" borderId="84" xfId="25" applyFont="1" applyFill="1" applyBorder="1" applyAlignment="1"/>
    <xf numFmtId="0" fontId="20" fillId="9" borderId="89" xfId="25" applyFont="1" applyFill="1" applyBorder="1" applyAlignment="1"/>
    <xf numFmtId="0" fontId="86" fillId="9" borderId="84" xfId="25" applyFont="1" applyFill="1" applyBorder="1" applyAlignment="1"/>
    <xf numFmtId="0" fontId="20" fillId="9" borderId="90" xfId="25" quotePrefix="1" applyFont="1" applyFill="1" applyBorder="1" applyAlignment="1">
      <alignment horizontal="left"/>
    </xf>
    <xf numFmtId="0" fontId="86" fillId="9" borderId="91" xfId="25" applyFont="1" applyFill="1" applyBorder="1" applyAlignment="1"/>
    <xf numFmtId="0" fontId="86" fillId="9" borderId="92" xfId="25" applyFont="1" applyFill="1" applyBorder="1" applyAlignment="1"/>
    <xf numFmtId="0" fontId="35" fillId="9" borderId="93" xfId="25" applyFont="1" applyFill="1" applyBorder="1" applyAlignment="1"/>
    <xf numFmtId="0" fontId="86" fillId="9" borderId="0" xfId="25" applyNumberFormat="1" applyFont="1" applyFill="1" applyBorder="1" applyAlignment="1">
      <alignment horizontal="left"/>
    </xf>
    <xf numFmtId="0" fontId="86" fillId="9" borderId="81" xfId="25" applyNumberFormat="1" applyFont="1" applyFill="1" applyBorder="1" applyAlignment="1">
      <alignment horizontal="left"/>
    </xf>
    <xf numFmtId="0" fontId="20" fillId="9" borderId="93" xfId="25" applyFont="1" applyFill="1" applyBorder="1" applyAlignment="1"/>
    <xf numFmtId="0" fontId="86" fillId="9" borderId="81" xfId="25" applyFont="1" applyFill="1" applyBorder="1" applyAlignment="1"/>
    <xf numFmtId="0" fontId="20" fillId="9" borderId="94" xfId="25" applyFont="1" applyFill="1" applyBorder="1" applyAlignment="1"/>
    <xf numFmtId="0" fontId="86" fillId="9" borderId="19" xfId="25" applyFont="1" applyFill="1" applyBorder="1" applyAlignment="1"/>
    <xf numFmtId="0" fontId="86" fillId="9" borderId="95" xfId="25" applyFont="1" applyFill="1" applyBorder="1" applyAlignment="1"/>
    <xf numFmtId="0" fontId="35" fillId="9" borderId="88" xfId="25" applyFont="1" applyFill="1" applyBorder="1" applyAlignment="1"/>
    <xf numFmtId="0" fontId="86" fillId="9" borderId="96" xfId="25" applyNumberFormat="1" applyFont="1" applyFill="1" applyBorder="1" applyAlignment="1">
      <alignment horizontal="left"/>
    </xf>
    <xf numFmtId="0" fontId="86" fillId="9" borderId="84" xfId="25" applyNumberFormat="1" applyFont="1" applyFill="1" applyBorder="1" applyAlignment="1">
      <alignment horizontal="left"/>
    </xf>
    <xf numFmtId="0" fontId="86" fillId="9" borderId="0" xfId="25" applyFont="1" applyFill="1" applyBorder="1" applyAlignment="1">
      <alignment horizontal="left"/>
    </xf>
    <xf numFmtId="0" fontId="86" fillId="9" borderId="81" xfId="25" applyFont="1" applyFill="1" applyBorder="1" applyAlignment="1">
      <alignment horizontal="left"/>
    </xf>
    <xf numFmtId="0" fontId="86" fillId="9" borderId="83" xfId="25" applyFont="1" applyFill="1" applyBorder="1" applyAlignment="1">
      <alignment horizontal="left"/>
    </xf>
    <xf numFmtId="0" fontId="86" fillId="9" borderId="84" xfId="25" applyFont="1" applyFill="1" applyBorder="1" applyAlignment="1">
      <alignment horizontal="left"/>
    </xf>
    <xf numFmtId="0" fontId="85" fillId="9" borderId="18" xfId="25" applyFont="1" applyFill="1" applyBorder="1" applyAlignment="1">
      <alignment horizontal="center"/>
    </xf>
    <xf numFmtId="0" fontId="85" fillId="9" borderId="87" xfId="25" applyFont="1" applyFill="1" applyBorder="1" applyAlignment="1">
      <alignment horizontal="center"/>
    </xf>
    <xf numFmtId="0" fontId="85" fillId="9" borderId="93" xfId="25" applyFont="1" applyFill="1" applyBorder="1" applyAlignment="1">
      <alignment horizontal="left"/>
    </xf>
    <xf numFmtId="0" fontId="85" fillId="9" borderId="0" xfId="25" applyFont="1" applyFill="1" applyBorder="1" applyAlignment="1">
      <alignment horizontal="left"/>
    </xf>
    <xf numFmtId="0" fontId="85" fillId="9" borderId="81" xfId="25" applyFont="1" applyFill="1" applyBorder="1" applyAlignment="1">
      <alignment horizontal="right"/>
    </xf>
    <xf numFmtId="0" fontId="86" fillId="9" borderId="89" xfId="25" applyFont="1" applyFill="1" applyBorder="1" applyAlignment="1"/>
    <xf numFmtId="0" fontId="86" fillId="9" borderId="83" xfId="25" applyFont="1" applyFill="1" applyBorder="1" applyAlignment="1"/>
    <xf numFmtId="0" fontId="86" fillId="9" borderId="83" xfId="25" applyNumberFormat="1" applyFont="1" applyFill="1" applyBorder="1" applyAlignment="1">
      <alignment horizontal="left"/>
    </xf>
    <xf numFmtId="0" fontId="86" fillId="9" borderId="93" xfId="25" applyFont="1" applyFill="1" applyBorder="1" applyAlignment="1"/>
    <xf numFmtId="0" fontId="86" fillId="9" borderId="0" xfId="25" applyFont="1" applyFill="1" applyBorder="1" applyAlignment="1"/>
    <xf numFmtId="0" fontId="35" fillId="9" borderId="94" xfId="25" applyNumberFormat="1" applyFont="1" applyFill="1" applyBorder="1" applyAlignment="1"/>
    <xf numFmtId="0" fontId="86" fillId="9" borderId="19" xfId="25" applyNumberFormat="1" applyFont="1" applyFill="1" applyBorder="1" applyAlignment="1">
      <alignment horizontal="left"/>
    </xf>
    <xf numFmtId="0" fontId="86" fillId="9" borderId="95" xfId="25" applyNumberFormat="1" applyFont="1" applyFill="1" applyBorder="1" applyAlignment="1">
      <alignment horizontal="left"/>
    </xf>
    <xf numFmtId="0" fontId="86" fillId="9" borderId="97" xfId="25" applyNumberFormat="1" applyFont="1" applyFill="1" applyBorder="1" applyAlignment="1"/>
    <xf numFmtId="0" fontId="86" fillId="9" borderId="98" xfId="25" applyNumberFormat="1" applyFont="1" applyFill="1" applyBorder="1" applyAlignment="1"/>
    <xf numFmtId="0" fontId="3" fillId="6" borderId="1" xfId="18" applyFill="1" applyBorder="1"/>
    <xf numFmtId="0" fontId="3" fillId="6" borderId="2" xfId="18" applyFill="1" applyBorder="1"/>
    <xf numFmtId="0" fontId="3" fillId="6" borderId="3" xfId="18" applyFill="1" applyBorder="1"/>
    <xf numFmtId="3" fontId="13" fillId="3" borderId="0" xfId="0" applyNumberFormat="1" applyFont="1" applyFill="1" applyBorder="1" applyAlignment="1">
      <alignment horizontal="center"/>
    </xf>
    <xf numFmtId="0" fontId="13" fillId="3" borderId="0" xfId="0" applyFont="1" applyFill="1" applyBorder="1" applyAlignment="1">
      <alignment horizontal="center"/>
    </xf>
    <xf numFmtId="0" fontId="6" fillId="2" borderId="16" xfId="8" applyFont="1" applyFill="1" applyBorder="1" applyAlignment="1">
      <alignment horizontal="left"/>
    </xf>
    <xf numFmtId="0" fontId="3" fillId="4" borderId="11" xfId="8" applyFill="1" applyBorder="1" applyAlignment="1"/>
    <xf numFmtId="0" fontId="0" fillId="4" borderId="11" xfId="0" applyFill="1" applyBorder="1"/>
    <xf numFmtId="0" fontId="3" fillId="4" borderId="12" xfId="8" applyFill="1" applyBorder="1" applyAlignment="1"/>
    <xf numFmtId="0" fontId="7" fillId="5" borderId="27" xfId="8" applyFont="1" applyFill="1" applyBorder="1" applyAlignment="1">
      <alignment horizontal="left"/>
    </xf>
    <xf numFmtId="0" fontId="7" fillId="5" borderId="33" xfId="8" applyFont="1" applyFill="1" applyBorder="1" applyAlignment="1">
      <alignment horizontal="left"/>
    </xf>
    <xf numFmtId="0" fontId="6" fillId="5" borderId="39" xfId="8" applyFont="1" applyFill="1" applyBorder="1" applyAlignment="1">
      <alignment horizontal="left"/>
    </xf>
    <xf numFmtId="0" fontId="6" fillId="5" borderId="61" xfId="8" applyFont="1" applyFill="1" applyBorder="1" applyAlignment="1">
      <alignment horizontal="left"/>
    </xf>
    <xf numFmtId="0" fontId="6" fillId="5" borderId="33" xfId="18" applyFont="1" applyFill="1" applyBorder="1" applyAlignment="1">
      <alignment horizontal="left"/>
    </xf>
    <xf numFmtId="0" fontId="7" fillId="5" borderId="33" xfId="18" applyFont="1" applyFill="1" applyBorder="1" applyAlignment="1">
      <alignment horizontal="left"/>
    </xf>
    <xf numFmtId="0" fontId="6" fillId="5" borderId="61" xfId="18" applyFont="1" applyFill="1" applyBorder="1" applyAlignment="1">
      <alignment horizontal="left"/>
    </xf>
    <xf numFmtId="0" fontId="6" fillId="5" borderId="39" xfId="18" applyFont="1" applyFill="1" applyBorder="1" applyAlignment="1">
      <alignment horizontal="left"/>
    </xf>
    <xf numFmtId="0" fontId="16" fillId="2" borderId="16" xfId="18" applyFont="1" applyFill="1" applyBorder="1" applyAlignment="1">
      <alignment horizontal="left"/>
    </xf>
    <xf numFmtId="0" fontId="15" fillId="2" borderId="12" xfId="18" applyFont="1" applyFill="1" applyBorder="1" applyAlignment="1">
      <alignment horizontal="center"/>
    </xf>
    <xf numFmtId="0" fontId="91" fillId="6" borderId="70" xfId="0" applyFont="1" applyFill="1" applyBorder="1"/>
    <xf numFmtId="0" fontId="91" fillId="6" borderId="72" xfId="0" applyFont="1" applyFill="1" applyBorder="1"/>
    <xf numFmtId="0" fontId="91" fillId="6" borderId="50" xfId="0" applyFont="1" applyFill="1" applyBorder="1"/>
    <xf numFmtId="1" fontId="6" fillId="5" borderId="27" xfId="4" applyNumberFormat="1" applyFont="1" applyFill="1" applyBorder="1" applyAlignment="1">
      <alignment horizontal="left"/>
    </xf>
    <xf numFmtId="1" fontId="7" fillId="5" borderId="33" xfId="4" applyNumberFormat="1" applyFont="1" applyFill="1" applyBorder="1" applyAlignment="1">
      <alignment horizontal="left"/>
    </xf>
    <xf numFmtId="1" fontId="6" fillId="5" borderId="39" xfId="4" applyNumberFormat="1" applyFont="1" applyFill="1" applyBorder="1" applyAlignment="1">
      <alignment horizontal="left"/>
    </xf>
    <xf numFmtId="1" fontId="6" fillId="5" borderId="99" xfId="4" applyNumberFormat="1" applyFont="1" applyFill="1" applyBorder="1" applyAlignment="1">
      <alignment horizontal="left"/>
    </xf>
    <xf numFmtId="1" fontId="18" fillId="6" borderId="1" xfId="4" applyNumberFormat="1" applyFont="1" applyFill="1" applyBorder="1"/>
    <xf numFmtId="1" fontId="18" fillId="6" borderId="2" xfId="4" applyNumberFormat="1" applyFont="1" applyFill="1" applyBorder="1"/>
    <xf numFmtId="1" fontId="18" fillId="6" borderId="3" xfId="4" applyNumberFormat="1" applyFont="1" applyFill="1" applyBorder="1"/>
    <xf numFmtId="3" fontId="17" fillId="2" borderId="16" xfId="19" applyNumberFormat="1" applyFont="1" applyFill="1" applyBorder="1" applyAlignment="1">
      <alignment horizontal="left"/>
    </xf>
    <xf numFmtId="3" fontId="15" fillId="2" borderId="11" xfId="19" applyNumberFormat="1" applyFont="1" applyFill="1" applyBorder="1" applyAlignment="1">
      <alignment horizontal="center"/>
    </xf>
    <xf numFmtId="3" fontId="15" fillId="2" borderId="11" xfId="19" applyNumberFormat="1" applyFont="1" applyFill="1" applyBorder="1" applyAlignment="1">
      <alignment horizontal="right"/>
    </xf>
    <xf numFmtId="3" fontId="5" fillId="2" borderId="11" xfId="19" applyNumberFormat="1" applyFont="1" applyFill="1" applyBorder="1" applyAlignment="1">
      <alignment horizontal="center"/>
    </xf>
    <xf numFmtId="3" fontId="15" fillId="2" borderId="12" xfId="19" applyNumberFormat="1" applyFont="1" applyFill="1" applyBorder="1" applyAlignment="1">
      <alignment horizontal="center"/>
    </xf>
    <xf numFmtId="3" fontId="7" fillId="5" borderId="27" xfId="19" applyNumberFormat="1" applyFont="1" applyFill="1" applyBorder="1" applyAlignment="1">
      <alignment horizontal="left"/>
    </xf>
    <xf numFmtId="3" fontId="7" fillId="5" borderId="33" xfId="19" applyNumberFormat="1" applyFont="1" applyFill="1" applyBorder="1" applyAlignment="1">
      <alignment horizontal="left"/>
    </xf>
    <xf numFmtId="3" fontId="22" fillId="5" borderId="33" xfId="19" applyNumberFormat="1" applyFont="1" applyFill="1" applyBorder="1" applyAlignment="1">
      <alignment horizontal="right"/>
    </xf>
    <xf numFmtId="3" fontId="7" fillId="5" borderId="33" xfId="19" applyNumberFormat="1" applyFont="1" applyFill="1" applyBorder="1" applyAlignment="1">
      <alignment horizontal="right"/>
    </xf>
    <xf numFmtId="3" fontId="6" fillId="5" borderId="33" xfId="19" applyNumberFormat="1" applyFont="1" applyFill="1" applyBorder="1" applyAlignment="1">
      <alignment horizontal="left"/>
    </xf>
    <xf numFmtId="3" fontId="23" fillId="5" borderId="99" xfId="19" applyNumberFormat="1" applyFont="1" applyFill="1" applyBorder="1" applyAlignment="1">
      <alignment horizontal="left"/>
    </xf>
    <xf numFmtId="0" fontId="17" fillId="2" borderId="16" xfId="20" applyFont="1" applyFill="1" applyBorder="1" applyAlignment="1">
      <alignment horizontal="left"/>
    </xf>
    <xf numFmtId="0" fontId="14" fillId="2" borderId="11" xfId="20" applyFont="1" applyFill="1" applyBorder="1" applyAlignment="1">
      <alignment horizontal="center"/>
    </xf>
    <xf numFmtId="0" fontId="14" fillId="2" borderId="12" xfId="20" applyFont="1" applyFill="1" applyBorder="1" applyAlignment="1">
      <alignment horizontal="center"/>
    </xf>
    <xf numFmtId="0" fontId="7" fillId="5" borderId="27" xfId="19" applyFont="1" applyFill="1" applyBorder="1" applyAlignment="1">
      <alignment horizontal="left"/>
    </xf>
    <xf numFmtId="0" fontId="7" fillId="5" borderId="33" xfId="20" applyFont="1" applyFill="1" applyBorder="1" applyAlignment="1">
      <alignment horizontal="left"/>
    </xf>
    <xf numFmtId="0" fontId="6" fillId="5" borderId="39" xfId="20" applyFont="1" applyFill="1" applyBorder="1" applyAlignment="1">
      <alignment horizontal="left"/>
    </xf>
    <xf numFmtId="0" fontId="6" fillId="5" borderId="99" xfId="20" applyFont="1" applyFill="1" applyBorder="1" applyAlignment="1">
      <alignment horizontal="left"/>
    </xf>
    <xf numFmtId="0" fontId="3" fillId="6" borderId="1" xfId="21" applyFill="1" applyBorder="1"/>
    <xf numFmtId="0" fontId="3" fillId="6" borderId="2" xfId="21" applyFill="1" applyBorder="1"/>
    <xf numFmtId="0" fontId="3" fillId="6" borderId="3" xfId="21" applyFill="1" applyBorder="1"/>
    <xf numFmtId="0" fontId="17" fillId="2" borderId="16" xfId="21" applyFont="1" applyFill="1" applyBorder="1" applyAlignment="1">
      <alignment horizontal="left"/>
    </xf>
    <xf numFmtId="0" fontId="14" fillId="2" borderId="11" xfId="21" applyFont="1" applyFill="1" applyBorder="1" applyAlignment="1">
      <alignment horizontal="right"/>
    </xf>
    <xf numFmtId="0" fontId="14" fillId="2" borderId="12" xfId="21" applyFont="1" applyFill="1" applyBorder="1" applyAlignment="1">
      <alignment horizontal="right"/>
    </xf>
    <xf numFmtId="0" fontId="6" fillId="5" borderId="33" xfId="21" applyFont="1" applyFill="1" applyBorder="1" applyAlignment="1">
      <alignment horizontal="left"/>
    </xf>
    <xf numFmtId="0" fontId="7" fillId="5" borderId="33" xfId="21" applyFont="1" applyFill="1" applyBorder="1" applyAlignment="1">
      <alignment horizontal="left"/>
    </xf>
    <xf numFmtId="0" fontId="6" fillId="5" borderId="39" xfId="21" applyFont="1" applyFill="1" applyBorder="1" applyAlignment="1">
      <alignment horizontal="left"/>
    </xf>
    <xf numFmtId="0" fontId="6" fillId="5" borderId="99" xfId="21" applyFont="1" applyFill="1" applyBorder="1" applyAlignment="1">
      <alignment horizontal="left"/>
    </xf>
    <xf numFmtId="0" fontId="20" fillId="6" borderId="1" xfId="22" applyFont="1" applyFill="1" applyBorder="1"/>
    <xf numFmtId="0" fontId="20" fillId="6" borderId="2" xfId="22" applyFont="1" applyFill="1" applyBorder="1"/>
    <xf numFmtId="0" fontId="20" fillId="6" borderId="3" xfId="22" applyFont="1" applyFill="1" applyBorder="1"/>
    <xf numFmtId="0" fontId="17" fillId="2" borderId="16" xfId="22" applyFont="1" applyFill="1" applyBorder="1" applyAlignment="1">
      <alignment horizontal="left"/>
    </xf>
    <xf numFmtId="0" fontId="14" fillId="2" borderId="11" xfId="22" applyFont="1" applyFill="1" applyBorder="1" applyAlignment="1">
      <alignment horizontal="center"/>
    </xf>
    <xf numFmtId="0" fontId="15" fillId="2" borderId="12" xfId="22" applyFont="1" applyFill="1" applyBorder="1" applyAlignment="1">
      <alignment horizontal="center"/>
    </xf>
    <xf numFmtId="0" fontId="6" fillId="5" borderId="33" xfId="22" applyFont="1" applyFill="1" applyBorder="1" applyAlignment="1">
      <alignment horizontal="left"/>
    </xf>
    <xf numFmtId="0" fontId="24" fillId="5" borderId="33" xfId="22" applyFont="1" applyFill="1" applyBorder="1" applyAlignment="1">
      <alignment horizontal="left"/>
    </xf>
    <xf numFmtId="0" fontId="7" fillId="5" borderId="33" xfId="22" applyFont="1" applyFill="1" applyBorder="1" applyAlignment="1">
      <alignment horizontal="left"/>
    </xf>
    <xf numFmtId="0" fontId="6" fillId="5" borderId="39" xfId="22" applyFont="1" applyFill="1" applyBorder="1" applyAlignment="1">
      <alignment horizontal="left"/>
    </xf>
    <xf numFmtId="0" fontId="6" fillId="5" borderId="99" xfId="22" applyFont="1" applyFill="1" applyBorder="1" applyAlignment="1">
      <alignment horizontal="left"/>
    </xf>
    <xf numFmtId="0" fontId="3" fillId="6" borderId="1" xfId="23" applyFill="1" applyBorder="1"/>
    <xf numFmtId="0" fontId="3" fillId="6" borderId="2" xfId="23" applyFill="1" applyBorder="1"/>
    <xf numFmtId="0" fontId="3" fillId="6" borderId="3" xfId="23" applyFill="1" applyBorder="1"/>
    <xf numFmtId="0" fontId="17" fillId="2" borderId="16" xfId="23" applyFont="1" applyFill="1" applyBorder="1" applyAlignment="1">
      <alignment horizontal="left"/>
    </xf>
    <xf numFmtId="0" fontId="14" fillId="2" borderId="11" xfId="23" applyFont="1" applyFill="1" applyBorder="1" applyAlignment="1">
      <alignment horizontal="center"/>
    </xf>
    <xf numFmtId="0" fontId="15" fillId="2" borderId="11" xfId="23" applyFont="1" applyFill="1" applyBorder="1" applyAlignment="1">
      <alignment horizontal="center"/>
    </xf>
    <xf numFmtId="0" fontId="15" fillId="2" borderId="12" xfId="23" applyFont="1" applyFill="1" applyBorder="1" applyAlignment="1">
      <alignment horizontal="center"/>
    </xf>
    <xf numFmtId="0" fontId="7" fillId="5" borderId="33" xfId="23" applyFont="1" applyFill="1" applyBorder="1" applyAlignment="1">
      <alignment horizontal="left"/>
    </xf>
    <xf numFmtId="0" fontId="6" fillId="5" borderId="39" xfId="23" applyFont="1" applyFill="1" applyBorder="1" applyAlignment="1">
      <alignment horizontal="left"/>
    </xf>
    <xf numFmtId="0" fontId="6" fillId="5" borderId="99" xfId="23" applyFont="1" applyFill="1" applyBorder="1" applyAlignment="1">
      <alignment horizontal="left"/>
    </xf>
    <xf numFmtId="0" fontId="27" fillId="2" borderId="16" xfId="0" applyFont="1" applyFill="1" applyBorder="1" applyAlignment="1">
      <alignment horizontal="left"/>
    </xf>
    <xf numFmtId="0" fontId="29" fillId="2" borderId="11" xfId="0" applyFont="1" applyFill="1" applyBorder="1" applyAlignment="1">
      <alignment horizontal="center"/>
    </xf>
    <xf numFmtId="0" fontId="30" fillId="2" borderId="12" xfId="0" applyFont="1" applyFill="1" applyBorder="1" applyAlignment="1">
      <alignment horizontal="center"/>
    </xf>
    <xf numFmtId="0" fontId="32" fillId="5" borderId="33" xfId="0" applyFont="1" applyFill="1" applyBorder="1" applyAlignment="1">
      <alignment horizontal="left"/>
    </xf>
    <xf numFmtId="0" fontId="31" fillId="5" borderId="39" xfId="0" applyFont="1" applyFill="1" applyBorder="1" applyAlignment="1">
      <alignment horizontal="left"/>
    </xf>
    <xf numFmtId="0" fontId="31" fillId="5" borderId="61" xfId="0" applyFont="1" applyFill="1" applyBorder="1" applyAlignment="1">
      <alignment horizontal="left"/>
    </xf>
    <xf numFmtId="0" fontId="3" fillId="6" borderId="1" xfId="9" applyFill="1" applyBorder="1"/>
    <xf numFmtId="0" fontId="3" fillId="6" borderId="3" xfId="9" applyFill="1" applyBorder="1"/>
    <xf numFmtId="0" fontId="17" fillId="2" borderId="16" xfId="9" applyFont="1" applyFill="1" applyBorder="1" applyAlignment="1">
      <alignment horizontal="left"/>
    </xf>
    <xf numFmtId="0" fontId="14" fillId="2" borderId="12" xfId="9" applyFont="1" applyFill="1" applyBorder="1" applyAlignment="1">
      <alignment horizontal="right"/>
    </xf>
    <xf numFmtId="0" fontId="6" fillId="5" borderId="27" xfId="9" applyFont="1" applyFill="1" applyBorder="1" applyAlignment="1">
      <alignment horizontal="left"/>
    </xf>
    <xf numFmtId="0" fontId="6" fillId="5" borderId="33" xfId="9" applyFont="1" applyFill="1" applyBorder="1" applyAlignment="1">
      <alignment horizontal="left"/>
    </xf>
    <xf numFmtId="0" fontId="7" fillId="5" borderId="33" xfId="9" applyFont="1" applyFill="1" applyBorder="1" applyAlignment="1">
      <alignment horizontal="left"/>
    </xf>
    <xf numFmtId="3" fontId="7" fillId="5" borderId="33" xfId="9" applyNumberFormat="1" applyFont="1" applyFill="1" applyBorder="1" applyAlignment="1">
      <alignment horizontal="left"/>
    </xf>
    <xf numFmtId="3" fontId="6" fillId="5" borderId="39" xfId="9" applyNumberFormat="1" applyFont="1" applyFill="1" applyBorder="1" applyAlignment="1">
      <alignment horizontal="left"/>
    </xf>
    <xf numFmtId="3" fontId="6" fillId="5" borderId="61" xfId="9" applyNumberFormat="1" applyFont="1" applyFill="1" applyBorder="1" applyAlignment="1">
      <alignment horizontal="left"/>
    </xf>
    <xf numFmtId="0" fontId="3" fillId="6" borderId="1" xfId="10" applyFill="1" applyBorder="1"/>
    <xf numFmtId="0" fontId="3" fillId="6" borderId="2" xfId="10" applyFill="1" applyBorder="1"/>
    <xf numFmtId="0" fontId="3" fillId="6" borderId="3" xfId="10" applyFill="1" applyBorder="1"/>
    <xf numFmtId="0" fontId="17" fillId="2" borderId="16" xfId="10" applyFont="1" applyFill="1" applyBorder="1" applyAlignment="1">
      <alignment horizontal="left"/>
    </xf>
    <xf numFmtId="0" fontId="14" fillId="2" borderId="11" xfId="10" applyFont="1" applyFill="1" applyBorder="1" applyAlignment="1">
      <alignment horizontal="right"/>
    </xf>
    <xf numFmtId="0" fontId="15" fillId="2" borderId="12" xfId="10" applyFont="1" applyFill="1" applyBorder="1" applyAlignment="1">
      <alignment horizontal="right"/>
    </xf>
    <xf numFmtId="0" fontId="6" fillId="5" borderId="27" xfId="10" applyFont="1" applyFill="1" applyBorder="1" applyAlignment="1">
      <alignment horizontal="left"/>
    </xf>
    <xf numFmtId="0" fontId="6" fillId="5" borderId="33" xfId="10" applyFont="1" applyFill="1" applyBorder="1" applyAlignment="1">
      <alignment horizontal="left"/>
    </xf>
    <xf numFmtId="0" fontId="7" fillId="5" borderId="33" xfId="10" applyFont="1" applyFill="1" applyBorder="1" applyAlignment="1">
      <alignment horizontal="left"/>
    </xf>
    <xf numFmtId="0" fontId="6" fillId="5" borderId="61" xfId="10" applyFont="1" applyFill="1" applyBorder="1" applyAlignment="1">
      <alignment horizontal="left"/>
    </xf>
    <xf numFmtId="0" fontId="3" fillId="6" borderId="1" xfId="11" applyFill="1" applyBorder="1"/>
    <xf numFmtId="0" fontId="3" fillId="6" borderId="2" xfId="11" applyFill="1" applyBorder="1"/>
    <xf numFmtId="0" fontId="3" fillId="6" borderId="3" xfId="11" applyFill="1" applyBorder="1"/>
    <xf numFmtId="0" fontId="2" fillId="2" borderId="16" xfId="11" applyFont="1" applyFill="1" applyBorder="1" applyAlignment="1">
      <alignment horizontal="left"/>
    </xf>
    <xf numFmtId="0" fontId="2" fillId="2" borderId="11" xfId="11" applyFont="1" applyFill="1" applyBorder="1" applyAlignment="1">
      <alignment horizontal="center"/>
    </xf>
    <xf numFmtId="0" fontId="2" fillId="2" borderId="12" xfId="11" applyFont="1" applyFill="1" applyBorder="1" applyAlignment="1">
      <alignment horizontal="center"/>
    </xf>
    <xf numFmtId="0" fontId="37" fillId="5" borderId="27" xfId="19" applyFont="1" applyFill="1" applyBorder="1" applyAlignment="1">
      <alignment horizontal="left"/>
    </xf>
    <xf numFmtId="0" fontId="37" fillId="5" borderId="33" xfId="11" applyFont="1" applyFill="1" applyBorder="1" applyAlignment="1">
      <alignment horizontal="left"/>
    </xf>
    <xf numFmtId="0" fontId="39" fillId="5" borderId="33" xfId="11" applyFont="1" applyFill="1" applyBorder="1" applyAlignment="1">
      <alignment horizontal="left"/>
    </xf>
    <xf numFmtId="0" fontId="39" fillId="5" borderId="61" xfId="11" applyFont="1" applyFill="1" applyBorder="1" applyAlignment="1">
      <alignment horizontal="left"/>
    </xf>
    <xf numFmtId="0" fontId="3" fillId="6" borderId="1" xfId="12" applyFill="1" applyBorder="1"/>
    <xf numFmtId="0" fontId="3" fillId="6" borderId="2" xfId="12" applyFill="1" applyBorder="1"/>
    <xf numFmtId="0" fontId="3" fillId="6" borderId="3" xfId="12" applyFill="1" applyBorder="1"/>
    <xf numFmtId="0" fontId="14" fillId="2" borderId="16" xfId="12" applyFont="1" applyFill="1" applyBorder="1" applyAlignment="1">
      <alignment horizontal="right"/>
    </xf>
    <xf numFmtId="0" fontId="14" fillId="2" borderId="11" xfId="12" applyFont="1" applyFill="1" applyBorder="1" applyAlignment="1">
      <alignment horizontal="center"/>
    </xf>
    <xf numFmtId="3" fontId="14" fillId="2" borderId="12" xfId="12" applyNumberFormat="1" applyFont="1" applyFill="1" applyBorder="1" applyAlignment="1">
      <alignment horizontal="center"/>
    </xf>
    <xf numFmtId="0" fontId="31" fillId="5" borderId="33" xfId="12" applyFont="1" applyFill="1" applyBorder="1" applyAlignment="1">
      <alignment horizontal="left"/>
    </xf>
    <xf numFmtId="0" fontId="32" fillId="5" borderId="33" xfId="12" applyFont="1" applyFill="1" applyBorder="1" applyAlignment="1">
      <alignment horizontal="left"/>
    </xf>
    <xf numFmtId="0" fontId="32" fillId="5" borderId="61" xfId="12" applyFont="1" applyFill="1" applyBorder="1" applyAlignment="1">
      <alignment horizontal="left"/>
    </xf>
    <xf numFmtId="0" fontId="3" fillId="6" borderId="1" xfId="13" applyFill="1" applyBorder="1"/>
    <xf numFmtId="0" fontId="3" fillId="6" borderId="2" xfId="13" applyFill="1" applyBorder="1"/>
    <xf numFmtId="0" fontId="3" fillId="6" borderId="3" xfId="13" applyFill="1" applyBorder="1"/>
    <xf numFmtId="0" fontId="17" fillId="2" borderId="16" xfId="13" applyFont="1" applyFill="1" applyBorder="1" applyAlignment="1">
      <alignment horizontal="left"/>
    </xf>
    <xf numFmtId="0" fontId="14" fillId="2" borderId="11" xfId="13" applyFont="1" applyFill="1" applyBorder="1" applyAlignment="1">
      <alignment horizontal="center"/>
    </xf>
    <xf numFmtId="0" fontId="15" fillId="2" borderId="12" xfId="13" applyFont="1" applyFill="1" applyBorder="1" applyAlignment="1">
      <alignment horizontal="center"/>
    </xf>
    <xf numFmtId="0" fontId="6" fillId="5" borderId="27" xfId="13" applyFont="1" applyFill="1" applyBorder="1" applyAlignment="1">
      <alignment horizontal="left"/>
    </xf>
    <xf numFmtId="0" fontId="7" fillId="5" borderId="33" xfId="13" applyFont="1" applyFill="1" applyBorder="1" applyAlignment="1">
      <alignment horizontal="left"/>
    </xf>
    <xf numFmtId="0" fontId="6" fillId="5" borderId="33" xfId="13" applyFont="1" applyFill="1" applyBorder="1" applyAlignment="1">
      <alignment horizontal="left"/>
    </xf>
    <xf numFmtId="0" fontId="6" fillId="5" borderId="61" xfId="13" applyFont="1" applyFill="1" applyBorder="1" applyAlignment="1">
      <alignment horizontal="left"/>
    </xf>
    <xf numFmtId="0" fontId="20" fillId="6" borderId="1" xfId="14" applyFont="1" applyFill="1" applyBorder="1"/>
    <xf numFmtId="0" fontId="20" fillId="6" borderId="2" xfId="14" applyFont="1" applyFill="1" applyBorder="1"/>
    <xf numFmtId="0" fontId="20" fillId="6" borderId="3" xfId="14" applyFont="1" applyFill="1" applyBorder="1"/>
    <xf numFmtId="0" fontId="17" fillId="2" borderId="16" xfId="14" applyFont="1" applyFill="1" applyBorder="1" applyAlignment="1">
      <alignment horizontal="left"/>
    </xf>
    <xf numFmtId="0" fontId="14" fillId="2" borderId="11" xfId="14" applyFont="1" applyFill="1" applyBorder="1" applyAlignment="1">
      <alignment horizontal="center"/>
    </xf>
    <xf numFmtId="0" fontId="15" fillId="2" borderId="12" xfId="14" applyFont="1" applyFill="1" applyBorder="1" applyAlignment="1">
      <alignment horizontal="center"/>
    </xf>
    <xf numFmtId="0" fontId="6" fillId="5" borderId="27" xfId="14" applyFont="1" applyFill="1" applyBorder="1" applyAlignment="1">
      <alignment horizontal="left"/>
    </xf>
    <xf numFmtId="0" fontId="7" fillId="5" borderId="33" xfId="14" applyFont="1" applyFill="1" applyBorder="1" applyAlignment="1">
      <alignment horizontal="left"/>
    </xf>
    <xf numFmtId="0" fontId="6" fillId="5" borderId="33" xfId="14" applyFont="1" applyFill="1" applyBorder="1" applyAlignment="1">
      <alignment horizontal="left"/>
    </xf>
    <xf numFmtId="0" fontId="6" fillId="5" borderId="61" xfId="14" applyFont="1" applyFill="1" applyBorder="1" applyAlignment="1">
      <alignment horizontal="left"/>
    </xf>
    <xf numFmtId="0" fontId="3" fillId="6" borderId="1" xfId="15" applyFill="1" applyBorder="1"/>
    <xf numFmtId="0" fontId="3" fillId="6" borderId="2" xfId="15" applyFill="1" applyBorder="1"/>
    <xf numFmtId="0" fontId="3" fillId="6" borderId="3" xfId="15" applyFill="1" applyBorder="1"/>
    <xf numFmtId="0" fontId="6" fillId="2" borderId="16" xfId="15" applyFont="1" applyFill="1" applyBorder="1" applyAlignment="1">
      <alignment horizontal="left"/>
    </xf>
    <xf numFmtId="0" fontId="3" fillId="4" borderId="11" xfId="15" applyFill="1" applyBorder="1" applyAlignment="1"/>
    <xf numFmtId="0" fontId="3" fillId="4" borderId="12" xfId="15" applyFill="1" applyBorder="1" applyAlignment="1"/>
    <xf numFmtId="0" fontId="7" fillId="5" borderId="33" xfId="15" applyFont="1" applyFill="1" applyBorder="1" applyAlignment="1">
      <alignment horizontal="left"/>
    </xf>
    <xf numFmtId="0" fontId="6" fillId="5" borderId="33" xfId="15" applyFont="1" applyFill="1" applyBorder="1" applyAlignment="1">
      <alignment horizontal="left"/>
    </xf>
    <xf numFmtId="0" fontId="6" fillId="5" borderId="61" xfId="15" applyFont="1" applyFill="1" applyBorder="1" applyAlignment="1">
      <alignment horizontal="left"/>
    </xf>
    <xf numFmtId="0" fontId="3" fillId="6" borderId="1" xfId="16" applyFill="1" applyBorder="1"/>
    <xf numFmtId="0" fontId="3" fillId="6" borderId="2" xfId="16" applyFill="1" applyBorder="1"/>
    <xf numFmtId="0" fontId="3" fillId="6" borderId="3" xfId="16" applyFill="1" applyBorder="1"/>
    <xf numFmtId="0" fontId="17" fillId="2" borderId="16" xfId="16" applyFont="1" applyFill="1" applyBorder="1" applyAlignment="1">
      <alignment horizontal="left"/>
    </xf>
    <xf numFmtId="0" fontId="6" fillId="5" borderId="27" xfId="16" applyFont="1" applyFill="1" applyBorder="1" applyAlignment="1">
      <alignment horizontal="left"/>
    </xf>
    <xf numFmtId="0" fontId="7" fillId="5" borderId="33" xfId="16" applyFont="1" applyFill="1" applyBorder="1" applyAlignment="1">
      <alignment horizontal="left"/>
    </xf>
    <xf numFmtId="0" fontId="6" fillId="5" borderId="33" xfId="16" applyFont="1" applyFill="1" applyBorder="1" applyAlignment="1">
      <alignment horizontal="left"/>
    </xf>
    <xf numFmtId="0" fontId="6" fillId="5" borderId="61" xfId="16" applyFont="1" applyFill="1" applyBorder="1" applyAlignment="1">
      <alignment horizontal="left"/>
    </xf>
    <xf numFmtId="0" fontId="3" fillId="6" borderId="1" xfId="17" applyFill="1" applyBorder="1"/>
    <xf numFmtId="0" fontId="3" fillId="6" borderId="2" xfId="17" applyFill="1" applyBorder="1"/>
    <xf numFmtId="0" fontId="3" fillId="6" borderId="3" xfId="17" applyFill="1" applyBorder="1"/>
    <xf numFmtId="0" fontId="17" fillId="2" borderId="16" xfId="17" applyFont="1" applyFill="1" applyBorder="1" applyAlignment="1">
      <alignment horizontal="left"/>
    </xf>
    <xf numFmtId="0" fontId="17" fillId="2" borderId="11" xfId="17" applyFont="1" applyFill="1" applyBorder="1" applyAlignment="1">
      <alignment horizontal="left"/>
    </xf>
    <xf numFmtId="0" fontId="14" fillId="2" borderId="12" xfId="17" applyFont="1" applyFill="1" applyBorder="1" applyAlignment="1">
      <alignment horizontal="center"/>
    </xf>
    <xf numFmtId="0" fontId="6" fillId="5" borderId="1" xfId="17" applyFont="1" applyFill="1" applyBorder="1" applyAlignment="1">
      <alignment horizontal="left"/>
    </xf>
    <xf numFmtId="0" fontId="6" fillId="5" borderId="28" xfId="17" applyFont="1" applyFill="1" applyBorder="1" applyAlignment="1">
      <alignment horizontal="left"/>
    </xf>
    <xf numFmtId="0" fontId="7" fillId="5" borderId="34" xfId="17" applyFont="1" applyFill="1" applyBorder="1" applyAlignment="1">
      <alignment horizontal="left"/>
    </xf>
    <xf numFmtId="3" fontId="7" fillId="5" borderId="34" xfId="17" applyNumberFormat="1" applyFont="1" applyFill="1" applyBorder="1" applyAlignment="1">
      <alignment horizontal="left"/>
    </xf>
    <xf numFmtId="3" fontId="6" fillId="5" borderId="40" xfId="17" applyNumberFormat="1" applyFont="1" applyFill="1" applyBorder="1" applyAlignment="1">
      <alignment horizontal="left"/>
    </xf>
    <xf numFmtId="3" fontId="6" fillId="5" borderId="62" xfId="17" applyNumberFormat="1" applyFont="1" applyFill="1" applyBorder="1" applyAlignment="1">
      <alignment horizontal="left"/>
    </xf>
    <xf numFmtId="1" fontId="23" fillId="5" borderId="27" xfId="7" applyNumberFormat="1" applyFont="1" applyFill="1" applyBorder="1" applyAlignment="1">
      <alignment horizontal="left"/>
    </xf>
    <xf numFmtId="1" fontId="6" fillId="5" borderId="33" xfId="7" applyNumberFormat="1" applyFont="1" applyFill="1" applyBorder="1" applyAlignment="1">
      <alignment horizontal="left"/>
    </xf>
    <xf numFmtId="1" fontId="7" fillId="5" borderId="33" xfId="7" applyNumberFormat="1" applyFont="1" applyFill="1" applyBorder="1" applyAlignment="1">
      <alignment horizontal="left"/>
    </xf>
    <xf numFmtId="1" fontId="23" fillId="5" borderId="33" xfId="7" applyNumberFormat="1" applyFont="1" applyFill="1" applyBorder="1" applyAlignment="1">
      <alignment horizontal="left"/>
    </xf>
    <xf numFmtId="3" fontId="23" fillId="5" borderId="33" xfId="7" applyNumberFormat="1" applyFont="1" applyFill="1" applyBorder="1" applyAlignment="1">
      <alignment horizontal="left"/>
    </xf>
    <xf numFmtId="1" fontId="6" fillId="5" borderId="33" xfId="7" quotePrefix="1" applyNumberFormat="1" applyFont="1" applyFill="1" applyBorder="1" applyAlignment="1">
      <alignment horizontal="left"/>
    </xf>
    <xf numFmtId="0" fontId="23" fillId="5" borderId="33" xfId="7" applyFont="1" applyFill="1" applyBorder="1" applyAlignment="1">
      <alignment horizontal="left"/>
    </xf>
    <xf numFmtId="1" fontId="23" fillId="5" borderId="61" xfId="7" quotePrefix="1" applyNumberFormat="1" applyFont="1" applyFill="1" applyBorder="1" applyAlignment="1">
      <alignment horizontal="left"/>
    </xf>
    <xf numFmtId="0" fontId="55" fillId="6" borderId="1" xfId="0" applyFont="1" applyFill="1" applyBorder="1"/>
    <xf numFmtId="0" fontId="55" fillId="6" borderId="2" xfId="0" applyFont="1" applyFill="1" applyBorder="1"/>
    <xf numFmtId="0" fontId="55" fillId="6" borderId="3" xfId="0" applyFont="1" applyFill="1" applyBorder="1"/>
    <xf numFmtId="0" fontId="46" fillId="9" borderId="32" xfId="24" applyFont="1" applyFill="1" applyBorder="1"/>
    <xf numFmtId="0" fontId="46" fillId="9" borderId="0" xfId="24" applyFont="1" applyFill="1" applyBorder="1" applyAlignment="1">
      <alignment horizontal="center"/>
    </xf>
    <xf numFmtId="0" fontId="46" fillId="9" borderId="34" xfId="24" applyFont="1" applyFill="1" applyBorder="1" applyAlignment="1">
      <alignment horizontal="center"/>
    </xf>
    <xf numFmtId="171" fontId="45" fillId="9" borderId="0" xfId="24" applyNumberFormat="1" applyFill="1" applyBorder="1" applyAlignment="1">
      <alignment horizontal="center"/>
    </xf>
    <xf numFmtId="3" fontId="45" fillId="9" borderId="34" xfId="24" applyNumberFormat="1" applyFill="1" applyBorder="1" applyAlignment="1">
      <alignment horizontal="center"/>
    </xf>
    <xf numFmtId="0" fontId="45" fillId="9" borderId="0" xfId="24" applyFill="1" applyBorder="1" applyAlignment="1">
      <alignment horizontal="center"/>
    </xf>
    <xf numFmtId="0" fontId="46" fillId="9" borderId="32" xfId="24" applyFont="1" applyFill="1" applyBorder="1" applyAlignment="1">
      <alignment horizontal="left"/>
    </xf>
    <xf numFmtId="0" fontId="45" fillId="9" borderId="0" xfId="24" applyFill="1" applyBorder="1"/>
    <xf numFmtId="0" fontId="45" fillId="9" borderId="34" xfId="24" applyFill="1" applyBorder="1"/>
    <xf numFmtId="0" fontId="83" fillId="9" borderId="32" xfId="24" applyFont="1" applyFill="1" applyBorder="1" applyAlignment="1">
      <alignment horizontal="left"/>
    </xf>
    <xf numFmtId="0" fontId="83" fillId="9" borderId="35" xfId="24" applyFont="1" applyFill="1" applyBorder="1" applyAlignment="1">
      <alignment horizontal="left"/>
    </xf>
    <xf numFmtId="0" fontId="45" fillId="9" borderId="8" xfId="24" applyFill="1" applyBorder="1"/>
    <xf numFmtId="0" fontId="45" fillId="9" borderId="37" xfId="24" applyFill="1" applyBorder="1"/>
    <xf numFmtId="0" fontId="20" fillId="6" borderId="1" xfId="25" applyNumberFormat="1" applyFont="1" applyFill="1" applyBorder="1"/>
    <xf numFmtId="0" fontId="20" fillId="6" borderId="2" xfId="25" applyNumberFormat="1" applyFont="1" applyFill="1" applyBorder="1"/>
    <xf numFmtId="0" fontId="20" fillId="6" borderId="3" xfId="25" applyNumberFormat="1" applyFont="1" applyFill="1" applyBorder="1"/>
    <xf numFmtId="0" fontId="84" fillId="4" borderId="24" xfId="25" applyNumberFormat="1" applyFont="1" applyFill="1" applyBorder="1" applyAlignment="1">
      <alignment horizontal="left"/>
    </xf>
    <xf numFmtId="0" fontId="84" fillId="4" borderId="26" xfId="25" applyNumberFormat="1" applyFont="1" applyFill="1" applyBorder="1" applyAlignment="1">
      <alignment horizontal="center"/>
    </xf>
    <xf numFmtId="0" fontId="84" fillId="4" borderId="4" xfId="25" applyNumberFormat="1" applyFont="1" applyFill="1" applyBorder="1" applyAlignment="1">
      <alignment horizontal="left"/>
    </xf>
    <xf numFmtId="0" fontId="84" fillId="4" borderId="5" xfId="25" applyNumberFormat="1" applyFont="1" applyFill="1" applyBorder="1" applyAlignment="1">
      <alignment horizontal="center"/>
    </xf>
    <xf numFmtId="0" fontId="84" fillId="4" borderId="4" xfId="25" applyNumberFormat="1" applyFont="1" applyFill="1" applyBorder="1" applyAlignment="1">
      <alignment horizontal="center"/>
    </xf>
    <xf numFmtId="0" fontId="84" fillId="4" borderId="6" xfId="25" applyNumberFormat="1" applyFont="1" applyFill="1" applyBorder="1" applyAlignment="1">
      <alignment horizontal="right"/>
    </xf>
    <xf numFmtId="0" fontId="84" fillId="4" borderId="7" xfId="25" applyNumberFormat="1" applyFont="1" applyFill="1" applyBorder="1" applyAlignment="1">
      <alignment horizontal="right"/>
    </xf>
    <xf numFmtId="0" fontId="85" fillId="9" borderId="100" xfId="25" applyNumberFormat="1" applyFont="1" applyFill="1" applyBorder="1" applyAlignment="1"/>
    <xf numFmtId="11" fontId="86" fillId="9" borderId="101" xfId="25" applyNumberFormat="1" applyFont="1" applyFill="1" applyBorder="1" applyAlignment="1"/>
    <xf numFmtId="0" fontId="85" fillId="9" borderId="4" xfId="25" applyNumberFormat="1" applyFont="1" applyFill="1" applyBorder="1" applyAlignment="1"/>
    <xf numFmtId="11" fontId="86" fillId="9" borderId="5" xfId="25" applyNumberFormat="1" applyFont="1" applyFill="1" applyBorder="1" applyAlignment="1"/>
    <xf numFmtId="0" fontId="85" fillId="9" borderId="102" xfId="25" applyNumberFormat="1" applyFont="1" applyFill="1" applyBorder="1" applyAlignment="1"/>
    <xf numFmtId="11" fontId="86" fillId="9" borderId="103" xfId="25" applyNumberFormat="1" applyFont="1" applyFill="1" applyBorder="1" applyAlignment="1"/>
    <xf numFmtId="0" fontId="85" fillId="9" borderId="104" xfId="25" applyNumberFormat="1" applyFont="1" applyFill="1" applyBorder="1" applyAlignment="1"/>
    <xf numFmtId="11" fontId="86" fillId="9" borderId="105" xfId="25" applyNumberFormat="1" applyFont="1" applyFill="1" applyBorder="1" applyAlignment="1">
      <alignment horizontal="center"/>
    </xf>
    <xf numFmtId="11" fontId="86" fillId="9" borderId="106" xfId="25" applyNumberFormat="1" applyFont="1" applyFill="1" applyBorder="1" applyAlignment="1"/>
    <xf numFmtId="0" fontId="8" fillId="3" borderId="11" xfId="10" applyFont="1" applyFill="1" applyBorder="1" applyAlignment="1"/>
    <xf numFmtId="0" fontId="3" fillId="6" borderId="38" xfId="10" applyFill="1" applyBorder="1"/>
    <xf numFmtId="0" fontId="3" fillId="6" borderId="9" xfId="10" applyFill="1" applyBorder="1"/>
    <xf numFmtId="0" fontId="3" fillId="6" borderId="40" xfId="10" applyFill="1" applyBorder="1"/>
    <xf numFmtId="0" fontId="14" fillId="13" borderId="4" xfId="10" applyFont="1" applyFill="1" applyBorder="1" applyAlignment="1">
      <alignment horizontal="right"/>
    </xf>
    <xf numFmtId="0" fontId="14" fillId="13" borderId="0" xfId="10" applyFont="1" applyFill="1" applyBorder="1" applyAlignment="1">
      <alignment horizontal="right"/>
    </xf>
    <xf numFmtId="0" fontId="14" fillId="13" borderId="5" xfId="10" applyFont="1" applyFill="1" applyBorder="1" applyAlignment="1">
      <alignment horizontal="right"/>
    </xf>
    <xf numFmtId="0" fontId="6" fillId="5" borderId="1" xfId="10" applyFont="1" applyFill="1" applyBorder="1" applyAlignment="1">
      <alignment horizontal="left"/>
    </xf>
    <xf numFmtId="0" fontId="3" fillId="3" borderId="2" xfId="10" applyFill="1" applyBorder="1" applyAlignment="1"/>
    <xf numFmtId="0" fontId="3" fillId="3" borderId="3" xfId="10" applyFill="1" applyBorder="1" applyAlignment="1"/>
    <xf numFmtId="0" fontId="61" fillId="6" borderId="70" xfId="0" applyFont="1" applyFill="1" applyBorder="1" applyAlignment="1">
      <alignment horizontal="center"/>
    </xf>
    <xf numFmtId="0" fontId="61" fillId="6" borderId="72" xfId="0" applyFont="1" applyFill="1" applyBorder="1" applyAlignment="1">
      <alignment horizontal="center"/>
    </xf>
    <xf numFmtId="0" fontId="0" fillId="6" borderId="72" xfId="0" applyFill="1" applyBorder="1"/>
    <xf numFmtId="0" fontId="0" fillId="6" borderId="50" xfId="0" applyFill="1" applyBorder="1"/>
    <xf numFmtId="0" fontId="11" fillId="4" borderId="6" xfId="0" applyFont="1" applyFill="1" applyBorder="1"/>
    <xf numFmtId="0" fontId="11" fillId="4" borderId="32" xfId="0" applyFont="1" applyFill="1" applyBorder="1" applyAlignment="1">
      <alignment horizontal="right"/>
    </xf>
    <xf numFmtId="0" fontId="11" fillId="4" borderId="0" xfId="0" applyFont="1" applyFill="1" applyBorder="1" applyAlignment="1">
      <alignment horizontal="right"/>
    </xf>
    <xf numFmtId="0" fontId="67" fillId="4" borderId="4" xfId="0" applyFont="1" applyFill="1" applyBorder="1" applyAlignment="1">
      <alignment horizontal="right"/>
    </xf>
    <xf numFmtId="0" fontId="67" fillId="4" borderId="34" xfId="0" applyFont="1" applyFill="1" applyBorder="1" applyAlignment="1">
      <alignment horizontal="right"/>
    </xf>
    <xf numFmtId="0" fontId="67" fillId="4" borderId="5" xfId="0" applyFont="1" applyFill="1" applyBorder="1" applyAlignment="1">
      <alignment horizontal="right"/>
    </xf>
    <xf numFmtId="0" fontId="11" fillId="4" borderId="33" xfId="0" applyFont="1" applyFill="1" applyBorder="1" applyAlignment="1">
      <alignment horizontal="right"/>
    </xf>
    <xf numFmtId="0" fontId="11" fillId="4" borderId="34" xfId="0" applyFont="1" applyFill="1" applyBorder="1" applyAlignment="1">
      <alignment horizontal="right"/>
    </xf>
    <xf numFmtId="0" fontId="11" fillId="4" borderId="5" xfId="0" applyFont="1" applyFill="1" applyBorder="1" applyAlignment="1">
      <alignment horizontal="right"/>
    </xf>
    <xf numFmtId="0" fontId="70" fillId="14" borderId="70" xfId="0" applyFont="1" applyFill="1" applyBorder="1" applyAlignment="1">
      <alignment horizontal="center"/>
    </xf>
    <xf numFmtId="0" fontId="70" fillId="14" borderId="72" xfId="0" applyFont="1" applyFill="1" applyBorder="1" applyAlignment="1">
      <alignment horizontal="center"/>
    </xf>
    <xf numFmtId="0" fontId="71" fillId="14" borderId="72" xfId="0" applyFont="1" applyFill="1" applyBorder="1"/>
    <xf numFmtId="0" fontId="0" fillId="14" borderId="72" xfId="0" applyFill="1" applyBorder="1"/>
    <xf numFmtId="0" fontId="0" fillId="14" borderId="50" xfId="0" applyFill="1" applyBorder="1"/>
    <xf numFmtId="3" fontId="63" fillId="9" borderId="15" xfId="0" applyNumberFormat="1" applyFont="1" applyFill="1" applyBorder="1" applyAlignment="1">
      <alignment horizontal="right"/>
    </xf>
    <xf numFmtId="3" fontId="63" fillId="9" borderId="0" xfId="0" applyNumberFormat="1" applyFont="1" applyFill="1" applyBorder="1" applyAlignment="1">
      <alignment horizontal="right"/>
    </xf>
    <xf numFmtId="3" fontId="63" fillId="9" borderId="41" xfId="0" applyNumberFormat="1" applyFont="1" applyFill="1" applyBorder="1" applyAlignment="1">
      <alignment horizontal="right"/>
    </xf>
    <xf numFmtId="0" fontId="11" fillId="4" borderId="43" xfId="0" applyFont="1" applyFill="1" applyBorder="1"/>
    <xf numFmtId="0" fontId="11" fillId="4" borderId="67" xfId="0" applyFont="1" applyFill="1" applyBorder="1"/>
    <xf numFmtId="3" fontId="13" fillId="9" borderId="15" xfId="0" applyNumberFormat="1" applyFont="1" applyFill="1" applyBorder="1" applyAlignment="1">
      <alignment horizontal="right"/>
    </xf>
    <xf numFmtId="3" fontId="13" fillId="9" borderId="0" xfId="0" applyNumberFormat="1" applyFont="1" applyFill="1" applyBorder="1" applyAlignment="1">
      <alignment horizontal="right"/>
    </xf>
    <xf numFmtId="3" fontId="13" fillId="9" borderId="13" xfId="0" applyNumberFormat="1" applyFont="1" applyFill="1" applyBorder="1" applyAlignment="1">
      <alignment horizontal="right"/>
    </xf>
    <xf numFmtId="0" fontId="49" fillId="7" borderId="4" xfId="0" applyFont="1" applyFill="1" applyBorder="1" applyAlignment="1">
      <alignment horizontal="left"/>
    </xf>
    <xf numFmtId="0" fontId="49" fillId="7" borderId="16" xfId="0" applyFont="1" applyFill="1" applyBorder="1" applyAlignment="1">
      <alignment horizontal="left"/>
    </xf>
    <xf numFmtId="0" fontId="49" fillId="7" borderId="1" xfId="0" applyFont="1" applyFill="1" applyBorder="1"/>
    <xf numFmtId="0" fontId="49" fillId="7" borderId="4" xfId="0" applyFont="1" applyFill="1" applyBorder="1"/>
    <xf numFmtId="0" fontId="49" fillId="7" borderId="20" xfId="0" applyFont="1" applyFill="1" applyBorder="1" applyAlignment="1">
      <alignment horizontal="center"/>
    </xf>
    <xf numFmtId="166" fontId="49" fillId="7" borderId="22" xfId="0" applyNumberFormat="1" applyFont="1" applyFill="1" applyBorder="1" applyAlignment="1">
      <alignment horizontal="right"/>
    </xf>
    <xf numFmtId="166" fontId="49" fillId="7" borderId="22" xfId="0" applyNumberFormat="1" applyFont="1" applyFill="1" applyBorder="1"/>
    <xf numFmtId="0" fontId="49" fillId="7" borderId="22" xfId="0" applyFont="1" applyFill="1" applyBorder="1" applyAlignment="1">
      <alignment horizontal="right"/>
    </xf>
    <xf numFmtId="166" fontId="49" fillId="7" borderId="21" xfId="0" applyNumberFormat="1" applyFont="1" applyFill="1" applyBorder="1" applyAlignment="1">
      <alignment horizontal="right"/>
    </xf>
    <xf numFmtId="3" fontId="46" fillId="0" borderId="52" xfId="5" applyNumberFormat="1" applyFont="1" applyBorder="1" applyAlignment="1">
      <alignment horizontal="center"/>
    </xf>
    <xf numFmtId="3" fontId="46" fillId="15" borderId="52" xfId="5" applyNumberFormat="1" applyFont="1" applyFill="1" applyBorder="1" applyAlignment="1">
      <alignment horizontal="center"/>
    </xf>
    <xf numFmtId="3" fontId="46" fillId="7" borderId="52" xfId="5" applyNumberFormat="1" applyFont="1" applyFill="1" applyBorder="1" applyAlignment="1">
      <alignment horizontal="center"/>
    </xf>
    <xf numFmtId="3" fontId="48" fillId="15" borderId="52" xfId="5" applyNumberFormat="1" applyFont="1" applyFill="1" applyBorder="1" applyAlignment="1">
      <alignment horizontal="center"/>
    </xf>
    <xf numFmtId="0" fontId="13" fillId="5" borderId="33" xfId="12" applyFont="1" applyFill="1" applyBorder="1" applyAlignment="1">
      <alignment horizontal="left"/>
    </xf>
    <xf numFmtId="3" fontId="46" fillId="0" borderId="52" xfId="6" applyNumberFormat="1" applyFont="1" applyBorder="1" applyAlignment="1">
      <alignment horizontal="center"/>
    </xf>
    <xf numFmtId="165" fontId="46" fillId="0" borderId="52" xfId="6" applyNumberFormat="1" applyFont="1" applyBorder="1" applyAlignment="1">
      <alignment horizontal="center"/>
    </xf>
    <xf numFmtId="3" fontId="48" fillId="15" borderId="52" xfId="6" applyNumberFormat="1" applyFont="1" applyFill="1" applyBorder="1" applyAlignment="1">
      <alignment horizontal="center"/>
    </xf>
    <xf numFmtId="3" fontId="0" fillId="0" borderId="43" xfId="0" applyNumberFormat="1" applyFill="1" applyBorder="1" applyAlignment="1">
      <alignment horizontal="center"/>
    </xf>
    <xf numFmtId="3" fontId="0" fillId="0" borderId="0" xfId="0" applyNumberFormat="1" applyFill="1" applyBorder="1" applyAlignment="1">
      <alignment horizontal="center"/>
    </xf>
    <xf numFmtId="3" fontId="46" fillId="0" borderId="52" xfId="5" applyNumberFormat="1" applyFont="1" applyFill="1" applyBorder="1" applyAlignment="1">
      <alignment horizontal="center"/>
    </xf>
    <xf numFmtId="3" fontId="46" fillId="0" borderId="8" xfId="5" applyNumberFormat="1" applyFont="1" applyFill="1" applyBorder="1" applyAlignment="1">
      <alignment horizontal="center"/>
    </xf>
    <xf numFmtId="3" fontId="46" fillId="0" borderId="18" xfId="5" applyNumberFormat="1" applyFont="1" applyFill="1" applyBorder="1" applyAlignment="1">
      <alignment horizontal="left"/>
    </xf>
    <xf numFmtId="3" fontId="46" fillId="0" borderId="0" xfId="5" applyNumberFormat="1" applyFont="1" applyFill="1" applyBorder="1" applyAlignment="1">
      <alignment horizontal="center"/>
    </xf>
    <xf numFmtId="3" fontId="46" fillId="0" borderId="19" xfId="5" applyNumberFormat="1" applyFont="1" applyFill="1" applyBorder="1" applyAlignment="1">
      <alignment horizontal="center"/>
    </xf>
    <xf numFmtId="0" fontId="0" fillId="0" borderId="0" xfId="0" applyFill="1"/>
    <xf numFmtId="3" fontId="48" fillId="9" borderId="52" xfId="5" applyNumberFormat="1" applyFont="1" applyFill="1" applyBorder="1" applyAlignment="1">
      <alignment horizontal="center"/>
    </xf>
    <xf numFmtId="0" fontId="46" fillId="0" borderId="0" xfId="5" applyFont="1" applyFill="1"/>
    <xf numFmtId="3" fontId="48" fillId="0" borderId="0" xfId="5" applyNumberFormat="1" applyFont="1" applyFill="1" applyBorder="1" applyAlignment="1">
      <alignment horizontal="center"/>
    </xf>
    <xf numFmtId="3" fontId="48" fillId="0" borderId="0" xfId="6" applyNumberFormat="1" applyFont="1" applyFill="1" applyBorder="1" applyAlignment="1">
      <alignment horizontal="center"/>
    </xf>
    <xf numFmtId="0" fontId="45" fillId="0" borderId="0" xfId="6" applyFill="1"/>
    <xf numFmtId="3" fontId="48" fillId="9" borderId="52" xfId="6" applyNumberFormat="1" applyFont="1" applyFill="1" applyBorder="1" applyAlignment="1">
      <alignment horizontal="center"/>
    </xf>
    <xf numFmtId="3" fontId="8" fillId="3" borderId="0" xfId="12" quotePrefix="1" applyNumberFormat="1" applyFont="1" applyFill="1" applyBorder="1" applyAlignment="1"/>
    <xf numFmtId="3" fontId="8" fillId="3" borderId="5" xfId="12" quotePrefix="1" applyNumberFormat="1" applyFont="1" applyFill="1" applyBorder="1" applyAlignment="1"/>
    <xf numFmtId="3" fontId="46" fillId="0" borderId="52" xfId="6" applyNumberFormat="1" applyFont="1" applyFill="1" applyBorder="1" applyAlignment="1">
      <alignment horizontal="center"/>
    </xf>
    <xf numFmtId="0" fontId="0" fillId="3" borderId="0" xfId="0" applyFill="1" applyAlignment="1">
      <alignment horizontal="right"/>
    </xf>
    <xf numFmtId="0" fontId="88" fillId="0" borderId="0" xfId="1" applyAlignment="1" applyProtection="1"/>
    <xf numFmtId="0" fontId="9" fillId="0" borderId="0" xfId="10" applyFont="1" applyFill="1"/>
    <xf numFmtId="3" fontId="59" fillId="9" borderId="3" xfId="0" applyNumberFormat="1" applyFont="1" applyFill="1" applyBorder="1" applyAlignment="1">
      <alignment horizontal="center"/>
    </xf>
    <xf numFmtId="3" fontId="13" fillId="9" borderId="50" xfId="0" applyNumberFormat="1" applyFont="1" applyFill="1" applyBorder="1" applyAlignment="1">
      <alignment horizontal="center"/>
    </xf>
    <xf numFmtId="0" fontId="32" fillId="9" borderId="4" xfId="0" applyNumberFormat="1" applyFont="1" applyFill="1" applyBorder="1"/>
    <xf numFmtId="0" fontId="32" fillId="9" borderId="16" xfId="0" applyNumberFormat="1" applyFont="1" applyFill="1" applyBorder="1"/>
    <xf numFmtId="3" fontId="0" fillId="9" borderId="28" xfId="0" applyNumberFormat="1" applyFill="1" applyBorder="1" applyAlignment="1">
      <alignment horizontal="center"/>
    </xf>
    <xf numFmtId="3" fontId="0" fillId="9" borderId="34" xfId="0" applyNumberFormat="1" applyFill="1" applyBorder="1" applyAlignment="1">
      <alignment horizontal="center"/>
    </xf>
    <xf numFmtId="3" fontId="0" fillId="9" borderId="62" xfId="0" applyNumberFormat="1" applyFill="1" applyBorder="1" applyAlignment="1">
      <alignment horizontal="center"/>
    </xf>
    <xf numFmtId="3" fontId="0" fillId="3" borderId="3" xfId="0" applyNumberFormat="1" applyFill="1" applyBorder="1" applyAlignment="1">
      <alignment horizontal="center"/>
    </xf>
    <xf numFmtId="3" fontId="0" fillId="3" borderId="5" xfId="0" applyNumberFormat="1" applyFill="1" applyBorder="1" applyAlignment="1">
      <alignment horizontal="center"/>
    </xf>
    <xf numFmtId="3" fontId="0" fillId="3" borderId="12" xfId="0" applyNumberFormat="1" applyFill="1" applyBorder="1" applyAlignment="1">
      <alignment horizontal="center"/>
    </xf>
    <xf numFmtId="3" fontId="0" fillId="3" borderId="29" xfId="0" applyNumberFormat="1" applyFill="1" applyBorder="1" applyAlignment="1">
      <alignment horizontal="center"/>
    </xf>
    <xf numFmtId="3" fontId="0" fillId="3" borderId="35" xfId="0" applyNumberFormat="1" applyFill="1" applyBorder="1" applyAlignment="1">
      <alignment horizontal="center"/>
    </xf>
    <xf numFmtId="3" fontId="0" fillId="9" borderId="70" xfId="0" applyNumberFormat="1" applyFill="1" applyBorder="1" applyAlignment="1">
      <alignment horizontal="center"/>
    </xf>
    <xf numFmtId="3" fontId="0" fillId="9" borderId="107" xfId="0" applyNumberFormat="1" applyFill="1" applyBorder="1" applyAlignment="1">
      <alignment horizontal="center"/>
    </xf>
    <xf numFmtId="3" fontId="0" fillId="9" borderId="108" xfId="0" applyNumberFormat="1" applyFill="1" applyBorder="1" applyAlignment="1">
      <alignment horizontal="center"/>
    </xf>
    <xf numFmtId="0" fontId="32" fillId="9" borderId="1" xfId="0" applyNumberFormat="1" applyFont="1" applyFill="1" applyBorder="1"/>
    <xf numFmtId="3" fontId="0" fillId="3" borderId="45" xfId="0" applyNumberFormat="1" applyFill="1" applyBorder="1" applyAlignment="1">
      <alignment horizontal="center"/>
    </xf>
    <xf numFmtId="3" fontId="0" fillId="3" borderId="7" xfId="0" applyNumberFormat="1" applyFill="1" applyBorder="1" applyAlignment="1">
      <alignment horizontal="center"/>
    </xf>
    <xf numFmtId="3" fontId="0" fillId="3" borderId="26" xfId="0" applyNumberFormat="1" applyFill="1" applyBorder="1" applyAlignment="1">
      <alignment horizontal="center"/>
    </xf>
    <xf numFmtId="3" fontId="0" fillId="3" borderId="109" xfId="0" applyNumberFormat="1" applyFill="1" applyBorder="1" applyAlignment="1">
      <alignment horizontal="center"/>
    </xf>
    <xf numFmtId="10" fontId="18" fillId="12" borderId="0" xfId="4" applyNumberFormat="1" applyFont="1" applyFill="1" applyBorder="1"/>
    <xf numFmtId="3" fontId="59" fillId="3" borderId="0" xfId="19" applyNumberFormat="1" applyFont="1" applyFill="1" applyBorder="1" applyAlignment="1"/>
    <xf numFmtId="3" fontId="59" fillId="3" borderId="5" xfId="19" applyNumberFormat="1" applyFont="1" applyFill="1" applyBorder="1" applyAlignment="1"/>
    <xf numFmtId="3" fontId="21" fillId="3" borderId="0" xfId="20" applyNumberFormat="1" applyFont="1" applyFill="1" applyBorder="1" applyAlignment="1"/>
    <xf numFmtId="3" fontId="21" fillId="3" borderId="0" xfId="19" applyNumberFormat="1" applyFont="1" applyFill="1" applyBorder="1" applyAlignment="1"/>
    <xf numFmtId="3" fontId="21" fillId="3" borderId="0" xfId="21" applyNumberFormat="1" applyFont="1" applyFill="1" applyBorder="1" applyAlignment="1"/>
    <xf numFmtId="3" fontId="21" fillId="3" borderId="5" xfId="21" applyNumberFormat="1" applyFont="1" applyFill="1" applyBorder="1" applyAlignment="1"/>
    <xf numFmtId="3" fontId="21" fillId="3" borderId="0" xfId="22" applyNumberFormat="1" applyFont="1" applyFill="1" applyBorder="1" applyAlignment="1"/>
    <xf numFmtId="3" fontId="21" fillId="3" borderId="5" xfId="22" applyNumberFormat="1" applyFont="1" applyFill="1" applyBorder="1" applyAlignment="1"/>
    <xf numFmtId="0" fontId="21" fillId="3" borderId="0" xfId="22" applyFont="1" applyFill="1" applyBorder="1" applyAlignment="1"/>
    <xf numFmtId="0" fontId="21" fillId="3" borderId="5" xfId="22" applyFont="1" applyFill="1" applyBorder="1" applyAlignment="1"/>
    <xf numFmtId="3" fontId="21" fillId="3" borderId="0" xfId="23" applyNumberFormat="1" applyFont="1" applyFill="1" applyBorder="1" applyAlignment="1"/>
    <xf numFmtId="0" fontId="21" fillId="3" borderId="0" xfId="23" applyFont="1" applyFill="1" applyBorder="1" applyAlignment="1"/>
    <xf numFmtId="3" fontId="59" fillId="12" borderId="0" xfId="0" applyNumberFormat="1" applyFont="1" applyFill="1" applyBorder="1"/>
    <xf numFmtId="3" fontId="59" fillId="12" borderId="5" xfId="0" applyNumberFormat="1" applyFont="1" applyFill="1" applyBorder="1"/>
    <xf numFmtId="3" fontId="59" fillId="3" borderId="0" xfId="0" applyNumberFormat="1" applyFont="1" applyFill="1" applyBorder="1" applyAlignment="1"/>
    <xf numFmtId="3" fontId="59" fillId="3" borderId="5" xfId="0" applyNumberFormat="1" applyFont="1" applyFill="1" applyBorder="1" applyAlignment="1"/>
    <xf numFmtId="3" fontId="8" fillId="3" borderId="0" xfId="16" applyNumberFormat="1" applyFont="1" applyFill="1" applyBorder="1" applyAlignment="1"/>
    <xf numFmtId="3" fontId="8" fillId="3" borderId="0" xfId="16" quotePrefix="1" applyNumberFormat="1" applyFont="1" applyFill="1" applyBorder="1" applyAlignment="1"/>
    <xf numFmtId="3" fontId="8" fillId="3" borderId="5" xfId="16" quotePrefix="1" applyNumberFormat="1" applyFont="1" applyFill="1" applyBorder="1" applyAlignment="1"/>
    <xf numFmtId="3" fontId="8" fillId="3" borderId="5" xfId="16" applyNumberFormat="1" applyFont="1" applyFill="1" applyBorder="1" applyAlignment="1"/>
    <xf numFmtId="0" fontId="93" fillId="0" borderId="0" xfId="0" applyFont="1" applyFill="1" applyAlignment="1">
      <alignment horizontal="center"/>
    </xf>
    <xf numFmtId="3" fontId="0" fillId="3" borderId="0" xfId="0" applyNumberFormat="1" applyFill="1" applyBorder="1" applyAlignment="1"/>
    <xf numFmtId="0" fontId="94" fillId="3" borderId="0" xfId="19" applyFont="1" applyFill="1"/>
    <xf numFmtId="0" fontId="95" fillId="12" borderId="0" xfId="0" applyFont="1" applyFill="1"/>
    <xf numFmtId="172" fontId="46" fillId="0" borderId="0" xfId="5" applyNumberFormat="1" applyFont="1" applyFill="1" applyBorder="1" applyAlignment="1">
      <alignment horizontal="center"/>
    </xf>
    <xf numFmtId="172" fontId="46" fillId="0" borderId="0" xfId="5" applyNumberFormat="1" applyFont="1" applyFill="1" applyBorder="1" applyAlignment="1">
      <alignment horizontal="left"/>
    </xf>
    <xf numFmtId="172" fontId="0" fillId="0" borderId="0" xfId="0" applyNumberFormat="1" applyFill="1"/>
    <xf numFmtId="3" fontId="0" fillId="0" borderId="0" xfId="0" applyNumberFormat="1" applyBorder="1"/>
    <xf numFmtId="3" fontId="0" fillId="0" borderId="0" xfId="0" applyNumberFormat="1" applyFill="1" applyBorder="1"/>
    <xf numFmtId="172" fontId="1" fillId="0" borderId="0" xfId="0" applyNumberFormat="1" applyFont="1" applyFill="1" applyAlignment="1">
      <alignment horizontal="center"/>
    </xf>
    <xf numFmtId="172" fontId="0" fillId="16" borderId="0" xfId="0" applyNumberFormat="1" applyFill="1"/>
    <xf numFmtId="3" fontId="21" fillId="3" borderId="0" xfId="22" quotePrefix="1" applyNumberFormat="1" applyFont="1" applyFill="1" applyBorder="1" applyAlignment="1"/>
    <xf numFmtId="3" fontId="8" fillId="3" borderId="0" xfId="22" quotePrefix="1" applyNumberFormat="1" applyFont="1" applyFill="1" applyBorder="1" applyAlignment="1"/>
    <xf numFmtId="3" fontId="13" fillId="12" borderId="5" xfId="0" applyNumberFormat="1" applyFont="1" applyFill="1" applyBorder="1"/>
    <xf numFmtId="3" fontId="8" fillId="3" borderId="0" xfId="14" quotePrefix="1" applyNumberFormat="1" applyFont="1" applyFill="1" applyBorder="1" applyAlignment="1"/>
    <xf numFmtId="0" fontId="3" fillId="0" borderId="0" xfId="14" applyFill="1" applyBorder="1"/>
    <xf numFmtId="0" fontId="14" fillId="0" borderId="0" xfId="14" applyFont="1" applyFill="1" applyBorder="1" applyAlignment="1">
      <alignment horizontal="center"/>
    </xf>
    <xf numFmtId="0" fontId="0" fillId="0" borderId="0" xfId="0" applyFill="1" applyBorder="1"/>
    <xf numFmtId="3" fontId="8" fillId="0" borderId="0" xfId="14" quotePrefix="1" applyNumberFormat="1" applyFont="1" applyFill="1" applyBorder="1" applyAlignment="1"/>
    <xf numFmtId="3" fontId="8" fillId="0" borderId="0" xfId="14" applyNumberFormat="1" applyFont="1" applyFill="1" applyBorder="1" applyAlignment="1"/>
    <xf numFmtId="1" fontId="18" fillId="0" borderId="0" xfId="4" applyNumberFormat="1" applyFont="1" applyFill="1" applyBorder="1"/>
    <xf numFmtId="0" fontId="20" fillId="0" borderId="0" xfId="14" applyFont="1" applyFill="1" applyBorder="1"/>
    <xf numFmtId="2" fontId="0" fillId="0" borderId="0" xfId="0" quotePrefix="1" applyNumberFormat="1" applyFill="1" applyBorder="1"/>
    <xf numFmtId="2" fontId="0" fillId="0" borderId="0" xfId="0" applyNumberFormat="1" applyFill="1" applyBorder="1"/>
    <xf numFmtId="3" fontId="43" fillId="0" borderId="0" xfId="16" applyNumberFormat="1" applyFont="1" applyFill="1" applyBorder="1" applyAlignment="1"/>
    <xf numFmtId="0" fontId="0" fillId="0" borderId="29" xfId="0" applyBorder="1"/>
    <xf numFmtId="0" fontId="0" fillId="0" borderId="31" xfId="0" applyBorder="1"/>
    <xf numFmtId="0" fontId="0" fillId="0" borderId="32" xfId="0" applyBorder="1"/>
    <xf numFmtId="0" fontId="0" fillId="0" borderId="34" xfId="0" applyBorder="1"/>
    <xf numFmtId="0" fontId="0" fillId="0" borderId="35" xfId="0" applyBorder="1"/>
    <xf numFmtId="0" fontId="0" fillId="0" borderId="37" xfId="0" applyBorder="1"/>
    <xf numFmtId="0" fontId="0" fillId="0" borderId="0" xfId="0" applyBorder="1"/>
    <xf numFmtId="0" fontId="0" fillId="0" borderId="8" xfId="0" applyBorder="1"/>
    <xf numFmtId="4" fontId="0" fillId="0" borderId="42" xfId="0" applyNumberFormat="1" applyBorder="1"/>
    <xf numFmtId="0" fontId="0" fillId="0" borderId="43" xfId="0" applyBorder="1"/>
    <xf numFmtId="0" fontId="0" fillId="0" borderId="51" xfId="0" applyBorder="1"/>
    <xf numFmtId="0" fontId="0" fillId="0" borderId="42" xfId="0" applyBorder="1"/>
    <xf numFmtId="3" fontId="46" fillId="0" borderId="29" xfId="5" applyNumberFormat="1" applyFont="1" applyFill="1" applyBorder="1" applyAlignment="1">
      <alignment horizontal="center"/>
    </xf>
    <xf numFmtId="3" fontId="0" fillId="0" borderId="0" xfId="0" applyNumberFormat="1" applyFill="1"/>
    <xf numFmtId="0" fontId="1" fillId="12" borderId="0" xfId="0" applyFont="1" applyFill="1"/>
    <xf numFmtId="0" fontId="1" fillId="3" borderId="0" xfId="0" applyFont="1" applyFill="1"/>
    <xf numFmtId="0" fontId="1" fillId="3" borderId="0" xfId="0" applyFont="1" applyFill="1" applyBorder="1"/>
    <xf numFmtId="0" fontId="1" fillId="6" borderId="1" xfId="0" applyFont="1" applyFill="1" applyBorder="1"/>
    <xf numFmtId="0" fontId="1" fillId="6" borderId="2" xfId="0" applyFont="1" applyFill="1" applyBorder="1"/>
    <xf numFmtId="0" fontId="1" fillId="6" borderId="3" xfId="0" applyFont="1" applyFill="1" applyBorder="1"/>
    <xf numFmtId="3" fontId="1" fillId="3" borderId="0" xfId="0" applyNumberFormat="1" applyFont="1" applyFill="1"/>
    <xf numFmtId="170" fontId="1" fillId="6" borderId="1" xfId="0" applyNumberFormat="1" applyFont="1" applyFill="1" applyBorder="1" applyAlignment="1"/>
    <xf numFmtId="1" fontId="1" fillId="6" borderId="2" xfId="0" applyNumberFormat="1" applyFont="1" applyFill="1" applyBorder="1"/>
    <xf numFmtId="170" fontId="1" fillId="6" borderId="110" xfId="0" applyNumberFormat="1" applyFont="1" applyFill="1" applyBorder="1" applyAlignment="1"/>
    <xf numFmtId="166" fontId="1" fillId="3" borderId="0" xfId="0" applyNumberFormat="1" applyFont="1" applyFill="1"/>
    <xf numFmtId="0" fontId="1" fillId="7" borderId="61" xfId="0" applyFont="1" applyFill="1" applyBorder="1" applyAlignment="1">
      <alignment horizontal="center" wrapText="1"/>
    </xf>
    <xf numFmtId="0" fontId="1" fillId="7" borderId="62" xfId="0" applyFont="1" applyFill="1" applyBorder="1" applyAlignment="1">
      <alignment horizontal="center" wrapText="1"/>
    </xf>
    <xf numFmtId="166" fontId="1" fillId="7" borderId="11" xfId="0" applyNumberFormat="1" applyFont="1" applyFill="1" applyBorder="1" applyAlignment="1">
      <alignment horizontal="center" wrapText="1"/>
    </xf>
    <xf numFmtId="3" fontId="1" fillId="7" borderId="111" xfId="0" applyNumberFormat="1" applyFont="1" applyFill="1" applyBorder="1" applyAlignment="1">
      <alignment horizontal="center" wrapText="1"/>
    </xf>
    <xf numFmtId="0" fontId="1" fillId="7" borderId="12" xfId="0" applyFont="1" applyFill="1" applyBorder="1" applyAlignment="1">
      <alignment horizontal="center" wrapText="1"/>
    </xf>
    <xf numFmtId="0" fontId="1" fillId="6" borderId="72" xfId="0" applyFont="1" applyFill="1" applyBorder="1"/>
    <xf numFmtId="0" fontId="1" fillId="6" borderId="50" xfId="0" applyFont="1" applyFill="1" applyBorder="1"/>
    <xf numFmtId="3" fontId="13" fillId="9" borderId="47" xfId="0" applyNumberFormat="1" applyFont="1" applyFill="1" applyBorder="1" applyAlignment="1">
      <alignment horizontal="right"/>
    </xf>
    <xf numFmtId="0" fontId="1" fillId="12" borderId="0" xfId="0" applyFont="1" applyFill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3" fontId="1" fillId="3" borderId="0" xfId="0" applyNumberFormat="1" applyFont="1" applyFill="1" applyAlignment="1">
      <alignment horizontal="center"/>
    </xf>
    <xf numFmtId="0" fontId="96" fillId="5" borderId="33" xfId="20" applyFont="1" applyFill="1" applyBorder="1" applyAlignment="1">
      <alignment horizontal="right"/>
    </xf>
    <xf numFmtId="0" fontId="96" fillId="5" borderId="33" xfId="21" applyFont="1" applyFill="1" applyBorder="1" applyAlignment="1">
      <alignment horizontal="right"/>
    </xf>
    <xf numFmtId="0" fontId="97" fillId="5" borderId="33" xfId="21" applyFont="1" applyFill="1" applyBorder="1" applyAlignment="1">
      <alignment horizontal="left"/>
    </xf>
    <xf numFmtId="0" fontId="96" fillId="5" borderId="33" xfId="22" applyFont="1" applyFill="1" applyBorder="1" applyAlignment="1">
      <alignment horizontal="right"/>
    </xf>
    <xf numFmtId="0" fontId="96" fillId="5" borderId="33" xfId="23" applyFont="1" applyFill="1" applyBorder="1" applyAlignment="1">
      <alignment horizontal="right"/>
    </xf>
    <xf numFmtId="0" fontId="98" fillId="5" borderId="33" xfId="0" applyFont="1" applyFill="1" applyBorder="1" applyAlignment="1">
      <alignment horizontal="right"/>
    </xf>
    <xf numFmtId="0" fontId="60" fillId="3" borderId="0" xfId="0" applyFont="1" applyFill="1" applyAlignment="1">
      <alignment horizontal="center"/>
    </xf>
    <xf numFmtId="0" fontId="61" fillId="3" borderId="0" xfId="0" applyFont="1" applyFill="1" applyAlignment="1">
      <alignment horizontal="center"/>
    </xf>
    <xf numFmtId="0" fontId="61" fillId="3" borderId="0" xfId="0" applyFont="1" applyFill="1" applyBorder="1" applyAlignment="1">
      <alignment horizontal="center"/>
    </xf>
    <xf numFmtId="0" fontId="60" fillId="17" borderId="0" xfId="0" applyFont="1" applyFill="1" applyAlignment="1">
      <alignment horizontal="left"/>
    </xf>
    <xf numFmtId="0" fontId="60" fillId="3" borderId="0" xfId="0" applyFont="1" applyFill="1" applyAlignment="1">
      <alignment horizontal="left"/>
    </xf>
    <xf numFmtId="0" fontId="0" fillId="3" borderId="47" xfId="0" applyNumberFormat="1" applyFill="1" applyBorder="1" applyAlignment="1">
      <alignment horizontal="center"/>
    </xf>
    <xf numFmtId="0" fontId="0" fillId="3" borderId="13" xfId="0" applyNumberFormat="1" applyFill="1" applyBorder="1" applyAlignment="1">
      <alignment horizontal="center"/>
    </xf>
    <xf numFmtId="0" fontId="0" fillId="3" borderId="41" xfId="0" applyNumberFormat="1" applyFill="1" applyBorder="1" applyAlignment="1">
      <alignment horizontal="center"/>
    </xf>
    <xf numFmtId="0" fontId="0" fillId="3" borderId="1" xfId="0" applyNumberFormat="1" applyFill="1" applyBorder="1" applyAlignment="1">
      <alignment horizontal="center" textRotation="90"/>
    </xf>
    <xf numFmtId="0" fontId="0" fillId="3" borderId="4" xfId="0" applyNumberFormat="1" applyFill="1" applyBorder="1" applyAlignment="1">
      <alignment horizontal="center" textRotation="90"/>
    </xf>
    <xf numFmtId="0" fontId="0" fillId="3" borderId="16" xfId="0" applyNumberFormat="1" applyFill="1" applyBorder="1" applyAlignment="1">
      <alignment horizontal="center" textRotation="90"/>
    </xf>
    <xf numFmtId="0" fontId="0" fillId="3" borderId="20" xfId="0" applyNumberFormat="1" applyFill="1" applyBorder="1" applyAlignment="1">
      <alignment horizontal="center" textRotation="90"/>
    </xf>
    <xf numFmtId="0" fontId="0" fillId="3" borderId="22" xfId="0" applyNumberFormat="1" applyFill="1" applyBorder="1" applyAlignment="1">
      <alignment horizontal="center" textRotation="90"/>
    </xf>
    <xf numFmtId="0" fontId="0" fillId="3" borderId="21" xfId="0" applyNumberFormat="1" applyFill="1" applyBorder="1" applyAlignment="1">
      <alignment horizontal="center" textRotation="90"/>
    </xf>
  </cellXfs>
  <cellStyles count="27">
    <cellStyle name="Hipervínculo" xfId="1" builtinId="8"/>
    <cellStyle name="Millares [0]_Cuadro1" xfId="2"/>
    <cellStyle name="Millares [0]_CUADRO11" xfId="3"/>
    <cellStyle name="Millares [0]_CUADRO3" xfId="4"/>
    <cellStyle name="Normal" xfId="0" builtinId="0"/>
    <cellStyle name="Normal_ANEXOA1-1" xfId="5"/>
    <cellStyle name="Normal_ANEXOA1-2" xfId="6"/>
    <cellStyle name="Normal_BALEE_97" xfId="7"/>
    <cellStyle name="Normal_Cuadro1" xfId="8"/>
    <cellStyle name="Normal_CUADRO10" xfId="9"/>
    <cellStyle name="Normal_CUADRO11" xfId="10"/>
    <cellStyle name="Normal_CUADRO12" xfId="11"/>
    <cellStyle name="Normal_CUADRO13" xfId="12"/>
    <cellStyle name="Normal_CUADRO14" xfId="13"/>
    <cellStyle name="Normal_Cuadro15" xfId="14"/>
    <cellStyle name="Normal_CUADRO16" xfId="15"/>
    <cellStyle name="Normal_CUADRO17" xfId="16"/>
    <cellStyle name="Normal_CUADRO18" xfId="17"/>
    <cellStyle name="Normal_CUADRO2" xfId="18"/>
    <cellStyle name="Normal_Cuadro4" xfId="19"/>
    <cellStyle name="Normal_Cuadro5" xfId="20"/>
    <cellStyle name="Normal_CUADRO6" xfId="21"/>
    <cellStyle name="Normal_CUADRO7" xfId="22"/>
    <cellStyle name="Normal_CUADRO8" xfId="23"/>
    <cellStyle name="Normal_Cuadroa2" xfId="24"/>
    <cellStyle name="Normal_CUADROA3" xfId="25"/>
    <cellStyle name="Porcentaje" xfId="26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1</xdr:row>
      <xdr:rowOff>57150</xdr:rowOff>
    </xdr:from>
    <xdr:to>
      <xdr:col>2</xdr:col>
      <xdr:colOff>2105025</xdr:colOff>
      <xdr:row>8</xdr:row>
      <xdr:rowOff>95250</xdr:rowOff>
    </xdr:to>
    <xdr:pic>
      <xdr:nvPicPr>
        <xdr:cNvPr id="512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" y="295275"/>
          <a:ext cx="2143125" cy="1638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8</xdr:col>
      <xdr:colOff>276225</xdr:colOff>
      <xdr:row>72</xdr:row>
      <xdr:rowOff>19050</xdr:rowOff>
    </xdr:to>
    <xdr:pic>
      <xdr:nvPicPr>
        <xdr:cNvPr id="1041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0"/>
          <a:ext cx="5610225" cy="1171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zoomScale="85" workbookViewId="0">
      <selection activeCell="F17" sqref="F17"/>
    </sheetView>
  </sheetViews>
  <sheetFormatPr baseColWidth="10" defaultRowHeight="12.75"/>
  <cols>
    <col min="1" max="1" width="1.85546875" style="22" customWidth="1"/>
    <col min="2" max="2" width="2.140625" style="22" customWidth="1"/>
    <col min="3" max="3" width="98.42578125" style="22" customWidth="1"/>
    <col min="4" max="4" width="1.85546875" style="22" customWidth="1"/>
    <col min="5" max="16384" width="11.42578125" style="22"/>
  </cols>
  <sheetData>
    <row r="1" spans="1:5" ht="18.75" thickBot="1">
      <c r="A1" s="474"/>
      <c r="B1" s="474"/>
      <c r="C1" s="750"/>
      <c r="D1" s="751"/>
      <c r="E1" s="474"/>
    </row>
    <row r="2" spans="1:5" ht="16.5" thickTop="1">
      <c r="A2" s="474"/>
      <c r="B2" s="752"/>
      <c r="C2" s="753"/>
      <c r="D2" s="691"/>
      <c r="E2" s="474"/>
    </row>
    <row r="3" spans="1:5" ht="15.75">
      <c r="A3" s="474"/>
      <c r="B3" s="754"/>
      <c r="C3" s="755"/>
      <c r="D3" s="691"/>
      <c r="E3" s="474"/>
    </row>
    <row r="4" spans="1:5" ht="15.75">
      <c r="A4" s="474"/>
      <c r="B4" s="754"/>
      <c r="C4" s="755"/>
      <c r="D4" s="754"/>
      <c r="E4" s="474"/>
    </row>
    <row r="5" spans="1:5" ht="15.75">
      <c r="A5" s="474"/>
      <c r="B5" s="756"/>
      <c r="D5" s="754"/>
      <c r="E5" s="474"/>
    </row>
    <row r="6" spans="1:5" ht="14.25">
      <c r="A6" s="474"/>
      <c r="B6" s="756"/>
      <c r="D6" s="756"/>
      <c r="E6" s="474"/>
    </row>
    <row r="7" spans="1:5" ht="33.75">
      <c r="A7" s="474"/>
      <c r="B7" s="756"/>
      <c r="C7" s="758"/>
      <c r="D7" s="691"/>
      <c r="E7" s="474"/>
    </row>
    <row r="8" spans="1:5" ht="14.25">
      <c r="A8" s="474"/>
      <c r="B8" s="756"/>
      <c r="C8" s="759"/>
      <c r="D8" s="691"/>
      <c r="E8" s="474"/>
    </row>
    <row r="9" spans="1:5" ht="14.25">
      <c r="A9" s="474"/>
      <c r="B9" s="756"/>
      <c r="C9" s="759"/>
      <c r="D9" s="691"/>
      <c r="E9" s="474"/>
    </row>
    <row r="10" spans="1:5" ht="14.25">
      <c r="A10" s="474"/>
      <c r="B10" s="756"/>
      <c r="C10" s="759"/>
      <c r="D10" s="691"/>
      <c r="E10" s="474"/>
    </row>
    <row r="11" spans="1:5" ht="33.75">
      <c r="A11" s="474"/>
      <c r="B11" s="756"/>
      <c r="C11" s="757" t="s">
        <v>577</v>
      </c>
      <c r="D11" s="691"/>
      <c r="E11" s="474"/>
    </row>
    <row r="12" spans="1:5" ht="33.75">
      <c r="A12" s="474"/>
      <c r="B12" s="756"/>
      <c r="C12" s="757" t="s">
        <v>578</v>
      </c>
      <c r="D12" s="691"/>
      <c r="E12" s="474"/>
    </row>
    <row r="13" spans="1:5" ht="26.25">
      <c r="A13" s="474"/>
      <c r="B13" s="756"/>
      <c r="C13" s="765">
        <v>2004</v>
      </c>
      <c r="D13" s="691"/>
      <c r="E13" s="474"/>
    </row>
    <row r="14" spans="1:5" ht="30">
      <c r="A14" s="474"/>
      <c r="B14" s="756"/>
      <c r="C14" s="760"/>
      <c r="D14" s="691"/>
      <c r="E14" s="474"/>
    </row>
    <row r="15" spans="1:5" ht="30">
      <c r="A15" s="474"/>
      <c r="B15" s="756"/>
      <c r="C15" s="760"/>
      <c r="D15" s="691"/>
      <c r="E15" s="474"/>
    </row>
    <row r="16" spans="1:5" ht="30">
      <c r="A16" s="474"/>
      <c r="B16" s="756"/>
      <c r="C16" s="760"/>
      <c r="D16" s="691"/>
      <c r="E16" s="474"/>
    </row>
    <row r="17" spans="1:5" ht="30">
      <c r="A17" s="474"/>
      <c r="B17" s="756"/>
      <c r="C17" s="760"/>
      <c r="D17" s="691"/>
      <c r="E17" s="474"/>
    </row>
    <row r="18" spans="1:5" ht="18">
      <c r="A18" s="474"/>
      <c r="B18" s="761"/>
      <c r="C18" s="762"/>
      <c r="D18" s="691"/>
      <c r="E18" s="474"/>
    </row>
    <row r="19" spans="1:5" ht="18">
      <c r="A19" s="474"/>
      <c r="B19" s="761"/>
      <c r="C19" s="762" t="s">
        <v>579</v>
      </c>
      <c r="D19" s="691"/>
      <c r="E19" s="474"/>
    </row>
    <row r="20" spans="1:5" ht="18">
      <c r="A20" s="474"/>
      <c r="B20" s="761"/>
      <c r="C20" s="762">
        <v>2006</v>
      </c>
      <c r="D20" s="691"/>
      <c r="E20" s="474"/>
    </row>
    <row r="21" spans="1:5" ht="15" thickBot="1">
      <c r="A21" s="474"/>
      <c r="B21" s="763"/>
      <c r="C21" s="764"/>
      <c r="D21" s="691"/>
      <c r="E21" s="474"/>
    </row>
    <row r="22" spans="1:5" ht="13.5" thickTop="1">
      <c r="A22" s="474"/>
      <c r="B22" s="691"/>
      <c r="C22" s="691"/>
      <c r="D22" s="691"/>
      <c r="E22" s="691"/>
    </row>
    <row r="23" spans="1:5">
      <c r="A23" s="474"/>
      <c r="B23" s="474"/>
      <c r="C23" s="474"/>
      <c r="D23" s="751"/>
      <c r="E23" s="474"/>
    </row>
  </sheetData>
  <phoneticPr fontId="0" type="noConversion"/>
  <pageMargins left="0.75" right="0.75" top="1" bottom="1" header="0" footer="0"/>
  <headerFooter alignWithMargins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98"/>
  <sheetViews>
    <sheetView workbookViewId="0">
      <selection activeCell="I15" sqref="I15"/>
    </sheetView>
  </sheetViews>
  <sheetFormatPr baseColWidth="10" defaultRowHeight="12.75" outlineLevelRow="1"/>
  <cols>
    <col min="1" max="1" width="1.5703125" style="891" customWidth="1"/>
    <col min="2" max="2" width="31" style="891" customWidth="1"/>
    <col min="3" max="6" width="11.42578125" style="891"/>
    <col min="7" max="7" width="11.5703125" style="891" customWidth="1"/>
    <col min="8" max="17" width="11.42578125" style="22"/>
    <col min="18" max="16384" width="11.42578125" style="891"/>
  </cols>
  <sheetData>
    <row r="1" spans="2:10" ht="6.75" customHeight="1" thickBot="1"/>
    <row r="2" spans="2:10" ht="13.5" thickBot="1">
      <c r="B2" s="993"/>
      <c r="C2" s="994"/>
      <c r="D2" s="994"/>
      <c r="E2" s="994"/>
      <c r="F2" s="994"/>
      <c r="G2" s="995"/>
      <c r="H2" s="852" t="s">
        <v>681</v>
      </c>
      <c r="I2" s="108"/>
      <c r="J2" s="108"/>
    </row>
    <row r="3" spans="2:10" ht="15.75">
      <c r="B3" s="99"/>
      <c r="C3" s="92"/>
      <c r="D3" s="92" t="s">
        <v>77</v>
      </c>
      <c r="E3" s="100"/>
      <c r="F3" s="100"/>
      <c r="G3" s="101"/>
      <c r="H3" s="119"/>
      <c r="I3" s="119"/>
      <c r="J3" s="119"/>
    </row>
    <row r="4" spans="2:10" ht="15.75">
      <c r="B4" s="102"/>
      <c r="C4" s="103"/>
      <c r="D4" s="104" t="s">
        <v>92</v>
      </c>
      <c r="E4" s="103"/>
      <c r="F4" s="103"/>
      <c r="G4" s="105"/>
      <c r="H4" s="119"/>
      <c r="I4" s="119"/>
      <c r="J4" s="119"/>
    </row>
    <row r="5" spans="2:10" ht="15.75">
      <c r="B5" s="102"/>
      <c r="C5" s="103"/>
      <c r="D5" s="106" t="s">
        <v>796</v>
      </c>
      <c r="E5" s="103"/>
      <c r="F5" s="103"/>
      <c r="G5" s="105"/>
      <c r="H5" s="119"/>
      <c r="I5" s="119"/>
      <c r="J5" s="119"/>
    </row>
    <row r="6" spans="2:10" ht="15.75">
      <c r="B6" s="102"/>
      <c r="C6" s="103"/>
      <c r="D6" s="104" t="s">
        <v>93</v>
      </c>
      <c r="E6" s="103"/>
      <c r="F6" s="103"/>
      <c r="G6" s="105"/>
      <c r="H6" s="119"/>
      <c r="I6" s="119"/>
      <c r="J6" s="119"/>
    </row>
    <row r="7" spans="2:10" ht="15.75">
      <c r="B7" s="102"/>
      <c r="C7" s="103"/>
      <c r="D7" s="103"/>
      <c r="E7" s="103"/>
      <c r="F7" s="103"/>
      <c r="G7" s="105"/>
      <c r="H7" s="119"/>
      <c r="I7" s="119"/>
      <c r="J7" s="119"/>
    </row>
    <row r="8" spans="2:10" ht="15.75">
      <c r="B8" s="102"/>
      <c r="C8" s="103"/>
      <c r="D8" s="103"/>
      <c r="E8" s="103"/>
      <c r="F8" s="103"/>
      <c r="G8" s="105"/>
      <c r="H8" s="119"/>
      <c r="I8" s="119"/>
      <c r="J8" s="119"/>
    </row>
    <row r="9" spans="2:10" ht="16.5" thickBot="1">
      <c r="B9" s="996" t="s">
        <v>3</v>
      </c>
      <c r="C9" s="997" t="s">
        <v>94</v>
      </c>
      <c r="D9" s="997" t="s">
        <v>95</v>
      </c>
      <c r="E9" s="997" t="s">
        <v>96</v>
      </c>
      <c r="F9" s="997" t="s">
        <v>97</v>
      </c>
      <c r="G9" s="998" t="s">
        <v>11</v>
      </c>
      <c r="H9" s="119"/>
      <c r="I9" s="119"/>
      <c r="J9" s="119"/>
    </row>
    <row r="10" spans="2:10">
      <c r="B10" s="989" t="s">
        <v>88</v>
      </c>
      <c r="C10" s="120">
        <f>SUM(C12:C26)</f>
        <v>55343.066173281244</v>
      </c>
      <c r="D10" s="120">
        <f>SUM(D12:D26)</f>
        <v>181.69631524799996</v>
      </c>
      <c r="E10" s="120">
        <f>SUM(E12:E26)</f>
        <v>16929.083489367498</v>
      </c>
      <c r="F10" s="120">
        <f>SUM(F12:F26)</f>
        <v>7193.4521991390011</v>
      </c>
      <c r="G10" s="121">
        <f>SUM(G12:G26)</f>
        <v>79647.298177035715</v>
      </c>
      <c r="H10" s="108"/>
      <c r="I10" s="108"/>
      <c r="J10" s="108"/>
    </row>
    <row r="11" spans="2:10" outlineLevel="1">
      <c r="B11" s="999"/>
      <c r="C11" s="109"/>
      <c r="D11" s="109"/>
      <c r="E11" s="109"/>
      <c r="F11" s="109"/>
      <c r="G11" s="110"/>
      <c r="H11" s="108"/>
      <c r="I11" s="108"/>
      <c r="J11" s="108"/>
    </row>
    <row r="12" spans="2:10" outlineLevel="1">
      <c r="B12" s="1338" t="s">
        <v>55</v>
      </c>
      <c r="C12" s="1259">
        <f>SECT_TERAC.!D7</f>
        <v>2.7223350000000002</v>
      </c>
      <c r="D12" s="1259">
        <f>SECT_TERAC.!D8</f>
        <v>0</v>
      </c>
      <c r="E12" s="1259">
        <f>SECT_TERAC.!D9</f>
        <v>13168.641741559502</v>
      </c>
      <c r="F12" s="1259">
        <f>SECT_TERAC.!D10</f>
        <v>22.639470000000003</v>
      </c>
      <c r="G12" s="1260">
        <f>SUM(C12:F12)</f>
        <v>13194.003546559503</v>
      </c>
      <c r="H12" s="111"/>
      <c r="I12" s="111"/>
      <c r="J12" s="108"/>
    </row>
    <row r="13" spans="2:10" outlineLevel="1">
      <c r="B13" s="1338"/>
      <c r="C13" s="1259"/>
      <c r="D13" s="1259"/>
      <c r="E13" s="1259"/>
      <c r="F13" s="1259"/>
      <c r="G13" s="1260"/>
      <c r="H13" s="108"/>
      <c r="I13" s="108"/>
      <c r="J13" s="108"/>
    </row>
    <row r="14" spans="2:10" outlineLevel="1">
      <c r="B14" s="1338" t="s">
        <v>56</v>
      </c>
      <c r="C14" s="1259">
        <f>SECT_TERAC.!C7</f>
        <v>31645.593076691999</v>
      </c>
      <c r="D14" s="1259">
        <f>SECT_TERAC.!C8</f>
        <v>181.69631524799996</v>
      </c>
      <c r="E14" s="1259">
        <f>SECT_TERAC.!C9</f>
        <v>3705.5394370679987</v>
      </c>
      <c r="F14" s="1259">
        <f>SECT_TERAC.!C10</f>
        <v>276.07874380800001</v>
      </c>
      <c r="G14" s="1260">
        <f t="shared" ref="G14:G30" si="0">SUM(C14:F14)</f>
        <v>35808.907572815995</v>
      </c>
      <c r="H14" s="112"/>
      <c r="I14" s="111"/>
      <c r="J14" s="108"/>
    </row>
    <row r="15" spans="2:10" outlineLevel="1">
      <c r="B15" s="1338"/>
      <c r="C15" s="1259"/>
      <c r="D15" s="1259"/>
      <c r="E15" s="1259"/>
      <c r="F15" s="1259"/>
      <c r="G15" s="1260"/>
      <c r="H15" s="111"/>
      <c r="I15" s="108"/>
      <c r="J15" s="108"/>
    </row>
    <row r="16" spans="2:10" outlineLevel="1">
      <c r="B16" s="1337" t="s">
        <v>89</v>
      </c>
      <c r="C16" s="1259">
        <f>SECT_TERAC.!E7</f>
        <v>23538.252472223998</v>
      </c>
      <c r="D16" s="1259">
        <f>SECT_TERAC.!E8</f>
        <v>0</v>
      </c>
      <c r="E16" s="1259">
        <f>SECT_TERAC.!E9</f>
        <v>52.269168000000008</v>
      </c>
      <c r="F16" s="1259">
        <f>SECT_TERAC.!E10</f>
        <v>1.8641280000000002</v>
      </c>
      <c r="G16" s="1260">
        <f t="shared" si="0"/>
        <v>23592.385768223998</v>
      </c>
      <c r="H16" s="111"/>
      <c r="I16" s="111"/>
      <c r="J16" s="108"/>
    </row>
    <row r="17" spans="2:10" outlineLevel="1">
      <c r="B17" s="1338"/>
      <c r="C17" s="1259"/>
      <c r="D17" s="1259"/>
      <c r="E17" s="1259"/>
      <c r="F17" s="1259"/>
      <c r="G17" s="1260"/>
      <c r="H17" s="111"/>
      <c r="I17" s="108"/>
      <c r="J17" s="108"/>
    </row>
    <row r="18" spans="2:10" outlineLevel="1">
      <c r="B18" s="1338" t="s">
        <v>90</v>
      </c>
      <c r="C18" s="1259">
        <v>0</v>
      </c>
      <c r="D18" s="1259">
        <v>0</v>
      </c>
      <c r="E18" s="1259">
        <v>0</v>
      </c>
      <c r="F18" s="1259">
        <v>0</v>
      </c>
      <c r="G18" s="1260">
        <f t="shared" si="0"/>
        <v>0</v>
      </c>
      <c r="H18" s="111"/>
      <c r="I18" s="111"/>
      <c r="J18" s="108"/>
    </row>
    <row r="19" spans="2:10" outlineLevel="1">
      <c r="B19" s="1338"/>
      <c r="C19" s="1259"/>
      <c r="D19" s="1259"/>
      <c r="E19" s="1259"/>
      <c r="F19" s="1259"/>
      <c r="G19" s="1260"/>
      <c r="H19" s="111"/>
      <c r="I19" s="108"/>
      <c r="J19" s="108"/>
    </row>
    <row r="20" spans="2:10" outlineLevel="1">
      <c r="B20" s="1338" t="s">
        <v>61</v>
      </c>
      <c r="C20" s="1259">
        <f>SECT_TERAC.!I7</f>
        <v>0.19151999999999997</v>
      </c>
      <c r="D20" s="1259">
        <f>SECT_TERAC.!I8</f>
        <v>0</v>
      </c>
      <c r="E20" s="1259">
        <f>SECT_TERAC.!I9</f>
        <v>0</v>
      </c>
      <c r="F20" s="1259">
        <f>SECT_TERAC.!I10</f>
        <v>46.531379999999999</v>
      </c>
      <c r="G20" s="1260">
        <f t="shared" si="0"/>
        <v>46.722899999999996</v>
      </c>
      <c r="H20" s="111"/>
      <c r="I20" s="111"/>
      <c r="J20" s="108"/>
    </row>
    <row r="21" spans="2:10" outlineLevel="1">
      <c r="B21" s="1338"/>
      <c r="C21" s="1259"/>
      <c r="D21" s="1259"/>
      <c r="E21" s="1259"/>
      <c r="F21" s="1259"/>
      <c r="G21" s="1260"/>
      <c r="H21" s="111"/>
      <c r="I21" s="108"/>
      <c r="J21" s="108"/>
    </row>
    <row r="22" spans="2:10" outlineLevel="1">
      <c r="B22" s="1338" t="s">
        <v>62</v>
      </c>
      <c r="C22" s="1259">
        <f>SECT_TERAC.!J7</f>
        <v>1.1508480000000001</v>
      </c>
      <c r="D22" s="1259">
        <f>SECT_TERAC.!J8</f>
        <v>0</v>
      </c>
      <c r="E22" s="1259">
        <f>SECT_TERAC.!J9</f>
        <v>0</v>
      </c>
      <c r="F22" s="1259">
        <f>SECT_TERAC.!J10</f>
        <v>6844.4863313310007</v>
      </c>
      <c r="G22" s="1260">
        <f t="shared" si="0"/>
        <v>6845.6371793310009</v>
      </c>
      <c r="H22" s="111"/>
      <c r="I22" s="111"/>
      <c r="J22" s="108"/>
    </row>
    <row r="23" spans="2:10" outlineLevel="1">
      <c r="B23" s="1339"/>
      <c r="C23" s="107"/>
      <c r="D23" s="107"/>
      <c r="E23" s="107"/>
      <c r="F23" s="107"/>
      <c r="G23" s="1260"/>
      <c r="H23" s="111"/>
      <c r="I23" s="108"/>
      <c r="J23" s="108"/>
    </row>
    <row r="24" spans="2:10" outlineLevel="1">
      <c r="B24" s="1337" t="s">
        <v>59</v>
      </c>
      <c r="C24" s="1259">
        <f>SECT_TERAC.!G7</f>
        <v>149.34095955000001</v>
      </c>
      <c r="D24" s="1259">
        <f>SECT_TERAC.!G8</f>
        <v>0</v>
      </c>
      <c r="E24" s="1259">
        <f>SECT_TERAC.!G9</f>
        <v>1.663335</v>
      </c>
      <c r="F24" s="1259">
        <f>SECT_TERAC.!G10</f>
        <v>1.8521460000000003</v>
      </c>
      <c r="G24" s="1260">
        <f t="shared" si="0"/>
        <v>152.85644055</v>
      </c>
      <c r="H24" s="111"/>
      <c r="I24" s="108"/>
      <c r="J24" s="108"/>
    </row>
    <row r="25" spans="2:10" outlineLevel="1">
      <c r="B25" s="1339"/>
      <c r="C25" s="1259"/>
      <c r="D25" s="1259"/>
      <c r="E25" s="1259"/>
      <c r="F25" s="1259"/>
      <c r="G25" s="1260"/>
      <c r="H25" s="111"/>
      <c r="I25" s="108"/>
      <c r="J25" s="108"/>
    </row>
    <row r="26" spans="2:10" outlineLevel="1">
      <c r="B26" s="1337" t="s">
        <v>60</v>
      </c>
      <c r="C26" s="1259">
        <f>SECT_TERAC.!H7</f>
        <v>5.8149618152551019</v>
      </c>
      <c r="D26" s="1259">
        <f>SECT_TERAC.!H8</f>
        <v>0</v>
      </c>
      <c r="E26" s="1259">
        <f>SECT_TERAC.!H9</f>
        <v>0.96980773999999992</v>
      </c>
      <c r="F26" s="1259">
        <f>SECT_TERAC.!H10</f>
        <v>0</v>
      </c>
      <c r="G26" s="1260">
        <f t="shared" si="0"/>
        <v>6.7847695552551022</v>
      </c>
      <c r="H26" s="111"/>
      <c r="I26" s="108"/>
      <c r="J26" s="108"/>
    </row>
    <row r="27" spans="2:10">
      <c r="B27" s="1000"/>
      <c r="C27" s="107"/>
      <c r="D27" s="107"/>
      <c r="E27" s="107"/>
      <c r="F27" s="107"/>
      <c r="G27" s="1260"/>
      <c r="H27" s="111"/>
      <c r="I27" s="108"/>
      <c r="J27" s="108"/>
    </row>
    <row r="28" spans="2:10">
      <c r="B28" s="1000" t="s">
        <v>18</v>
      </c>
      <c r="C28" s="107">
        <f>SECT_TERAC.!N7</f>
        <v>153.25290558000003</v>
      </c>
      <c r="D28" s="107">
        <f>SECT_TERAC.!N8</f>
        <v>63.35739023999998</v>
      </c>
      <c r="E28" s="107">
        <f>SECT_TERAC.!N9</f>
        <v>0</v>
      </c>
      <c r="F28" s="107">
        <f>SECT_TERAC.!N10</f>
        <v>0</v>
      </c>
      <c r="G28" s="113">
        <f t="shared" si="0"/>
        <v>216.61029582</v>
      </c>
      <c r="H28" s="112"/>
      <c r="I28" s="111"/>
      <c r="J28" s="108"/>
    </row>
    <row r="29" spans="2:10">
      <c r="B29" s="1000"/>
      <c r="C29" s="107"/>
      <c r="D29" s="107"/>
      <c r="E29" s="107"/>
      <c r="F29" s="107"/>
      <c r="G29" s="113"/>
      <c r="H29" s="111"/>
      <c r="I29" s="111"/>
      <c r="J29" s="108"/>
    </row>
    <row r="30" spans="2:10">
      <c r="B30" s="990" t="s">
        <v>70</v>
      </c>
      <c r="C30" s="107">
        <f>SECT_TERAC.!T7</f>
        <v>342.40352039243834</v>
      </c>
      <c r="D30" s="107">
        <f>SECT_TERAC.!T8</f>
        <v>0</v>
      </c>
      <c r="E30" s="107">
        <f>SECT_TERAC.!T9</f>
        <v>0</v>
      </c>
      <c r="F30" s="107">
        <f>SECT_TERAC.!T10</f>
        <v>0</v>
      </c>
      <c r="G30" s="113">
        <f t="shared" si="0"/>
        <v>342.40352039243834</v>
      </c>
      <c r="H30" s="112"/>
      <c r="I30" s="111"/>
      <c r="J30" s="108"/>
    </row>
    <row r="31" spans="2:10">
      <c r="B31" s="1000"/>
      <c r="C31" s="107"/>
      <c r="D31" s="107"/>
      <c r="E31" s="107"/>
      <c r="F31" s="107"/>
      <c r="G31" s="114"/>
      <c r="H31" s="111"/>
      <c r="I31" s="108"/>
      <c r="J31" s="108"/>
    </row>
    <row r="32" spans="2:10" ht="13.5" thickBot="1">
      <c r="B32" s="1001" t="s">
        <v>11</v>
      </c>
      <c r="C32" s="115">
        <f>C10+C28+C30</f>
        <v>55838.722599253677</v>
      </c>
      <c r="D32" s="115">
        <f>D10+D28+D30</f>
        <v>245.05370548799993</v>
      </c>
      <c r="E32" s="115">
        <f>E10+E28+E30</f>
        <v>16929.083489367498</v>
      </c>
      <c r="F32" s="115">
        <f>F10+F28+F30</f>
        <v>7193.4521991390011</v>
      </c>
      <c r="G32" s="122">
        <f>G10+G28+G30</f>
        <v>80206.311993248164</v>
      </c>
      <c r="H32" s="111"/>
      <c r="I32" s="783"/>
      <c r="J32" s="108"/>
    </row>
    <row r="33" spans="2:10" ht="13.5" thickBot="1">
      <c r="B33" s="1002"/>
      <c r="C33" s="116"/>
      <c r="D33" s="116"/>
      <c r="E33" s="116"/>
      <c r="F33" s="116"/>
      <c r="G33" s="117"/>
      <c r="H33" s="111"/>
      <c r="I33" s="784"/>
      <c r="J33" s="108"/>
    </row>
    <row r="34" spans="2:10">
      <c r="B34" s="83" t="s">
        <v>91</v>
      </c>
      <c r="C34" s="84"/>
      <c r="D34" s="84"/>
      <c r="E34" s="84"/>
      <c r="F34" s="85"/>
      <c r="G34" s="80"/>
      <c r="H34" s="86"/>
      <c r="I34" s="84"/>
      <c r="J34" s="78"/>
    </row>
    <row r="35" spans="2:10">
      <c r="B35" s="83" t="s">
        <v>71</v>
      </c>
      <c r="C35" s="84"/>
      <c r="D35" s="84"/>
      <c r="E35" s="84"/>
      <c r="F35" s="84"/>
      <c r="G35" s="84"/>
      <c r="H35" s="84"/>
      <c r="I35" s="84"/>
      <c r="J35" s="80"/>
    </row>
    <row r="36" spans="2:10">
      <c r="B36" s="11" t="s">
        <v>42</v>
      </c>
      <c r="C36" s="61"/>
      <c r="D36" s="62"/>
      <c r="E36" s="62"/>
      <c r="F36" s="62"/>
      <c r="G36" s="63"/>
      <c r="H36" s="21"/>
      <c r="I36" s="76"/>
      <c r="J36" s="76"/>
    </row>
    <row r="37" spans="2:10">
      <c r="B37" s="11" t="s">
        <v>43</v>
      </c>
      <c r="C37" s="21"/>
      <c r="D37" s="21"/>
      <c r="E37" s="21"/>
      <c r="F37" s="21"/>
      <c r="G37" s="21"/>
      <c r="H37" s="21"/>
      <c r="I37" s="76"/>
      <c r="J37" s="76"/>
    </row>
    <row r="38" spans="2:10">
      <c r="B38" s="21" t="s">
        <v>14</v>
      </c>
      <c r="C38" s="21"/>
      <c r="D38" s="21"/>
      <c r="E38" s="21"/>
      <c r="F38" s="21"/>
      <c r="G38" s="21"/>
      <c r="H38" s="21"/>
      <c r="I38" s="76"/>
      <c r="J38" s="76"/>
    </row>
    <row r="39" spans="2:10">
      <c r="B39" s="21" t="s">
        <v>800</v>
      </c>
      <c r="C39" s="21"/>
      <c r="D39" s="21"/>
      <c r="E39" s="21"/>
      <c r="F39" s="21"/>
      <c r="G39" s="21"/>
      <c r="H39" s="21"/>
      <c r="I39" s="76"/>
      <c r="J39" s="76"/>
    </row>
    <row r="40" spans="2:10">
      <c r="B40" s="108"/>
      <c r="C40" s="108"/>
      <c r="D40" s="108"/>
      <c r="E40" s="108"/>
      <c r="F40" s="108"/>
      <c r="G40" s="108"/>
      <c r="H40" s="108"/>
      <c r="I40" s="108"/>
      <c r="J40" s="108"/>
    </row>
    <row r="41" spans="2:10">
      <c r="B41" s="22"/>
      <c r="C41" s="22"/>
      <c r="D41" s="22"/>
      <c r="E41" s="22"/>
      <c r="F41" s="22"/>
      <c r="G41" s="22"/>
    </row>
    <row r="42" spans="2:10">
      <c r="B42" s="22"/>
      <c r="C42" s="22"/>
      <c r="D42" s="22"/>
      <c r="E42" s="22"/>
      <c r="F42" s="22"/>
      <c r="G42" s="22"/>
    </row>
    <row r="43" spans="2:10">
      <c r="B43" s="22"/>
      <c r="C43" s="22"/>
      <c r="D43" s="22"/>
      <c r="E43" s="22"/>
      <c r="F43" s="22"/>
      <c r="G43" s="22"/>
    </row>
    <row r="44" spans="2:10">
      <c r="B44" s="22"/>
      <c r="C44" s="22"/>
      <c r="D44" s="22"/>
      <c r="E44" s="22"/>
      <c r="F44" s="22"/>
      <c r="G44" s="22"/>
    </row>
    <row r="45" spans="2:10">
      <c r="B45" s="22"/>
      <c r="C45" s="22"/>
      <c r="D45" s="22"/>
      <c r="E45" s="22"/>
      <c r="F45" s="22"/>
      <c r="G45" s="22"/>
    </row>
    <row r="46" spans="2:10">
      <c r="B46" s="22"/>
      <c r="C46" s="22"/>
      <c r="D46" s="22"/>
      <c r="E46" s="22"/>
      <c r="F46" s="22"/>
      <c r="G46" s="22"/>
    </row>
    <row r="47" spans="2:10" s="22" customFormat="1"/>
    <row r="48" spans="2:10" s="22" customFormat="1"/>
    <row r="49" spans="3:7" s="22" customFormat="1"/>
    <row r="50" spans="3:7" s="22" customFormat="1"/>
    <row r="51" spans="3:7" s="22" customFormat="1"/>
    <row r="52" spans="3:7" s="22" customFormat="1"/>
    <row r="53" spans="3:7" s="22" customFormat="1"/>
    <row r="54" spans="3:7" s="22" customFormat="1"/>
    <row r="55" spans="3:7" s="22" customFormat="1"/>
    <row r="56" spans="3:7" s="22" customFormat="1"/>
    <row r="57" spans="3:7" s="22" customFormat="1"/>
    <row r="58" spans="3:7" s="22" customFormat="1"/>
    <row r="59" spans="3:7" s="22" customFormat="1"/>
    <row r="60" spans="3:7">
      <c r="C60" s="22"/>
      <c r="D60" s="22"/>
      <c r="E60" s="22"/>
      <c r="F60" s="22"/>
      <c r="G60" s="22"/>
    </row>
    <row r="61" spans="3:7">
      <c r="C61" s="22"/>
      <c r="D61" s="22"/>
      <c r="E61" s="22"/>
      <c r="F61" s="22"/>
      <c r="G61" s="22"/>
    </row>
    <row r="62" spans="3:7">
      <c r="C62" s="22"/>
      <c r="D62" s="22"/>
      <c r="E62" s="22"/>
      <c r="F62" s="22"/>
      <c r="G62" s="22"/>
    </row>
    <row r="63" spans="3:7">
      <c r="C63" s="22"/>
      <c r="D63" s="22"/>
      <c r="E63" s="22"/>
      <c r="F63" s="22"/>
      <c r="G63" s="22"/>
    </row>
    <row r="64" spans="3:7">
      <c r="C64" s="22"/>
      <c r="D64" s="22"/>
      <c r="E64" s="22"/>
      <c r="F64" s="22"/>
      <c r="G64" s="22"/>
    </row>
    <row r="65" spans="3:7">
      <c r="C65" s="22"/>
      <c r="D65" s="22"/>
      <c r="E65" s="22"/>
      <c r="F65" s="22"/>
      <c r="G65" s="22"/>
    </row>
    <row r="66" spans="3:7">
      <c r="C66" s="22"/>
      <c r="D66" s="22"/>
      <c r="E66" s="22"/>
      <c r="F66" s="22"/>
      <c r="G66" s="22"/>
    </row>
    <row r="67" spans="3:7">
      <c r="C67" s="22"/>
      <c r="D67" s="22"/>
      <c r="E67" s="22"/>
      <c r="F67" s="22"/>
      <c r="G67" s="22"/>
    </row>
    <row r="68" spans="3:7">
      <c r="C68" s="22"/>
      <c r="D68" s="22"/>
      <c r="E68" s="22"/>
      <c r="F68" s="22"/>
      <c r="G68" s="22"/>
    </row>
    <row r="69" spans="3:7">
      <c r="C69" s="22"/>
      <c r="D69" s="22"/>
      <c r="E69" s="22"/>
      <c r="F69" s="22"/>
      <c r="G69" s="22"/>
    </row>
    <row r="70" spans="3:7">
      <c r="C70" s="22"/>
      <c r="D70" s="22"/>
      <c r="E70" s="22"/>
      <c r="F70" s="22"/>
      <c r="G70" s="22"/>
    </row>
    <row r="71" spans="3:7">
      <c r="C71" s="22"/>
      <c r="D71" s="22"/>
      <c r="E71" s="22"/>
      <c r="F71" s="22"/>
      <c r="G71" s="22"/>
    </row>
    <row r="72" spans="3:7">
      <c r="C72" s="22"/>
      <c r="D72" s="22"/>
      <c r="E72" s="22"/>
      <c r="F72" s="22"/>
      <c r="G72" s="22"/>
    </row>
    <row r="73" spans="3:7">
      <c r="C73" s="22"/>
      <c r="D73" s="22"/>
      <c r="E73" s="22"/>
      <c r="F73" s="22"/>
      <c r="G73" s="22"/>
    </row>
    <row r="74" spans="3:7">
      <c r="C74" s="22"/>
      <c r="D74" s="22"/>
      <c r="E74" s="22"/>
      <c r="F74" s="22"/>
      <c r="G74" s="22"/>
    </row>
    <row r="75" spans="3:7">
      <c r="C75" s="22"/>
      <c r="D75" s="22"/>
      <c r="E75" s="22"/>
      <c r="F75" s="22"/>
      <c r="G75" s="22"/>
    </row>
    <row r="76" spans="3:7">
      <c r="C76" s="22"/>
      <c r="D76" s="22"/>
      <c r="E76" s="22"/>
      <c r="F76" s="22"/>
      <c r="G76" s="22"/>
    </row>
    <row r="77" spans="3:7">
      <c r="C77" s="22"/>
      <c r="D77" s="22"/>
      <c r="E77" s="22"/>
      <c r="F77" s="22"/>
      <c r="G77" s="22"/>
    </row>
    <row r="78" spans="3:7">
      <c r="C78" s="22"/>
      <c r="D78" s="22"/>
      <c r="E78" s="22"/>
      <c r="F78" s="22"/>
      <c r="G78" s="22"/>
    </row>
    <row r="79" spans="3:7">
      <c r="C79" s="22"/>
      <c r="D79" s="22"/>
      <c r="E79" s="22"/>
      <c r="F79" s="22"/>
      <c r="G79" s="22"/>
    </row>
    <row r="80" spans="3:7">
      <c r="C80" s="22"/>
      <c r="D80" s="22"/>
      <c r="E80" s="22"/>
      <c r="F80" s="22"/>
      <c r="G80" s="22"/>
    </row>
    <row r="81" spans="3:7">
      <c r="C81" s="22"/>
      <c r="D81" s="22"/>
      <c r="E81" s="22"/>
      <c r="F81" s="22"/>
      <c r="G81" s="22"/>
    </row>
    <row r="82" spans="3:7">
      <c r="C82" s="22"/>
      <c r="D82" s="22"/>
      <c r="E82" s="22"/>
      <c r="F82" s="22"/>
      <c r="G82" s="22"/>
    </row>
    <row r="83" spans="3:7">
      <c r="C83" s="22"/>
      <c r="D83" s="22"/>
      <c r="E83" s="22"/>
      <c r="F83" s="22"/>
      <c r="G83" s="22"/>
    </row>
    <row r="84" spans="3:7">
      <c r="C84" s="22"/>
      <c r="D84" s="22"/>
      <c r="E84" s="22"/>
      <c r="F84" s="22"/>
      <c r="G84" s="22"/>
    </row>
    <row r="85" spans="3:7">
      <c r="C85" s="22"/>
      <c r="D85" s="22"/>
      <c r="E85" s="22"/>
      <c r="F85" s="22"/>
      <c r="G85" s="22"/>
    </row>
    <row r="86" spans="3:7">
      <c r="C86" s="22"/>
      <c r="D86" s="22"/>
      <c r="E86" s="22"/>
      <c r="F86" s="22"/>
      <c r="G86" s="22"/>
    </row>
    <row r="87" spans="3:7">
      <c r="C87" s="22"/>
      <c r="D87" s="22"/>
      <c r="E87" s="22"/>
      <c r="F87" s="22"/>
      <c r="G87" s="22"/>
    </row>
    <row r="88" spans="3:7">
      <c r="C88" s="22"/>
      <c r="D88" s="22"/>
      <c r="E88" s="22"/>
      <c r="F88" s="22"/>
      <c r="G88" s="22"/>
    </row>
    <row r="89" spans="3:7">
      <c r="C89" s="22"/>
      <c r="D89" s="22"/>
      <c r="E89" s="22"/>
      <c r="F89" s="22"/>
      <c r="G89" s="22"/>
    </row>
    <row r="90" spans="3:7">
      <c r="C90" s="22"/>
      <c r="D90" s="22"/>
      <c r="E90" s="22"/>
      <c r="F90" s="22"/>
      <c r="G90" s="22"/>
    </row>
    <row r="91" spans="3:7">
      <c r="C91" s="22"/>
      <c r="D91" s="22"/>
      <c r="E91" s="22"/>
      <c r="F91" s="22"/>
      <c r="G91" s="22"/>
    </row>
    <row r="92" spans="3:7">
      <c r="C92" s="22"/>
      <c r="D92" s="22"/>
      <c r="E92" s="22"/>
      <c r="F92" s="22"/>
      <c r="G92" s="22"/>
    </row>
    <row r="93" spans="3:7">
      <c r="C93" s="22"/>
      <c r="D93" s="22"/>
      <c r="E93" s="22"/>
      <c r="F93" s="22"/>
      <c r="G93" s="22"/>
    </row>
    <row r="94" spans="3:7">
      <c r="C94" s="22"/>
      <c r="D94" s="22"/>
      <c r="E94" s="22"/>
      <c r="F94" s="22"/>
      <c r="G94" s="22"/>
    </row>
    <row r="95" spans="3:7">
      <c r="C95" s="22"/>
      <c r="D95" s="22"/>
      <c r="E95" s="22"/>
      <c r="F95" s="22"/>
      <c r="G95" s="22"/>
    </row>
    <row r="96" spans="3:7">
      <c r="C96" s="22"/>
      <c r="D96" s="22"/>
      <c r="E96" s="22"/>
      <c r="F96" s="22"/>
      <c r="G96" s="22"/>
    </row>
    <row r="97" spans="3:7">
      <c r="C97" s="22"/>
      <c r="D97" s="22"/>
      <c r="E97" s="22"/>
      <c r="F97" s="22"/>
      <c r="G97" s="22"/>
    </row>
    <row r="98" spans="3:7">
      <c r="C98" s="22"/>
      <c r="D98" s="22"/>
      <c r="E98" s="22"/>
      <c r="F98" s="22"/>
      <c r="G98" s="22"/>
    </row>
  </sheetData>
  <phoneticPr fontId="0" type="noConversion"/>
  <hyperlinks>
    <hyperlink ref="H2" location="INDICE!A1" display="VOLVER A INDICE"/>
  </hyperlinks>
  <pageMargins left="0.75" right="0.75" top="1" bottom="1" header="0" footer="0"/>
  <pageSetup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102"/>
  <sheetViews>
    <sheetView topLeftCell="B1" workbookViewId="0">
      <selection activeCell="D20" sqref="D20"/>
    </sheetView>
  </sheetViews>
  <sheetFormatPr baseColWidth="10" defaultRowHeight="12.75" outlineLevelRow="1"/>
  <cols>
    <col min="1" max="1" width="1.85546875" style="891" customWidth="1"/>
    <col min="2" max="2" width="26.5703125" style="891" customWidth="1"/>
    <col min="3" max="14" width="11.42578125" style="891"/>
    <col min="15" max="25" width="11.42578125" style="22"/>
    <col min="26" max="16384" width="11.42578125" style="891"/>
  </cols>
  <sheetData>
    <row r="1" spans="2:17" ht="8.25" customHeight="1" thickBot="1"/>
    <row r="2" spans="2:17" ht="15.75" customHeight="1" thickBot="1">
      <c r="B2" s="1003"/>
      <c r="C2" s="1004"/>
      <c r="D2" s="1004"/>
      <c r="E2" s="1004"/>
      <c r="F2" s="1004"/>
      <c r="G2" s="1004"/>
      <c r="H2" s="1004"/>
      <c r="I2" s="1004"/>
      <c r="J2" s="1004"/>
      <c r="K2" s="1004"/>
      <c r="L2" s="1004"/>
      <c r="M2" s="1004"/>
      <c r="N2" s="1005"/>
      <c r="O2" s="145"/>
      <c r="P2" s="147"/>
      <c r="Q2" s="147"/>
    </row>
    <row r="3" spans="2:17" ht="15.75">
      <c r="B3" s="123"/>
      <c r="C3" s="124"/>
      <c r="D3" s="124"/>
      <c r="E3" s="125"/>
      <c r="F3" s="125"/>
      <c r="G3" s="92" t="s">
        <v>77</v>
      </c>
      <c r="H3" s="125"/>
      <c r="I3" s="125"/>
      <c r="J3" s="124"/>
      <c r="K3" s="124"/>
      <c r="L3" s="124"/>
      <c r="M3" s="124"/>
      <c r="N3" s="126"/>
      <c r="O3" s="145"/>
      <c r="P3" s="147"/>
      <c r="Q3" s="147"/>
    </row>
    <row r="4" spans="2:17" ht="15.75">
      <c r="B4" s="127"/>
      <c r="C4" s="128"/>
      <c r="D4" s="128"/>
      <c r="E4" s="129"/>
      <c r="F4" s="129"/>
      <c r="G4" s="129" t="s">
        <v>78</v>
      </c>
      <c r="H4" s="129"/>
      <c r="I4" s="129"/>
      <c r="J4" s="128"/>
      <c r="K4" s="128"/>
      <c r="L4" s="128"/>
      <c r="M4" s="128"/>
      <c r="N4" s="130"/>
      <c r="O4" s="852" t="s">
        <v>681</v>
      </c>
      <c r="P4" s="147"/>
      <c r="Q4" s="147"/>
    </row>
    <row r="5" spans="2:17" ht="15.75">
      <c r="B5" s="127"/>
      <c r="C5" s="128"/>
      <c r="D5" s="128"/>
      <c r="E5" s="129"/>
      <c r="F5" s="129"/>
      <c r="G5" s="129" t="s">
        <v>737</v>
      </c>
      <c r="H5" s="129"/>
      <c r="I5" s="129"/>
      <c r="J5" s="128"/>
      <c r="K5" s="128"/>
      <c r="L5" s="128"/>
      <c r="M5" s="128"/>
      <c r="N5" s="130"/>
      <c r="O5" s="145"/>
      <c r="P5" s="147"/>
      <c r="Q5" s="147"/>
    </row>
    <row r="6" spans="2:17" ht="15.75">
      <c r="B6" s="127"/>
      <c r="C6" s="128"/>
      <c r="D6" s="128"/>
      <c r="E6" s="128"/>
      <c r="F6" s="131" t="s">
        <v>98</v>
      </c>
      <c r="G6" s="128"/>
      <c r="H6" s="128"/>
      <c r="I6" s="128"/>
      <c r="J6" s="128"/>
      <c r="K6" s="128"/>
      <c r="L6" s="128"/>
      <c r="M6" s="128"/>
      <c r="N6" s="130"/>
      <c r="O6" s="145"/>
      <c r="P6" s="147"/>
      <c r="Q6" s="147"/>
    </row>
    <row r="7" spans="2:17" ht="15.75">
      <c r="B7" s="127" t="s">
        <v>3</v>
      </c>
      <c r="C7" s="129" t="s">
        <v>99</v>
      </c>
      <c r="D7" s="129" t="s">
        <v>100</v>
      </c>
      <c r="E7" s="129" t="s">
        <v>101</v>
      </c>
      <c r="F7" s="129" t="s">
        <v>102</v>
      </c>
      <c r="G7" s="129" t="s">
        <v>103</v>
      </c>
      <c r="H7" s="129" t="s">
        <v>104</v>
      </c>
      <c r="I7" s="129" t="s">
        <v>105</v>
      </c>
      <c r="J7" s="129" t="s">
        <v>106</v>
      </c>
      <c r="K7" s="129" t="s">
        <v>107</v>
      </c>
      <c r="L7" s="129" t="s">
        <v>108</v>
      </c>
      <c r="M7" s="129" t="s">
        <v>109</v>
      </c>
      <c r="N7" s="132" t="s">
        <v>11</v>
      </c>
      <c r="O7" s="145"/>
      <c r="P7" s="147"/>
      <c r="Q7" s="147"/>
    </row>
    <row r="8" spans="2:17" ht="16.5" thickBot="1">
      <c r="B8" s="1006"/>
      <c r="C8" s="1007"/>
      <c r="D8" s="1007"/>
      <c r="E8" s="1007"/>
      <c r="F8" s="1007" t="s">
        <v>110</v>
      </c>
      <c r="G8" s="1007" t="s">
        <v>111</v>
      </c>
      <c r="H8" s="1007" t="s">
        <v>112</v>
      </c>
      <c r="I8" s="1007"/>
      <c r="J8" s="1007"/>
      <c r="K8" s="1007"/>
      <c r="L8" s="1007" t="s">
        <v>113</v>
      </c>
      <c r="M8" s="1007" t="s">
        <v>113</v>
      </c>
      <c r="N8" s="1008"/>
      <c r="O8" s="145"/>
      <c r="P8" s="147"/>
      <c r="Q8" s="147"/>
    </row>
    <row r="9" spans="2:17">
      <c r="B9" s="989" t="s">
        <v>88</v>
      </c>
      <c r="C9" s="777">
        <f>SUM(C11:C25)</f>
        <v>7345.1669378223996</v>
      </c>
      <c r="D9" s="777">
        <f t="shared" ref="D9:N9" si="0">SUM(D11:D25)</f>
        <v>414.98091149999993</v>
      </c>
      <c r="E9" s="777">
        <f t="shared" si="0"/>
        <v>89.236645511999996</v>
      </c>
      <c r="F9" s="777">
        <f t="shared" si="0"/>
        <v>1440.8114255418</v>
      </c>
      <c r="G9" s="777">
        <f t="shared" si="0"/>
        <v>218.09371006800004</v>
      </c>
      <c r="H9" s="777">
        <f t="shared" si="0"/>
        <v>49.291259495000006</v>
      </c>
      <c r="I9" s="777">
        <f t="shared" si="0"/>
        <v>314.11499575440007</v>
      </c>
      <c r="J9" s="777">
        <f t="shared" si="0"/>
        <v>101.42780890900001</v>
      </c>
      <c r="K9" s="777">
        <f t="shared" si="0"/>
        <v>1054.1620344875</v>
      </c>
      <c r="L9" s="777">
        <f t="shared" si="0"/>
        <v>7548.7198474644547</v>
      </c>
      <c r="M9" s="777">
        <f t="shared" si="0"/>
        <v>3787.251100000396</v>
      </c>
      <c r="N9" s="778">
        <f t="shared" si="0"/>
        <v>22363.256676554949</v>
      </c>
      <c r="O9" s="145"/>
      <c r="P9" s="146"/>
      <c r="Q9" s="147"/>
    </row>
    <row r="10" spans="2:17" outlineLevel="1">
      <c r="B10" s="1009"/>
      <c r="C10" s="144"/>
      <c r="D10" s="144"/>
      <c r="E10" s="144"/>
      <c r="F10" s="144"/>
      <c r="G10" s="144"/>
      <c r="H10" s="144"/>
      <c r="I10" s="144"/>
      <c r="J10" s="144"/>
      <c r="K10" s="144"/>
      <c r="L10" s="144"/>
      <c r="M10" s="144"/>
      <c r="N10" s="148"/>
      <c r="O10" s="145"/>
      <c r="P10" s="147"/>
      <c r="Q10" s="147"/>
    </row>
    <row r="11" spans="2:17" outlineLevel="1">
      <c r="B11" s="1340" t="s">
        <v>55</v>
      </c>
      <c r="C11" s="1286">
        <f>SECT_TERAC.!D14</f>
        <v>759.46145100000012</v>
      </c>
      <c r="D11" s="1286">
        <f>SECT_TERAC.!D15</f>
        <v>62.878882499999982</v>
      </c>
      <c r="E11" s="1286">
        <f>SECT_TERAC.!D16</f>
        <v>43.880549999999999</v>
      </c>
      <c r="F11" s="1286">
        <f>SECT_TERAC.!D17</f>
        <v>1337.9521130598</v>
      </c>
      <c r="G11" s="1286">
        <f>SECT_TERAC.!D18</f>
        <v>179.68407826800001</v>
      </c>
      <c r="H11" s="1286">
        <f>SECT_TERAC.!D19</f>
        <v>9.5096295000000008</v>
      </c>
      <c r="I11" s="1286">
        <f>SECT_TERAC.!D20</f>
        <v>242.91863400000003</v>
      </c>
      <c r="J11" s="1286">
        <f>SECT_TERAC.!D21</f>
        <v>99.056208909000006</v>
      </c>
      <c r="K11" s="1286">
        <f>SECT_TERAC.!D22</f>
        <v>514.38238566749999</v>
      </c>
      <c r="L11" s="1286">
        <f>SECT_TERAC.!D23</f>
        <v>1319.9117818635</v>
      </c>
      <c r="M11" s="1286">
        <f>SECT_TERAC.!D24</f>
        <v>632.19250499999976</v>
      </c>
      <c r="N11" s="1262">
        <f>SUM(C11:M11)</f>
        <v>5201.8282197678</v>
      </c>
      <c r="O11" s="151"/>
      <c r="P11" s="146"/>
      <c r="Q11" s="147"/>
    </row>
    <row r="12" spans="2:17" outlineLevel="1">
      <c r="B12" s="1340"/>
      <c r="C12" s="1263"/>
      <c r="D12" s="1263"/>
      <c r="E12" s="1263"/>
      <c r="F12" s="1263"/>
      <c r="G12" s="1263"/>
      <c r="H12" s="1263"/>
      <c r="I12" s="1263"/>
      <c r="J12" s="1263"/>
      <c r="K12" s="1263"/>
      <c r="L12" s="1263"/>
      <c r="M12" s="1263"/>
      <c r="N12" s="1264"/>
      <c r="O12" s="151"/>
      <c r="P12" s="147"/>
      <c r="Q12" s="147"/>
    </row>
    <row r="13" spans="2:17" outlineLevel="1">
      <c r="B13" s="1340" t="s">
        <v>56</v>
      </c>
      <c r="C13" s="1286">
        <f>SECT_TERAC.!C14</f>
        <v>6430.301664729599</v>
      </c>
      <c r="D13" s="1286">
        <f>SECT_TERAC.!C15</f>
        <v>313.12604399999998</v>
      </c>
      <c r="E13" s="1286">
        <f>SECT_TERAC.!C16</f>
        <v>45.356095512000003</v>
      </c>
      <c r="F13" s="1286">
        <f>SECT_TERAC.!C17</f>
        <v>41.781931883999995</v>
      </c>
      <c r="G13" s="1286">
        <f>SECT_TERAC.!C18</f>
        <v>13.608562800000001</v>
      </c>
      <c r="H13" s="1286">
        <f>SECT_TERAC.!C19</f>
        <v>20.290153799999999</v>
      </c>
      <c r="I13" s="1286">
        <f>SECT_TERAC.!C20</f>
        <v>68.546461754400013</v>
      </c>
      <c r="J13" s="1286">
        <f>SECT_TERAC.!C21</f>
        <v>0</v>
      </c>
      <c r="K13" s="1286">
        <f>SECT_TERAC.!C22</f>
        <v>333.95223582</v>
      </c>
      <c r="L13" s="1286">
        <f>SECT_TERAC.!C23</f>
        <v>4646.8989538895985</v>
      </c>
      <c r="M13" s="1286">
        <f>SECT_TERAC.!C24</f>
        <v>3056.2000317743964</v>
      </c>
      <c r="N13" s="1262">
        <f>SUM(C13:M13)</f>
        <v>14970.062135963994</v>
      </c>
      <c r="O13" s="151"/>
      <c r="P13" s="146"/>
      <c r="Q13" s="147"/>
    </row>
    <row r="14" spans="2:17" outlineLevel="1">
      <c r="B14" s="1340"/>
      <c r="C14" s="1261"/>
      <c r="D14" s="1261"/>
      <c r="E14" s="1261"/>
      <c r="F14" s="1261"/>
      <c r="G14" s="1261"/>
      <c r="H14" s="1261"/>
      <c r="I14" s="1261"/>
      <c r="J14" s="1261"/>
      <c r="K14" s="1261"/>
      <c r="L14" s="1261"/>
      <c r="M14" s="1261"/>
      <c r="N14" s="1262"/>
      <c r="O14" s="151"/>
      <c r="P14" s="147"/>
      <c r="Q14" s="147"/>
    </row>
    <row r="15" spans="2:17" outlineLevel="1">
      <c r="B15" s="1340" t="s">
        <v>59</v>
      </c>
      <c r="C15" s="1286">
        <f>SECT_TERAC.!G14</f>
        <v>92.200807899000026</v>
      </c>
      <c r="D15" s="1286">
        <f>SECT_TERAC.!G15</f>
        <v>38.975985000000001</v>
      </c>
      <c r="E15" s="1286">
        <f>SECT_TERAC.!G16</f>
        <v>0</v>
      </c>
      <c r="F15" s="1286">
        <f>SECT_TERAC.!G17</f>
        <v>0.11668519800000002</v>
      </c>
      <c r="G15" s="1286">
        <f>SECT_TERAC.!G18</f>
        <v>5.9250690000000015</v>
      </c>
      <c r="H15" s="1286">
        <f>SECT_TERAC.!G19</f>
        <v>0</v>
      </c>
      <c r="I15" s="1286">
        <f>SECT_TERAC.!G20</f>
        <v>0</v>
      </c>
      <c r="J15" s="1286">
        <f>SECT_TERAC.!G21</f>
        <v>0</v>
      </c>
      <c r="K15" s="1286">
        <f>SECT_TERAC.!G22</f>
        <v>0</v>
      </c>
      <c r="L15" s="1286">
        <f>SECT_TERAC.!G23</f>
        <v>21.659516802000002</v>
      </c>
      <c r="M15" s="1286">
        <f>SECT_TERAC.!G24</f>
        <v>92.518163226000041</v>
      </c>
      <c r="N15" s="1262">
        <f>SUM(C15:M15)</f>
        <v>251.39622712500008</v>
      </c>
      <c r="O15" s="151"/>
      <c r="P15" s="146"/>
      <c r="Q15" s="147"/>
    </row>
    <row r="16" spans="2:17" outlineLevel="1">
      <c r="B16" s="1340"/>
      <c r="C16" s="1261"/>
      <c r="D16" s="1261"/>
      <c r="E16" s="1261"/>
      <c r="F16" s="1261"/>
      <c r="G16" s="1261"/>
      <c r="H16" s="1261"/>
      <c r="I16" s="1261"/>
      <c r="J16" s="1261"/>
      <c r="K16" s="1261"/>
      <c r="L16" s="1261"/>
      <c r="M16" s="1261"/>
      <c r="N16" s="1262"/>
      <c r="O16" s="151"/>
      <c r="P16" s="147"/>
      <c r="Q16" s="147"/>
    </row>
    <row r="17" spans="2:17" outlineLevel="1">
      <c r="B17" s="1340" t="s">
        <v>60</v>
      </c>
      <c r="C17" s="1286">
        <f>SECT_TERAC.!H14</f>
        <v>49.461733593799991</v>
      </c>
      <c r="D17" s="1286">
        <f>SECT_TERAC.!H15</f>
        <v>0</v>
      </c>
      <c r="E17" s="1286">
        <f>SECT_TERAC.!H16</f>
        <v>0</v>
      </c>
      <c r="F17" s="1286">
        <f>SECT_TERAC.!H17</f>
        <v>60.960695399999977</v>
      </c>
      <c r="G17" s="1286">
        <f>SECT_TERAC.!H18</f>
        <v>18.876000000000001</v>
      </c>
      <c r="H17" s="1286">
        <f>SECT_TERAC.!H19</f>
        <v>15.824476194999999</v>
      </c>
      <c r="I17" s="1286">
        <f>SECT_TERAC.!H20</f>
        <v>2.6499000000000001</v>
      </c>
      <c r="J17" s="1286">
        <f>SECT_TERAC.!H21</f>
        <v>2.3715999999999999</v>
      </c>
      <c r="K17" s="1286">
        <f>SECT_TERAC.!H22</f>
        <v>205.82741300000001</v>
      </c>
      <c r="L17" s="1286">
        <f>SECT_TERAC.!H23</f>
        <v>1560.1240149093555</v>
      </c>
      <c r="M17" s="1286">
        <f>SECT_TERAC.!H24</f>
        <v>6.3404000000000007</v>
      </c>
      <c r="N17" s="1262">
        <f>SUM(C17:M17)</f>
        <v>1922.4362330981555</v>
      </c>
      <c r="O17" s="151"/>
      <c r="P17" s="146"/>
      <c r="Q17" s="147"/>
    </row>
    <row r="18" spans="2:17" outlineLevel="1">
      <c r="B18" s="1340"/>
      <c r="C18" s="1261"/>
      <c r="D18" s="1261"/>
      <c r="E18" s="1261"/>
      <c r="F18" s="1261"/>
      <c r="G18" s="1261"/>
      <c r="H18" s="1261"/>
      <c r="I18" s="1261"/>
      <c r="J18" s="1261"/>
      <c r="K18" s="1261"/>
      <c r="L18" s="1261"/>
      <c r="M18" s="1261"/>
      <c r="N18" s="1262"/>
      <c r="O18" s="151"/>
      <c r="P18" s="147"/>
      <c r="Q18" s="147"/>
    </row>
    <row r="19" spans="2:17" outlineLevel="1">
      <c r="B19" s="1340" t="s">
        <v>63</v>
      </c>
      <c r="C19" s="1286">
        <f>SECT_TERAC.!K14</f>
        <v>13.7394824</v>
      </c>
      <c r="D19" s="1286">
        <f>SECT_TERAC.!K15</f>
        <v>0</v>
      </c>
      <c r="E19" s="1286">
        <f>SECT_TERAC.!K16</f>
        <v>0</v>
      </c>
      <c r="F19" s="1286">
        <f>SECT_TERAC.!K17</f>
        <v>0</v>
      </c>
      <c r="G19" s="1286">
        <f>SECT_TERAC.!K18</f>
        <v>0</v>
      </c>
      <c r="H19" s="1286">
        <f>SECT_TERAC.!K19</f>
        <v>0</v>
      </c>
      <c r="I19" s="1286">
        <f>SECT_TERAC.!K20</f>
        <v>0</v>
      </c>
      <c r="J19" s="1286">
        <f>SECT_TERAC.!K21</f>
        <v>0</v>
      </c>
      <c r="K19" s="1286">
        <f>SECT_TERAC.!K22</f>
        <v>0</v>
      </c>
      <c r="L19" s="1286">
        <f>SECT_TERAC.!K23</f>
        <v>0.12558</v>
      </c>
      <c r="M19" s="1286">
        <f>SECT_TERAC.!K24</f>
        <v>0</v>
      </c>
      <c r="N19" s="1262">
        <f>SUM(C19:M19)</f>
        <v>13.865062399999999</v>
      </c>
      <c r="O19" s="151"/>
      <c r="P19" s="146"/>
      <c r="Q19" s="147"/>
    </row>
    <row r="20" spans="2:17" outlineLevel="1">
      <c r="B20" s="1340"/>
      <c r="C20" s="1261"/>
      <c r="D20" s="1261"/>
      <c r="E20" s="1261"/>
      <c r="F20" s="1261"/>
      <c r="G20" s="1261"/>
      <c r="H20" s="1261"/>
      <c r="I20" s="1261"/>
      <c r="J20" s="1261"/>
      <c r="K20" s="1261"/>
      <c r="L20" s="1261"/>
      <c r="M20" s="1261"/>
      <c r="N20" s="1262"/>
      <c r="O20" s="151"/>
      <c r="P20" s="147"/>
      <c r="Q20" s="147"/>
    </row>
    <row r="21" spans="2:17" outlineLevel="1">
      <c r="B21" s="1340" t="s">
        <v>64</v>
      </c>
      <c r="C21" s="1286">
        <f>SECT_TERAC.!L14</f>
        <v>0</v>
      </c>
      <c r="D21" s="1286">
        <f>SECT_TERAC.!L15</f>
        <v>0</v>
      </c>
      <c r="E21" s="1286">
        <f>SECT_TERAC.!L16</f>
        <v>0</v>
      </c>
      <c r="F21" s="1286">
        <f>SECT_TERAC.!L17</f>
        <v>0</v>
      </c>
      <c r="G21" s="1286">
        <f>SECT_TERAC.!L18</f>
        <v>0</v>
      </c>
      <c r="H21" s="1286">
        <f>SECT_TERAC.!L19</f>
        <v>3.6669999999999998</v>
      </c>
      <c r="I21" s="1286">
        <f>SECT_TERAC.!L20</f>
        <v>0</v>
      </c>
      <c r="J21" s="1286">
        <f>SECT_TERAC.!L21</f>
        <v>0</v>
      </c>
      <c r="K21" s="1286">
        <f>SECT_TERAC.!L22</f>
        <v>0</v>
      </c>
      <c r="L21" s="1286">
        <f>SECT_TERAC.!L23</f>
        <v>0</v>
      </c>
      <c r="M21" s="1286">
        <f>SECT_TERAC.!L24</f>
        <v>0</v>
      </c>
      <c r="N21" s="1262">
        <f>SUM(C21:M21)</f>
        <v>3.6669999999999998</v>
      </c>
      <c r="O21" s="151"/>
      <c r="P21" s="146"/>
      <c r="Q21" s="147"/>
    </row>
    <row r="22" spans="2:17" outlineLevel="1">
      <c r="B22" s="1340"/>
      <c r="C22" s="1261"/>
      <c r="D22" s="1261"/>
      <c r="E22" s="1261"/>
      <c r="F22" s="1261"/>
      <c r="G22" s="1261"/>
      <c r="H22" s="1261"/>
      <c r="I22" s="1261"/>
      <c r="J22" s="1261"/>
      <c r="K22" s="1261"/>
      <c r="L22" s="1261"/>
      <c r="M22" s="1261"/>
      <c r="N22" s="1262"/>
      <c r="O22" s="151"/>
      <c r="P22" s="146"/>
      <c r="Q22" s="147"/>
    </row>
    <row r="23" spans="2:17" outlineLevel="1">
      <c r="B23" s="1337" t="s">
        <v>62</v>
      </c>
      <c r="C23" s="1286">
        <f>SECT_TERAC.!J14</f>
        <v>1.7982E-3</v>
      </c>
      <c r="D23" s="1286">
        <f>SECT_TERAC.!J15</f>
        <v>0</v>
      </c>
      <c r="E23" s="1286">
        <f>SECT_TERAC.!J16</f>
        <v>0</v>
      </c>
      <c r="F23" s="1286">
        <f>SECT_TERAC.!J17</f>
        <v>0</v>
      </c>
      <c r="G23" s="1286">
        <f>SECT_TERAC.!J18</f>
        <v>0</v>
      </c>
      <c r="H23" s="1286">
        <f>SECT_TERAC.!J19</f>
        <v>0</v>
      </c>
      <c r="I23" s="1286">
        <f>SECT_TERAC.!J20</f>
        <v>0</v>
      </c>
      <c r="J23" s="1286">
        <f>SECT_TERAC.!J21</f>
        <v>0</v>
      </c>
      <c r="K23" s="1286">
        <f>SECT_TERAC.!J22</f>
        <v>0</v>
      </c>
      <c r="L23" s="1286">
        <f>SECT_TERAC.!J23</f>
        <v>0</v>
      </c>
      <c r="M23" s="1286">
        <f>SECT_TERAC.!J24</f>
        <v>0</v>
      </c>
      <c r="N23" s="1262">
        <f>SUM(C23:M23)</f>
        <v>1.7982E-3</v>
      </c>
      <c r="O23" s="151"/>
      <c r="P23" s="146"/>
      <c r="Q23" s="147"/>
    </row>
    <row r="24" spans="2:17" outlineLevel="1">
      <c r="B24" s="1340"/>
      <c r="C24" s="1261"/>
      <c r="D24" s="1261"/>
      <c r="E24" s="1261"/>
      <c r="F24" s="1261"/>
      <c r="G24" s="1261"/>
      <c r="H24" s="1261"/>
      <c r="I24" s="1261"/>
      <c r="J24" s="1261"/>
      <c r="K24" s="1261"/>
      <c r="L24" s="1261"/>
      <c r="M24" s="1261"/>
      <c r="N24" s="1262"/>
      <c r="O24" s="151"/>
      <c r="P24" s="146"/>
      <c r="Q24" s="147"/>
    </row>
    <row r="25" spans="2:17" outlineLevel="1">
      <c r="B25" s="1337" t="s">
        <v>89</v>
      </c>
      <c r="C25" s="1286">
        <f>SECT_TERAC.!E14</f>
        <v>0</v>
      </c>
      <c r="D25" s="1286">
        <f>SECT_TERAC.!E15</f>
        <v>0</v>
      </c>
      <c r="E25" s="1286">
        <f>SECT_TERAC.!E16</f>
        <v>0</v>
      </c>
      <c r="F25" s="1286">
        <f>SECT_TERAC.!E17</f>
        <v>0</v>
      </c>
      <c r="G25" s="1286">
        <f>SECT_TERAC.!E18</f>
        <v>0</v>
      </c>
      <c r="H25" s="1286">
        <f>SECT_TERAC.!E19</f>
        <v>0</v>
      </c>
      <c r="I25" s="1286">
        <f>SECT_TERAC.!E20</f>
        <v>0</v>
      </c>
      <c r="J25" s="1286">
        <f>SECT_TERAC.!E21</f>
        <v>0</v>
      </c>
      <c r="K25" s="1286">
        <f>SECT_TERAC.!E22</f>
        <v>0</v>
      </c>
      <c r="L25" s="1286">
        <f>SECT_TERAC.!E23</f>
        <v>0</v>
      </c>
      <c r="M25" s="1286">
        <f>SECT_TERAC.!E24</f>
        <v>0</v>
      </c>
      <c r="N25" s="1262">
        <f>SUM(C25:M25)</f>
        <v>0</v>
      </c>
      <c r="O25" s="151"/>
      <c r="P25" s="146"/>
      <c r="Q25" s="147"/>
    </row>
    <row r="26" spans="2:17">
      <c r="B26" s="1010"/>
      <c r="C26" s="149"/>
      <c r="D26" s="149"/>
      <c r="E26" s="149"/>
      <c r="F26" s="149"/>
      <c r="G26" s="149"/>
      <c r="H26" s="149"/>
      <c r="I26" s="149"/>
      <c r="J26" s="149"/>
      <c r="K26" s="149"/>
      <c r="L26" s="149"/>
      <c r="M26" s="149"/>
      <c r="N26" s="150"/>
      <c r="O26" s="151"/>
      <c r="P26" s="147"/>
      <c r="Q26" s="147"/>
    </row>
    <row r="27" spans="2:17">
      <c r="B27" s="1011" t="s">
        <v>18</v>
      </c>
      <c r="C27" s="1287">
        <f>SECT_TERAC.!N14</f>
        <v>13639.058910984366</v>
      </c>
      <c r="D27" s="1287">
        <f>SECT_TERAC.!N15</f>
        <v>356.16705725999986</v>
      </c>
      <c r="E27" s="1287">
        <f>SECT_TERAC.!N16</f>
        <v>309.76928927999995</v>
      </c>
      <c r="F27" s="1287">
        <f>SECT_TERAC.!N17</f>
        <v>3742.0461701079535</v>
      </c>
      <c r="G27" s="1287">
        <f>SECT_TERAC.!N18</f>
        <v>493.47917742000021</v>
      </c>
      <c r="H27" s="1287">
        <f>SECT_TERAC.!N19</f>
        <v>552.54999484000007</v>
      </c>
      <c r="I27" s="1287">
        <f>SECT_TERAC.!N20</f>
        <v>422.8720310399998</v>
      </c>
      <c r="J27" s="1287">
        <f>SECT_TERAC.!N21</f>
        <v>87.924908927353471</v>
      </c>
      <c r="K27" s="1287">
        <f>SECT_TERAC.!N22</f>
        <v>107.02423595999994</v>
      </c>
      <c r="L27" s="1287">
        <f>SECT_TERAC.!N23</f>
        <v>6917.5434092587884</v>
      </c>
      <c r="M27" s="1287">
        <f>SECT_TERAC.!N24</f>
        <v>1256.4751210875493</v>
      </c>
      <c r="N27" s="148">
        <f>SUM(C27:M27)</f>
        <v>27884.910306166013</v>
      </c>
      <c r="O27" s="151"/>
      <c r="P27" s="146"/>
      <c r="Q27" s="147"/>
    </row>
    <row r="28" spans="2:17">
      <c r="B28" s="1011"/>
      <c r="C28" s="144"/>
      <c r="D28" s="144"/>
      <c r="E28" s="144"/>
      <c r="F28" s="144"/>
      <c r="G28" s="144"/>
      <c r="H28" s="144"/>
      <c r="I28" s="144"/>
      <c r="J28" s="144"/>
      <c r="K28" s="144"/>
      <c r="L28" s="144"/>
      <c r="M28" s="144"/>
      <c r="N28" s="148"/>
      <c r="O28" s="151"/>
      <c r="P28" s="147"/>
      <c r="Q28" s="147"/>
    </row>
    <row r="29" spans="2:17">
      <c r="B29" s="1011" t="s">
        <v>114</v>
      </c>
      <c r="C29" s="1287">
        <f>SECT_TERAC.!O14</f>
        <v>0.19390000000000002</v>
      </c>
      <c r="D29" s="1287">
        <f>SECT_TERAC.!O15</f>
        <v>0</v>
      </c>
      <c r="E29" s="1287">
        <f>SECT_TERAC.!O16</f>
        <v>594.61919999999986</v>
      </c>
      <c r="F29" s="1287">
        <f>SECT_TERAC.!O17</f>
        <v>0</v>
      </c>
      <c r="G29" s="1287">
        <f>SECT_TERAC.!O18</f>
        <v>0.46564</v>
      </c>
      <c r="H29" s="1287">
        <f>SECT_TERAC.!O19</f>
        <v>0</v>
      </c>
      <c r="I29" s="1287">
        <f>SECT_TERAC.!O20</f>
        <v>1393.4654269874472</v>
      </c>
      <c r="J29" s="1287">
        <f>SECT_TERAC.!O21</f>
        <v>878.91775587734628</v>
      </c>
      <c r="K29" s="1287">
        <f>SECT_TERAC.!O22</f>
        <v>129.86798399999998</v>
      </c>
      <c r="L29" s="1287">
        <f>SECT_TERAC.!O23</f>
        <v>1389.0428934362797</v>
      </c>
      <c r="M29" s="1287">
        <f>SECT_TERAC.!O24</f>
        <v>24.139743670000001</v>
      </c>
      <c r="N29" s="148">
        <f>SUM(C29:M29)</f>
        <v>4410.7125439710726</v>
      </c>
      <c r="O29" s="151"/>
      <c r="P29" s="146"/>
      <c r="Q29" s="147"/>
    </row>
    <row r="30" spans="2:17">
      <c r="B30" s="1011"/>
      <c r="C30" s="144"/>
      <c r="D30" s="144"/>
      <c r="E30" s="144"/>
      <c r="F30" s="144"/>
      <c r="G30" s="144"/>
      <c r="H30" s="144"/>
      <c r="I30" s="144"/>
      <c r="J30" s="144"/>
      <c r="K30" s="144"/>
      <c r="L30" s="144"/>
      <c r="M30" s="144"/>
      <c r="N30" s="148"/>
      <c r="O30" s="151"/>
      <c r="P30" s="147"/>
      <c r="Q30" s="147"/>
    </row>
    <row r="31" spans="2:17">
      <c r="B31" s="1011" t="s">
        <v>115</v>
      </c>
      <c r="C31" s="1287">
        <f>SECT_TERAC.!P14</f>
        <v>46.631060000000005</v>
      </c>
      <c r="D31" s="1287">
        <f>SECT_TERAC.!P15</f>
        <v>0</v>
      </c>
      <c r="E31" s="1287">
        <f>SECT_TERAC.!P16</f>
        <v>0</v>
      </c>
      <c r="F31" s="1287">
        <f>SECT_TERAC.!P17</f>
        <v>0</v>
      </c>
      <c r="G31" s="1287">
        <f>SECT_TERAC.!P18</f>
        <v>2132.5782000000008</v>
      </c>
      <c r="H31" s="1287">
        <f>SECT_TERAC.!P19</f>
        <v>0</v>
      </c>
      <c r="I31" s="1287">
        <f>SECT_TERAC.!P20</f>
        <v>422.28899999999999</v>
      </c>
      <c r="J31" s="1287">
        <f>SECT_TERAC.!P21</f>
        <v>38.077914000000007</v>
      </c>
      <c r="K31" s="1287">
        <f>SECT_TERAC.!P22</f>
        <v>0</v>
      </c>
      <c r="L31" s="1287">
        <f>SECT_TERAC.!P23</f>
        <v>9.5169159999999984</v>
      </c>
      <c r="M31" s="1287">
        <f>SECT_TERAC.!P24</f>
        <v>30.015999999999998</v>
      </c>
      <c r="N31" s="148">
        <f>SUM(C31:M31)</f>
        <v>2679.1090900000013</v>
      </c>
      <c r="O31" s="151"/>
      <c r="P31" s="146"/>
      <c r="Q31" s="147"/>
    </row>
    <row r="32" spans="2:17">
      <c r="B32" s="1011"/>
      <c r="C32" s="144"/>
      <c r="D32" s="144"/>
      <c r="E32" s="144"/>
      <c r="F32" s="144"/>
      <c r="G32" s="144"/>
      <c r="H32" s="144"/>
      <c r="I32" s="144"/>
      <c r="J32" s="144"/>
      <c r="K32" s="144"/>
      <c r="L32" s="144"/>
      <c r="M32" s="144"/>
      <c r="N32" s="148"/>
      <c r="O32" s="151"/>
      <c r="P32" s="147"/>
      <c r="Q32" s="147"/>
    </row>
    <row r="33" spans="2:17">
      <c r="B33" s="1011" t="s">
        <v>116</v>
      </c>
      <c r="C33" s="1287">
        <f>SECT_TERAC.!Q14</f>
        <v>0</v>
      </c>
      <c r="D33" s="1287">
        <f>SECT_TERAC.!Q15</f>
        <v>0</v>
      </c>
      <c r="E33" s="1287">
        <f>SECT_TERAC.!Q16</f>
        <v>0</v>
      </c>
      <c r="F33" s="1287">
        <f>SECT_TERAC.!Q17</f>
        <v>0</v>
      </c>
      <c r="G33" s="1287">
        <f>SECT_TERAC.!Q18</f>
        <v>0</v>
      </c>
      <c r="H33" s="1287">
        <f>SECT_TERAC.!Q19</f>
        <v>0</v>
      </c>
      <c r="I33" s="1287">
        <f>SECT_TERAC.!Q20</f>
        <v>0</v>
      </c>
      <c r="J33" s="1287">
        <f>SECT_TERAC.!Q21</f>
        <v>0</v>
      </c>
      <c r="K33" s="1287">
        <f>SECT_TERAC.!Q22</f>
        <v>0</v>
      </c>
      <c r="L33" s="1287">
        <f>SECT_TERAC.!Q23</f>
        <v>0</v>
      </c>
      <c r="M33" s="1287">
        <f>SECT_TERAC.!Q24</f>
        <v>0</v>
      </c>
      <c r="N33" s="148">
        <f>SUM(C33:M33)</f>
        <v>0</v>
      </c>
      <c r="O33" s="151"/>
      <c r="P33" s="146"/>
      <c r="Q33" s="147"/>
    </row>
    <row r="34" spans="2:17">
      <c r="B34" s="1011"/>
      <c r="C34" s="144"/>
      <c r="D34" s="144"/>
      <c r="E34" s="144"/>
      <c r="F34" s="144"/>
      <c r="G34" s="144"/>
      <c r="H34" s="144"/>
      <c r="I34" s="144"/>
      <c r="J34" s="144"/>
      <c r="K34" s="144"/>
      <c r="L34" s="144"/>
      <c r="M34" s="144"/>
      <c r="N34" s="148"/>
      <c r="O34" s="151"/>
      <c r="P34" s="147"/>
      <c r="Q34" s="147"/>
    </row>
    <row r="35" spans="2:17">
      <c r="B35" s="1011" t="s">
        <v>20</v>
      </c>
      <c r="C35" s="1287">
        <f>SECT_TERAC.!R14</f>
        <v>1.5120000000000001E-3</v>
      </c>
      <c r="D35" s="1287">
        <f>SECT_TERAC.!R15</f>
        <v>2.3400000000000001E-3</v>
      </c>
      <c r="E35" s="1287">
        <f>SECT_TERAC.!R16</f>
        <v>0</v>
      </c>
      <c r="F35" s="1287">
        <f>SECT_TERAC.!R17</f>
        <v>3.9999999999999998E-6</v>
      </c>
      <c r="G35" s="1287">
        <f>SECT_TERAC.!R18</f>
        <v>833.41799811296005</v>
      </c>
      <c r="H35" s="1287">
        <f>SECT_TERAC.!R19</f>
        <v>0</v>
      </c>
      <c r="I35" s="1287">
        <f>SECT_TERAC.!R20</f>
        <v>0</v>
      </c>
      <c r="J35" s="1287">
        <f>SECT_TERAC.!R21</f>
        <v>0</v>
      </c>
      <c r="K35" s="1287">
        <f>SECT_TERAC.!R22</f>
        <v>0</v>
      </c>
      <c r="L35" s="1287">
        <f>SECT_TERAC.!R23</f>
        <v>2.9306480000000001E-3</v>
      </c>
      <c r="M35" s="1287">
        <f>SECT_TERAC.!R24</f>
        <v>7.1320000000000003E-3</v>
      </c>
      <c r="N35" s="148">
        <f>SUM(C35:M35)</f>
        <v>833.43191676096001</v>
      </c>
      <c r="O35" s="151"/>
      <c r="P35" s="146"/>
      <c r="Q35" s="147"/>
    </row>
    <row r="36" spans="2:17">
      <c r="B36" s="1011"/>
      <c r="C36" s="144"/>
      <c r="D36" s="144"/>
      <c r="E36" s="144"/>
      <c r="F36" s="144"/>
      <c r="G36" s="144"/>
      <c r="H36" s="144"/>
      <c r="I36" s="144"/>
      <c r="J36" s="144"/>
      <c r="K36" s="144"/>
      <c r="L36" s="144"/>
      <c r="M36" s="144"/>
      <c r="N36" s="148"/>
      <c r="O36" s="151"/>
      <c r="P36" s="147"/>
      <c r="Q36" s="147"/>
    </row>
    <row r="37" spans="2:17">
      <c r="B37" s="1011" t="s">
        <v>69</v>
      </c>
      <c r="C37" s="1287">
        <f>SECT_TERAC.!S14</f>
        <v>0</v>
      </c>
      <c r="D37" s="1287">
        <f>SECT_TERAC.!S15</f>
        <v>0</v>
      </c>
      <c r="E37" s="1287">
        <f>SECT_TERAC.!S16</f>
        <v>0</v>
      </c>
      <c r="F37" s="1287">
        <f>SECT_TERAC.!S17</f>
        <v>0</v>
      </c>
      <c r="G37" s="1287">
        <f>SECT_TERAC.!S18</f>
        <v>291.56458570000007</v>
      </c>
      <c r="H37" s="1287">
        <f>SECT_TERAC.!S19</f>
        <v>0</v>
      </c>
      <c r="I37" s="1287">
        <f>SECT_TERAC.!S20</f>
        <v>0</v>
      </c>
      <c r="J37" s="1287">
        <f>SECT_TERAC.!S21</f>
        <v>0</v>
      </c>
      <c r="K37" s="1287">
        <f>SECT_TERAC.!S22</f>
        <v>0</v>
      </c>
      <c r="L37" s="1287">
        <f>SECT_TERAC.!S23</f>
        <v>0</v>
      </c>
      <c r="M37" s="1287">
        <f>SECT_TERAC.!S24</f>
        <v>0</v>
      </c>
      <c r="N37" s="148">
        <f>SUM(C37:M37)</f>
        <v>291.56458570000007</v>
      </c>
      <c r="O37" s="151"/>
      <c r="P37" s="146"/>
      <c r="Q37" s="147"/>
    </row>
    <row r="38" spans="2:17">
      <c r="B38" s="1011"/>
      <c r="C38" s="144"/>
      <c r="D38" s="144"/>
      <c r="E38" s="144"/>
      <c r="F38" s="144"/>
      <c r="G38" s="144"/>
      <c r="H38" s="144"/>
      <c r="I38" s="144"/>
      <c r="J38" s="144"/>
      <c r="K38" s="144"/>
      <c r="L38" s="144"/>
      <c r="M38" s="144"/>
      <c r="N38" s="148"/>
      <c r="O38" s="151"/>
      <c r="P38" s="147"/>
      <c r="Q38" s="147"/>
    </row>
    <row r="39" spans="2:17">
      <c r="B39" s="1011" t="s">
        <v>117</v>
      </c>
      <c r="C39" s="1287">
        <f>SECT_TERAC.!T14</f>
        <v>1677.5452322931255</v>
      </c>
      <c r="D39" s="1287">
        <f>SECT_TERAC.!T15</f>
        <v>828.78254156800006</v>
      </c>
      <c r="E39" s="1287">
        <f>SECT_TERAC.!T16</f>
        <v>0</v>
      </c>
      <c r="F39" s="1287">
        <f>SECT_TERAC.!T17</f>
        <v>829.90040948578428</v>
      </c>
      <c r="G39" s="1287">
        <f>SECT_TERAC.!T18</f>
        <v>224.04213117465983</v>
      </c>
      <c r="H39" s="1287">
        <f>SECT_TERAC.!T19</f>
        <v>99.497141293823987</v>
      </c>
      <c r="I39" s="1287">
        <f>SECT_TERAC.!T20</f>
        <v>292.9464531621922</v>
      </c>
      <c r="J39" s="1287">
        <f>SECT_TERAC.!T21</f>
        <v>0</v>
      </c>
      <c r="K39" s="1287">
        <f>SECT_TERAC.!T22</f>
        <v>513.22589538186628</v>
      </c>
      <c r="L39" s="1287">
        <f>SECT_TERAC.!T23</f>
        <v>4468.2390045453358</v>
      </c>
      <c r="M39" s="1287">
        <f>SECT_TERAC.!T24</f>
        <v>26.526123432000073</v>
      </c>
      <c r="N39" s="148">
        <f>SUM(C39:M39)</f>
        <v>8960.7049323367883</v>
      </c>
      <c r="O39" s="151"/>
      <c r="P39" s="146"/>
      <c r="Q39" s="147"/>
    </row>
    <row r="40" spans="2:17">
      <c r="B40" s="1011"/>
      <c r="C40" s="144"/>
      <c r="D40" s="144"/>
      <c r="E40" s="144"/>
      <c r="F40" s="144"/>
      <c r="G40" s="144"/>
      <c r="H40" s="144"/>
      <c r="I40" s="144"/>
      <c r="J40" s="144"/>
      <c r="K40" s="144"/>
      <c r="L40" s="144"/>
      <c r="M40" s="144"/>
      <c r="N40" s="148"/>
      <c r="O40" s="151"/>
      <c r="P40" s="147"/>
      <c r="Q40" s="147"/>
    </row>
    <row r="41" spans="2:17">
      <c r="B41" s="1011" t="s">
        <v>22</v>
      </c>
      <c r="C41" s="1287">
        <f>SECT_TERAC.!U14</f>
        <v>0</v>
      </c>
      <c r="D41" s="1287">
        <f>SECT_TERAC.!U15</f>
        <v>0</v>
      </c>
      <c r="E41" s="1287">
        <f>SECT_TERAC.!U16</f>
        <v>0</v>
      </c>
      <c r="F41" s="1287">
        <f>SECT_TERAC.!U17</f>
        <v>0</v>
      </c>
      <c r="G41" s="1287">
        <f>SECT_TERAC.!U18</f>
        <v>0</v>
      </c>
      <c r="H41" s="1287">
        <f>SECT_TERAC.!U19</f>
        <v>0</v>
      </c>
      <c r="I41" s="1287">
        <f>SECT_TERAC.!U20</f>
        <v>0</v>
      </c>
      <c r="J41" s="1287">
        <f>SECT_TERAC.!U21</f>
        <v>0</v>
      </c>
      <c r="K41" s="1287">
        <f>SECT_TERAC.!U22</f>
        <v>0</v>
      </c>
      <c r="L41" s="1287">
        <f>SECT_TERAC.!U23</f>
        <v>0</v>
      </c>
      <c r="M41" s="1287">
        <f>SECT_TERAC.!U24</f>
        <v>0</v>
      </c>
      <c r="N41" s="148">
        <f>SUM(C41:M41)</f>
        <v>0</v>
      </c>
      <c r="O41" s="151"/>
      <c r="P41" s="146"/>
      <c r="Q41" s="147"/>
    </row>
    <row r="42" spans="2:17">
      <c r="B42" s="1011"/>
      <c r="C42" s="144"/>
      <c r="D42" s="144"/>
      <c r="E42" s="144"/>
      <c r="F42" s="144"/>
      <c r="G42" s="144"/>
      <c r="H42" s="144"/>
      <c r="I42" s="144"/>
      <c r="J42" s="144"/>
      <c r="K42" s="144"/>
      <c r="L42" s="144"/>
      <c r="M42" s="144"/>
      <c r="N42" s="148"/>
      <c r="O42" s="151"/>
      <c r="P42" s="147"/>
      <c r="Q42" s="147"/>
    </row>
    <row r="43" spans="2:17">
      <c r="B43" s="1011" t="s">
        <v>9</v>
      </c>
      <c r="C43" s="1287">
        <f>SECT_TERAC.!W14</f>
        <v>0</v>
      </c>
      <c r="D43" s="1287">
        <f>SECT_TERAC.!W15</f>
        <v>0</v>
      </c>
      <c r="E43" s="1287">
        <f>SECT_TERAC.!W16</f>
        <v>0</v>
      </c>
      <c r="F43" s="1287">
        <f>SECT_TERAC.!W17</f>
        <v>7363.9672806675962</v>
      </c>
      <c r="G43" s="1287">
        <f>SECT_TERAC.!W18</f>
        <v>4.8930000000000001E-2</v>
      </c>
      <c r="H43" s="1287">
        <f>SECT_TERAC.!W19</f>
        <v>0</v>
      </c>
      <c r="I43" s="1287">
        <f>SECT_TERAC.!W20</f>
        <v>0</v>
      </c>
      <c r="J43" s="1287">
        <f>SECT_TERAC.!W21</f>
        <v>0</v>
      </c>
      <c r="K43" s="1287">
        <f>SECT_TERAC.!W22</f>
        <v>0</v>
      </c>
      <c r="L43" s="1287">
        <f>SECT_TERAC.!W23</f>
        <v>3846.1420572765401</v>
      </c>
      <c r="M43" s="1287">
        <f>SECT_TERAC.!W24</f>
        <v>0</v>
      </c>
      <c r="N43" s="148">
        <f>SUM(C43:M43)</f>
        <v>11210.158267944136</v>
      </c>
      <c r="O43" s="151"/>
      <c r="P43" s="146"/>
      <c r="Q43" s="147"/>
    </row>
    <row r="44" spans="2:17">
      <c r="B44" s="1011"/>
      <c r="C44" s="144"/>
      <c r="D44" s="144"/>
      <c r="E44" s="144"/>
      <c r="F44" s="144"/>
      <c r="G44" s="144"/>
      <c r="H44" s="144"/>
      <c r="I44" s="144"/>
      <c r="J44" s="144"/>
      <c r="K44" s="144"/>
      <c r="L44" s="144"/>
      <c r="M44" s="144"/>
      <c r="N44" s="148"/>
      <c r="O44" s="151"/>
      <c r="P44" s="147"/>
      <c r="Q44" s="147"/>
    </row>
    <row r="45" spans="2:17">
      <c r="B45" s="1011"/>
      <c r="C45" s="144"/>
      <c r="D45" s="144"/>
      <c r="E45" s="144"/>
      <c r="F45" s="144"/>
      <c r="G45" s="144"/>
      <c r="H45" s="144"/>
      <c r="I45" s="144"/>
      <c r="J45" s="144"/>
      <c r="K45" s="144"/>
      <c r="L45" s="144"/>
      <c r="M45" s="144"/>
      <c r="N45" s="148"/>
      <c r="O45" s="145"/>
      <c r="P45" s="147"/>
      <c r="Q45" s="147"/>
    </row>
    <row r="46" spans="2:17">
      <c r="B46" s="1012" t="s">
        <v>11</v>
      </c>
      <c r="C46" s="152">
        <f>SUM(C27:C43)+C9</f>
        <v>22708.597553099891</v>
      </c>
      <c r="D46" s="152">
        <f t="shared" ref="D46:M46" si="1">SUM(D27:D43)+D9</f>
        <v>1599.9328503279999</v>
      </c>
      <c r="E46" s="152">
        <f t="shared" si="1"/>
        <v>993.62513479199981</v>
      </c>
      <c r="F46" s="152">
        <f t="shared" si="1"/>
        <v>13376.725289803135</v>
      </c>
      <c r="G46" s="152">
        <f t="shared" si="1"/>
        <v>4193.6903724756212</v>
      </c>
      <c r="H46" s="152">
        <f t="shared" si="1"/>
        <v>701.33839562882406</v>
      </c>
      <c r="I46" s="152">
        <f t="shared" si="1"/>
        <v>2845.6879069440392</v>
      </c>
      <c r="J46" s="152">
        <f>SUM(J27:J43)+J9</f>
        <v>1106.3483877136998</v>
      </c>
      <c r="K46" s="152">
        <f t="shared" si="1"/>
        <v>1804.2801498293661</v>
      </c>
      <c r="L46" s="152">
        <f t="shared" si="1"/>
        <v>24179.207058629399</v>
      </c>
      <c r="M46" s="152">
        <f t="shared" si="1"/>
        <v>5124.4152201899451</v>
      </c>
      <c r="N46" s="779">
        <f>SUM(N27:N43)+N9</f>
        <v>78633.848319433921</v>
      </c>
      <c r="O46" s="151"/>
      <c r="P46" s="146"/>
      <c r="Q46" s="147"/>
    </row>
    <row r="47" spans="2:17" ht="13.5" thickBot="1">
      <c r="B47" s="1013"/>
      <c r="C47" s="153"/>
      <c r="D47" s="153"/>
      <c r="E47" s="153"/>
      <c r="F47" s="153"/>
      <c r="G47" s="153"/>
      <c r="H47" s="153"/>
      <c r="I47" s="153"/>
      <c r="J47" s="153"/>
      <c r="K47" s="153"/>
      <c r="L47" s="153"/>
      <c r="M47" s="153"/>
      <c r="N47" s="154"/>
      <c r="O47" s="151"/>
      <c r="P47" s="147"/>
      <c r="Q47" s="147"/>
    </row>
    <row r="48" spans="2:17">
      <c r="B48" s="83" t="s">
        <v>118</v>
      </c>
      <c r="C48" s="84"/>
      <c r="D48" s="84"/>
      <c r="E48" s="84"/>
      <c r="F48" s="84"/>
      <c r="G48" s="84"/>
      <c r="H48" s="84"/>
      <c r="I48" s="84"/>
      <c r="J48" s="852" t="s">
        <v>681</v>
      </c>
      <c r="K48" s="80"/>
      <c r="L48" s="80"/>
      <c r="M48" s="80"/>
      <c r="N48" s="80"/>
      <c r="O48" s="80"/>
      <c r="P48" s="80"/>
      <c r="Q48" s="80"/>
    </row>
    <row r="49" spans="2:17">
      <c r="B49" s="83" t="s">
        <v>119</v>
      </c>
      <c r="C49" s="84"/>
      <c r="D49" s="84"/>
      <c r="E49" s="84"/>
      <c r="F49" s="84"/>
      <c r="G49" s="84"/>
      <c r="H49" s="84"/>
      <c r="I49" s="84"/>
      <c r="J49" s="80"/>
      <c r="K49" s="80"/>
      <c r="L49" s="80"/>
      <c r="M49" s="80"/>
      <c r="N49" s="80"/>
      <c r="O49" s="80"/>
      <c r="P49" s="80"/>
      <c r="Q49" s="80"/>
    </row>
    <row r="50" spans="2:17">
      <c r="B50" s="11" t="s">
        <v>42</v>
      </c>
      <c r="C50" s="61"/>
      <c r="D50" s="62"/>
      <c r="E50" s="62"/>
      <c r="F50" s="62"/>
      <c r="G50" s="63"/>
      <c r="H50" s="21"/>
      <c r="I50" s="76"/>
      <c r="J50" s="76"/>
      <c r="K50" s="76"/>
      <c r="L50" s="76"/>
      <c r="M50" s="76"/>
      <c r="N50" s="76"/>
      <c r="O50" s="76"/>
      <c r="P50" s="76"/>
      <c r="Q50" s="76"/>
    </row>
    <row r="51" spans="2:17">
      <c r="B51" s="11" t="s">
        <v>43</v>
      </c>
      <c r="C51" s="21"/>
      <c r="D51" s="21"/>
      <c r="E51" s="21"/>
      <c r="F51" s="21"/>
      <c r="G51" s="21"/>
      <c r="H51" s="21"/>
      <c r="I51" s="76"/>
      <c r="J51" s="76"/>
      <c r="K51" s="76"/>
      <c r="L51" s="76"/>
      <c r="M51" s="76"/>
      <c r="N51" s="76"/>
      <c r="O51" s="76"/>
      <c r="P51" s="76"/>
      <c r="Q51" s="76"/>
    </row>
    <row r="52" spans="2:17">
      <c r="B52" s="21" t="s">
        <v>14</v>
      </c>
      <c r="C52" s="21"/>
      <c r="D52" s="21"/>
      <c r="E52" s="21"/>
      <c r="F52" s="21"/>
      <c r="G52" s="21"/>
      <c r="H52" s="21"/>
      <c r="I52" s="76"/>
      <c r="J52" s="76"/>
      <c r="K52" s="76"/>
      <c r="L52" s="76"/>
      <c r="M52" s="76"/>
      <c r="N52" s="76"/>
      <c r="O52" s="76"/>
      <c r="P52" s="76"/>
      <c r="Q52" s="76"/>
    </row>
    <row r="53" spans="2:17">
      <c r="B53" s="21" t="s">
        <v>800</v>
      </c>
      <c r="C53" s="21"/>
      <c r="D53" s="21"/>
      <c r="E53" s="21"/>
      <c r="F53" s="21"/>
      <c r="G53" s="21"/>
      <c r="H53" s="21"/>
      <c r="I53" s="76"/>
      <c r="J53" s="76"/>
      <c r="K53" s="76"/>
      <c r="L53" s="76"/>
      <c r="M53" s="76"/>
      <c r="N53" s="76"/>
      <c r="O53" s="76"/>
      <c r="P53" s="76"/>
      <c r="Q53" s="76"/>
    </row>
    <row r="54" spans="2:17">
      <c r="B54" s="147"/>
      <c r="C54" s="147"/>
      <c r="D54" s="147"/>
      <c r="E54" s="147"/>
      <c r="F54" s="147"/>
      <c r="G54" s="147"/>
      <c r="H54" s="147"/>
      <c r="I54" s="147"/>
      <c r="J54" s="147"/>
      <c r="K54" s="147"/>
      <c r="L54" s="147"/>
      <c r="M54" s="147"/>
      <c r="N54" s="147"/>
      <c r="O54" s="145"/>
      <c r="P54" s="147"/>
      <c r="Q54" s="147"/>
    </row>
    <row r="55" spans="2:17">
      <c r="B55" s="147"/>
      <c r="C55" s="147"/>
      <c r="D55" s="147"/>
      <c r="E55" s="147"/>
      <c r="F55" s="147"/>
      <c r="G55" s="147"/>
      <c r="H55" s="147"/>
      <c r="I55" s="147"/>
      <c r="J55" s="147"/>
      <c r="K55" s="147"/>
      <c r="L55" s="147"/>
      <c r="M55" s="147"/>
      <c r="N55" s="147"/>
      <c r="O55" s="145"/>
      <c r="P55" s="147"/>
      <c r="Q55" s="147"/>
    </row>
    <row r="56" spans="2:17">
      <c r="B56" s="147"/>
      <c r="C56" s="147"/>
      <c r="D56" s="147"/>
      <c r="E56" s="147"/>
      <c r="F56" s="147"/>
      <c r="G56" s="147"/>
      <c r="H56" s="147"/>
      <c r="I56" s="147"/>
      <c r="J56" s="147"/>
      <c r="K56" s="147"/>
      <c r="L56" s="147"/>
      <c r="M56" s="147"/>
      <c r="N56" s="147"/>
      <c r="O56" s="145"/>
      <c r="P56" s="147"/>
      <c r="Q56" s="147"/>
    </row>
    <row r="57" spans="2:17">
      <c r="B57" s="147"/>
      <c r="C57" s="147"/>
      <c r="D57" s="147"/>
      <c r="E57" s="147"/>
      <c r="F57" s="147"/>
      <c r="G57" s="147"/>
      <c r="H57" s="147"/>
      <c r="I57" s="147"/>
      <c r="J57" s="147"/>
      <c r="K57" s="147"/>
      <c r="L57" s="147"/>
      <c r="M57" s="147"/>
      <c r="N57" s="147"/>
      <c r="O57" s="145"/>
      <c r="P57" s="147"/>
      <c r="Q57" s="147"/>
    </row>
    <row r="58" spans="2:17">
      <c r="B58" s="147"/>
      <c r="C58" s="147"/>
      <c r="D58" s="147"/>
      <c r="E58" s="147"/>
      <c r="F58" s="147"/>
      <c r="G58" s="147"/>
      <c r="H58" s="147"/>
      <c r="I58" s="147"/>
      <c r="J58" s="147"/>
      <c r="K58" s="147"/>
      <c r="L58" s="147"/>
      <c r="M58" s="147"/>
      <c r="N58" s="147"/>
      <c r="O58" s="145"/>
      <c r="P58" s="147"/>
      <c r="Q58" s="147"/>
    </row>
    <row r="59" spans="2:17">
      <c r="B59" s="147"/>
      <c r="C59" s="147"/>
      <c r="D59" s="147"/>
      <c r="E59" s="147"/>
      <c r="F59" s="147"/>
      <c r="G59" s="147"/>
      <c r="H59" s="147"/>
      <c r="I59" s="147"/>
      <c r="J59" s="147"/>
      <c r="K59" s="147"/>
      <c r="L59" s="147"/>
      <c r="M59" s="147"/>
      <c r="N59" s="147"/>
      <c r="O59" s="145"/>
      <c r="P59" s="147"/>
      <c r="Q59" s="147"/>
    </row>
    <row r="60" spans="2:17">
      <c r="B60" s="147"/>
      <c r="C60" s="147"/>
      <c r="D60" s="147"/>
      <c r="E60" s="147"/>
      <c r="F60" s="147"/>
      <c r="G60" s="147"/>
      <c r="H60" s="147"/>
      <c r="I60" s="147"/>
      <c r="J60" s="147"/>
      <c r="K60" s="147"/>
      <c r="L60" s="147"/>
      <c r="M60" s="147"/>
      <c r="N60" s="147"/>
      <c r="O60" s="145"/>
      <c r="P60" s="147"/>
      <c r="Q60" s="147"/>
    </row>
    <row r="61" spans="2:17">
      <c r="B61" s="147"/>
      <c r="C61" s="147"/>
      <c r="D61" s="147"/>
      <c r="E61" s="147"/>
      <c r="F61" s="147"/>
      <c r="G61" s="147"/>
      <c r="H61" s="147"/>
      <c r="I61" s="147"/>
      <c r="J61" s="147"/>
      <c r="K61" s="147"/>
      <c r="L61" s="147"/>
      <c r="M61" s="147"/>
      <c r="N61" s="147"/>
      <c r="O61" s="145"/>
      <c r="P61" s="147"/>
      <c r="Q61" s="147"/>
    </row>
    <row r="62" spans="2:17">
      <c r="B62" s="147"/>
      <c r="C62" s="147"/>
      <c r="D62" s="147"/>
      <c r="E62" s="147"/>
      <c r="F62" s="147"/>
      <c r="G62" s="147"/>
      <c r="H62" s="147"/>
      <c r="I62" s="147"/>
      <c r="J62" s="147"/>
      <c r="K62" s="147"/>
      <c r="L62" s="147"/>
      <c r="M62" s="147"/>
      <c r="N62" s="147"/>
      <c r="O62" s="145"/>
      <c r="P62" s="147"/>
      <c r="Q62" s="147"/>
    </row>
    <row r="63" spans="2:17">
      <c r="B63" s="147"/>
      <c r="C63" s="147"/>
      <c r="D63" s="147"/>
      <c r="E63" s="147"/>
      <c r="F63" s="147"/>
      <c r="G63" s="147"/>
      <c r="H63" s="147"/>
      <c r="I63" s="147"/>
      <c r="J63" s="147"/>
      <c r="K63" s="147"/>
      <c r="L63" s="147"/>
      <c r="M63" s="147"/>
      <c r="N63" s="147"/>
      <c r="O63" s="145"/>
      <c r="P63" s="147"/>
      <c r="Q63" s="147"/>
    </row>
    <row r="64" spans="2:17">
      <c r="B64" s="147"/>
      <c r="C64" s="147"/>
      <c r="D64" s="147"/>
      <c r="E64" s="147"/>
      <c r="F64" s="147"/>
      <c r="G64" s="147"/>
      <c r="H64" s="147"/>
      <c r="I64" s="147"/>
      <c r="J64" s="147"/>
      <c r="K64" s="147"/>
      <c r="L64" s="147"/>
      <c r="M64" s="147"/>
      <c r="N64" s="147"/>
      <c r="O64" s="145"/>
      <c r="P64" s="147"/>
      <c r="Q64" s="147"/>
    </row>
    <row r="65" spans="2:17">
      <c r="B65" s="147"/>
      <c r="C65" s="147"/>
      <c r="D65" s="147"/>
      <c r="E65" s="147"/>
      <c r="F65" s="147"/>
      <c r="G65" s="147"/>
      <c r="H65" s="147"/>
      <c r="I65" s="147"/>
      <c r="J65" s="147"/>
      <c r="K65" s="147"/>
      <c r="L65" s="147"/>
      <c r="M65" s="147"/>
      <c r="N65" s="147"/>
      <c r="O65" s="145"/>
      <c r="P65" s="147"/>
      <c r="Q65" s="147"/>
    </row>
    <row r="66" spans="2:17">
      <c r="B66" s="147"/>
      <c r="C66" s="147"/>
      <c r="D66" s="147"/>
      <c r="E66" s="147"/>
      <c r="F66" s="147"/>
      <c r="G66" s="147"/>
      <c r="H66" s="147"/>
      <c r="I66" s="147"/>
      <c r="J66" s="147"/>
      <c r="K66" s="147"/>
      <c r="L66" s="147"/>
      <c r="M66" s="147"/>
      <c r="N66" s="147"/>
      <c r="O66" s="145"/>
      <c r="P66" s="147"/>
      <c r="Q66" s="147"/>
    </row>
    <row r="67" spans="2:17">
      <c r="B67" s="147"/>
      <c r="C67" s="147"/>
      <c r="D67" s="147"/>
      <c r="E67" s="147"/>
      <c r="F67" s="147"/>
      <c r="G67" s="147"/>
      <c r="H67" s="147"/>
      <c r="I67" s="147"/>
      <c r="J67" s="147"/>
      <c r="K67" s="147"/>
      <c r="L67" s="147"/>
      <c r="M67" s="147"/>
      <c r="N67" s="147"/>
      <c r="O67" s="145"/>
      <c r="P67" s="147"/>
      <c r="Q67" s="147"/>
    </row>
    <row r="68" spans="2:17">
      <c r="B68" s="147"/>
      <c r="C68" s="147"/>
      <c r="D68" s="147"/>
      <c r="E68" s="147"/>
      <c r="F68" s="147"/>
      <c r="G68" s="147"/>
      <c r="H68" s="147"/>
      <c r="I68" s="147"/>
      <c r="J68" s="147"/>
      <c r="K68" s="147"/>
      <c r="L68" s="147"/>
      <c r="M68" s="147"/>
      <c r="N68" s="147"/>
      <c r="O68" s="145"/>
      <c r="P68" s="147"/>
      <c r="Q68" s="147"/>
    </row>
    <row r="69" spans="2:17">
      <c r="B69" s="147"/>
      <c r="C69" s="147"/>
      <c r="D69" s="147"/>
      <c r="E69" s="147"/>
      <c r="F69" s="147"/>
      <c r="G69" s="147"/>
      <c r="H69" s="147"/>
      <c r="I69" s="147"/>
      <c r="J69" s="147"/>
      <c r="K69" s="147"/>
      <c r="L69" s="147"/>
      <c r="M69" s="147"/>
      <c r="N69" s="147"/>
      <c r="O69" s="145"/>
      <c r="P69" s="147"/>
      <c r="Q69" s="147"/>
    </row>
    <row r="70" spans="2:17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</row>
    <row r="71" spans="2:17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</row>
    <row r="72" spans="2:17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</row>
    <row r="73" spans="2:17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</row>
    <row r="74" spans="2:17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</row>
    <row r="75" spans="2:17"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</row>
    <row r="76" spans="2:17"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</row>
    <row r="77" spans="2:17"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</row>
    <row r="78" spans="2:17"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</row>
    <row r="79" spans="2:17" s="22" customFormat="1"/>
    <row r="80" spans="2:17" s="22" customFormat="1"/>
    <row r="81" spans="3:14" s="22" customFormat="1"/>
    <row r="82" spans="3:14" s="22" customFormat="1"/>
    <row r="83" spans="3:14" s="22" customFormat="1"/>
    <row r="84" spans="3:14" s="22" customFormat="1"/>
    <row r="85" spans="3:14" s="22" customFormat="1"/>
    <row r="86" spans="3:14" s="22" customFormat="1"/>
    <row r="87" spans="3:14" s="22" customFormat="1"/>
    <row r="88" spans="3:14" s="22" customFormat="1"/>
    <row r="89" spans="3:14" s="22" customFormat="1"/>
    <row r="90" spans="3:14" s="22" customFormat="1"/>
    <row r="91" spans="3:14" s="22" customFormat="1"/>
    <row r="92" spans="3:14" s="22" customFormat="1"/>
    <row r="93" spans="3:14"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</row>
    <row r="94" spans="3:14"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</row>
    <row r="95" spans="3:14"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</row>
    <row r="96" spans="3:14"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</row>
    <row r="97" spans="3:14"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</row>
    <row r="98" spans="3:14"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</row>
    <row r="99" spans="3:14"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</row>
    <row r="100" spans="3:14"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</row>
    <row r="101" spans="3:14"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</row>
    <row r="102" spans="3:14"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</row>
  </sheetData>
  <phoneticPr fontId="0" type="noConversion"/>
  <hyperlinks>
    <hyperlink ref="J48" location="INDICE!A1" display="VOLVER A INDICE"/>
    <hyperlink ref="O4" location="INDICE!A1" display="VOLVER A INDICE"/>
  </hyperlinks>
  <pageMargins left="0.75" right="0.75" top="1" bottom="1" header="0" footer="0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86"/>
  <sheetViews>
    <sheetView workbookViewId="0">
      <selection activeCell="I18" sqref="I18"/>
    </sheetView>
  </sheetViews>
  <sheetFormatPr baseColWidth="10" defaultRowHeight="12.75" outlineLevelRow="1"/>
  <cols>
    <col min="1" max="1" width="1.42578125" style="891" customWidth="1"/>
    <col min="2" max="2" width="28.28515625" style="891" customWidth="1"/>
    <col min="3" max="7" width="11.42578125" style="891"/>
    <col min="8" max="14" width="11.42578125" style="22"/>
    <col min="15" max="16384" width="11.42578125" style="891"/>
  </cols>
  <sheetData>
    <row r="1" spans="2:21" ht="6.75" customHeight="1" thickBot="1"/>
    <row r="2" spans="2:21" ht="15.75" customHeight="1" thickBot="1">
      <c r="B2" s="1014"/>
      <c r="C2" s="1015"/>
      <c r="D2" s="1015"/>
      <c r="E2" s="1015"/>
      <c r="F2" s="1015"/>
      <c r="G2" s="1016"/>
      <c r="H2" s="157"/>
      <c r="I2" s="157"/>
      <c r="J2" s="157"/>
    </row>
    <row r="3" spans="2:21" ht="15.75">
      <c r="B3" s="133"/>
      <c r="C3" s="134"/>
      <c r="D3" s="92" t="s">
        <v>586</v>
      </c>
      <c r="E3" s="135"/>
      <c r="F3" s="136"/>
      <c r="G3" s="137"/>
      <c r="H3" s="852" t="s">
        <v>681</v>
      </c>
      <c r="I3" s="157"/>
      <c r="J3" s="157"/>
    </row>
    <row r="4" spans="2:21" ht="15.75">
      <c r="B4" s="138"/>
      <c r="C4" s="139"/>
      <c r="D4" s="140" t="s">
        <v>737</v>
      </c>
      <c r="E4" s="139"/>
      <c r="F4" s="141"/>
      <c r="G4" s="142"/>
      <c r="H4" s="166"/>
      <c r="I4" s="157"/>
      <c r="J4" s="157"/>
    </row>
    <row r="5" spans="2:21" ht="15.75">
      <c r="B5" s="138"/>
      <c r="C5" s="143" t="s">
        <v>587</v>
      </c>
      <c r="D5" s="139"/>
      <c r="E5" s="139"/>
      <c r="F5" s="141"/>
      <c r="G5" s="142"/>
      <c r="H5" s="167"/>
      <c r="I5" s="157"/>
      <c r="J5" s="157"/>
    </row>
    <row r="6" spans="2:21" ht="15.75">
      <c r="B6" s="138"/>
      <c r="C6" s="140" t="s">
        <v>120</v>
      </c>
      <c r="D6" s="139"/>
      <c r="E6" s="139"/>
      <c r="F6" s="141"/>
      <c r="G6" s="142"/>
      <c r="H6" s="157"/>
      <c r="I6" s="157"/>
      <c r="J6" s="157"/>
    </row>
    <row r="7" spans="2:21" ht="15.75">
      <c r="B7" s="138"/>
      <c r="C7" s="143" t="s">
        <v>585</v>
      </c>
      <c r="D7" s="139"/>
      <c r="E7" s="139"/>
      <c r="F7" s="141"/>
      <c r="G7" s="142"/>
      <c r="H7" s="168"/>
      <c r="I7" s="157"/>
      <c r="J7" s="157"/>
    </row>
    <row r="8" spans="2:21" ht="15.75">
      <c r="B8" s="138"/>
      <c r="C8" s="139"/>
      <c r="D8" s="139"/>
      <c r="E8" s="139"/>
      <c r="F8" s="141"/>
      <c r="G8" s="142"/>
      <c r="H8" s="168"/>
      <c r="I8" s="157"/>
      <c r="J8" s="157"/>
    </row>
    <row r="9" spans="2:21" ht="16.5" thickBot="1">
      <c r="B9" s="1017" t="s">
        <v>3</v>
      </c>
      <c r="C9" s="1018" t="s">
        <v>121</v>
      </c>
      <c r="D9" s="1018" t="s">
        <v>122</v>
      </c>
      <c r="E9" s="1018" t="s">
        <v>123</v>
      </c>
      <c r="F9" s="1019" t="s">
        <v>11</v>
      </c>
      <c r="G9" s="1020"/>
      <c r="H9" s="157"/>
      <c r="I9" s="157"/>
      <c r="J9" s="157"/>
    </row>
    <row r="10" spans="2:21">
      <c r="B10" s="989" t="s">
        <v>88</v>
      </c>
      <c r="C10" s="155">
        <f>SUM(C11:C19)</f>
        <v>2109.5008874876607</v>
      </c>
      <c r="D10" s="155">
        <f>SUM(D11:D19)</f>
        <v>270.70868752370137</v>
      </c>
      <c r="E10" s="155">
        <f>SUM(E11:E19)</f>
        <v>9359.0303369085286</v>
      </c>
      <c r="F10" s="155">
        <f>SUM(F11:F19)</f>
        <v>11739.239911919891</v>
      </c>
      <c r="G10" s="156"/>
      <c r="H10" s="157"/>
      <c r="I10" s="157"/>
      <c r="J10" s="157"/>
      <c r="O10" s="22"/>
      <c r="P10" s="22"/>
      <c r="Q10" s="22"/>
      <c r="R10" s="22"/>
      <c r="S10" s="22"/>
      <c r="T10" s="22"/>
      <c r="U10" s="22"/>
    </row>
    <row r="11" spans="2:21" outlineLevel="1">
      <c r="B11" s="1341" t="s">
        <v>124</v>
      </c>
      <c r="C11" s="1265">
        <f>SECT_TERAC.!D29</f>
        <v>51.523499999999999</v>
      </c>
      <c r="D11" s="1265">
        <f>SECT_TERAC.!D30</f>
        <v>0</v>
      </c>
      <c r="E11" s="1265">
        <f>SECT_TERAC.!D31</f>
        <v>1.5225</v>
      </c>
      <c r="F11" s="1265">
        <f>SUM(C11:E11)</f>
        <v>53.045999999999999</v>
      </c>
      <c r="G11" s="158"/>
      <c r="H11" s="159"/>
      <c r="I11" s="159"/>
      <c r="J11" s="157"/>
      <c r="O11" s="22"/>
      <c r="P11" s="22"/>
      <c r="Q11" s="22"/>
      <c r="R11" s="22"/>
      <c r="S11" s="22"/>
      <c r="T11" s="22"/>
      <c r="U11" s="22"/>
    </row>
    <row r="12" spans="2:21" outlineLevel="1">
      <c r="B12" s="1341"/>
      <c r="C12" s="1266"/>
      <c r="D12" s="1266"/>
      <c r="E12" s="1266"/>
      <c r="F12" s="1266"/>
      <c r="G12" s="156"/>
      <c r="H12" s="157"/>
      <c r="I12" s="157"/>
      <c r="J12" s="157"/>
      <c r="O12" s="22"/>
      <c r="P12" s="22"/>
      <c r="Q12" s="22"/>
      <c r="R12" s="22"/>
      <c r="S12" s="22"/>
      <c r="T12" s="22"/>
      <c r="U12" s="22"/>
    </row>
    <row r="13" spans="2:21" outlineLevel="1">
      <c r="B13" s="1341" t="s">
        <v>125</v>
      </c>
      <c r="C13" s="1265">
        <f>SECT_TERAC.!C29</f>
        <v>948.63484799999992</v>
      </c>
      <c r="D13" s="1265">
        <f>SECT_TERAC.!C30</f>
        <v>29.335823999999999</v>
      </c>
      <c r="E13" s="1265">
        <f>SECT_TERAC.!C31</f>
        <v>113.46902616000003</v>
      </c>
      <c r="F13" s="1265">
        <f>SUM(C13:E13)</f>
        <v>1091.43969816</v>
      </c>
      <c r="G13" s="158"/>
      <c r="H13" s="159"/>
      <c r="I13" s="159"/>
      <c r="J13" s="157"/>
      <c r="O13" s="22"/>
      <c r="P13" s="22"/>
      <c r="Q13" s="22"/>
      <c r="R13" s="22"/>
      <c r="S13" s="22"/>
      <c r="T13" s="22"/>
      <c r="U13" s="22"/>
    </row>
    <row r="14" spans="2:21" outlineLevel="1">
      <c r="B14" s="1341"/>
      <c r="C14" s="1266"/>
      <c r="D14" s="1266"/>
      <c r="E14" s="1266"/>
      <c r="F14" s="1266"/>
      <c r="G14" s="156"/>
      <c r="H14" s="157"/>
      <c r="I14" s="157"/>
      <c r="J14" s="157"/>
      <c r="O14" s="22"/>
      <c r="P14" s="22"/>
      <c r="Q14" s="22"/>
      <c r="R14" s="22"/>
      <c r="S14" s="22"/>
      <c r="T14" s="22"/>
      <c r="U14" s="22"/>
    </row>
    <row r="15" spans="2:21" outlineLevel="1">
      <c r="B15" s="1341" t="s">
        <v>59</v>
      </c>
      <c r="C15" s="1265">
        <f>SECT_TERAC.!G29</f>
        <v>14.745239999999999</v>
      </c>
      <c r="D15" s="1265">
        <f>SECT_TERAC.!G30</f>
        <v>7.1928000000000006E-2</v>
      </c>
      <c r="E15" s="1265">
        <f>SECT_TERAC.!G31</f>
        <v>622.1107565100001</v>
      </c>
      <c r="F15" s="1265">
        <f>SUM(C15:E15)</f>
        <v>636.92792451000014</v>
      </c>
      <c r="G15" s="158"/>
      <c r="H15" s="159"/>
      <c r="I15" s="159"/>
      <c r="J15" s="157"/>
      <c r="O15" s="22"/>
      <c r="P15" s="22"/>
      <c r="Q15" s="22"/>
      <c r="R15" s="22"/>
      <c r="S15" s="22"/>
      <c r="T15" s="22"/>
      <c r="U15" s="22"/>
    </row>
    <row r="16" spans="2:21" outlineLevel="1">
      <c r="B16" s="1341"/>
      <c r="C16" s="1266"/>
      <c r="D16" s="1266"/>
      <c r="E16" s="1266"/>
      <c r="F16" s="1266"/>
      <c r="G16" s="156"/>
      <c r="H16" s="160"/>
      <c r="I16" s="157"/>
      <c r="J16" s="157"/>
      <c r="O16" s="22"/>
      <c r="P16" s="22"/>
      <c r="Q16" s="22"/>
      <c r="R16" s="22"/>
      <c r="S16" s="22"/>
      <c r="T16" s="22"/>
      <c r="U16" s="22"/>
    </row>
    <row r="17" spans="2:21" outlineLevel="1">
      <c r="B17" s="1341" t="s">
        <v>60</v>
      </c>
      <c r="C17" s="1265">
        <f>SECT_TERAC.!H29</f>
        <v>1094.5972994876608</v>
      </c>
      <c r="D17" s="1265">
        <f>SECT_TERAC.!H30</f>
        <v>230.12681102370135</v>
      </c>
      <c r="E17" s="1265">
        <f>SECT_TERAC.!H31</f>
        <v>8621.9280542385277</v>
      </c>
      <c r="F17" s="1265">
        <f>SUM(C17:E17)</f>
        <v>9946.6521647498903</v>
      </c>
      <c r="G17" s="158"/>
      <c r="H17" s="159"/>
      <c r="I17" s="159"/>
      <c r="J17" s="157"/>
      <c r="O17" s="22"/>
      <c r="P17" s="22"/>
      <c r="Q17" s="22"/>
      <c r="R17" s="22"/>
      <c r="S17" s="22"/>
      <c r="T17" s="22"/>
      <c r="U17" s="22"/>
    </row>
    <row r="18" spans="2:21" outlineLevel="1">
      <c r="B18" s="1341"/>
      <c r="C18" s="1265"/>
      <c r="D18" s="1265"/>
      <c r="E18" s="1265"/>
      <c r="F18" s="1265"/>
      <c r="G18" s="158"/>
      <c r="H18" s="159"/>
      <c r="I18" s="159"/>
      <c r="J18" s="157"/>
      <c r="O18" s="22"/>
      <c r="P18" s="22"/>
      <c r="Q18" s="22"/>
      <c r="R18" s="22"/>
      <c r="S18" s="22"/>
      <c r="T18" s="22"/>
      <c r="U18" s="22"/>
    </row>
    <row r="19" spans="2:21" outlineLevel="1">
      <c r="B19" s="1337" t="s">
        <v>63</v>
      </c>
      <c r="C19" s="1265">
        <f>SECT_TERAC.!K29</f>
        <v>0</v>
      </c>
      <c r="D19" s="1265">
        <f>SECT_TERAC.!K30</f>
        <v>11.1741245</v>
      </c>
      <c r="E19" s="1265">
        <f>SECT_TERAC.!K31</f>
        <v>0</v>
      </c>
      <c r="F19" s="1265">
        <f>SUM(C19:E19)</f>
        <v>11.1741245</v>
      </c>
      <c r="G19" s="158"/>
      <c r="H19" s="159"/>
      <c r="I19" s="159"/>
      <c r="J19" s="157"/>
      <c r="O19" s="22"/>
      <c r="P19" s="22"/>
      <c r="Q19" s="22"/>
      <c r="R19" s="22"/>
      <c r="S19" s="22"/>
      <c r="T19" s="22"/>
      <c r="U19" s="22"/>
    </row>
    <row r="20" spans="2:21">
      <c r="B20" s="1021"/>
      <c r="C20" s="155"/>
      <c r="D20" s="155"/>
      <c r="E20" s="155"/>
      <c r="F20" s="155"/>
      <c r="G20" s="156"/>
      <c r="H20" s="160"/>
      <c r="I20" s="157"/>
      <c r="J20" s="157"/>
      <c r="O20" s="22"/>
      <c r="P20" s="22"/>
      <c r="Q20" s="22"/>
      <c r="R20" s="22"/>
      <c r="S20" s="22"/>
      <c r="T20" s="22"/>
      <c r="U20" s="22"/>
    </row>
    <row r="21" spans="2:21">
      <c r="B21" s="1021" t="s">
        <v>18</v>
      </c>
      <c r="C21" s="155">
        <f>SECT_TERAC.!N29</f>
        <v>4739.8364138247425</v>
      </c>
      <c r="D21" s="155">
        <f>SECT_TERAC.!N30</f>
        <v>1352.1996366686533</v>
      </c>
      <c r="E21" s="155">
        <f>SECT_TERAC.!N31</f>
        <v>7124.322660394354</v>
      </c>
      <c r="F21" s="155">
        <f>SUM(C21:E21)</f>
        <v>13216.358710887751</v>
      </c>
      <c r="G21" s="158"/>
      <c r="H21" s="159"/>
      <c r="I21" s="159"/>
      <c r="J21" s="157"/>
      <c r="O21" s="22"/>
      <c r="P21" s="22"/>
      <c r="Q21" s="22"/>
      <c r="R21" s="22"/>
      <c r="S21" s="22"/>
      <c r="T21" s="22"/>
      <c r="U21" s="22"/>
    </row>
    <row r="22" spans="2:21">
      <c r="B22" s="1021"/>
      <c r="C22" s="161"/>
      <c r="D22" s="161"/>
      <c r="E22" s="161"/>
      <c r="F22" s="161"/>
      <c r="G22" s="156"/>
      <c r="H22" s="160"/>
      <c r="I22" s="157"/>
      <c r="J22" s="157"/>
      <c r="O22" s="22"/>
      <c r="P22" s="22"/>
      <c r="Q22" s="22"/>
      <c r="R22" s="22"/>
      <c r="S22" s="22"/>
      <c r="T22" s="22"/>
      <c r="U22" s="22"/>
    </row>
    <row r="23" spans="2:21">
      <c r="B23" s="1021" t="s">
        <v>126</v>
      </c>
      <c r="C23" s="155">
        <f>SECT_TERAC.!O29</f>
        <v>0.71499999999999997</v>
      </c>
      <c r="D23" s="155">
        <f>SECT_TERAC.!O30</f>
        <v>34.469910000000013</v>
      </c>
      <c r="E23" s="155">
        <f>SECT_TERAC.!O31</f>
        <v>6.7598500000000001</v>
      </c>
      <c r="F23" s="155">
        <f>SUM(C23:E23)</f>
        <v>41.944760000000016</v>
      </c>
      <c r="G23" s="158"/>
      <c r="H23" s="159"/>
      <c r="I23" s="159"/>
      <c r="J23" s="157"/>
      <c r="O23" s="22"/>
      <c r="P23" s="22"/>
      <c r="Q23" s="22"/>
      <c r="R23" s="22"/>
      <c r="S23" s="22"/>
      <c r="T23" s="22"/>
      <c r="U23" s="22"/>
    </row>
    <row r="24" spans="2:21">
      <c r="B24" s="1021"/>
      <c r="C24" s="161"/>
      <c r="D24" s="161"/>
      <c r="E24" s="161"/>
      <c r="F24" s="161"/>
      <c r="G24" s="156"/>
      <c r="H24" s="160"/>
      <c r="I24" s="157"/>
      <c r="J24" s="157"/>
      <c r="O24" s="22"/>
      <c r="P24" s="22"/>
      <c r="Q24" s="22"/>
      <c r="R24" s="22"/>
      <c r="S24" s="22"/>
      <c r="T24" s="22"/>
      <c r="U24" s="22"/>
    </row>
    <row r="25" spans="2:21">
      <c r="B25" s="1021" t="s">
        <v>20</v>
      </c>
      <c r="C25" s="155">
        <f>SECT_TERAC.!R29</f>
        <v>104.524913352</v>
      </c>
      <c r="D25" s="155">
        <f>SECT_TERAC.!R30</f>
        <v>0</v>
      </c>
      <c r="E25" s="155">
        <f>SECT_TERAC.!R31</f>
        <v>107.080708</v>
      </c>
      <c r="F25" s="155">
        <f>SUM(C25:E25)</f>
        <v>211.60562135200001</v>
      </c>
      <c r="G25" s="158"/>
      <c r="H25" s="159"/>
      <c r="I25" s="159"/>
      <c r="J25" s="157"/>
      <c r="O25" s="22"/>
      <c r="P25" s="22"/>
      <c r="Q25" s="22"/>
      <c r="R25" s="22"/>
      <c r="S25" s="22"/>
      <c r="T25" s="22"/>
      <c r="U25" s="22"/>
    </row>
    <row r="26" spans="2:21">
      <c r="B26" s="1021"/>
      <c r="C26" s="161"/>
      <c r="D26" s="161"/>
      <c r="E26" s="161"/>
      <c r="F26" s="161"/>
      <c r="G26" s="156"/>
      <c r="H26" s="160"/>
      <c r="I26" s="157"/>
      <c r="J26" s="157"/>
      <c r="O26" s="22"/>
      <c r="P26" s="22"/>
      <c r="Q26" s="22"/>
      <c r="R26" s="22"/>
      <c r="S26" s="22"/>
      <c r="T26" s="22"/>
      <c r="U26" s="22"/>
    </row>
    <row r="27" spans="2:21">
      <c r="B27" s="1021" t="s">
        <v>117</v>
      </c>
      <c r="C27" s="155">
        <f>SECT_TERAC.!T29</f>
        <v>699.04487872097377</v>
      </c>
      <c r="D27" s="155">
        <f>SECT_TERAC.!T30</f>
        <v>158.99697212800001</v>
      </c>
      <c r="E27" s="155">
        <f>SECT_TERAC.!T31</f>
        <v>3837.3445778116561</v>
      </c>
      <c r="F27" s="155">
        <f>SUM(C27:E27)</f>
        <v>4695.3864286606295</v>
      </c>
      <c r="G27" s="158"/>
      <c r="H27" s="159"/>
      <c r="I27" s="159"/>
      <c r="J27" s="157"/>
      <c r="O27" s="22"/>
      <c r="P27" s="22"/>
      <c r="Q27" s="22"/>
      <c r="R27" s="22"/>
      <c r="S27" s="22"/>
      <c r="T27" s="22"/>
      <c r="U27" s="22"/>
    </row>
    <row r="28" spans="2:21">
      <c r="B28" s="1021"/>
      <c r="C28" s="161"/>
      <c r="D28" s="161"/>
      <c r="E28" s="161"/>
      <c r="F28" s="155"/>
      <c r="G28" s="156"/>
      <c r="H28" s="160"/>
      <c r="I28" s="157"/>
      <c r="J28" s="157"/>
      <c r="O28" s="22"/>
      <c r="P28" s="22"/>
      <c r="Q28" s="22"/>
      <c r="R28" s="22"/>
      <c r="S28" s="22"/>
      <c r="T28" s="22"/>
      <c r="U28" s="22"/>
    </row>
    <row r="29" spans="2:21">
      <c r="B29" s="1021" t="s">
        <v>9</v>
      </c>
      <c r="C29" s="155">
        <f>SECT_TERAC.!W29</f>
        <v>0</v>
      </c>
      <c r="D29" s="155">
        <f>SECT_TERAC.!W30</f>
        <v>0</v>
      </c>
      <c r="E29" s="155">
        <f>SECT_TERAC.!W31</f>
        <v>29067.4056406364</v>
      </c>
      <c r="F29" s="155">
        <f>SUM(C29:E29)</f>
        <v>29067.4056406364</v>
      </c>
      <c r="G29" s="158"/>
      <c r="H29" s="159"/>
      <c r="I29" s="159"/>
      <c r="J29" s="157"/>
      <c r="O29" s="22"/>
      <c r="P29" s="22"/>
      <c r="Q29" s="22"/>
      <c r="R29" s="22"/>
      <c r="S29" s="22"/>
      <c r="T29" s="22"/>
      <c r="U29" s="22"/>
    </row>
    <row r="30" spans="2:21">
      <c r="B30" s="1021"/>
      <c r="C30" s="155"/>
      <c r="D30" s="161"/>
      <c r="E30" s="161"/>
      <c r="F30" s="161"/>
      <c r="G30" s="156"/>
      <c r="H30" s="160"/>
      <c r="I30" s="157"/>
      <c r="J30" s="157"/>
      <c r="O30" s="22"/>
      <c r="P30" s="22"/>
      <c r="Q30" s="22"/>
      <c r="R30" s="22"/>
      <c r="S30" s="22"/>
      <c r="T30" s="22"/>
      <c r="U30" s="22"/>
    </row>
    <row r="31" spans="2:21">
      <c r="B31" s="1022" t="s">
        <v>11</v>
      </c>
      <c r="C31" s="162">
        <f>SUM(C21:C29)+C10</f>
        <v>7653.6220933853765</v>
      </c>
      <c r="D31" s="162">
        <f>SUM(D21:D29)+D10</f>
        <v>1816.3752063203547</v>
      </c>
      <c r="E31" s="162">
        <f>SUM(E21:E29)+E10</f>
        <v>49501.943773750943</v>
      </c>
      <c r="F31" s="162">
        <f>SUM(F21:F29)+F10</f>
        <v>58971.94107345667</v>
      </c>
      <c r="G31" s="163"/>
      <c r="H31" s="159"/>
      <c r="I31" s="159"/>
      <c r="J31" s="157"/>
      <c r="O31" s="22"/>
      <c r="P31" s="22"/>
      <c r="Q31" s="22"/>
      <c r="R31" s="22"/>
      <c r="S31" s="22"/>
      <c r="T31" s="22"/>
      <c r="U31" s="22"/>
    </row>
    <row r="32" spans="2:21" ht="13.5" thickBot="1">
      <c r="B32" s="1023"/>
      <c r="C32" s="164"/>
      <c r="D32" s="164"/>
      <c r="E32" s="164"/>
      <c r="F32" s="164"/>
      <c r="G32" s="165"/>
      <c r="H32" s="160"/>
      <c r="I32" s="157"/>
      <c r="J32" s="157"/>
      <c r="O32" s="22"/>
      <c r="P32" s="22"/>
      <c r="Q32" s="22"/>
      <c r="R32" s="22"/>
      <c r="S32" s="22"/>
      <c r="T32" s="22"/>
      <c r="U32" s="22"/>
    </row>
    <row r="33" spans="2:10" s="22" customFormat="1">
      <c r="B33" s="83" t="s">
        <v>118</v>
      </c>
      <c r="C33" s="84"/>
      <c r="D33" s="84"/>
      <c r="E33" s="84"/>
      <c r="F33" s="84"/>
      <c r="G33" s="84"/>
      <c r="H33" s="84"/>
      <c r="I33" s="84"/>
      <c r="J33" s="80"/>
    </row>
    <row r="34" spans="2:10">
      <c r="B34" s="11" t="s">
        <v>42</v>
      </c>
      <c r="C34" s="61"/>
      <c r="D34" s="62"/>
      <c r="E34" s="62"/>
      <c r="F34" s="62"/>
      <c r="G34" s="63"/>
      <c r="H34" s="21"/>
      <c r="I34" s="76"/>
      <c r="J34" s="76"/>
    </row>
    <row r="35" spans="2:10">
      <c r="B35" s="11" t="s">
        <v>43</v>
      </c>
      <c r="C35" s="21"/>
      <c r="D35" s="21"/>
      <c r="E35" s="21"/>
      <c r="F35" s="21"/>
      <c r="G35" s="21"/>
      <c r="H35" s="21"/>
      <c r="I35" s="76"/>
      <c r="J35" s="76"/>
    </row>
    <row r="36" spans="2:10">
      <c r="B36" s="21" t="s">
        <v>14</v>
      </c>
      <c r="C36" s="21"/>
      <c r="D36" s="21"/>
      <c r="E36" s="21"/>
      <c r="F36" s="21"/>
      <c r="G36" s="21"/>
      <c r="H36" s="21"/>
      <c r="I36" s="76"/>
      <c r="J36" s="76"/>
    </row>
    <row r="37" spans="2:10">
      <c r="B37" s="21" t="s">
        <v>800</v>
      </c>
      <c r="C37" s="21"/>
      <c r="D37" s="21"/>
      <c r="E37" s="21"/>
      <c r="F37" s="21"/>
      <c r="G37" s="21"/>
      <c r="H37" s="21"/>
      <c r="I37" s="76"/>
      <c r="J37" s="76"/>
    </row>
    <row r="38" spans="2:10">
      <c r="B38" s="157"/>
      <c r="C38" s="157"/>
      <c r="D38" s="157"/>
      <c r="E38" s="157"/>
      <c r="F38" s="157"/>
      <c r="G38" s="157"/>
      <c r="H38" s="157"/>
      <c r="I38" s="157"/>
      <c r="J38" s="157"/>
    </row>
    <row r="39" spans="2:10">
      <c r="B39" s="157"/>
      <c r="C39" s="157"/>
      <c r="D39" s="157"/>
      <c r="E39" s="157"/>
      <c r="F39" s="157"/>
      <c r="G39" s="157"/>
      <c r="H39" s="157"/>
      <c r="I39" s="157"/>
      <c r="J39" s="157"/>
    </row>
    <row r="40" spans="2:10">
      <c r="B40" s="157"/>
      <c r="C40" s="157"/>
      <c r="D40" s="157"/>
      <c r="E40" s="157"/>
      <c r="F40" s="157"/>
      <c r="G40" s="157"/>
      <c r="H40" s="157"/>
      <c r="I40" s="157"/>
      <c r="J40" s="157"/>
    </row>
    <row r="41" spans="2:10">
      <c r="B41" s="157"/>
      <c r="C41" s="157"/>
      <c r="D41" s="157"/>
      <c r="E41" s="157"/>
      <c r="F41" s="157"/>
      <c r="G41" s="157"/>
      <c r="H41" s="157"/>
      <c r="I41" s="157"/>
      <c r="J41" s="157"/>
    </row>
    <row r="42" spans="2:10">
      <c r="B42" s="157"/>
      <c r="C42" s="157"/>
      <c r="D42" s="157"/>
      <c r="E42" s="157"/>
      <c r="F42" s="157"/>
      <c r="G42" s="157"/>
      <c r="H42" s="157"/>
      <c r="I42" s="157"/>
      <c r="J42" s="157"/>
    </row>
    <row r="43" spans="2:10">
      <c r="B43" s="157"/>
      <c r="C43" s="157"/>
      <c r="D43" s="157"/>
      <c r="E43" s="157"/>
      <c r="F43" s="157"/>
      <c r="G43" s="157"/>
      <c r="H43" s="157"/>
      <c r="I43" s="157"/>
      <c r="J43" s="157"/>
    </row>
    <row r="44" spans="2:10">
      <c r="B44" s="22"/>
      <c r="C44" s="22"/>
      <c r="D44" s="22"/>
      <c r="E44" s="22"/>
      <c r="F44" s="22"/>
      <c r="G44" s="22"/>
    </row>
    <row r="45" spans="2:10">
      <c r="B45" s="22"/>
      <c r="C45" s="22"/>
      <c r="D45" s="22"/>
      <c r="E45" s="22"/>
      <c r="F45" s="22"/>
      <c r="G45" s="22"/>
    </row>
    <row r="46" spans="2:10">
      <c r="B46" s="22"/>
      <c r="C46" s="22"/>
      <c r="D46" s="22"/>
      <c r="E46" s="22"/>
      <c r="F46" s="22"/>
      <c r="G46" s="22"/>
    </row>
    <row r="47" spans="2:10" s="22" customFormat="1"/>
    <row r="48" spans="2:10" s="22" customFormat="1"/>
    <row r="49" s="22" customFormat="1"/>
    <row r="50" s="22" customFormat="1"/>
    <row r="51" s="22" customFormat="1"/>
    <row r="52" s="22" customFormat="1"/>
    <row r="53" s="22" customFormat="1"/>
    <row r="54" s="22" customFormat="1"/>
    <row r="55" s="22" customFormat="1"/>
    <row r="56" s="22" customFormat="1"/>
    <row r="57" s="22" customFormat="1"/>
    <row r="58" s="22" customFormat="1"/>
    <row r="59" s="22" customFormat="1"/>
    <row r="60" s="22" customFormat="1"/>
    <row r="61" s="22" customFormat="1"/>
    <row r="62" s="22" customFormat="1"/>
    <row r="63" s="22" customFormat="1"/>
    <row r="64" s="22" customFormat="1"/>
    <row r="65" s="22" customFormat="1"/>
    <row r="66" s="22" customFormat="1"/>
    <row r="67" s="22" customFormat="1"/>
    <row r="68" s="22" customFormat="1"/>
    <row r="69" s="22" customFormat="1"/>
    <row r="70" s="22" customFormat="1"/>
    <row r="71" s="22" customFormat="1"/>
    <row r="72" s="22" customFormat="1"/>
    <row r="73" s="22" customFormat="1"/>
    <row r="74" s="22" customFormat="1"/>
    <row r="75" s="22" customFormat="1"/>
    <row r="76" s="22" customFormat="1"/>
    <row r="77" s="22" customFormat="1"/>
    <row r="78" s="22" customFormat="1"/>
    <row r="79" s="22" customFormat="1"/>
    <row r="80" s="22" customFormat="1"/>
    <row r="81" s="22" customFormat="1"/>
    <row r="82" s="22" customFormat="1"/>
    <row r="83" s="22" customFormat="1"/>
    <row r="84" s="22" customFormat="1"/>
    <row r="85" s="22" customFormat="1"/>
    <row r="86" s="22" customFormat="1"/>
  </sheetData>
  <phoneticPr fontId="0" type="noConversion"/>
  <hyperlinks>
    <hyperlink ref="H3" location="INDICE!A40" display="VOLVER A INDICE"/>
  </hyperlinks>
  <pageMargins left="0.75" right="0.75" top="1" bottom="1" header="0" footer="0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45"/>
  <sheetViews>
    <sheetView showGridLines="0" topLeftCell="A10" workbookViewId="0">
      <selection activeCell="J17" sqref="J17"/>
    </sheetView>
  </sheetViews>
  <sheetFormatPr baseColWidth="10" defaultRowHeight="12.75" outlineLevelRow="1"/>
  <cols>
    <col min="1" max="1" width="2.28515625" customWidth="1"/>
    <col min="2" max="2" width="32" customWidth="1"/>
    <col min="3" max="3" width="15.28515625" customWidth="1"/>
    <col min="4" max="4" width="13.28515625" customWidth="1"/>
  </cols>
  <sheetData>
    <row r="1" spans="2:9" ht="9.75" customHeight="1" thickBot="1"/>
    <row r="2" spans="2:9" ht="13.5" thickBot="1">
      <c r="B2" s="642"/>
      <c r="C2" s="643"/>
      <c r="D2" s="643"/>
      <c r="E2" s="643"/>
      <c r="F2" s="643"/>
      <c r="G2" s="643"/>
      <c r="H2" s="644"/>
    </row>
    <row r="3" spans="2:9" ht="15">
      <c r="B3" s="169"/>
      <c r="C3" s="170"/>
      <c r="D3" s="171" t="s">
        <v>580</v>
      </c>
      <c r="E3" s="172"/>
      <c r="F3" s="173"/>
      <c r="G3" s="173"/>
      <c r="H3" s="174"/>
      <c r="I3" s="1232" t="s">
        <v>681</v>
      </c>
    </row>
    <row r="4" spans="2:9" ht="15">
      <c r="B4" s="175"/>
      <c r="C4" s="176"/>
      <c r="D4" s="177" t="s">
        <v>581</v>
      </c>
      <c r="E4" s="176"/>
      <c r="F4" s="178"/>
      <c r="G4" s="178"/>
      <c r="H4" s="179"/>
    </row>
    <row r="5" spans="2:9" ht="15">
      <c r="B5" s="175"/>
      <c r="C5" s="176"/>
      <c r="D5" s="180" t="s">
        <v>797</v>
      </c>
      <c r="E5" s="176"/>
      <c r="F5" s="178"/>
      <c r="G5" s="178"/>
      <c r="H5" s="179"/>
    </row>
    <row r="6" spans="2:9" ht="15">
      <c r="B6" s="175"/>
      <c r="C6" s="180" t="s">
        <v>746</v>
      </c>
      <c r="D6" s="176"/>
      <c r="E6" s="176"/>
      <c r="F6" s="178"/>
      <c r="G6" s="178"/>
      <c r="H6" s="179"/>
    </row>
    <row r="7" spans="2:9" ht="15">
      <c r="B7" s="175"/>
      <c r="C7" s="181" t="s">
        <v>779</v>
      </c>
      <c r="D7" s="181" t="s">
        <v>780</v>
      </c>
      <c r="E7" s="181" t="s">
        <v>127</v>
      </c>
      <c r="F7" s="181" t="s">
        <v>128</v>
      </c>
      <c r="G7" s="181" t="s">
        <v>6</v>
      </c>
      <c r="H7" s="182" t="s">
        <v>11</v>
      </c>
    </row>
    <row r="8" spans="2:9" ht="15.75" thickBot="1">
      <c r="B8" s="1024" t="s">
        <v>3</v>
      </c>
      <c r="C8" s="1025"/>
      <c r="D8" s="1025"/>
      <c r="E8" s="1025" t="s">
        <v>6</v>
      </c>
      <c r="F8" s="1025" t="s">
        <v>781</v>
      </c>
      <c r="G8" s="1025" t="s">
        <v>782</v>
      </c>
      <c r="H8" s="1026"/>
    </row>
    <row r="9" spans="2:9">
      <c r="B9" s="989" t="s">
        <v>88</v>
      </c>
      <c r="C9" s="188">
        <f t="shared" ref="C9:H9" si="0">SUM(C10:C20)</f>
        <v>0</v>
      </c>
      <c r="D9" s="188">
        <f t="shared" si="0"/>
        <v>87.436742016000011</v>
      </c>
      <c r="E9" s="188">
        <f t="shared" si="0"/>
        <v>4469.4720430039997</v>
      </c>
      <c r="F9" s="188">
        <f t="shared" si="0"/>
        <v>1.7848065479999997</v>
      </c>
      <c r="G9" s="188">
        <f t="shared" si="0"/>
        <v>0</v>
      </c>
      <c r="H9" s="189">
        <f t="shared" si="0"/>
        <v>4558.6935915679996</v>
      </c>
    </row>
    <row r="10" spans="2:9" outlineLevel="1">
      <c r="B10" s="1342" t="s">
        <v>55</v>
      </c>
      <c r="C10" s="1267">
        <f>SECT_TERAC.!D36+SECT_TERAC.!D37</f>
        <v>0</v>
      </c>
      <c r="D10" s="1267">
        <f>SECT_TERAC.!D38+SECT_TERAC.!D39</f>
        <v>73.260000000000005</v>
      </c>
      <c r="E10" s="1267">
        <f>SECT_TERAC.!D40</f>
        <v>267.582042</v>
      </c>
      <c r="F10" s="1267">
        <f>SECT_TERAC.!D41</f>
        <v>0</v>
      </c>
      <c r="G10" s="1267">
        <f>SECT_TERAC.!D42</f>
        <v>0</v>
      </c>
      <c r="H10" s="1268">
        <f>SUM(C10:G10)</f>
        <v>340.84204199999999</v>
      </c>
    </row>
    <row r="11" spans="2:9" outlineLevel="1">
      <c r="B11" s="1342"/>
      <c r="C11" s="1269"/>
      <c r="D11" s="1269"/>
      <c r="E11" s="1269"/>
      <c r="F11" s="1269"/>
      <c r="G11" s="1269"/>
      <c r="H11" s="1270"/>
    </row>
    <row r="12" spans="2:9" outlineLevel="1">
      <c r="B12" s="1342" t="s">
        <v>56</v>
      </c>
      <c r="C12" s="1269">
        <f>SECT_TERAC.!C36+SECT_TERAC.!C37</f>
        <v>0</v>
      </c>
      <c r="D12" s="1269">
        <f>SECT_TERAC.!C38+SECT_TERAC.!C39</f>
        <v>1.8214798159999996</v>
      </c>
      <c r="E12" s="1269">
        <f>SECT_TERAC.!C40</f>
        <v>16.028347103999998</v>
      </c>
      <c r="F12" s="1269">
        <f>SECT_TERAC.!C41</f>
        <v>1.7848065479999997</v>
      </c>
      <c r="G12" s="1269">
        <f>SECT_TERAC.!C42</f>
        <v>0</v>
      </c>
      <c r="H12" s="1268">
        <f>SUM(C12:G12)</f>
        <v>19.634633467999997</v>
      </c>
    </row>
    <row r="13" spans="2:9" outlineLevel="1">
      <c r="B13" s="1342"/>
      <c r="C13" s="1269"/>
      <c r="D13" s="1269"/>
      <c r="E13" s="1269"/>
      <c r="F13" s="1269"/>
      <c r="G13" s="1269"/>
      <c r="H13" s="1270"/>
    </row>
    <row r="14" spans="2:9" outlineLevel="1">
      <c r="B14" s="1342" t="s">
        <v>59</v>
      </c>
      <c r="C14" s="1269">
        <f>SECT_TERAC.!G36+SECT_TERAC.!G37</f>
        <v>0</v>
      </c>
      <c r="D14" s="1269">
        <f>SECT_TERAC.!G38+SECT_TERAC.!G39</f>
        <v>0</v>
      </c>
      <c r="E14" s="1269">
        <f>SECT_TERAC.!G40</f>
        <v>2.2549428000000002</v>
      </c>
      <c r="F14" s="1269">
        <f>SECT_TERAC.!G41</f>
        <v>0</v>
      </c>
      <c r="G14" s="1269">
        <f>SECT_TERAC.!G42</f>
        <v>0</v>
      </c>
      <c r="H14" s="1268">
        <f>SUM(C14:G14)</f>
        <v>2.2549428000000002</v>
      </c>
    </row>
    <row r="15" spans="2:9" outlineLevel="1">
      <c r="B15" s="1342"/>
      <c r="C15" s="1269"/>
      <c r="D15" s="1269"/>
      <c r="E15" s="1269"/>
      <c r="F15" s="1269"/>
      <c r="G15" s="1269"/>
      <c r="H15" s="1270"/>
    </row>
    <row r="16" spans="2:9" outlineLevel="1">
      <c r="B16" s="1342" t="s">
        <v>60</v>
      </c>
      <c r="C16" s="1269">
        <f>SECT_TERAC.!H36+SECT_TERAC.!H37</f>
        <v>0</v>
      </c>
      <c r="D16" s="1269">
        <f>SECT_TERAC.!H38+SECT_TERAC.!H39</f>
        <v>12.301005200000004</v>
      </c>
      <c r="E16" s="1269">
        <f>SECT_TERAC.!H40</f>
        <v>0.56765940000000004</v>
      </c>
      <c r="F16" s="1269">
        <f>SECT_TERAC.!H41</f>
        <v>0</v>
      </c>
      <c r="G16" s="1269">
        <f>SECT_TERAC.!H42</f>
        <v>0</v>
      </c>
      <c r="H16" s="1268">
        <f>SUM(C16:G16)</f>
        <v>12.868664600000004</v>
      </c>
    </row>
    <row r="17" spans="2:8" outlineLevel="1">
      <c r="B17" s="1342"/>
      <c r="C17" s="1269"/>
      <c r="D17" s="1269"/>
      <c r="E17" s="1269"/>
      <c r="F17" s="1269"/>
      <c r="G17" s="1269"/>
      <c r="H17" s="1270"/>
    </row>
    <row r="18" spans="2:8" outlineLevel="1">
      <c r="B18" s="1342" t="s">
        <v>63</v>
      </c>
      <c r="C18" s="1269">
        <f>SECT_TERAC.!K36+SECT_TERAC.!K37</f>
        <v>0</v>
      </c>
      <c r="D18" s="1269">
        <f>SECT_TERAC.!K38+SECT_TERAC.!K39</f>
        <v>5.4257E-2</v>
      </c>
      <c r="E18" s="1269">
        <f>SECT_TERAC.!K40</f>
        <v>1314.6800896999996</v>
      </c>
      <c r="F18" s="1269">
        <f>SECT_TERAC.!K41</f>
        <v>0</v>
      </c>
      <c r="G18" s="1269">
        <f>SECT_TERAC.!K42</f>
        <v>0</v>
      </c>
      <c r="H18" s="1268">
        <f>SUM(C18:G18)</f>
        <v>1314.7343466999996</v>
      </c>
    </row>
    <row r="19" spans="2:8" outlineLevel="1">
      <c r="B19" s="1342"/>
      <c r="C19" s="1269"/>
      <c r="D19" s="1269"/>
      <c r="E19" s="1269"/>
      <c r="F19" s="1269"/>
      <c r="G19" s="1269"/>
      <c r="H19" s="1270"/>
    </row>
    <row r="20" spans="2:8" outlineLevel="1">
      <c r="B20" s="1342" t="s">
        <v>64</v>
      </c>
      <c r="C20" s="1269">
        <f>SECT_TERAC.!L36+SECT_TERAC.!L37</f>
        <v>0</v>
      </c>
      <c r="D20" s="1269">
        <f>SECT_TERAC.!L38+SECT_TERAC.!L39</f>
        <v>0</v>
      </c>
      <c r="E20" s="1269">
        <f>SECT_TERAC.!L40</f>
        <v>2868.3589619999998</v>
      </c>
      <c r="F20" s="1269">
        <f>SECT_TERAC.!L41</f>
        <v>0</v>
      </c>
      <c r="G20" s="1269">
        <f>SECT_TERAC.!L42</f>
        <v>0</v>
      </c>
      <c r="H20" s="1268">
        <f>SUM(C20:G20)</f>
        <v>2868.3589619999998</v>
      </c>
    </row>
    <row r="21" spans="2:8" outlineLevel="1">
      <c r="B21" s="1027"/>
      <c r="C21" s="183"/>
      <c r="D21" s="183"/>
      <c r="E21" s="183"/>
      <c r="F21" s="183"/>
      <c r="G21" s="183"/>
      <c r="H21" s="184"/>
    </row>
    <row r="22" spans="2:8">
      <c r="B22" s="1027" t="s">
        <v>18</v>
      </c>
      <c r="C22" s="183">
        <f>SECT_TERAC.!N36+SECT_TERAC.!N37</f>
        <v>1022.4880185320042</v>
      </c>
      <c r="D22" s="183">
        <f>SECT_TERAC.!N38+SECT_TERAC.!N39</f>
        <v>7.8250511072727269</v>
      </c>
      <c r="E22" s="183">
        <f>SECT_TERAC.!N40</f>
        <v>504.195922854</v>
      </c>
      <c r="F22" s="183">
        <f>SECT_TERAC.!N41</f>
        <v>4.7713221400000005</v>
      </c>
      <c r="G22" s="183">
        <f>SECT_TERAC.!N42</f>
        <v>225.34721943</v>
      </c>
      <c r="H22" s="1288">
        <f>SUM(C22:G22)</f>
        <v>1764.6275340632767</v>
      </c>
    </row>
    <row r="23" spans="2:8">
      <c r="B23" s="1027"/>
      <c r="C23" s="183"/>
      <c r="D23" s="183"/>
      <c r="E23" s="183"/>
      <c r="F23" s="183"/>
      <c r="G23" s="183"/>
      <c r="H23" s="184"/>
    </row>
    <row r="24" spans="2:8">
      <c r="B24" s="1027" t="s">
        <v>7</v>
      </c>
      <c r="C24" s="183">
        <f>SECT_TERAC.!O36+SECT_TERAC.!O37</f>
        <v>0</v>
      </c>
      <c r="D24" s="183">
        <f>SECT_TERAC.!O38+SECT_TERAC.!O39</f>
        <v>0</v>
      </c>
      <c r="E24" s="183">
        <f>SECT_TERAC.!O40</f>
        <v>0</v>
      </c>
      <c r="F24" s="183">
        <f>SECT_TERAC.!O41</f>
        <v>1.2143351533071365</v>
      </c>
      <c r="G24" s="183">
        <f>SECT_TERAC.!O42</f>
        <v>0</v>
      </c>
      <c r="H24" s="1288">
        <f>SUM(C24:G24)</f>
        <v>1.2143351533071365</v>
      </c>
    </row>
    <row r="25" spans="2:8">
      <c r="B25" s="1027"/>
      <c r="C25" s="183"/>
      <c r="D25" s="183"/>
      <c r="E25" s="183"/>
      <c r="F25" s="183"/>
      <c r="G25" s="183"/>
      <c r="H25" s="184"/>
    </row>
    <row r="26" spans="2:8">
      <c r="B26" s="1027" t="s">
        <v>185</v>
      </c>
      <c r="C26" s="183">
        <f>SECT_TERAC.!Q36+SECT_TERAC.!Q37</f>
        <v>0</v>
      </c>
      <c r="D26" s="183">
        <f>SECT_TERAC.!Q38+SECT_TERAC.!Q39</f>
        <v>170.125</v>
      </c>
      <c r="E26" s="183">
        <f>SECT_TERAC.!Q40</f>
        <v>0</v>
      </c>
      <c r="F26" s="183">
        <f>SECT_TERAC.!Q41</f>
        <v>0</v>
      </c>
      <c r="G26" s="183">
        <f>SECT_TERAC.!Q42</f>
        <v>0</v>
      </c>
      <c r="H26" s="1288">
        <f>SUM(C26:G26)</f>
        <v>170.125</v>
      </c>
    </row>
    <row r="27" spans="2:8">
      <c r="B27" s="1027"/>
      <c r="C27" s="183"/>
      <c r="D27" s="183"/>
      <c r="E27" s="183"/>
      <c r="F27" s="183"/>
      <c r="G27" s="183"/>
      <c r="H27" s="184"/>
    </row>
    <row r="28" spans="2:8">
      <c r="B28" s="1027" t="s">
        <v>20</v>
      </c>
      <c r="C28" s="183">
        <f>SECT_TERAC.!R36+SECT_TERAC.!R37</f>
        <v>0</v>
      </c>
      <c r="D28" s="183">
        <f>SECT_TERAC.!R38+SECT_TERAC.!R39</f>
        <v>257.72800000000001</v>
      </c>
      <c r="E28" s="183">
        <f>SECT_TERAC.!R40</f>
        <v>0</v>
      </c>
      <c r="F28" s="183">
        <f>SECT_TERAC.!R41</f>
        <v>0</v>
      </c>
      <c r="G28" s="183">
        <f>SECT_TERAC.!R42</f>
        <v>0</v>
      </c>
      <c r="H28" s="1288">
        <f>SUM(C28:G28)</f>
        <v>257.72800000000001</v>
      </c>
    </row>
    <row r="29" spans="2:8">
      <c r="B29" s="1027"/>
      <c r="C29" s="183"/>
      <c r="D29" s="183"/>
      <c r="E29" s="183"/>
      <c r="F29" s="183"/>
      <c r="G29" s="183"/>
      <c r="H29" s="184"/>
    </row>
    <row r="30" spans="2:8">
      <c r="B30" s="1027" t="s">
        <v>747</v>
      </c>
      <c r="C30" s="183">
        <f>SECT_TERAC.!S36+SECT_TERAC.!S37</f>
        <v>0</v>
      </c>
      <c r="D30" s="183">
        <f>SECT_TERAC.!S38+SECT_TERAC.!S39</f>
        <v>909.49699999999996</v>
      </c>
      <c r="E30" s="183">
        <f>SECT_TERAC.!S40</f>
        <v>0</v>
      </c>
      <c r="F30" s="183">
        <f>SECT_TERAC.!S41</f>
        <v>0</v>
      </c>
      <c r="G30" s="183">
        <f>SECT_TERAC.!S42</f>
        <v>0</v>
      </c>
      <c r="H30" s="1288">
        <f>SUM(C30:G30)</f>
        <v>909.49699999999996</v>
      </c>
    </row>
    <row r="31" spans="2:8">
      <c r="B31" s="1027"/>
      <c r="C31" s="183"/>
      <c r="D31" s="183"/>
      <c r="E31" s="183"/>
      <c r="F31" s="183"/>
      <c r="G31" s="183"/>
      <c r="H31" s="184"/>
    </row>
    <row r="32" spans="2:8">
      <c r="B32" s="1027" t="s">
        <v>6</v>
      </c>
      <c r="C32" s="183">
        <f>SECT_TERAC.!T36+SECT_TERAC.!T37</f>
        <v>0</v>
      </c>
      <c r="D32" s="183">
        <f>SECT_TERAC.!T38+SECT_TERAC.!T39</f>
        <v>9.2967236599999996</v>
      </c>
      <c r="E32" s="183">
        <f>SECT_TERAC.!T40</f>
        <v>6040.806957818505</v>
      </c>
      <c r="F32" s="183">
        <f>SECT_TERAC.!T41</f>
        <v>0</v>
      </c>
      <c r="G32" s="183">
        <f>SECT_TERAC.!T42</f>
        <v>0</v>
      </c>
      <c r="H32" s="1288">
        <f>SUM(C32:G32)</f>
        <v>6050.1036814785048</v>
      </c>
    </row>
    <row r="33" spans="2:8">
      <c r="B33" s="1027"/>
      <c r="C33" s="183"/>
      <c r="D33" s="183"/>
      <c r="E33" s="183"/>
      <c r="F33" s="183"/>
      <c r="G33" s="183"/>
      <c r="H33" s="184"/>
    </row>
    <row r="34" spans="2:8">
      <c r="B34" s="1027" t="s">
        <v>22</v>
      </c>
      <c r="C34" s="183">
        <f>SECT_TERAC.!U36+SECT_TERAC.!U37</f>
        <v>0</v>
      </c>
      <c r="D34" s="183">
        <f>SECT_TERAC.!U38+SECT_TERAC.!U39</f>
        <v>0</v>
      </c>
      <c r="E34" s="183">
        <f>SECT_TERAC.!U40</f>
        <v>0</v>
      </c>
      <c r="F34" s="183">
        <f>SECT_TERAC.!U41</f>
        <v>0</v>
      </c>
      <c r="G34" s="183">
        <f>SECT_TERAC.!U42</f>
        <v>508.42035540000006</v>
      </c>
      <c r="H34" s="1288">
        <f>SUM(C34:G34)</f>
        <v>508.42035540000006</v>
      </c>
    </row>
    <row r="35" spans="2:8">
      <c r="B35" s="1027"/>
      <c r="C35" s="183"/>
      <c r="D35" s="183"/>
      <c r="E35" s="183"/>
      <c r="F35" s="183"/>
      <c r="G35" s="183"/>
      <c r="H35" s="184"/>
    </row>
    <row r="36" spans="2:8">
      <c r="B36" s="1028" t="s">
        <v>11</v>
      </c>
      <c r="C36" s="186">
        <f t="shared" ref="C36:H36" si="1">SUM(C22:C35)+C9</f>
        <v>1022.4880185320042</v>
      </c>
      <c r="D36" s="186">
        <f t="shared" si="1"/>
        <v>1441.9085167832727</v>
      </c>
      <c r="E36" s="186">
        <f t="shared" si="1"/>
        <v>11014.474923676506</v>
      </c>
      <c r="F36" s="186">
        <f t="shared" si="1"/>
        <v>7.7704638413071363</v>
      </c>
      <c r="G36" s="186">
        <f t="shared" si="1"/>
        <v>733.76757483000006</v>
      </c>
      <c r="H36" s="187">
        <f t="shared" si="1"/>
        <v>14220.409497663088</v>
      </c>
    </row>
    <row r="37" spans="2:8" ht="13.5" thickBot="1">
      <c r="B37" s="1029"/>
      <c r="C37" s="190"/>
      <c r="D37" s="190"/>
      <c r="E37" s="190"/>
      <c r="F37" s="190"/>
      <c r="G37" s="190"/>
      <c r="H37" s="191"/>
    </row>
    <row r="38" spans="2:8">
      <c r="B38" s="1278" t="s">
        <v>775</v>
      </c>
    </row>
    <row r="39" spans="2:8">
      <c r="B39" s="1278" t="s">
        <v>776</v>
      </c>
    </row>
    <row r="40" spans="2:8">
      <c r="B40" s="1278" t="s">
        <v>777</v>
      </c>
    </row>
    <row r="41" spans="2:8">
      <c r="B41" s="1278" t="s">
        <v>778</v>
      </c>
    </row>
    <row r="42" spans="2:8">
      <c r="B42" s="11" t="s">
        <v>42</v>
      </c>
      <c r="C42" s="61"/>
      <c r="D42" s="62"/>
      <c r="E42" s="62"/>
      <c r="F42" s="62"/>
      <c r="G42" s="63"/>
    </row>
    <row r="43" spans="2:8">
      <c r="B43" s="11" t="s">
        <v>43</v>
      </c>
      <c r="C43" s="21"/>
      <c r="D43" s="21"/>
      <c r="E43" s="21"/>
      <c r="F43" s="21"/>
      <c r="G43" s="21"/>
    </row>
    <row r="44" spans="2:8">
      <c r="B44" s="21" t="s">
        <v>14</v>
      </c>
      <c r="C44" s="21"/>
      <c r="D44" s="21"/>
      <c r="E44" s="21"/>
      <c r="F44" s="21"/>
      <c r="G44" s="21"/>
    </row>
    <row r="45" spans="2:8">
      <c r="B45" s="21" t="s">
        <v>800</v>
      </c>
      <c r="C45" s="21"/>
      <c r="D45" s="21"/>
      <c r="E45" s="21"/>
      <c r="F45" s="21"/>
      <c r="G45" s="21"/>
    </row>
  </sheetData>
  <phoneticPr fontId="92" type="noConversion"/>
  <hyperlinks>
    <hyperlink ref="I3" location="INDICE!A30" display="VOLVER A INDICE"/>
  </hyperlinks>
  <pageMargins left="0.75" right="0.75" top="1" bottom="1" header="0" footer="0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57"/>
  <sheetViews>
    <sheetView workbookViewId="0">
      <selection activeCell="I14" sqref="I14"/>
    </sheetView>
  </sheetViews>
  <sheetFormatPr baseColWidth="10" defaultRowHeight="12.75" outlineLevelRow="1"/>
  <cols>
    <col min="1" max="1" width="1.28515625" style="891" customWidth="1"/>
    <col min="2" max="2" width="27.85546875" style="891" customWidth="1"/>
    <col min="3" max="3" width="15.28515625" style="891" customWidth="1"/>
    <col min="4" max="4" width="13.7109375" style="891" customWidth="1"/>
    <col min="5" max="7" width="12.5703125" style="891" customWidth="1"/>
    <col min="8" max="8" width="13.5703125" style="891" customWidth="1"/>
    <col min="9" max="15" width="11.42578125" style="22"/>
    <col min="16" max="16384" width="11.42578125" style="891"/>
  </cols>
  <sheetData>
    <row r="1" spans="2:10" ht="6" customHeight="1" thickBot="1"/>
    <row r="2" spans="2:10" ht="15.75" customHeight="1" thickBot="1">
      <c r="B2" s="642"/>
      <c r="C2" s="643"/>
      <c r="D2" s="643"/>
      <c r="E2" s="643"/>
      <c r="F2" s="643"/>
      <c r="G2" s="643"/>
      <c r="H2" s="644"/>
    </row>
    <row r="3" spans="2:10" ht="15">
      <c r="B3" s="169"/>
      <c r="C3" s="170"/>
      <c r="D3" s="171" t="s">
        <v>580</v>
      </c>
      <c r="E3" s="172"/>
      <c r="F3" s="173"/>
      <c r="G3" s="173"/>
      <c r="H3" s="174"/>
      <c r="I3" s="852" t="s">
        <v>681</v>
      </c>
    </row>
    <row r="4" spans="2:10" ht="15">
      <c r="B4" s="175"/>
      <c r="C4" s="176"/>
      <c r="D4" s="177" t="s">
        <v>581</v>
      </c>
      <c r="E4" s="176"/>
      <c r="F4" s="178"/>
      <c r="G4" s="178"/>
      <c r="H4" s="179"/>
    </row>
    <row r="5" spans="2:10" ht="15">
      <c r="B5" s="175"/>
      <c r="C5" s="176"/>
      <c r="D5" s="180" t="s">
        <v>797</v>
      </c>
      <c r="E5" s="176"/>
      <c r="F5" s="178"/>
      <c r="G5" s="178"/>
      <c r="H5" s="179"/>
    </row>
    <row r="6" spans="2:10" ht="15">
      <c r="B6" s="175"/>
      <c r="C6" s="180" t="s">
        <v>582</v>
      </c>
      <c r="D6" s="176"/>
      <c r="E6" s="176"/>
      <c r="F6" s="178"/>
      <c r="G6" s="178"/>
      <c r="H6" s="179"/>
    </row>
    <row r="7" spans="2:10" ht="15">
      <c r="B7" s="175"/>
      <c r="C7" s="181" t="s">
        <v>779</v>
      </c>
      <c r="D7" s="181" t="s">
        <v>780</v>
      </c>
      <c r="E7" s="181" t="s">
        <v>127</v>
      </c>
      <c r="F7" s="181" t="s">
        <v>128</v>
      </c>
      <c r="G7" s="181" t="s">
        <v>6</v>
      </c>
      <c r="H7" s="182" t="s">
        <v>11</v>
      </c>
    </row>
    <row r="8" spans="2:10" ht="15.75" thickBot="1">
      <c r="B8" s="1024" t="s">
        <v>3</v>
      </c>
      <c r="C8" s="1025"/>
      <c r="D8" s="1025"/>
      <c r="E8" s="1025" t="s">
        <v>6</v>
      </c>
      <c r="F8" s="1025" t="s">
        <v>781</v>
      </c>
      <c r="G8" s="1025" t="s">
        <v>782</v>
      </c>
      <c r="H8" s="1026"/>
    </row>
    <row r="9" spans="2:10">
      <c r="B9" s="989" t="s">
        <v>88</v>
      </c>
      <c r="C9" s="188">
        <f t="shared" ref="C9:H9" si="0">SUM(C10:C16)</f>
        <v>3932.8286374051986</v>
      </c>
      <c r="D9" s="188">
        <f t="shared" si="0"/>
        <v>33.429516999999997</v>
      </c>
      <c r="E9" s="188">
        <f t="shared" si="0"/>
        <v>0</v>
      </c>
      <c r="F9" s="188">
        <f t="shared" si="0"/>
        <v>0</v>
      </c>
      <c r="G9" s="188">
        <f t="shared" si="0"/>
        <v>0</v>
      </c>
      <c r="H9" s="189">
        <f t="shared" si="0"/>
        <v>3966.2581544051986</v>
      </c>
    </row>
    <row r="10" spans="2:10" outlineLevel="1">
      <c r="B10" s="1342" t="s">
        <v>55</v>
      </c>
      <c r="C10" s="1267">
        <f>SECT_TERAC.!D49+SECT_TERAC.!D50</f>
        <v>1248.0263245002</v>
      </c>
      <c r="D10" s="1267">
        <f>SECT_TERAC.!D51+SECT_TERAC.!D52</f>
        <v>0</v>
      </c>
      <c r="E10" s="1267">
        <f>SECT_TERAC.!D53</f>
        <v>0</v>
      </c>
      <c r="F10" s="1267">
        <f>SECT_TERAC.!D54</f>
        <v>0</v>
      </c>
      <c r="G10" s="1267">
        <f>SECT_TERAC.!D55</f>
        <v>0</v>
      </c>
      <c r="H10" s="1268">
        <f>SUM(C10:G10)</f>
        <v>1248.0263245002</v>
      </c>
      <c r="I10" s="73"/>
      <c r="J10" s="73"/>
    </row>
    <row r="11" spans="2:10" outlineLevel="1">
      <c r="B11" s="1342"/>
      <c r="C11" s="1269"/>
      <c r="D11" s="1269"/>
      <c r="E11" s="1269"/>
      <c r="F11" s="1269"/>
      <c r="G11" s="1269"/>
      <c r="H11" s="1270"/>
    </row>
    <row r="12" spans="2:10" outlineLevel="1">
      <c r="B12" s="1342" t="s">
        <v>56</v>
      </c>
      <c r="C12" s="1269">
        <f>SECT_TERAC.!C50+SECT_TERAC.!C49</f>
        <v>2473.9914711399983</v>
      </c>
      <c r="D12" s="1269">
        <f>SECT_TERAC.!C51+SECT_TERAC.!C52</f>
        <v>0</v>
      </c>
      <c r="E12" s="1269">
        <f>SECT_TERAC.!C53</f>
        <v>0</v>
      </c>
      <c r="F12" s="1269">
        <f>SECT_TERAC.!C54</f>
        <v>0</v>
      </c>
      <c r="G12" s="1269">
        <f>SECT_TERAC.!C55</f>
        <v>0</v>
      </c>
      <c r="H12" s="1268">
        <f>SUM(C12:G12)</f>
        <v>2473.9914711399983</v>
      </c>
      <c r="I12" s="73"/>
      <c r="J12" s="73"/>
    </row>
    <row r="13" spans="2:10" outlineLevel="1">
      <c r="B13" s="1342"/>
      <c r="C13" s="1269"/>
      <c r="D13" s="1269"/>
      <c r="E13" s="1269"/>
      <c r="F13" s="1269"/>
      <c r="G13" s="1269"/>
      <c r="H13" s="1270"/>
    </row>
    <row r="14" spans="2:10" outlineLevel="1">
      <c r="B14" s="1342" t="s">
        <v>60</v>
      </c>
      <c r="C14" s="1269">
        <f>SECT_TERAC.!H49+SECT_TERAC.!H50</f>
        <v>0.56361376500000004</v>
      </c>
      <c r="D14" s="1269">
        <f>SECT_TERAC.!H51+SECT_TERAC.!H52</f>
        <v>33.429516999999997</v>
      </c>
      <c r="E14" s="1269">
        <f>SECT_TERAC.!H53</f>
        <v>0</v>
      </c>
      <c r="F14" s="1269">
        <f>SECT_TERAC.!H54</f>
        <v>0</v>
      </c>
      <c r="G14" s="1269">
        <f>SECT_TERAC.!H55</f>
        <v>0</v>
      </c>
      <c r="H14" s="1268">
        <f>SUM(C14:G14)</f>
        <v>33.993130764999997</v>
      </c>
      <c r="I14" s="73"/>
      <c r="J14" s="73"/>
    </row>
    <row r="15" spans="2:10" outlineLevel="1">
      <c r="B15" s="1342"/>
      <c r="C15" s="1269"/>
      <c r="D15" s="1269"/>
      <c r="E15" s="1269"/>
      <c r="F15" s="1269"/>
      <c r="G15" s="1269"/>
      <c r="H15" s="1270"/>
    </row>
    <row r="16" spans="2:10" outlineLevel="1">
      <c r="B16" s="1342" t="s">
        <v>64</v>
      </c>
      <c r="C16" s="1269">
        <f>SECT_TERAC.!L49+SECT_TERAC.!L50</f>
        <v>210.24722800000001</v>
      </c>
      <c r="D16" s="1269">
        <f>SECT_TERAC.!L51+SECT_TERAC.!L52</f>
        <v>0</v>
      </c>
      <c r="E16" s="1269">
        <f>SECT_TERAC.!L53</f>
        <v>0</v>
      </c>
      <c r="F16" s="1269">
        <f>SECT_TERAC.!L54</f>
        <v>0</v>
      </c>
      <c r="G16" s="1269">
        <f>SECT_TERAC.!L55</f>
        <v>0</v>
      </c>
      <c r="H16" s="1268">
        <f>SUM(C16:G16)</f>
        <v>210.24722800000001</v>
      </c>
      <c r="I16" s="73"/>
      <c r="J16" s="73"/>
    </row>
    <row r="17" spans="2:10">
      <c r="B17" s="1027"/>
      <c r="C17" s="183"/>
      <c r="D17" s="183"/>
      <c r="E17" s="183"/>
      <c r="F17" s="183"/>
      <c r="G17" s="183"/>
      <c r="H17" s="184"/>
    </row>
    <row r="18" spans="2:10">
      <c r="B18" s="1027" t="s">
        <v>7</v>
      </c>
      <c r="C18" s="183">
        <f>SECT_TERAC.!O49+SECT_TERAC.!O50</f>
        <v>18059.527131195144</v>
      </c>
      <c r="D18" s="183">
        <f>SECT_TERAC.!O51+SECT_TERAC.!O52</f>
        <v>5061.8376000000007</v>
      </c>
      <c r="E18" s="183">
        <f>SECT_TERAC.!O53</f>
        <v>0</v>
      </c>
      <c r="F18" s="183">
        <f>SECT_TERAC.!O54</f>
        <v>0</v>
      </c>
      <c r="G18" s="183">
        <f>SECT_TERAC.!O55</f>
        <v>0</v>
      </c>
      <c r="H18" s="1288">
        <f>SUM(C18:G18)</f>
        <v>23121.364731195143</v>
      </c>
      <c r="I18" s="73"/>
      <c r="J18" s="73"/>
    </row>
    <row r="19" spans="2:10">
      <c r="B19" s="1027"/>
      <c r="C19" s="183"/>
      <c r="D19" s="183"/>
      <c r="E19" s="183"/>
      <c r="F19" s="183"/>
      <c r="G19" s="183"/>
      <c r="H19" s="184"/>
    </row>
    <row r="20" spans="2:10">
      <c r="B20" s="1027" t="s">
        <v>115</v>
      </c>
      <c r="C20" s="183">
        <f>SECT_TERAC.!P49+SECT_TERAC.!P50</f>
        <v>5425.5394538333321</v>
      </c>
      <c r="D20" s="183">
        <f>SECT_TERAC.!P51+SECT_TERAC.!P52</f>
        <v>1621.8689999999999</v>
      </c>
      <c r="E20" s="183">
        <f>SECT_TERAC.!P53</f>
        <v>0</v>
      </c>
      <c r="F20" s="183">
        <f>SECT_TERAC.!P54</f>
        <v>0</v>
      </c>
      <c r="G20" s="183">
        <f>SECT_TERAC.!P55</f>
        <v>0</v>
      </c>
      <c r="H20" s="1288">
        <f>SUM(C20:G20)</f>
        <v>7047.4084538333318</v>
      </c>
      <c r="I20" s="73"/>
      <c r="J20" s="73"/>
    </row>
    <row r="21" spans="2:10">
      <c r="B21" s="1027"/>
      <c r="C21" s="183"/>
      <c r="D21" s="183"/>
      <c r="E21" s="183"/>
      <c r="F21" s="183"/>
      <c r="G21" s="183"/>
      <c r="H21" s="184"/>
    </row>
    <row r="22" spans="2:10">
      <c r="B22" s="1027" t="s">
        <v>6</v>
      </c>
      <c r="C22" s="183">
        <f>SECT_TERAC.!T49+SECT_TERAC.!T50</f>
        <v>30129.101346708376</v>
      </c>
      <c r="D22" s="183">
        <f>SECT_TERAC.!T51+SECT_TERAC.!T52</f>
        <v>261.99859115800001</v>
      </c>
      <c r="E22" s="183">
        <f>SECT_TERAC.!T53</f>
        <v>1980.1647014144305</v>
      </c>
      <c r="F22" s="183">
        <f>SECT_TERAC.!T54</f>
        <v>0</v>
      </c>
      <c r="G22" s="183">
        <f>SECT_TERAC.!T55</f>
        <v>25158.834556999998</v>
      </c>
      <c r="H22" s="1288">
        <f>SUM(C22:G22)</f>
        <v>57530.099196280804</v>
      </c>
      <c r="I22" s="73"/>
      <c r="J22" s="73"/>
    </row>
    <row r="23" spans="2:10">
      <c r="B23" s="1027"/>
      <c r="C23" s="183"/>
      <c r="D23" s="183"/>
      <c r="E23" s="183"/>
      <c r="F23" s="183"/>
      <c r="G23" s="183"/>
      <c r="H23" s="184"/>
    </row>
    <row r="24" spans="2:10">
      <c r="B24" s="1027" t="s">
        <v>9</v>
      </c>
      <c r="C24" s="183">
        <f>SECT_TERAC.!W49+SECT_TERAC.!W50</f>
        <v>5709.9661560943487</v>
      </c>
      <c r="D24" s="183">
        <f>SECT_TERAC.!W51+SECT_TERAC.!W52</f>
        <v>0</v>
      </c>
      <c r="E24" s="183">
        <f>SECT_TERAC.!W53</f>
        <v>0</v>
      </c>
      <c r="F24" s="183">
        <f>SECT_TERAC.!W54</f>
        <v>0</v>
      </c>
      <c r="G24" s="183">
        <f>SECT_TERAC.!W55</f>
        <v>0</v>
      </c>
      <c r="H24" s="1288">
        <f>SUM(C24:G24)</f>
        <v>5709.9661560943487</v>
      </c>
      <c r="I24" s="73"/>
      <c r="J24" s="73"/>
    </row>
    <row r="25" spans="2:10">
      <c r="B25" s="1027"/>
      <c r="C25" s="183"/>
      <c r="D25" s="183"/>
      <c r="E25" s="183"/>
      <c r="F25" s="183"/>
      <c r="G25" s="183"/>
      <c r="H25" s="185"/>
      <c r="J25" s="183"/>
    </row>
    <row r="26" spans="2:10">
      <c r="B26" s="1028" t="s">
        <v>11</v>
      </c>
      <c r="C26" s="186">
        <f t="shared" ref="C26:H26" si="1">SUM(C18:C24)+C9</f>
        <v>63256.962725236401</v>
      </c>
      <c r="D26" s="186">
        <f t="shared" si="1"/>
        <v>6979.1347081579997</v>
      </c>
      <c r="E26" s="186">
        <f t="shared" si="1"/>
        <v>1980.1647014144305</v>
      </c>
      <c r="F26" s="186">
        <f t="shared" si="1"/>
        <v>0</v>
      </c>
      <c r="G26" s="186">
        <f t="shared" si="1"/>
        <v>25158.834556999998</v>
      </c>
      <c r="H26" s="187">
        <f t="shared" si="1"/>
        <v>97375.096691808823</v>
      </c>
      <c r="I26" s="73"/>
      <c r="J26" s="73"/>
    </row>
    <row r="27" spans="2:10" ht="13.5" thickBot="1">
      <c r="B27" s="1029"/>
      <c r="C27" s="190"/>
      <c r="D27" s="190"/>
      <c r="E27" s="190"/>
      <c r="F27" s="190"/>
      <c r="G27" s="190"/>
      <c r="H27" s="191"/>
      <c r="I27" s="73"/>
    </row>
    <row r="28" spans="2:10">
      <c r="B28" s="1277" t="s">
        <v>562</v>
      </c>
      <c r="C28" s="1276"/>
      <c r="D28" s="1276"/>
      <c r="E28" s="1276"/>
      <c r="F28" s="1276"/>
      <c r="G28" s="1276"/>
      <c r="H28" s="1276"/>
      <c r="I28" s="73"/>
    </row>
    <row r="29" spans="2:10">
      <c r="B29" s="1278" t="s">
        <v>775</v>
      </c>
      <c r="C29" s="1276"/>
      <c r="D29" s="1276"/>
      <c r="E29" s="1276"/>
      <c r="F29" s="1276"/>
      <c r="G29" s="1276"/>
      <c r="H29" s="1276"/>
      <c r="I29" s="73"/>
    </row>
    <row r="30" spans="2:10">
      <c r="B30" s="1278" t="s">
        <v>776</v>
      </c>
      <c r="C30" s="1276"/>
      <c r="D30" s="1276"/>
      <c r="E30" s="1276"/>
      <c r="F30" s="1276"/>
      <c r="G30" s="1276"/>
      <c r="H30" s="1276"/>
      <c r="I30" s="73"/>
    </row>
    <row r="31" spans="2:10">
      <c r="B31" s="1278" t="s">
        <v>777</v>
      </c>
      <c r="C31" s="1276"/>
      <c r="D31" s="1276"/>
      <c r="E31" s="1276"/>
      <c r="F31" s="1276"/>
      <c r="G31" s="1276"/>
      <c r="H31" s="1276"/>
      <c r="I31" s="73"/>
    </row>
    <row r="32" spans="2:10">
      <c r="B32" s="1278" t="s">
        <v>778</v>
      </c>
      <c r="C32" s="1276"/>
      <c r="D32" s="1276"/>
      <c r="E32" s="1276"/>
      <c r="F32" s="1276"/>
      <c r="G32" s="1276"/>
      <c r="H32" s="1276"/>
      <c r="I32" s="73"/>
    </row>
    <row r="33" spans="2:10">
      <c r="B33" s="11" t="s">
        <v>42</v>
      </c>
      <c r="C33" s="1276"/>
      <c r="D33" s="1276"/>
      <c r="E33" s="1276"/>
      <c r="F33" s="1276"/>
      <c r="G33" s="1276"/>
      <c r="H33" s="1276"/>
      <c r="I33" s="73"/>
    </row>
    <row r="34" spans="2:10">
      <c r="B34" s="11" t="s">
        <v>43</v>
      </c>
      <c r="C34" s="1276"/>
      <c r="D34" s="1276"/>
      <c r="E34" s="1276"/>
      <c r="F34" s="1276"/>
      <c r="G34" s="1276"/>
      <c r="H34" s="1276"/>
      <c r="I34" s="73"/>
    </row>
    <row r="35" spans="2:10">
      <c r="B35" s="21" t="s">
        <v>14</v>
      </c>
      <c r="C35" s="21"/>
      <c r="D35" s="21"/>
      <c r="E35" s="21"/>
      <c r="F35" s="21"/>
      <c r="G35" s="21"/>
      <c r="H35" s="21"/>
      <c r="I35" s="76"/>
      <c r="J35" s="76"/>
    </row>
    <row r="36" spans="2:10">
      <c r="B36" s="21" t="s">
        <v>800</v>
      </c>
      <c r="C36" s="21"/>
      <c r="D36" s="21"/>
      <c r="E36" s="21"/>
      <c r="F36" s="21"/>
      <c r="G36" s="21"/>
      <c r="H36" s="21"/>
      <c r="I36" s="76"/>
      <c r="J36" s="76"/>
    </row>
    <row r="37" spans="2:10">
      <c r="B37" s="22"/>
      <c r="C37" s="22"/>
      <c r="D37" s="22"/>
      <c r="E37" s="22"/>
      <c r="F37" s="22"/>
      <c r="G37" s="22"/>
      <c r="H37" s="22"/>
    </row>
    <row r="38" spans="2:10">
      <c r="B38" s="22"/>
      <c r="C38" s="22"/>
      <c r="D38" s="22"/>
      <c r="E38" s="22"/>
      <c r="F38" s="22"/>
      <c r="G38" s="22"/>
      <c r="H38" s="22"/>
    </row>
    <row r="39" spans="2:10">
      <c r="B39" s="22"/>
      <c r="C39" s="22"/>
      <c r="D39" s="22"/>
      <c r="E39" s="22"/>
      <c r="F39" s="22"/>
      <c r="G39" s="22"/>
      <c r="H39" s="22"/>
    </row>
    <row r="40" spans="2:10" s="22" customFormat="1"/>
    <row r="41" spans="2:10" s="22" customFormat="1"/>
    <row r="42" spans="2:10" s="22" customFormat="1"/>
    <row r="43" spans="2:10" s="22" customFormat="1"/>
    <row r="44" spans="2:10" s="22" customFormat="1"/>
    <row r="45" spans="2:10" s="22" customFormat="1"/>
    <row r="46" spans="2:10" s="22" customFormat="1"/>
    <row r="47" spans="2:10" s="22" customFormat="1"/>
    <row r="48" spans="2:10" s="22" customFormat="1"/>
    <row r="49" spans="3:8" s="22" customFormat="1"/>
    <row r="50" spans="3:8" s="22" customFormat="1"/>
    <row r="51" spans="3:8" s="22" customFormat="1"/>
    <row r="52" spans="3:8" s="22" customFormat="1"/>
    <row r="53" spans="3:8" s="22" customFormat="1"/>
    <row r="54" spans="3:8">
      <c r="C54" s="22"/>
      <c r="D54" s="22"/>
      <c r="E54" s="22"/>
      <c r="F54" s="22"/>
      <c r="G54" s="22"/>
      <c r="H54" s="22"/>
    </row>
    <row r="55" spans="3:8">
      <c r="C55" s="22"/>
      <c r="D55" s="22"/>
      <c r="E55" s="22"/>
      <c r="F55" s="22"/>
      <c r="G55" s="22"/>
      <c r="H55" s="22"/>
    </row>
    <row r="56" spans="3:8">
      <c r="C56" s="22"/>
      <c r="D56" s="22"/>
      <c r="E56" s="22"/>
      <c r="F56" s="22"/>
      <c r="G56" s="22"/>
      <c r="H56" s="22"/>
    </row>
    <row r="57" spans="3:8">
      <c r="C57" s="22"/>
      <c r="D57" s="22"/>
      <c r="E57" s="22"/>
      <c r="F57" s="22"/>
      <c r="G57" s="22"/>
      <c r="H57" s="22"/>
    </row>
  </sheetData>
  <phoneticPr fontId="0" type="noConversion"/>
  <hyperlinks>
    <hyperlink ref="I3" location="INDICE!A40" display="VOLVER A INDICE"/>
  </hyperlinks>
  <pageMargins left="0.75" right="0.75" top="1" bottom="1" header="0" footer="0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74"/>
  <sheetViews>
    <sheetView workbookViewId="0">
      <selection activeCell="B29" sqref="B29"/>
    </sheetView>
  </sheetViews>
  <sheetFormatPr baseColWidth="10" defaultRowHeight="12.75"/>
  <cols>
    <col min="1" max="1" width="1.42578125" style="891" customWidth="1"/>
    <col min="2" max="2" width="42.42578125" style="891" customWidth="1"/>
    <col min="3" max="3" width="13.85546875" style="891" customWidth="1"/>
    <col min="4" max="14" width="11.42578125" style="22"/>
    <col min="15" max="16384" width="11.42578125" style="891"/>
  </cols>
  <sheetData>
    <row r="1" spans="2:16" ht="6" customHeight="1" thickBot="1"/>
    <row r="2" spans="2:16" ht="15.75" customHeight="1" thickBot="1">
      <c r="B2" s="1030"/>
      <c r="C2" s="1031"/>
      <c r="D2" s="200"/>
      <c r="E2" s="200"/>
      <c r="F2" s="200"/>
    </row>
    <row r="3" spans="2:16" ht="15.75">
      <c r="B3" s="192" t="s">
        <v>129</v>
      </c>
      <c r="C3" s="193"/>
      <c r="D3" s="852" t="s">
        <v>681</v>
      </c>
      <c r="E3" s="200"/>
      <c r="F3" s="200"/>
    </row>
    <row r="4" spans="2:16" ht="15.75">
      <c r="B4" s="194" t="s">
        <v>130</v>
      </c>
      <c r="C4" s="195"/>
      <c r="D4" s="200"/>
      <c r="E4" s="200"/>
      <c r="F4" s="200"/>
    </row>
    <row r="5" spans="2:16" ht="15.75">
      <c r="B5" s="194" t="s">
        <v>131</v>
      </c>
      <c r="C5" s="195"/>
      <c r="D5" s="200"/>
      <c r="E5" s="200"/>
      <c r="F5" s="200"/>
    </row>
    <row r="6" spans="2:16" ht="15.75">
      <c r="B6" s="196" t="s">
        <v>737</v>
      </c>
      <c r="C6" s="197"/>
      <c r="D6" s="200"/>
      <c r="E6" s="200"/>
      <c r="F6" s="200"/>
    </row>
    <row r="7" spans="2:16" ht="15.75">
      <c r="B7" s="194"/>
      <c r="C7" s="195"/>
      <c r="D7" s="200"/>
      <c r="E7" s="200"/>
      <c r="F7" s="200"/>
    </row>
    <row r="8" spans="2:16" ht="15.75">
      <c r="B8" s="198"/>
      <c r="C8" s="195"/>
      <c r="D8" s="200"/>
      <c r="E8" s="200"/>
      <c r="F8" s="200"/>
    </row>
    <row r="9" spans="2:16" ht="16.5" thickBot="1">
      <c r="B9" s="1032" t="s">
        <v>132</v>
      </c>
      <c r="C9" s="1033" t="s">
        <v>133</v>
      </c>
      <c r="D9" s="200"/>
      <c r="E9" s="200"/>
      <c r="F9" s="200"/>
    </row>
    <row r="10" spans="2:16">
      <c r="B10" s="1034"/>
      <c r="C10" s="199"/>
      <c r="D10" s="200"/>
      <c r="E10" s="200"/>
      <c r="F10" s="200"/>
      <c r="O10" s="22"/>
      <c r="P10" s="22"/>
    </row>
    <row r="11" spans="2:16">
      <c r="B11" s="1035"/>
      <c r="C11" s="201"/>
      <c r="D11" s="200"/>
      <c r="E11" s="200"/>
      <c r="F11" s="200"/>
      <c r="O11" s="22"/>
      <c r="P11" s="22"/>
    </row>
    <row r="12" spans="2:16">
      <c r="B12" s="1036" t="s">
        <v>134</v>
      </c>
      <c r="C12" s="202">
        <v>20.39256</v>
      </c>
      <c r="D12" s="200"/>
      <c r="E12" s="200"/>
      <c r="F12" s="200"/>
      <c r="O12" s="22"/>
      <c r="P12" s="22"/>
    </row>
    <row r="13" spans="2:16">
      <c r="B13" s="1036"/>
      <c r="C13" s="202"/>
      <c r="D13" s="200"/>
      <c r="E13" s="200"/>
      <c r="F13" s="200"/>
      <c r="O13" s="22"/>
      <c r="P13" s="22"/>
    </row>
    <row r="14" spans="2:16">
      <c r="B14" s="1037" t="s">
        <v>135</v>
      </c>
      <c r="C14" s="202">
        <v>222.48182579999997</v>
      </c>
      <c r="D14" s="200"/>
      <c r="E14" s="200"/>
      <c r="F14" s="200"/>
      <c r="O14" s="22"/>
      <c r="P14" s="22"/>
    </row>
    <row r="15" spans="2:16">
      <c r="B15" s="1037"/>
      <c r="C15" s="202"/>
      <c r="D15" s="200"/>
      <c r="E15" s="200"/>
      <c r="F15" s="200"/>
      <c r="O15" s="22"/>
      <c r="P15" s="22"/>
    </row>
    <row r="16" spans="2:16">
      <c r="B16" s="1037" t="s">
        <v>136</v>
      </c>
      <c r="C16" s="202">
        <v>109.55270159999998</v>
      </c>
      <c r="D16" s="200"/>
      <c r="E16" s="200"/>
      <c r="F16" s="200"/>
      <c r="O16" s="22"/>
      <c r="P16" s="22"/>
    </row>
    <row r="17" spans="2:16">
      <c r="B17" s="1037"/>
      <c r="C17" s="202"/>
      <c r="D17" s="200"/>
      <c r="E17" s="200"/>
      <c r="F17" s="200"/>
      <c r="O17" s="22"/>
      <c r="P17" s="22"/>
    </row>
    <row r="18" spans="2:16">
      <c r="B18" s="1037" t="s">
        <v>137</v>
      </c>
      <c r="C18" s="202">
        <v>0</v>
      </c>
      <c r="D18" s="200"/>
      <c r="E18" s="200"/>
      <c r="F18" s="200"/>
      <c r="O18" s="22"/>
      <c r="P18" s="22"/>
    </row>
    <row r="19" spans="2:16">
      <c r="B19" s="1037"/>
      <c r="C19" s="202"/>
      <c r="D19" s="200"/>
      <c r="E19" s="200"/>
      <c r="F19" s="200"/>
      <c r="O19" s="22"/>
      <c r="P19" s="22"/>
    </row>
    <row r="20" spans="2:16">
      <c r="B20" s="1037" t="s">
        <v>138</v>
      </c>
      <c r="C20" s="202">
        <v>0</v>
      </c>
      <c r="D20" s="200"/>
      <c r="E20" s="200"/>
      <c r="F20" s="200"/>
      <c r="O20" s="22"/>
      <c r="P20" s="22"/>
    </row>
    <row r="21" spans="2:16">
      <c r="B21" s="1037"/>
      <c r="C21" s="202"/>
      <c r="D21" s="200"/>
      <c r="E21" s="200"/>
      <c r="F21" s="200"/>
      <c r="O21" s="22"/>
      <c r="P21" s="22"/>
    </row>
    <row r="22" spans="2:16">
      <c r="B22" s="1037" t="s">
        <v>139</v>
      </c>
      <c r="C22" s="202">
        <v>573.42599999999993</v>
      </c>
      <c r="D22" s="200"/>
      <c r="E22" s="200"/>
      <c r="F22" s="200"/>
      <c r="O22" s="22"/>
      <c r="P22" s="22"/>
    </row>
    <row r="23" spans="2:16">
      <c r="B23" s="1037"/>
      <c r="C23" s="202"/>
      <c r="D23" s="200"/>
      <c r="E23" s="200"/>
      <c r="F23" s="200"/>
      <c r="O23" s="22"/>
      <c r="P23" s="22"/>
    </row>
    <row r="24" spans="2:16">
      <c r="B24" s="1037" t="s">
        <v>140</v>
      </c>
      <c r="C24" s="202">
        <v>998.06184543999996</v>
      </c>
      <c r="D24" s="200"/>
      <c r="E24" s="200"/>
      <c r="F24" s="200"/>
      <c r="O24" s="22"/>
      <c r="P24" s="22"/>
    </row>
    <row r="25" spans="2:16">
      <c r="B25" s="1037"/>
      <c r="C25" s="202"/>
      <c r="D25" s="200"/>
      <c r="E25" s="200"/>
      <c r="F25" s="200"/>
      <c r="O25" s="22"/>
      <c r="P25" s="22"/>
    </row>
    <row r="26" spans="2:16">
      <c r="B26" s="1038" t="s">
        <v>87</v>
      </c>
      <c r="C26" s="203">
        <f>SUM(C12:C24)</f>
        <v>1923.9149328399999</v>
      </c>
      <c r="D26" s="200"/>
      <c r="E26" s="200"/>
      <c r="F26" s="200"/>
      <c r="O26" s="22"/>
      <c r="P26" s="22"/>
    </row>
    <row r="27" spans="2:16" ht="13.5" thickBot="1">
      <c r="B27" s="1039"/>
      <c r="C27" s="204"/>
      <c r="D27" s="200"/>
      <c r="E27" s="200"/>
      <c r="F27" s="200"/>
      <c r="O27" s="22"/>
      <c r="P27" s="22"/>
    </row>
    <row r="28" spans="2:16" s="22" customFormat="1">
      <c r="B28" s="21" t="s">
        <v>14</v>
      </c>
      <c r="C28" s="21"/>
      <c r="D28" s="21"/>
      <c r="E28" s="21"/>
      <c r="F28" s="21"/>
    </row>
    <row r="29" spans="2:16" s="22" customFormat="1">
      <c r="B29" s="21" t="s">
        <v>800</v>
      </c>
      <c r="C29" s="21"/>
      <c r="D29" s="21"/>
      <c r="E29" s="21"/>
      <c r="F29" s="21"/>
    </row>
    <row r="30" spans="2:16" s="22" customFormat="1">
      <c r="B30" s="200"/>
      <c r="D30" s="200"/>
      <c r="E30" s="200"/>
      <c r="F30" s="200"/>
    </row>
    <row r="31" spans="2:16" s="22" customFormat="1">
      <c r="B31" s="200"/>
      <c r="C31" s="200"/>
      <c r="D31" s="200"/>
      <c r="E31" s="200"/>
      <c r="F31" s="200"/>
    </row>
    <row r="32" spans="2:16" s="22" customFormat="1"/>
    <row r="33" s="22" customFormat="1"/>
    <row r="34" s="22" customFormat="1"/>
    <row r="35" s="22" customFormat="1"/>
    <row r="36" s="22" customFormat="1"/>
    <row r="37" s="22" customFormat="1"/>
    <row r="38" s="22" customFormat="1"/>
    <row r="39" s="22" customFormat="1"/>
    <row r="40" s="22" customFormat="1"/>
    <row r="41" s="22" customFormat="1"/>
    <row r="42" s="22" customFormat="1"/>
    <row r="43" s="22" customFormat="1"/>
    <row r="44" s="22" customFormat="1"/>
    <row r="45" s="22" customFormat="1"/>
    <row r="46" s="22" customFormat="1"/>
    <row r="47" s="22" customFormat="1"/>
    <row r="48" s="22" customFormat="1"/>
    <row r="49" spans="3:16" s="22" customFormat="1"/>
    <row r="50" spans="3:16" s="22" customFormat="1"/>
    <row r="51" spans="3:16" s="22" customFormat="1"/>
    <row r="52" spans="3:16" s="22" customFormat="1"/>
    <row r="53" spans="3:16" s="22" customFormat="1"/>
    <row r="54" spans="3:16" s="22" customFormat="1"/>
    <row r="55" spans="3:16" s="22" customFormat="1"/>
    <row r="56" spans="3:16" s="22" customFormat="1"/>
    <row r="57" spans="3:16" s="22" customFormat="1"/>
    <row r="58" spans="3:16" s="22" customFormat="1"/>
    <row r="59" spans="3:16" s="22" customFormat="1"/>
    <row r="60" spans="3:16" s="22" customFormat="1"/>
    <row r="61" spans="3:16">
      <c r="C61" s="22"/>
      <c r="O61" s="22"/>
      <c r="P61" s="22"/>
    </row>
    <row r="62" spans="3:16">
      <c r="C62" s="22"/>
      <c r="O62" s="22"/>
      <c r="P62" s="22"/>
    </row>
    <row r="63" spans="3:16">
      <c r="C63" s="22"/>
      <c r="O63" s="22"/>
      <c r="P63" s="22"/>
    </row>
    <row r="64" spans="3:16">
      <c r="C64" s="22"/>
      <c r="O64" s="22"/>
      <c r="P64" s="22"/>
    </row>
    <row r="65" spans="3:16">
      <c r="C65" s="22"/>
      <c r="O65" s="22"/>
      <c r="P65" s="22"/>
    </row>
    <row r="66" spans="3:16">
      <c r="C66" s="22"/>
      <c r="O66" s="22"/>
      <c r="P66" s="22"/>
    </row>
    <row r="67" spans="3:16">
      <c r="C67" s="22"/>
      <c r="O67" s="22"/>
      <c r="P67" s="22"/>
    </row>
    <row r="68" spans="3:16">
      <c r="C68" s="22"/>
      <c r="O68" s="22"/>
      <c r="P68" s="22"/>
    </row>
    <row r="69" spans="3:16">
      <c r="C69" s="22"/>
      <c r="O69" s="22"/>
      <c r="P69" s="22"/>
    </row>
    <row r="70" spans="3:16">
      <c r="C70" s="22"/>
      <c r="O70" s="22"/>
      <c r="P70" s="22"/>
    </row>
    <row r="71" spans="3:16">
      <c r="C71" s="22"/>
      <c r="O71" s="22"/>
      <c r="P71" s="22"/>
    </row>
    <row r="72" spans="3:16">
      <c r="C72" s="22"/>
      <c r="O72" s="22"/>
      <c r="P72" s="22"/>
    </row>
    <row r="73" spans="3:16">
      <c r="C73" s="22"/>
      <c r="O73" s="22"/>
      <c r="P73" s="22"/>
    </row>
    <row r="74" spans="3:16">
      <c r="C74" s="22"/>
      <c r="O74" s="22"/>
      <c r="P74" s="22"/>
    </row>
  </sheetData>
  <phoneticPr fontId="0" type="noConversion"/>
  <hyperlinks>
    <hyperlink ref="D3" location="INDICE!A40" display="VOLVER A INDICE"/>
  </hyperlinks>
  <pageMargins left="0.75" right="0.75" top="1" bottom="1" header="0" footer="0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95"/>
  <sheetViews>
    <sheetView zoomScale="85" workbookViewId="0">
      <selection activeCell="B36" sqref="B36"/>
    </sheetView>
  </sheetViews>
  <sheetFormatPr baseColWidth="10" defaultRowHeight="12.75"/>
  <cols>
    <col min="1" max="1" width="1.42578125" style="891" customWidth="1"/>
    <col min="2" max="2" width="44.85546875" style="891" customWidth="1"/>
    <col min="3" max="6" width="13.28515625" style="891" customWidth="1"/>
    <col min="7" max="7" width="15.42578125" style="891" customWidth="1"/>
    <col min="8" max="16" width="11.42578125" style="22"/>
    <col min="17" max="16384" width="11.42578125" style="891"/>
  </cols>
  <sheetData>
    <row r="1" spans="2:18" ht="6.75" customHeight="1" thickBot="1"/>
    <row r="2" spans="2:18" ht="13.5" thickBot="1">
      <c r="B2" s="1040"/>
      <c r="C2" s="1041"/>
      <c r="D2" s="1041"/>
      <c r="E2" s="1041"/>
      <c r="F2" s="1041"/>
      <c r="G2" s="1042"/>
      <c r="H2" s="852" t="s">
        <v>681</v>
      </c>
      <c r="I2" s="217"/>
    </row>
    <row r="3" spans="2:18" ht="15.75">
      <c r="B3" s="205" t="s">
        <v>141</v>
      </c>
      <c r="C3" s="206"/>
      <c r="D3" s="207"/>
      <c r="E3" s="207"/>
      <c r="F3" s="207"/>
      <c r="G3" s="208"/>
      <c r="H3" s="217"/>
      <c r="I3" s="217"/>
    </row>
    <row r="4" spans="2:18" ht="15.75">
      <c r="B4" s="209" t="s">
        <v>142</v>
      </c>
      <c r="C4" s="210"/>
      <c r="D4" s="211"/>
      <c r="E4" s="211"/>
      <c r="F4" s="211"/>
      <c r="G4" s="212"/>
      <c r="H4" s="217"/>
      <c r="I4" s="217"/>
    </row>
    <row r="5" spans="2:18" ht="15.75">
      <c r="B5" s="209"/>
      <c r="C5" s="210">
        <v>2005</v>
      </c>
      <c r="D5" s="211"/>
      <c r="E5" s="211"/>
      <c r="F5" s="211"/>
      <c r="G5" s="212"/>
      <c r="H5" s="217"/>
      <c r="I5" s="217"/>
    </row>
    <row r="6" spans="2:18" ht="15.75">
      <c r="B6" s="209"/>
      <c r="C6" s="211"/>
      <c r="D6" s="211"/>
      <c r="E6" s="211"/>
      <c r="F6" s="211"/>
      <c r="G6" s="212"/>
      <c r="H6" s="217"/>
      <c r="I6" s="217"/>
    </row>
    <row r="7" spans="2:18" ht="15.75">
      <c r="B7" s="209"/>
      <c r="C7" s="211"/>
      <c r="D7" s="211"/>
      <c r="E7" s="211"/>
      <c r="F7" s="211"/>
      <c r="G7" s="212"/>
      <c r="H7" s="217"/>
      <c r="I7" s="217"/>
    </row>
    <row r="8" spans="2:18" ht="15.75">
      <c r="B8" s="209"/>
      <c r="C8" s="211" t="s">
        <v>25</v>
      </c>
      <c r="D8" s="211" t="s">
        <v>26</v>
      </c>
      <c r="E8" s="211" t="s">
        <v>27</v>
      </c>
      <c r="F8" s="211" t="s">
        <v>143</v>
      </c>
      <c r="G8" s="212" t="s">
        <v>29</v>
      </c>
      <c r="H8" s="217"/>
      <c r="I8" s="217"/>
    </row>
    <row r="9" spans="2:18" ht="16.5" thickBot="1">
      <c r="B9" s="1043" t="s">
        <v>3</v>
      </c>
      <c r="C9" s="1044" t="s">
        <v>30</v>
      </c>
      <c r="D9" s="1044"/>
      <c r="E9" s="1044"/>
      <c r="F9" s="1044" t="s">
        <v>144</v>
      </c>
      <c r="G9" s="1045" t="s">
        <v>32</v>
      </c>
      <c r="H9" s="217"/>
      <c r="I9" s="217"/>
    </row>
    <row r="10" spans="2:18">
      <c r="B10" s="1046"/>
      <c r="C10" s="215"/>
      <c r="D10" s="215"/>
      <c r="E10" s="215"/>
      <c r="F10" s="215"/>
      <c r="G10" s="216"/>
      <c r="H10" s="217"/>
      <c r="I10" s="217"/>
      <c r="Q10" s="22"/>
      <c r="R10" s="22"/>
    </row>
    <row r="11" spans="2:18">
      <c r="B11" s="1047"/>
      <c r="C11" s="218"/>
      <c r="D11" s="218"/>
      <c r="E11" s="218"/>
      <c r="F11" s="218"/>
      <c r="G11" s="219"/>
      <c r="H11" s="220"/>
      <c r="I11" s="217"/>
      <c r="Q11" s="22"/>
      <c r="R11" s="22"/>
    </row>
    <row r="12" spans="2:18">
      <c r="B12" s="1048" t="s">
        <v>145</v>
      </c>
      <c r="C12" s="221">
        <v>192.03229999999999</v>
      </c>
      <c r="D12" s="221">
        <v>11951.53897</v>
      </c>
      <c r="E12" s="221">
        <v>0</v>
      </c>
      <c r="F12" s="221">
        <v>-29.823200000000725</v>
      </c>
      <c r="G12" s="222">
        <v>12173.394470000001</v>
      </c>
      <c r="H12" s="223"/>
      <c r="I12" s="224"/>
      <c r="Q12" s="22"/>
      <c r="R12" s="22"/>
    </row>
    <row r="13" spans="2:18">
      <c r="B13" s="1047" t="s">
        <v>146</v>
      </c>
      <c r="C13" s="225"/>
      <c r="D13" s="225"/>
      <c r="E13" s="225"/>
      <c r="F13" s="225"/>
      <c r="G13" s="226"/>
      <c r="H13" s="223"/>
      <c r="I13" s="224"/>
      <c r="Q13" s="22"/>
      <c r="R13" s="22"/>
    </row>
    <row r="14" spans="2:18">
      <c r="B14" s="1047"/>
      <c r="C14" s="227"/>
      <c r="D14" s="227"/>
      <c r="E14" s="227"/>
      <c r="F14" s="227"/>
      <c r="G14" s="228"/>
      <c r="H14" s="223"/>
      <c r="I14" s="224"/>
      <c r="Q14" s="22"/>
      <c r="R14" s="22"/>
    </row>
    <row r="15" spans="2:18">
      <c r="B15" s="1048" t="s">
        <v>147</v>
      </c>
      <c r="C15" s="225">
        <v>2293.9920000000002</v>
      </c>
      <c r="D15" s="225">
        <v>6280.5795859999998</v>
      </c>
      <c r="E15" s="225">
        <v>0</v>
      </c>
      <c r="F15" s="225">
        <v>190.82036780610741</v>
      </c>
      <c r="G15" s="226">
        <v>8383.7512181938928</v>
      </c>
      <c r="H15" s="223"/>
      <c r="I15" s="224"/>
      <c r="Q15" s="22"/>
      <c r="R15" s="22"/>
    </row>
    <row r="16" spans="2:18">
      <c r="B16" s="1047" t="s">
        <v>148</v>
      </c>
      <c r="C16" s="225"/>
      <c r="D16" s="225"/>
      <c r="E16" s="225"/>
      <c r="F16" s="225"/>
      <c r="G16" s="226"/>
      <c r="H16" s="223"/>
      <c r="I16" s="224"/>
      <c r="Q16" s="22"/>
      <c r="R16" s="22"/>
    </row>
    <row r="17" spans="2:18">
      <c r="B17" s="1047"/>
      <c r="C17" s="227"/>
      <c r="D17" s="227"/>
      <c r="E17" s="227"/>
      <c r="F17" s="227"/>
      <c r="G17" s="228"/>
      <c r="H17" s="223"/>
      <c r="I17" s="224"/>
      <c r="Q17" s="22"/>
      <c r="R17" s="22"/>
    </row>
    <row r="18" spans="2:18">
      <c r="B18" s="1048" t="s">
        <v>128</v>
      </c>
      <c r="C18" s="225">
        <v>405.39978139772001</v>
      </c>
      <c r="D18" s="225">
        <v>3607.5664689894238</v>
      </c>
      <c r="E18" s="225">
        <v>0</v>
      </c>
      <c r="F18" s="225">
        <v>73.6334346272115</v>
      </c>
      <c r="G18" s="226">
        <v>3939.3328157599321</v>
      </c>
      <c r="H18" s="223"/>
      <c r="I18" s="224"/>
      <c r="Q18" s="22"/>
      <c r="R18" s="22"/>
    </row>
    <row r="19" spans="2:18">
      <c r="B19" s="1047" t="s">
        <v>149</v>
      </c>
      <c r="C19" s="225"/>
      <c r="D19" s="225"/>
      <c r="E19" s="225"/>
      <c r="F19" s="225"/>
      <c r="G19" s="226"/>
      <c r="H19" s="223"/>
      <c r="I19" s="224"/>
      <c r="Q19" s="22"/>
      <c r="R19" s="22"/>
    </row>
    <row r="20" spans="2:18">
      <c r="B20" s="1047"/>
      <c r="C20" s="227"/>
      <c r="D20" s="227"/>
      <c r="E20" s="227"/>
      <c r="F20" s="227"/>
      <c r="G20" s="228"/>
      <c r="H20" s="223"/>
      <c r="I20" s="224"/>
      <c r="Q20" s="22"/>
      <c r="R20" s="22"/>
    </row>
    <row r="21" spans="2:18">
      <c r="B21" s="1048" t="s">
        <v>8</v>
      </c>
      <c r="C21" s="225">
        <v>26655.823918453108</v>
      </c>
      <c r="D21" s="225">
        <v>0</v>
      </c>
      <c r="E21" s="225">
        <v>0</v>
      </c>
      <c r="F21" s="225">
        <v>358.16584050000006</v>
      </c>
      <c r="G21" s="229">
        <v>26297.658077953107</v>
      </c>
      <c r="H21" s="223"/>
      <c r="I21" s="224"/>
      <c r="Q21" s="22"/>
      <c r="R21" s="22"/>
    </row>
    <row r="22" spans="2:18">
      <c r="B22" s="1047" t="s">
        <v>150</v>
      </c>
      <c r="C22" s="225"/>
      <c r="D22" s="225"/>
      <c r="E22" s="225"/>
      <c r="F22" s="225"/>
      <c r="G22" s="229"/>
      <c r="H22" s="220"/>
      <c r="I22" s="224"/>
      <c r="Q22" s="22"/>
      <c r="R22" s="22"/>
    </row>
    <row r="23" spans="2:18">
      <c r="B23" s="1047"/>
      <c r="C23" s="227"/>
      <c r="D23" s="227"/>
      <c r="E23" s="227"/>
      <c r="F23" s="227"/>
      <c r="G23" s="228"/>
      <c r="H23" s="220"/>
      <c r="I23" s="224"/>
      <c r="Q23" s="22"/>
      <c r="R23" s="22"/>
    </row>
    <row r="24" spans="2:18">
      <c r="B24" s="1048" t="s">
        <v>23</v>
      </c>
      <c r="C24" s="225">
        <v>13139.294304192825</v>
      </c>
      <c r="D24" s="225">
        <v>0</v>
      </c>
      <c r="E24" s="225">
        <v>0</v>
      </c>
      <c r="F24" s="225">
        <v>0</v>
      </c>
      <c r="G24" s="226">
        <v>13139.294304192825</v>
      </c>
      <c r="H24" s="223"/>
      <c r="I24" s="224"/>
      <c r="Q24" s="22"/>
      <c r="R24" s="22"/>
    </row>
    <row r="25" spans="2:18">
      <c r="B25" s="1047" t="s">
        <v>149</v>
      </c>
      <c r="C25" s="225"/>
      <c r="D25" s="225"/>
      <c r="E25" s="225"/>
      <c r="F25" s="225"/>
      <c r="G25" s="226"/>
      <c r="H25" s="220"/>
      <c r="I25" s="224"/>
      <c r="Q25" s="22"/>
      <c r="R25" s="22"/>
    </row>
    <row r="26" spans="2:18">
      <c r="B26" s="1047"/>
      <c r="C26" s="227"/>
      <c r="D26" s="227"/>
      <c r="E26" s="227"/>
      <c r="F26" s="227"/>
      <c r="G26" s="228"/>
      <c r="H26" s="220"/>
      <c r="I26" s="224"/>
      <c r="Q26" s="22"/>
      <c r="R26" s="22"/>
    </row>
    <row r="27" spans="2:18">
      <c r="B27" s="1048" t="s">
        <v>10</v>
      </c>
      <c r="C27" s="225">
        <v>0</v>
      </c>
      <c r="D27" s="225">
        <v>0</v>
      </c>
      <c r="E27" s="225">
        <v>0</v>
      </c>
      <c r="F27" s="225">
        <v>0</v>
      </c>
      <c r="G27" s="226">
        <v>0</v>
      </c>
      <c r="H27" s="223"/>
      <c r="I27" s="224"/>
      <c r="Q27" s="22"/>
      <c r="R27" s="22"/>
    </row>
    <row r="28" spans="2:18" ht="13.5" thickBot="1">
      <c r="B28" s="1049" t="s">
        <v>151</v>
      </c>
      <c r="C28" s="230"/>
      <c r="D28" s="230"/>
      <c r="E28" s="230"/>
      <c r="F28" s="230"/>
      <c r="G28" s="231"/>
      <c r="H28" s="220"/>
      <c r="I28" s="217"/>
      <c r="Q28" s="22"/>
      <c r="R28" s="22"/>
    </row>
    <row r="29" spans="2:18" s="22" customFormat="1">
      <c r="B29" s="11" t="s">
        <v>152</v>
      </c>
      <c r="C29" s="232" t="s">
        <v>153</v>
      </c>
      <c r="D29" s="60">
        <v>75.627399999999994</v>
      </c>
      <c r="E29" s="11" t="s">
        <v>154</v>
      </c>
      <c r="F29" s="60">
        <v>53.422899999999998</v>
      </c>
      <c r="G29" s="11" t="s">
        <v>155</v>
      </c>
      <c r="H29" s="60">
        <v>62.981999999999999</v>
      </c>
      <c r="I29" s="217"/>
    </row>
    <row r="30" spans="2:18" s="22" customFormat="1">
      <c r="B30" s="11" t="s">
        <v>156</v>
      </c>
      <c r="C30" s="11" t="s">
        <v>157</v>
      </c>
      <c r="D30" s="60">
        <v>2293.9920000000002</v>
      </c>
      <c r="E30" s="11" t="s">
        <v>158</v>
      </c>
      <c r="F30" s="59">
        <v>0</v>
      </c>
      <c r="G30" s="233"/>
      <c r="H30" s="233"/>
      <c r="I30" s="217"/>
    </row>
    <row r="31" spans="2:18" s="22" customFormat="1">
      <c r="B31" s="11" t="s">
        <v>171</v>
      </c>
      <c r="C31" s="11" t="s">
        <v>159</v>
      </c>
      <c r="D31" s="59">
        <v>119.37336780610741</v>
      </c>
      <c r="E31" s="11" t="s">
        <v>160</v>
      </c>
      <c r="F31" s="59">
        <v>71.447000000000003</v>
      </c>
      <c r="G31" s="233"/>
      <c r="H31" s="233"/>
      <c r="I31" s="217"/>
    </row>
    <row r="32" spans="2:18" s="22" customFormat="1">
      <c r="B32" s="11" t="s">
        <v>161</v>
      </c>
      <c r="C32" s="11" t="s">
        <v>162</v>
      </c>
      <c r="D32" s="60">
        <v>304.05729300000002</v>
      </c>
      <c r="E32" s="11" t="s">
        <v>163</v>
      </c>
      <c r="F32" s="59">
        <v>1.88</v>
      </c>
      <c r="G32" s="234"/>
      <c r="H32" s="233"/>
      <c r="I32" s="217"/>
    </row>
    <row r="33" spans="2:18" s="22" customFormat="1">
      <c r="B33" s="11" t="s">
        <v>164</v>
      </c>
      <c r="C33" s="59" t="s">
        <v>165</v>
      </c>
      <c r="D33" s="235">
        <v>78.569999999999709</v>
      </c>
      <c r="E33" s="234"/>
      <c r="F33" s="233"/>
      <c r="G33" s="233"/>
      <c r="H33" s="233"/>
      <c r="I33" s="217"/>
    </row>
    <row r="34" spans="2:18" s="22" customFormat="1">
      <c r="B34" s="11" t="s">
        <v>172</v>
      </c>
      <c r="C34" s="11" t="s">
        <v>166</v>
      </c>
      <c r="D34" s="59">
        <v>711.49474285714291</v>
      </c>
      <c r="E34" s="11" t="s">
        <v>167</v>
      </c>
      <c r="F34" s="60">
        <v>2896.0717261322807</v>
      </c>
      <c r="G34" s="233"/>
      <c r="H34" s="233"/>
      <c r="I34" s="217"/>
    </row>
    <row r="35" spans="2:18" s="22" customFormat="1">
      <c r="B35" s="236" t="s">
        <v>14</v>
      </c>
      <c r="C35" s="236"/>
      <c r="D35" s="236"/>
      <c r="E35" s="236"/>
      <c r="F35" s="236"/>
      <c r="G35" s="236"/>
      <c r="H35" s="236"/>
      <c r="I35" s="76"/>
    </row>
    <row r="36" spans="2:18" s="22" customFormat="1">
      <c r="B36" s="21" t="s">
        <v>800</v>
      </c>
      <c r="C36" s="236"/>
      <c r="D36" s="236"/>
      <c r="E36" s="236"/>
      <c r="F36" s="236"/>
      <c r="G36" s="236"/>
      <c r="H36" s="236"/>
      <c r="I36" s="76"/>
    </row>
    <row r="37" spans="2:18" s="22" customFormat="1">
      <c r="B37" s="217"/>
      <c r="C37" s="217"/>
      <c r="D37" s="224"/>
      <c r="E37" s="217"/>
      <c r="F37" s="217"/>
      <c r="G37" s="217"/>
      <c r="H37" s="217"/>
      <c r="I37" s="217"/>
    </row>
    <row r="38" spans="2:18" s="22" customFormat="1">
      <c r="B38" s="217"/>
      <c r="C38" s="217"/>
      <c r="D38" s="217"/>
      <c r="E38" s="217"/>
      <c r="F38" s="217"/>
      <c r="G38" s="217"/>
      <c r="H38" s="217"/>
      <c r="I38" s="217"/>
    </row>
    <row r="39" spans="2:18">
      <c r="B39" s="1162"/>
      <c r="C39" s="1163"/>
      <c r="D39" s="1164"/>
      <c r="E39" s="217"/>
      <c r="F39" s="217"/>
      <c r="G39" s="217"/>
      <c r="H39" s="217"/>
      <c r="I39" s="217"/>
      <c r="Q39" s="22"/>
      <c r="R39" s="22"/>
    </row>
    <row r="40" spans="2:18" ht="13.5" thickBot="1">
      <c r="B40" s="1165" t="s">
        <v>168</v>
      </c>
      <c r="C40" s="1166"/>
      <c r="D40" s="1167"/>
      <c r="E40" s="217"/>
      <c r="F40" s="217"/>
      <c r="G40" s="217"/>
      <c r="H40" s="217"/>
      <c r="I40" s="217"/>
      <c r="Q40" s="22"/>
      <c r="R40" s="22"/>
    </row>
    <row r="41" spans="2:18">
      <c r="B41" s="1168" t="s">
        <v>169</v>
      </c>
      <c r="C41" s="1169"/>
      <c r="D41" s="1170"/>
      <c r="E41" s="217"/>
      <c r="F41" s="238"/>
      <c r="G41" s="217"/>
      <c r="H41" s="217"/>
      <c r="I41" s="217"/>
      <c r="Q41" s="22"/>
      <c r="R41" s="22"/>
    </row>
    <row r="42" spans="2:18">
      <c r="B42" s="213"/>
      <c r="C42" s="218"/>
      <c r="D42" s="237"/>
      <c r="E42" s="217"/>
      <c r="F42" s="238"/>
      <c r="G42" s="217"/>
      <c r="H42" s="217"/>
      <c r="I42" s="217"/>
      <c r="Q42" s="22"/>
      <c r="R42" s="22"/>
    </row>
    <row r="43" spans="2:18">
      <c r="B43" s="213" t="s">
        <v>170</v>
      </c>
      <c r="C43" s="239">
        <v>80.956000000000003</v>
      </c>
      <c r="D43" s="237"/>
      <c r="E43" s="217"/>
      <c r="F43" s="238"/>
      <c r="G43" s="217"/>
      <c r="H43" s="217"/>
      <c r="I43" s="217"/>
      <c r="Q43" s="22"/>
      <c r="R43" s="22"/>
    </row>
    <row r="44" spans="2:18">
      <c r="B44" s="213"/>
      <c r="D44" s="237"/>
      <c r="E44" s="217"/>
      <c r="F44" s="217"/>
      <c r="G44" s="217"/>
      <c r="H44" s="217"/>
      <c r="I44" s="217"/>
      <c r="Q44" s="22"/>
      <c r="R44" s="22"/>
    </row>
    <row r="45" spans="2:18">
      <c r="B45" s="213" t="s">
        <v>738</v>
      </c>
      <c r="C45" s="218">
        <v>252.58250000000001</v>
      </c>
      <c r="D45" s="237"/>
      <c r="E45" s="217"/>
      <c r="F45" s="217"/>
      <c r="G45" s="217"/>
      <c r="H45" s="217"/>
      <c r="I45" s="217"/>
      <c r="Q45" s="22"/>
      <c r="R45" s="22"/>
    </row>
    <row r="46" spans="2:18" ht="13.5" thickBot="1">
      <c r="B46" s="214"/>
      <c r="C46" s="1161"/>
      <c r="D46" s="231"/>
      <c r="E46" s="217"/>
      <c r="F46" s="217"/>
      <c r="G46" s="217"/>
      <c r="H46" s="217"/>
      <c r="I46" s="217"/>
      <c r="Q46" s="22"/>
      <c r="R46" s="22"/>
    </row>
    <row r="47" spans="2:18" s="22" customFormat="1"/>
    <row r="48" spans="2:18" s="22" customFormat="1"/>
    <row r="49" s="22" customFormat="1"/>
    <row r="50" s="22" customFormat="1"/>
    <row r="51" s="22" customFormat="1"/>
    <row r="52" s="22" customFormat="1"/>
    <row r="53" s="22" customFormat="1"/>
    <row r="54" s="22" customFormat="1"/>
    <row r="55" s="22" customFormat="1"/>
    <row r="56" s="22" customFormat="1"/>
    <row r="57" s="22" customFormat="1"/>
    <row r="58" s="22" customFormat="1"/>
    <row r="59" s="22" customFormat="1"/>
    <row r="60" s="22" customFormat="1"/>
    <row r="61" s="22" customFormat="1"/>
    <row r="62" s="22" customFormat="1"/>
    <row r="63" s="22" customFormat="1"/>
    <row r="64" s="22" customFormat="1"/>
    <row r="65" s="22" customFormat="1"/>
    <row r="66" s="22" customFormat="1"/>
    <row r="67" s="22" customFormat="1"/>
    <row r="68" s="22" customFormat="1"/>
    <row r="69" s="22" customFormat="1"/>
    <row r="70" s="22" customFormat="1"/>
    <row r="71" s="22" customFormat="1"/>
    <row r="72" s="22" customFormat="1"/>
    <row r="73" s="22" customFormat="1"/>
    <row r="74" s="22" customFormat="1"/>
    <row r="75" s="22" customFormat="1"/>
    <row r="76" s="22" customFormat="1"/>
    <row r="77" s="22" customFormat="1"/>
    <row r="78" s="22" customFormat="1"/>
    <row r="79" s="22" customFormat="1"/>
    <row r="80" s="22" customFormat="1"/>
    <row r="81" spans="3:18" s="22" customFormat="1"/>
    <row r="82" spans="3:18" s="22" customFormat="1"/>
    <row r="83" spans="3:18" s="22" customFormat="1"/>
    <row r="84" spans="3:18" s="22" customFormat="1"/>
    <row r="85" spans="3:18" s="22" customFormat="1"/>
    <row r="86" spans="3:18" s="22" customFormat="1"/>
    <row r="87" spans="3:18">
      <c r="C87" s="22"/>
      <c r="D87" s="22"/>
      <c r="E87" s="22"/>
      <c r="F87" s="22"/>
      <c r="G87" s="22"/>
      <c r="Q87" s="22"/>
      <c r="R87" s="22"/>
    </row>
    <row r="88" spans="3:18">
      <c r="C88" s="22"/>
      <c r="D88" s="22"/>
      <c r="E88" s="22"/>
      <c r="F88" s="22"/>
      <c r="G88" s="22"/>
      <c r="Q88" s="22"/>
      <c r="R88" s="22"/>
    </row>
    <row r="89" spans="3:18">
      <c r="C89" s="22"/>
      <c r="D89" s="22"/>
      <c r="E89" s="22"/>
      <c r="F89" s="22"/>
      <c r="G89" s="22"/>
      <c r="Q89" s="22"/>
      <c r="R89" s="22"/>
    </row>
    <row r="90" spans="3:18">
      <c r="C90" s="22"/>
      <c r="D90" s="22"/>
      <c r="E90" s="22"/>
      <c r="F90" s="22"/>
      <c r="G90" s="22"/>
      <c r="Q90" s="22"/>
      <c r="R90" s="22"/>
    </row>
    <row r="91" spans="3:18">
      <c r="C91" s="22"/>
      <c r="D91" s="22"/>
      <c r="E91" s="22"/>
      <c r="F91" s="22"/>
      <c r="G91" s="22"/>
      <c r="Q91" s="22"/>
      <c r="R91" s="22"/>
    </row>
    <row r="92" spans="3:18">
      <c r="C92" s="22"/>
      <c r="D92" s="22"/>
      <c r="E92" s="22"/>
      <c r="F92" s="22"/>
      <c r="G92" s="22"/>
      <c r="Q92" s="22"/>
      <c r="R92" s="22"/>
    </row>
    <row r="93" spans="3:18">
      <c r="C93" s="22"/>
      <c r="D93" s="22"/>
      <c r="E93" s="22"/>
      <c r="F93" s="22"/>
      <c r="G93" s="22"/>
      <c r="Q93" s="22"/>
      <c r="R93" s="22"/>
    </row>
    <row r="94" spans="3:18">
      <c r="C94" s="22"/>
      <c r="D94" s="22"/>
      <c r="E94" s="22"/>
      <c r="F94" s="22"/>
      <c r="G94" s="22"/>
      <c r="Q94" s="22"/>
      <c r="R94" s="22"/>
    </row>
    <row r="95" spans="3:18">
      <c r="C95" s="22"/>
      <c r="D95" s="22"/>
      <c r="E95" s="22"/>
      <c r="F95" s="22"/>
      <c r="G95" s="22"/>
      <c r="Q95" s="22"/>
      <c r="R95" s="22"/>
    </row>
  </sheetData>
  <phoneticPr fontId="0" type="noConversion"/>
  <hyperlinks>
    <hyperlink ref="H2" location="INDICE!A40" display="VOLVER A INDICE"/>
  </hyperlinks>
  <pageMargins left="0.75" right="0.75" top="1" bottom="1" header="0" footer="0"/>
  <pageSetup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S125"/>
  <sheetViews>
    <sheetView zoomScale="75" workbookViewId="0">
      <pane ySplit="8" topLeftCell="A36" activePane="bottomLeft" state="frozen"/>
      <selection pane="bottomLeft" activeCell="B58" sqref="B58"/>
    </sheetView>
  </sheetViews>
  <sheetFormatPr baseColWidth="10" defaultRowHeight="12.75"/>
  <cols>
    <col min="1" max="1" width="1.7109375" style="891" customWidth="1"/>
    <col min="2" max="2" width="35.85546875" style="891" customWidth="1"/>
    <col min="3" max="7" width="20.28515625" style="891" customWidth="1"/>
    <col min="8" max="8" width="24.140625" style="891" customWidth="1"/>
    <col min="9" max="9" width="20.28515625" style="891" customWidth="1"/>
    <col min="10" max="19" width="11.42578125" style="22"/>
    <col min="20" max="16384" width="11.42578125" style="891"/>
  </cols>
  <sheetData>
    <row r="1" spans="2:11" ht="7.5" customHeight="1" thickBot="1"/>
    <row r="2" spans="2:11" ht="15.75" customHeight="1" thickBot="1">
      <c r="B2" s="1050"/>
      <c r="C2" s="1051"/>
      <c r="D2" s="1051"/>
      <c r="E2" s="1051"/>
      <c r="F2" s="1051"/>
      <c r="G2" s="1051"/>
      <c r="H2" s="1051"/>
      <c r="I2" s="1052"/>
      <c r="J2" s="262"/>
      <c r="K2" s="262"/>
    </row>
    <row r="3" spans="2:11" ht="15.75">
      <c r="B3" s="240"/>
      <c r="C3" s="241"/>
      <c r="D3" s="241"/>
      <c r="E3" s="241" t="s">
        <v>173</v>
      </c>
      <c r="F3" s="241"/>
      <c r="G3" s="242"/>
      <c r="H3" s="242"/>
      <c r="I3" s="243"/>
      <c r="J3" s="855" t="s">
        <v>681</v>
      </c>
      <c r="K3" s="275"/>
    </row>
    <row r="4" spans="2:11" ht="15.75">
      <c r="B4" s="244"/>
      <c r="C4" s="245"/>
      <c r="D4" s="245"/>
      <c r="E4" s="246" t="s">
        <v>174</v>
      </c>
      <c r="F4" s="245"/>
      <c r="G4" s="247"/>
      <c r="H4" s="247"/>
      <c r="I4" s="248"/>
      <c r="J4" s="274"/>
      <c r="K4" s="275"/>
    </row>
    <row r="5" spans="2:11" ht="15.75">
      <c r="B5" s="244"/>
      <c r="C5" s="245"/>
      <c r="D5" s="245"/>
      <c r="E5" s="245" t="s">
        <v>795</v>
      </c>
      <c r="F5" s="245"/>
      <c r="G5" s="247"/>
      <c r="H5" s="247"/>
      <c r="I5" s="248"/>
      <c r="J5" s="274"/>
      <c r="K5" s="275"/>
    </row>
    <row r="6" spans="2:11" ht="15.75">
      <c r="B6" s="244"/>
      <c r="C6" s="249"/>
      <c r="D6" s="249"/>
      <c r="E6" s="249"/>
      <c r="F6" s="249"/>
      <c r="G6" s="249"/>
      <c r="H6" s="249"/>
      <c r="I6" s="250"/>
      <c r="J6" s="274"/>
      <c r="K6" s="275"/>
    </row>
    <row r="7" spans="2:11" ht="15.75">
      <c r="B7" s="244" t="s">
        <v>3</v>
      </c>
      <c r="C7" s="249" t="s">
        <v>25</v>
      </c>
      <c r="D7" s="249" t="s">
        <v>26</v>
      </c>
      <c r="E7" s="249" t="s">
        <v>27</v>
      </c>
      <c r="F7" s="249" t="s">
        <v>175</v>
      </c>
      <c r="G7" s="249" t="s">
        <v>29</v>
      </c>
      <c r="H7" s="249" t="s">
        <v>29</v>
      </c>
      <c r="I7" s="250" t="s">
        <v>29</v>
      </c>
      <c r="J7" s="274"/>
      <c r="K7" s="275"/>
    </row>
    <row r="8" spans="2:11" ht="16.5" thickBot="1">
      <c r="B8" s="1053"/>
      <c r="C8" s="1054" t="s">
        <v>30</v>
      </c>
      <c r="D8" s="1054"/>
      <c r="E8" s="1054"/>
      <c r="F8" s="1054" t="s">
        <v>176</v>
      </c>
      <c r="G8" s="1054" t="s">
        <v>177</v>
      </c>
      <c r="H8" s="1054" t="s">
        <v>53</v>
      </c>
      <c r="I8" s="1055" t="s">
        <v>11</v>
      </c>
      <c r="J8" s="275"/>
      <c r="K8" s="275"/>
    </row>
    <row r="9" spans="2:11" ht="15.75">
      <c r="B9" s="1056"/>
      <c r="C9" s="260"/>
      <c r="D9" s="260"/>
      <c r="E9" s="260"/>
      <c r="F9" s="260"/>
      <c r="G9" s="260"/>
      <c r="H9" s="260"/>
      <c r="I9" s="261"/>
      <c r="J9" s="262"/>
      <c r="K9" s="262"/>
    </row>
    <row r="10" spans="2:11" ht="15.75">
      <c r="B10" s="1057" t="s">
        <v>55</v>
      </c>
      <c r="C10" s="263">
        <v>2306.1898377000002</v>
      </c>
      <c r="D10" s="263">
        <v>120.681769155</v>
      </c>
      <c r="E10" s="263">
        <v>591.16245763699999</v>
      </c>
      <c r="F10" s="263">
        <v>-72.647625337000221</v>
      </c>
      <c r="G10" s="263">
        <f>SECT_U.FIS.!D47</f>
        <v>1789.4971246026003</v>
      </c>
      <c r="H10" s="263">
        <f>SECT_U.FIS.!D57</f>
        <v>118.85964995239999</v>
      </c>
      <c r="I10" s="264">
        <f>G10+H10</f>
        <v>1908.3567745550004</v>
      </c>
      <c r="J10" s="265"/>
      <c r="K10" s="265"/>
    </row>
    <row r="11" spans="2:11" ht="15.75">
      <c r="B11" s="1058" t="s">
        <v>178</v>
      </c>
      <c r="C11" s="263"/>
      <c r="D11" s="263"/>
      <c r="E11" s="263"/>
      <c r="F11" s="263"/>
      <c r="G11" s="263"/>
      <c r="H11" s="263"/>
      <c r="I11" s="264"/>
      <c r="J11" s="265"/>
      <c r="K11" s="265"/>
    </row>
    <row r="12" spans="2:11" ht="15.75">
      <c r="B12" s="1057" t="s">
        <v>56</v>
      </c>
      <c r="C12" s="263">
        <v>4206.6768000000002</v>
      </c>
      <c r="D12" s="263">
        <v>2068.1227060952378</v>
      </c>
      <c r="E12" s="263">
        <v>237.63583499999999</v>
      </c>
      <c r="F12" s="263">
        <v>99.568488095238536</v>
      </c>
      <c r="G12" s="263">
        <f>SECT_U.FIS.!C47</f>
        <v>5667.3267846666649</v>
      </c>
      <c r="H12" s="263">
        <f>SECT_U.FIS.!C57</f>
        <v>270.20439833333313</v>
      </c>
      <c r="I12" s="264">
        <f>G12+H12</f>
        <v>5937.5311829999982</v>
      </c>
      <c r="J12" s="265"/>
      <c r="K12" s="265"/>
    </row>
    <row r="13" spans="2:11" ht="15.75">
      <c r="B13" s="1058" t="s">
        <v>179</v>
      </c>
      <c r="C13" s="263"/>
      <c r="D13" s="263"/>
      <c r="E13" s="263"/>
      <c r="F13" s="263"/>
      <c r="G13" s="263"/>
      <c r="H13" s="263"/>
      <c r="I13" s="264"/>
      <c r="J13" s="265"/>
      <c r="K13" s="265"/>
    </row>
    <row r="14" spans="2:11" ht="15.75">
      <c r="B14" s="1057" t="s">
        <v>57</v>
      </c>
      <c r="C14" s="263">
        <v>3092.442</v>
      </c>
      <c r="D14" s="263">
        <v>800.70936000000006</v>
      </c>
      <c r="E14" s="263">
        <v>886.03200000000004</v>
      </c>
      <c r="F14" s="263">
        <v>121.553586</v>
      </c>
      <c r="G14" s="263">
        <f>SECT_U.FIS.!E47</f>
        <v>2885.5657739999997</v>
      </c>
      <c r="H14" s="263">
        <f>SECT_U.FIS.!E57</f>
        <v>0</v>
      </c>
      <c r="I14" s="264">
        <f>G14+H14</f>
        <v>2885.5657739999997</v>
      </c>
      <c r="J14" s="265"/>
      <c r="K14" s="265"/>
    </row>
    <row r="15" spans="2:11" ht="15.75">
      <c r="B15" s="1058" t="s">
        <v>179</v>
      </c>
      <c r="C15" s="263"/>
      <c r="D15" s="263"/>
      <c r="E15" s="263"/>
      <c r="F15" s="263"/>
      <c r="G15" s="263"/>
      <c r="H15" s="263"/>
      <c r="I15" s="264"/>
      <c r="J15" s="265"/>
      <c r="K15" s="265"/>
    </row>
    <row r="16" spans="2:11" ht="15.75">
      <c r="B16" s="1057" t="s">
        <v>58</v>
      </c>
      <c r="C16" s="263">
        <v>0</v>
      </c>
      <c r="D16" s="263">
        <v>0</v>
      </c>
      <c r="E16" s="263">
        <v>0</v>
      </c>
      <c r="F16" s="263">
        <v>0</v>
      </c>
      <c r="G16" s="263">
        <v>0</v>
      </c>
      <c r="H16" s="263">
        <v>0</v>
      </c>
      <c r="I16" s="264">
        <f>G16+H16</f>
        <v>0</v>
      </c>
      <c r="J16" s="265"/>
      <c r="K16" s="265"/>
    </row>
    <row r="17" spans="2:11" ht="15.75">
      <c r="B17" s="1058" t="s">
        <v>179</v>
      </c>
      <c r="C17" s="266"/>
      <c r="D17" s="266"/>
      <c r="E17" s="266"/>
      <c r="F17" s="266"/>
      <c r="G17" s="266"/>
      <c r="H17" s="266"/>
      <c r="I17" s="267"/>
      <c r="J17" s="265"/>
      <c r="K17" s="265"/>
    </row>
    <row r="18" spans="2:11" ht="15.75">
      <c r="B18" s="1057" t="s">
        <v>59</v>
      </c>
      <c r="C18" s="263">
        <v>109.51589999999999</v>
      </c>
      <c r="D18" s="263">
        <v>0</v>
      </c>
      <c r="E18" s="263">
        <v>0</v>
      </c>
      <c r="F18" s="263">
        <v>-6.5374350000000021</v>
      </c>
      <c r="G18" s="263">
        <f>SECT_U.FIS.!G47</f>
        <v>116.05333500000002</v>
      </c>
      <c r="H18" s="263">
        <f>SECT_U.FIS.!G57</f>
        <v>0</v>
      </c>
      <c r="I18" s="264">
        <f>G18+H18</f>
        <v>116.05333500000002</v>
      </c>
      <c r="J18" s="265"/>
      <c r="K18" s="265"/>
    </row>
    <row r="19" spans="2:11" ht="15.75">
      <c r="B19" s="1058" t="s">
        <v>179</v>
      </c>
      <c r="C19" s="263"/>
      <c r="D19" s="263"/>
      <c r="E19" s="263"/>
      <c r="F19" s="263"/>
      <c r="G19" s="263"/>
      <c r="H19" s="263"/>
      <c r="I19" s="264"/>
      <c r="J19" s="265"/>
      <c r="K19" s="265"/>
    </row>
    <row r="20" spans="2:11" ht="15.75">
      <c r="B20" s="1057" t="s">
        <v>60</v>
      </c>
      <c r="C20" s="263">
        <v>498.16717500000004</v>
      </c>
      <c r="D20" s="263">
        <v>610.67314500000009</v>
      </c>
      <c r="E20" s="263">
        <v>115.97614875000002</v>
      </c>
      <c r="F20" s="263">
        <v>7.5141743270002053</v>
      </c>
      <c r="G20" s="263">
        <f>SECT_U.FIS.!H47</f>
        <v>982.5406472730001</v>
      </c>
      <c r="H20" s="263">
        <f>SECT_U.FIS.!H57</f>
        <v>2.8093496499999997</v>
      </c>
      <c r="I20" s="264">
        <f>G20+H20</f>
        <v>985.34999692300005</v>
      </c>
      <c r="J20" s="265"/>
      <c r="K20" s="265"/>
    </row>
    <row r="21" spans="2:11" ht="15.75">
      <c r="B21" s="1058" t="s">
        <v>180</v>
      </c>
      <c r="C21" s="263"/>
      <c r="D21" s="263"/>
      <c r="E21" s="263"/>
      <c r="F21" s="263"/>
      <c r="G21" s="263"/>
      <c r="H21" s="263"/>
      <c r="I21" s="264"/>
      <c r="J21" s="265"/>
      <c r="K21" s="265"/>
    </row>
    <row r="22" spans="2:11" ht="15.75">
      <c r="B22" s="1057" t="s">
        <v>61</v>
      </c>
      <c r="C22" s="263">
        <v>7.4661</v>
      </c>
      <c r="D22" s="263">
        <v>0</v>
      </c>
      <c r="E22" s="263">
        <v>0</v>
      </c>
      <c r="F22" s="263">
        <v>1.6110999999999995</v>
      </c>
      <c r="G22" s="263">
        <f>SECT_U.FIS.!I47</f>
        <v>5.8550000000000004</v>
      </c>
      <c r="H22" s="263">
        <f>SECT_U.FIS.!I57</f>
        <v>0</v>
      </c>
      <c r="I22" s="264">
        <f>G22+H22</f>
        <v>5.8550000000000004</v>
      </c>
      <c r="J22" s="265"/>
      <c r="K22" s="265"/>
    </row>
    <row r="23" spans="2:11" ht="15.75">
      <c r="B23" s="1058" t="s">
        <v>179</v>
      </c>
      <c r="C23" s="263"/>
      <c r="D23" s="263"/>
      <c r="E23" s="263"/>
      <c r="F23" s="263"/>
      <c r="G23" s="263"/>
      <c r="H23" s="263"/>
      <c r="I23" s="264"/>
      <c r="J23" s="265"/>
      <c r="K23" s="265"/>
    </row>
    <row r="24" spans="2:11" ht="15.75">
      <c r="B24" s="1057" t="s">
        <v>62</v>
      </c>
      <c r="C24" s="263">
        <v>708.67650000000003</v>
      </c>
      <c r="D24" s="263">
        <v>102.99070300000001</v>
      </c>
      <c r="E24" s="263">
        <v>0</v>
      </c>
      <c r="F24" s="263">
        <v>50.279262000000017</v>
      </c>
      <c r="G24" s="263">
        <f>SECT_U.FIS.!J47</f>
        <v>761.38794100000007</v>
      </c>
      <c r="H24" s="263">
        <f>SECT_U.FIS.!J57</f>
        <v>0</v>
      </c>
      <c r="I24" s="264">
        <f>G24+H24</f>
        <v>761.38794100000007</v>
      </c>
      <c r="J24" s="265"/>
      <c r="K24" s="265"/>
    </row>
    <row r="25" spans="2:11" ht="15.75">
      <c r="B25" s="1058" t="s">
        <v>179</v>
      </c>
      <c r="C25" s="263"/>
      <c r="D25" s="263"/>
      <c r="E25" s="263"/>
      <c r="F25" s="263"/>
      <c r="G25" s="263"/>
      <c r="H25" s="263"/>
      <c r="I25" s="264"/>
      <c r="J25" s="265"/>
      <c r="K25" s="265"/>
    </row>
    <row r="26" spans="2:11" ht="15.75">
      <c r="B26" s="1057" t="s">
        <v>63</v>
      </c>
      <c r="C26" s="263">
        <v>328.18109999999996</v>
      </c>
      <c r="D26" s="263">
        <v>0</v>
      </c>
      <c r="E26" s="263">
        <v>164.99248600000001</v>
      </c>
      <c r="F26" s="263">
        <v>-3.2870888571428907</v>
      </c>
      <c r="G26" s="263">
        <f>SECT_U.FIS.!K47</f>
        <v>166.43829485714284</v>
      </c>
      <c r="H26" s="263">
        <f>SECT_U.FIS.!K57</f>
        <v>3.7407999999999997E-2</v>
      </c>
      <c r="I26" s="264">
        <f>G26+H26</f>
        <v>166.47570285714284</v>
      </c>
      <c r="J26" s="265"/>
      <c r="K26" s="265"/>
    </row>
    <row r="27" spans="2:11" ht="15.75">
      <c r="B27" s="1058" t="s">
        <v>179</v>
      </c>
      <c r="C27" s="263"/>
      <c r="D27" s="263"/>
      <c r="E27" s="263"/>
      <c r="F27" s="263"/>
      <c r="G27" s="263"/>
      <c r="H27" s="263"/>
      <c r="I27" s="264"/>
      <c r="J27" s="265"/>
      <c r="K27" s="265"/>
    </row>
    <row r="28" spans="2:11" ht="15.75">
      <c r="B28" s="1057" t="s">
        <v>64</v>
      </c>
      <c r="C28" s="263">
        <v>723.538307511737</v>
      </c>
      <c r="D28" s="263">
        <v>0</v>
      </c>
      <c r="E28" s="263">
        <v>0</v>
      </c>
      <c r="F28" s="263">
        <v>0</v>
      </c>
      <c r="G28" s="263">
        <f>SECT_U.FIS.!L47</f>
        <v>674.18449812206563</v>
      </c>
      <c r="H28" s="263">
        <f>SECT_U.FIS.!L57</f>
        <v>49.353809389671362</v>
      </c>
      <c r="I28" s="264">
        <f>G28+H28</f>
        <v>723.538307511737</v>
      </c>
      <c r="J28" s="265"/>
      <c r="K28" s="265"/>
    </row>
    <row r="29" spans="2:11" ht="15.75">
      <c r="B29" s="1058" t="s">
        <v>179</v>
      </c>
      <c r="C29" s="263"/>
      <c r="D29" s="263"/>
      <c r="E29" s="263"/>
      <c r="F29" s="263"/>
      <c r="G29" s="263"/>
      <c r="H29" s="263"/>
      <c r="I29" s="264"/>
      <c r="J29" s="265"/>
      <c r="K29" s="265"/>
    </row>
    <row r="30" spans="2:11" ht="15.75">
      <c r="B30" s="1057" t="s">
        <v>182</v>
      </c>
      <c r="C30" s="263">
        <v>52483.615668068574</v>
      </c>
      <c r="D30" s="263">
        <v>2151.9899999999998</v>
      </c>
      <c r="E30" s="263">
        <v>0</v>
      </c>
      <c r="F30" s="263">
        <v>4539.6674739557438</v>
      </c>
      <c r="G30" s="263">
        <f>SECT_U.FIS.!M47</f>
        <v>50095.938194112845</v>
      </c>
      <c r="H30" s="263">
        <f>SECT_U.FIS.!M57</f>
        <v>0</v>
      </c>
      <c r="I30" s="264">
        <f>G30+H30</f>
        <v>50095.938194112845</v>
      </c>
      <c r="J30" s="265"/>
      <c r="K30" s="265"/>
    </row>
    <row r="31" spans="2:11" ht="15.75">
      <c r="B31" s="1058" t="s">
        <v>183</v>
      </c>
      <c r="C31" s="263"/>
      <c r="D31" s="263"/>
      <c r="E31" s="263"/>
      <c r="F31" s="263"/>
      <c r="G31" s="263"/>
      <c r="H31" s="263"/>
      <c r="I31" s="264"/>
      <c r="J31" s="265"/>
      <c r="K31" s="265"/>
    </row>
    <row r="32" spans="2:11" ht="15.75">
      <c r="B32" s="1057" t="s">
        <v>184</v>
      </c>
      <c r="C32" s="263">
        <f>I32</f>
        <v>3939.3328157599317</v>
      </c>
      <c r="D32" s="263">
        <v>0</v>
      </c>
      <c r="E32" s="263">
        <v>0</v>
      </c>
      <c r="F32" s="263">
        <v>0</v>
      </c>
      <c r="G32" s="263">
        <f>SECT_U.FIS.!N47</f>
        <v>636.2807113034828</v>
      </c>
      <c r="H32" s="263">
        <f>SECT_U.FIS.!N57</f>
        <v>3303.0521044564489</v>
      </c>
      <c r="I32" s="264">
        <f>G32+H32</f>
        <v>3939.3328157599317</v>
      </c>
      <c r="J32" s="265"/>
      <c r="K32" s="265"/>
    </row>
    <row r="33" spans="2:11" ht="15.75">
      <c r="B33" s="1058" t="s">
        <v>180</v>
      </c>
      <c r="C33" s="263"/>
      <c r="D33" s="263"/>
      <c r="E33" s="263"/>
      <c r="F33" s="263"/>
      <c r="G33" s="263"/>
      <c r="H33" s="263"/>
      <c r="I33" s="264"/>
      <c r="J33" s="265"/>
      <c r="K33" s="265"/>
    </row>
    <row r="34" spans="2:11" ht="15.75">
      <c r="B34" s="1057" t="s">
        <v>66</v>
      </c>
      <c r="C34" s="263">
        <v>746.74160000000006</v>
      </c>
      <c r="D34" s="263">
        <v>685.08254285714281</v>
      </c>
      <c r="E34" s="263">
        <v>40.182171428571436</v>
      </c>
      <c r="F34" s="263">
        <v>2.1394651666666959</v>
      </c>
      <c r="G34" s="263">
        <f>SECT_U.FIS.!O47</f>
        <v>382.72987000000018</v>
      </c>
      <c r="H34" s="263">
        <f>SECT_U.FIS.!O57</f>
        <v>1006.7726362619045</v>
      </c>
      <c r="I34" s="264">
        <f>G34+H34</f>
        <v>1389.5025062619047</v>
      </c>
      <c r="J34" s="265"/>
      <c r="K34" s="265"/>
    </row>
    <row r="35" spans="2:11" ht="15.75">
      <c r="B35" s="1058" t="s">
        <v>180</v>
      </c>
      <c r="C35" s="263"/>
      <c r="D35" s="263"/>
      <c r="E35" s="263"/>
      <c r="F35" s="263"/>
      <c r="G35" s="263"/>
      <c r="H35" s="263"/>
      <c r="I35" s="264"/>
      <c r="J35" s="265"/>
      <c r="K35" s="265"/>
    </row>
    <row r="36" spans="2:11" ht="15.75">
      <c r="B36" s="1057" t="s">
        <v>185</v>
      </c>
      <c r="C36" s="263">
        <v>19937.01923076923</v>
      </c>
      <c r="D36" s="263">
        <v>0</v>
      </c>
      <c r="E36" s="263">
        <v>0</v>
      </c>
      <c r="F36" s="263">
        <v>3578.8461538461543</v>
      </c>
      <c r="G36" s="263">
        <f>SECT_U.FIS.!P47</f>
        <v>16358.173076923078</v>
      </c>
      <c r="H36" s="263">
        <f>SECT_U.FIS.!P57</f>
        <v>0</v>
      </c>
      <c r="I36" s="264">
        <f>G36+H36</f>
        <v>16358.173076923078</v>
      </c>
      <c r="J36" s="265"/>
      <c r="K36" s="265"/>
    </row>
    <row r="37" spans="2:11" ht="15.75">
      <c r="B37" s="1058" t="s">
        <v>179</v>
      </c>
      <c r="C37" s="263"/>
      <c r="D37" s="263"/>
      <c r="E37" s="263"/>
      <c r="F37" s="263"/>
      <c r="G37" s="263"/>
      <c r="H37" s="263"/>
      <c r="I37" s="264"/>
      <c r="J37" s="265"/>
      <c r="K37" s="265"/>
    </row>
    <row r="38" spans="2:11" ht="15.75">
      <c r="B38" s="1057" t="s">
        <v>186</v>
      </c>
      <c r="C38" s="263">
        <v>336.0196607193983</v>
      </c>
      <c r="D38" s="263">
        <v>0</v>
      </c>
      <c r="E38" s="263">
        <v>0</v>
      </c>
      <c r="F38" s="263">
        <v>10.32796116215826</v>
      </c>
      <c r="G38" s="263">
        <f>SECT_U.FIS.!Q47</f>
        <v>325.69169955723999</v>
      </c>
      <c r="H38" s="263">
        <f>SECT_U.FIS.!Q57</f>
        <v>0</v>
      </c>
      <c r="I38" s="264">
        <f>G38+H38</f>
        <v>325.69169955723999</v>
      </c>
      <c r="J38" s="265"/>
      <c r="K38" s="265"/>
    </row>
    <row r="39" spans="2:11" ht="15.75">
      <c r="B39" s="1058" t="s">
        <v>181</v>
      </c>
      <c r="C39" s="263"/>
      <c r="D39" s="263"/>
      <c r="E39" s="263"/>
      <c r="F39" s="263"/>
      <c r="G39" s="263"/>
      <c r="H39" s="263"/>
      <c r="I39" s="264"/>
      <c r="J39" s="265"/>
      <c r="K39" s="265"/>
    </row>
    <row r="40" spans="2:11" ht="15.75">
      <c r="B40" s="1057" t="s">
        <v>69</v>
      </c>
      <c r="C40" s="263">
        <v>1568.3</v>
      </c>
      <c r="D40" s="263">
        <v>0</v>
      </c>
      <c r="E40" s="263">
        <v>0</v>
      </c>
      <c r="F40" s="263">
        <v>233.78712700000005</v>
      </c>
      <c r="G40" s="263">
        <f>SECT_U.FIS.!R47</f>
        <v>1334.5128730000001</v>
      </c>
      <c r="H40" s="263">
        <f>SECT_U.FIS.!R57</f>
        <v>0</v>
      </c>
      <c r="I40" s="264">
        <f>G40+H40</f>
        <v>1334.5128730000001</v>
      </c>
      <c r="J40" s="265"/>
      <c r="K40" s="265"/>
    </row>
    <row r="41" spans="2:11" ht="15.75">
      <c r="B41" s="1058" t="s">
        <v>195</v>
      </c>
      <c r="C41" s="263"/>
      <c r="D41" s="263"/>
      <c r="E41" s="263"/>
      <c r="F41" s="263"/>
      <c r="G41" s="263"/>
      <c r="H41" s="263"/>
      <c r="I41" s="264"/>
      <c r="J41" s="265"/>
      <c r="K41" s="265"/>
    </row>
    <row r="42" spans="2:11" ht="15.75">
      <c r="B42" s="1057" t="s">
        <v>187</v>
      </c>
      <c r="C42" s="263">
        <v>8305.1812181938931</v>
      </c>
      <c r="D42" s="263">
        <v>0</v>
      </c>
      <c r="E42" s="263">
        <v>0</v>
      </c>
      <c r="F42" s="263">
        <v>0</v>
      </c>
      <c r="G42" s="263">
        <f>SECT_U.FIS.!S47</f>
        <v>2146.3010986905424</v>
      </c>
      <c r="H42" s="263">
        <f>SECT_U.FIS.!S57</f>
        <v>6158.8801195033511</v>
      </c>
      <c r="I42" s="264">
        <f>G42+H42</f>
        <v>8305.1812181938931</v>
      </c>
      <c r="J42" s="265"/>
      <c r="K42" s="265"/>
    </row>
    <row r="43" spans="2:11" ht="15.75">
      <c r="B43" s="1058" t="s">
        <v>181</v>
      </c>
      <c r="C43" s="263"/>
      <c r="D43" s="263"/>
      <c r="E43" s="263"/>
      <c r="F43" s="263"/>
      <c r="G43" s="263"/>
      <c r="H43" s="263"/>
      <c r="I43" s="264"/>
      <c r="J43" s="265"/>
      <c r="K43" s="265"/>
    </row>
    <row r="44" spans="2:11" ht="15.75">
      <c r="B44" s="1057" t="s">
        <v>22</v>
      </c>
      <c r="C44" s="263">
        <v>3028.6390000000001</v>
      </c>
      <c r="D44" s="263">
        <v>0</v>
      </c>
      <c r="E44" s="263">
        <v>2794.9502000000002</v>
      </c>
      <c r="F44" s="263">
        <v>139.76299999999989</v>
      </c>
      <c r="G44" s="263">
        <f>SECT_U.FIS.!T47</f>
        <v>93.92580000000001</v>
      </c>
      <c r="H44" s="263">
        <f>SECT_U.FIS.!T57</f>
        <v>0</v>
      </c>
      <c r="I44" s="264">
        <f>G44+H44</f>
        <v>93.92580000000001</v>
      </c>
      <c r="J44" s="265"/>
      <c r="K44" s="265"/>
    </row>
    <row r="45" spans="2:11" ht="15.75">
      <c r="B45" s="1058" t="s">
        <v>180</v>
      </c>
      <c r="C45" s="263"/>
      <c r="D45" s="263"/>
      <c r="E45" s="263"/>
      <c r="F45" s="263"/>
      <c r="G45" s="263"/>
      <c r="H45" s="263"/>
      <c r="I45" s="264"/>
      <c r="J45" s="265"/>
      <c r="K45" s="265"/>
    </row>
    <row r="46" spans="2:11" ht="15.75">
      <c r="B46" s="1057" t="s">
        <v>9</v>
      </c>
      <c r="C46" s="263">
        <v>13139.294304192825</v>
      </c>
      <c r="D46" s="263">
        <v>0</v>
      </c>
      <c r="E46" s="263">
        <v>0</v>
      </c>
      <c r="F46" s="263">
        <v>0</v>
      </c>
      <c r="G46" s="263">
        <f>SECT_U.FIS.!V47</f>
        <v>11507.875402451582</v>
      </c>
      <c r="H46" s="263">
        <f>SECT_U.FIS.!V57</f>
        <v>1631.4189017412423</v>
      </c>
      <c r="I46" s="264">
        <f>G46+H46</f>
        <v>13139.294304192825</v>
      </c>
      <c r="J46" s="265"/>
      <c r="K46" s="265"/>
    </row>
    <row r="47" spans="2:11" ht="15.75">
      <c r="B47" s="1058" t="s">
        <v>180</v>
      </c>
      <c r="C47" s="263"/>
      <c r="D47" s="263"/>
      <c r="E47" s="263"/>
      <c r="F47" s="263"/>
      <c r="G47" s="263"/>
      <c r="H47" s="263"/>
      <c r="I47" s="264"/>
      <c r="J47" s="265"/>
      <c r="K47" s="265"/>
    </row>
    <row r="48" spans="2:11" ht="15.75">
      <c r="B48" s="1057" t="s">
        <v>10</v>
      </c>
      <c r="C48" s="263">
        <v>0</v>
      </c>
      <c r="D48" s="263">
        <v>0</v>
      </c>
      <c r="E48" s="263">
        <v>0</v>
      </c>
      <c r="F48" s="263">
        <v>0</v>
      </c>
      <c r="G48" s="263">
        <v>0</v>
      </c>
      <c r="H48" s="263">
        <v>0</v>
      </c>
      <c r="I48" s="264">
        <f>G48+H48</f>
        <v>0</v>
      </c>
      <c r="J48" s="265"/>
      <c r="K48" s="265"/>
    </row>
    <row r="49" spans="2:11" ht="16.5" thickBot="1">
      <c r="B49" s="1059" t="s">
        <v>181</v>
      </c>
      <c r="C49" s="268"/>
      <c r="D49" s="268"/>
      <c r="E49" s="268"/>
      <c r="F49" s="268"/>
      <c r="G49" s="268"/>
      <c r="H49" s="268"/>
      <c r="I49" s="269"/>
      <c r="J49" s="265"/>
      <c r="K49" s="262"/>
    </row>
    <row r="50" spans="2:11">
      <c r="B50" s="276" t="s">
        <v>91</v>
      </c>
      <c r="C50" s="270"/>
      <c r="D50" s="270"/>
      <c r="E50" s="262"/>
      <c r="F50" s="271"/>
      <c r="G50" s="262"/>
      <c r="H50" s="262"/>
      <c r="I50" s="262"/>
      <c r="J50" s="262"/>
      <c r="K50" s="262"/>
    </row>
    <row r="51" spans="2:11">
      <c r="B51" s="276" t="s">
        <v>188</v>
      </c>
      <c r="C51" s="270"/>
      <c r="D51" s="270"/>
      <c r="E51" s="262"/>
      <c r="F51" s="262"/>
      <c r="G51" s="262"/>
      <c r="H51" s="262"/>
      <c r="I51" s="262"/>
      <c r="J51" s="262"/>
      <c r="K51" s="262"/>
    </row>
    <row r="52" spans="2:11">
      <c r="B52" s="270" t="s">
        <v>189</v>
      </c>
      <c r="C52" s="272">
        <v>1087.285212</v>
      </c>
      <c r="D52" s="270" t="s">
        <v>190</v>
      </c>
      <c r="E52" s="262"/>
      <c r="F52" s="262"/>
      <c r="G52" s="262"/>
      <c r="H52" s="262"/>
      <c r="I52" s="265"/>
      <c r="J52" s="262"/>
      <c r="K52" s="262"/>
    </row>
    <row r="53" spans="2:11">
      <c r="B53" s="270" t="s">
        <v>191</v>
      </c>
      <c r="C53" s="272">
        <v>16.426996199999998</v>
      </c>
      <c r="D53" s="270" t="s">
        <v>190</v>
      </c>
      <c r="E53" s="262"/>
      <c r="F53" s="262"/>
      <c r="G53" s="262"/>
      <c r="H53" s="262"/>
      <c r="I53" s="265"/>
      <c r="J53" s="262"/>
      <c r="K53" s="262"/>
    </row>
    <row r="54" spans="2:11">
      <c r="B54" s="270" t="s">
        <v>192</v>
      </c>
      <c r="C54" s="272">
        <v>1202.4776295000001</v>
      </c>
      <c r="D54" s="270" t="s">
        <v>190</v>
      </c>
      <c r="E54" s="262"/>
      <c r="F54" s="262"/>
      <c r="G54" s="262"/>
      <c r="H54" s="262"/>
      <c r="I54" s="265"/>
      <c r="J54" s="262"/>
      <c r="K54" s="262"/>
    </row>
    <row r="55" spans="2:11">
      <c r="B55" s="270" t="s">
        <v>193</v>
      </c>
      <c r="C55" s="273">
        <v>272.86799999999999</v>
      </c>
      <c r="D55" s="270" t="s">
        <v>194</v>
      </c>
      <c r="E55" s="262"/>
      <c r="F55" s="262"/>
      <c r="G55" s="262"/>
      <c r="H55" s="262"/>
      <c r="I55" s="262"/>
      <c r="J55" s="262"/>
      <c r="K55" s="262"/>
    </row>
    <row r="56" spans="2:11">
      <c r="B56" s="270" t="s">
        <v>197</v>
      </c>
      <c r="C56" s="273">
        <v>65.055217000015546</v>
      </c>
      <c r="D56" s="270" t="s">
        <v>196</v>
      </c>
      <c r="E56" s="262"/>
      <c r="F56" s="262"/>
      <c r="G56" s="262"/>
      <c r="H56" s="262"/>
      <c r="I56" s="262"/>
      <c r="J56" s="262"/>
      <c r="K56" s="262"/>
    </row>
    <row r="57" spans="2:11">
      <c r="B57" s="277" t="s">
        <v>14</v>
      </c>
      <c r="C57" s="21"/>
      <c r="D57" s="21"/>
      <c r="E57" s="21"/>
      <c r="F57" s="21"/>
      <c r="G57" s="21"/>
      <c r="H57" s="21"/>
      <c r="I57" s="76"/>
      <c r="J57" s="76"/>
      <c r="K57" s="76"/>
    </row>
    <row r="58" spans="2:11">
      <c r="B58" s="21" t="s">
        <v>800</v>
      </c>
      <c r="C58" s="21"/>
      <c r="D58" s="21"/>
      <c r="E58" s="21"/>
      <c r="F58" s="21"/>
      <c r="G58" s="21"/>
      <c r="H58" s="21"/>
      <c r="I58" s="76"/>
      <c r="J58" s="76"/>
      <c r="K58" s="76"/>
    </row>
    <row r="59" spans="2:11">
      <c r="B59" s="278"/>
      <c r="C59" s="262"/>
      <c r="D59" s="262"/>
      <c r="E59" s="262"/>
      <c r="F59" s="262"/>
      <c r="G59" s="262"/>
      <c r="H59" s="262"/>
      <c r="I59" s="262"/>
      <c r="J59" s="262"/>
      <c r="K59" s="262"/>
    </row>
    <row r="60" spans="2:11">
      <c r="B60" s="262"/>
      <c r="C60" s="262"/>
      <c r="D60" s="262"/>
      <c r="E60" s="262"/>
      <c r="F60" s="262"/>
      <c r="G60" s="262"/>
      <c r="H60" s="262"/>
      <c r="I60" s="262"/>
      <c r="J60" s="262"/>
      <c r="K60" s="262"/>
    </row>
    <row r="61" spans="2:11">
      <c r="B61" s="262"/>
      <c r="C61" s="262"/>
      <c r="D61" s="262"/>
      <c r="E61" s="262"/>
      <c r="F61" s="262"/>
      <c r="G61" s="262"/>
      <c r="H61" s="262"/>
      <c r="I61" s="262"/>
      <c r="J61" s="262"/>
      <c r="K61" s="262"/>
    </row>
    <row r="62" spans="2:11">
      <c r="B62" s="262"/>
      <c r="C62" s="262"/>
      <c r="D62" s="262"/>
      <c r="E62" s="262"/>
      <c r="F62" s="262"/>
      <c r="G62" s="262"/>
      <c r="H62" s="262"/>
      <c r="I62" s="262"/>
      <c r="J62" s="262"/>
      <c r="K62" s="262"/>
    </row>
    <row r="63" spans="2:11">
      <c r="B63" s="22"/>
      <c r="C63" s="22"/>
      <c r="D63" s="22"/>
      <c r="E63" s="22"/>
      <c r="F63" s="22"/>
      <c r="G63" s="22"/>
      <c r="H63" s="22"/>
      <c r="I63" s="22"/>
    </row>
    <row r="64" spans="2:11">
      <c r="B64" s="22"/>
      <c r="C64" s="22"/>
      <c r="D64" s="22"/>
      <c r="E64" s="22"/>
      <c r="F64" s="22"/>
      <c r="G64" s="22"/>
      <c r="H64" s="22"/>
      <c r="I64" s="22"/>
    </row>
    <row r="65" spans="2:9">
      <c r="B65" s="22"/>
      <c r="C65" s="22"/>
      <c r="D65" s="22"/>
      <c r="E65" s="22"/>
      <c r="F65" s="22"/>
      <c r="G65" s="22"/>
      <c r="H65" s="22"/>
      <c r="I65" s="22"/>
    </row>
    <row r="66" spans="2:9" s="22" customFormat="1"/>
    <row r="67" spans="2:9" s="22" customFormat="1"/>
    <row r="68" spans="2:9" s="22" customFormat="1"/>
    <row r="69" spans="2:9" s="22" customFormat="1"/>
    <row r="70" spans="2:9" s="22" customFormat="1"/>
    <row r="71" spans="2:9" s="22" customFormat="1"/>
    <row r="72" spans="2:9" s="22" customFormat="1"/>
    <row r="73" spans="2:9" s="22" customFormat="1"/>
    <row r="74" spans="2:9" s="22" customFormat="1"/>
    <row r="75" spans="2:9" s="22" customFormat="1"/>
    <row r="76" spans="2:9" s="22" customFormat="1"/>
    <row r="77" spans="2:9" s="22" customFormat="1"/>
    <row r="78" spans="2:9" s="22" customFormat="1"/>
    <row r="79" spans="2:9" s="22" customFormat="1"/>
    <row r="80" spans="2:9" s="22" customFormat="1"/>
    <row r="81" spans="3:9" s="22" customFormat="1"/>
    <row r="82" spans="3:9" s="22" customFormat="1"/>
    <row r="83" spans="3:9" s="22" customFormat="1"/>
    <row r="84" spans="3:9" s="22" customFormat="1"/>
    <row r="85" spans="3:9" s="22" customFormat="1"/>
    <row r="86" spans="3:9" s="22" customFormat="1"/>
    <row r="87" spans="3:9" s="22" customFormat="1"/>
    <row r="88" spans="3:9" s="22" customFormat="1"/>
    <row r="89" spans="3:9" s="22" customFormat="1"/>
    <row r="90" spans="3:9" s="22" customFormat="1"/>
    <row r="91" spans="3:9">
      <c r="C91" s="22"/>
      <c r="D91" s="22"/>
      <c r="E91" s="22"/>
      <c r="F91" s="22"/>
      <c r="G91" s="22"/>
      <c r="H91" s="22"/>
      <c r="I91" s="22"/>
    </row>
    <row r="92" spans="3:9">
      <c r="C92" s="22"/>
      <c r="D92" s="22"/>
      <c r="E92" s="22"/>
      <c r="F92" s="22"/>
      <c r="G92" s="22"/>
      <c r="H92" s="22"/>
      <c r="I92" s="22"/>
    </row>
    <row r="93" spans="3:9">
      <c r="C93" s="22"/>
      <c r="D93" s="22"/>
      <c r="E93" s="22"/>
      <c r="F93" s="22"/>
      <c r="G93" s="22"/>
      <c r="H93" s="22"/>
      <c r="I93" s="22"/>
    </row>
    <row r="94" spans="3:9">
      <c r="C94" s="22"/>
      <c r="D94" s="22"/>
      <c r="E94" s="22"/>
      <c r="F94" s="22"/>
      <c r="G94" s="22"/>
      <c r="H94" s="22"/>
      <c r="I94" s="22"/>
    </row>
    <row r="95" spans="3:9">
      <c r="C95" s="22"/>
      <c r="D95" s="22"/>
      <c r="E95" s="22"/>
      <c r="F95" s="22"/>
      <c r="G95" s="22"/>
      <c r="H95" s="22"/>
      <c r="I95" s="22"/>
    </row>
    <row r="96" spans="3:9">
      <c r="C96" s="22"/>
      <c r="D96" s="22"/>
      <c r="E96" s="22"/>
      <c r="F96" s="22"/>
      <c r="G96" s="22"/>
      <c r="H96" s="22"/>
      <c r="I96" s="22"/>
    </row>
    <row r="97" spans="3:9">
      <c r="C97" s="22"/>
      <c r="D97" s="22"/>
      <c r="E97" s="22"/>
      <c r="F97" s="22"/>
      <c r="G97" s="22"/>
      <c r="H97" s="22"/>
      <c r="I97" s="22"/>
    </row>
    <row r="98" spans="3:9">
      <c r="C98" s="22"/>
      <c r="D98" s="22"/>
      <c r="E98" s="22"/>
      <c r="F98" s="22"/>
      <c r="G98" s="22"/>
      <c r="H98" s="22"/>
      <c r="I98" s="22"/>
    </row>
    <row r="99" spans="3:9">
      <c r="C99" s="22"/>
      <c r="D99" s="22"/>
      <c r="E99" s="22"/>
      <c r="F99" s="22"/>
      <c r="G99" s="22"/>
      <c r="H99" s="22"/>
      <c r="I99" s="22"/>
    </row>
    <row r="100" spans="3:9">
      <c r="C100" s="22"/>
      <c r="D100" s="22"/>
      <c r="E100" s="22"/>
      <c r="F100" s="22"/>
      <c r="G100" s="22"/>
      <c r="H100" s="22"/>
      <c r="I100" s="22"/>
    </row>
    <row r="101" spans="3:9">
      <c r="C101" s="22"/>
      <c r="D101" s="22"/>
      <c r="E101" s="22"/>
      <c r="F101" s="22"/>
      <c r="G101" s="22"/>
      <c r="H101" s="22"/>
      <c r="I101" s="22"/>
    </row>
    <row r="102" spans="3:9">
      <c r="C102" s="22"/>
      <c r="D102" s="22"/>
      <c r="E102" s="22"/>
      <c r="F102" s="22"/>
      <c r="G102" s="22"/>
      <c r="H102" s="22"/>
      <c r="I102" s="22"/>
    </row>
    <row r="103" spans="3:9">
      <c r="C103" s="22"/>
      <c r="D103" s="22"/>
      <c r="E103" s="22"/>
      <c r="F103" s="22"/>
      <c r="G103" s="22"/>
      <c r="H103" s="22"/>
      <c r="I103" s="22"/>
    </row>
    <row r="104" spans="3:9">
      <c r="C104" s="22"/>
      <c r="D104" s="22"/>
      <c r="E104" s="22"/>
      <c r="F104" s="22"/>
      <c r="G104" s="22"/>
      <c r="H104" s="22"/>
      <c r="I104" s="22"/>
    </row>
    <row r="105" spans="3:9">
      <c r="C105" s="22"/>
      <c r="D105" s="22"/>
      <c r="E105" s="22"/>
      <c r="F105" s="22"/>
      <c r="G105" s="22"/>
      <c r="H105" s="22"/>
      <c r="I105" s="22"/>
    </row>
    <row r="106" spans="3:9">
      <c r="C106" s="22"/>
      <c r="D106" s="22"/>
      <c r="E106" s="22"/>
      <c r="F106" s="22"/>
      <c r="G106" s="22"/>
      <c r="H106" s="22"/>
      <c r="I106" s="22"/>
    </row>
    <row r="107" spans="3:9">
      <c r="C107" s="22"/>
      <c r="D107" s="22"/>
      <c r="E107" s="22"/>
      <c r="F107" s="22"/>
      <c r="G107" s="22"/>
      <c r="H107" s="22"/>
      <c r="I107" s="22"/>
    </row>
    <row r="108" spans="3:9">
      <c r="C108" s="22"/>
      <c r="D108" s="22"/>
      <c r="E108" s="22"/>
      <c r="F108" s="22"/>
      <c r="G108" s="22"/>
      <c r="H108" s="22"/>
      <c r="I108" s="22"/>
    </row>
    <row r="109" spans="3:9">
      <c r="C109" s="22"/>
      <c r="D109" s="22"/>
      <c r="E109" s="22"/>
      <c r="F109" s="22"/>
      <c r="G109" s="22"/>
      <c r="H109" s="22"/>
      <c r="I109" s="22"/>
    </row>
    <row r="110" spans="3:9">
      <c r="C110" s="22"/>
      <c r="D110" s="22"/>
      <c r="E110" s="22"/>
      <c r="F110" s="22"/>
      <c r="G110" s="22"/>
      <c r="H110" s="22"/>
      <c r="I110" s="22"/>
    </row>
    <row r="111" spans="3:9">
      <c r="C111" s="22"/>
      <c r="D111" s="22"/>
      <c r="E111" s="22"/>
      <c r="F111" s="22"/>
      <c r="G111" s="22"/>
      <c r="H111" s="22"/>
      <c r="I111" s="22"/>
    </row>
    <row r="112" spans="3:9">
      <c r="C112" s="22"/>
      <c r="D112" s="22"/>
      <c r="E112" s="22"/>
      <c r="F112" s="22"/>
      <c r="G112" s="22"/>
      <c r="H112" s="22"/>
      <c r="I112" s="22"/>
    </row>
    <row r="113" spans="3:9">
      <c r="C113" s="22"/>
      <c r="D113" s="22"/>
      <c r="E113" s="22"/>
      <c r="F113" s="22"/>
      <c r="G113" s="22"/>
      <c r="H113" s="22"/>
      <c r="I113" s="22"/>
    </row>
    <row r="114" spans="3:9">
      <c r="C114" s="22"/>
      <c r="D114" s="22"/>
      <c r="E114" s="22"/>
      <c r="F114" s="22"/>
      <c r="G114" s="22"/>
      <c r="H114" s="22"/>
      <c r="I114" s="22"/>
    </row>
    <row r="115" spans="3:9">
      <c r="C115" s="22"/>
      <c r="D115" s="22"/>
      <c r="E115" s="22"/>
      <c r="F115" s="22"/>
      <c r="G115" s="22"/>
      <c r="H115" s="22"/>
      <c r="I115" s="22"/>
    </row>
    <row r="116" spans="3:9">
      <c r="C116" s="22"/>
      <c r="D116" s="22"/>
      <c r="E116" s="22"/>
      <c r="F116" s="22"/>
      <c r="G116" s="22"/>
      <c r="H116" s="22"/>
      <c r="I116" s="22"/>
    </row>
    <row r="117" spans="3:9">
      <c r="C117" s="22"/>
      <c r="D117" s="22"/>
      <c r="E117" s="22"/>
      <c r="F117" s="22"/>
      <c r="G117" s="22"/>
      <c r="H117" s="22"/>
      <c r="I117" s="22"/>
    </row>
    <row r="118" spans="3:9">
      <c r="C118" s="22"/>
      <c r="D118" s="22"/>
      <c r="E118" s="22"/>
      <c r="F118" s="22"/>
      <c r="G118" s="22"/>
      <c r="H118" s="22"/>
      <c r="I118" s="22"/>
    </row>
    <row r="119" spans="3:9">
      <c r="C119" s="22"/>
      <c r="D119" s="22"/>
      <c r="E119" s="22"/>
      <c r="F119" s="22"/>
      <c r="G119" s="22"/>
      <c r="H119" s="22"/>
      <c r="I119" s="22"/>
    </row>
    <row r="120" spans="3:9">
      <c r="C120" s="22"/>
      <c r="D120" s="22"/>
      <c r="E120" s="22"/>
      <c r="F120" s="22"/>
      <c r="G120" s="22"/>
      <c r="H120" s="22"/>
      <c r="I120" s="22"/>
    </row>
    <row r="121" spans="3:9">
      <c r="C121" s="22"/>
      <c r="D121" s="22"/>
      <c r="E121" s="22"/>
      <c r="F121" s="22"/>
      <c r="G121" s="22"/>
      <c r="H121" s="22"/>
      <c r="I121" s="22"/>
    </row>
    <row r="122" spans="3:9">
      <c r="C122" s="22"/>
      <c r="D122" s="22"/>
      <c r="E122" s="22"/>
      <c r="F122" s="22"/>
      <c r="G122" s="22"/>
      <c r="H122" s="22"/>
      <c r="I122" s="22"/>
    </row>
    <row r="123" spans="3:9">
      <c r="C123" s="22"/>
      <c r="D123" s="22"/>
      <c r="E123" s="22"/>
      <c r="F123" s="22"/>
      <c r="G123" s="22"/>
      <c r="H123" s="22"/>
      <c r="I123" s="22"/>
    </row>
    <row r="124" spans="3:9">
      <c r="C124" s="22"/>
      <c r="D124" s="22"/>
      <c r="E124" s="22"/>
      <c r="F124" s="22"/>
      <c r="G124" s="22"/>
      <c r="H124" s="22"/>
      <c r="I124" s="22"/>
    </row>
    <row r="125" spans="3:9">
      <c r="C125" s="22"/>
      <c r="D125" s="22"/>
      <c r="E125" s="22"/>
      <c r="F125" s="22"/>
      <c r="G125" s="22"/>
      <c r="H125" s="22"/>
      <c r="I125" s="22"/>
    </row>
  </sheetData>
  <phoneticPr fontId="0" type="noConversion"/>
  <hyperlinks>
    <hyperlink ref="J3" location="INDICE!A50" display="VOLVER A INDICE"/>
  </hyperlinks>
  <pageMargins left="0.75" right="0.75" top="1" bottom="1" header="0" footer="0"/>
  <pageSetup scale="59" orientation="portrait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138"/>
  <sheetViews>
    <sheetView workbookViewId="0">
      <pane ySplit="8" topLeftCell="A12" activePane="bottomLeft" state="frozen"/>
      <selection pane="bottomLeft" activeCell="B51" sqref="B51"/>
    </sheetView>
  </sheetViews>
  <sheetFormatPr baseColWidth="10" defaultRowHeight="12.75"/>
  <cols>
    <col min="1" max="1" width="1.28515625" style="891" customWidth="1"/>
    <col min="2" max="2" width="25.140625" style="891" customWidth="1"/>
    <col min="3" max="9" width="11.42578125" style="891"/>
    <col min="10" max="23" width="11.42578125" style="22"/>
    <col min="24" max="16384" width="11.42578125" style="891"/>
  </cols>
  <sheetData>
    <row r="1" spans="2:12" ht="5.25" customHeight="1" thickBot="1"/>
    <row r="2" spans="2:12" ht="15.75" customHeight="1" thickBot="1">
      <c r="B2" s="1060"/>
      <c r="C2" s="1061"/>
      <c r="D2" s="1061"/>
      <c r="E2" s="1061"/>
      <c r="F2" s="1061"/>
      <c r="G2" s="1061"/>
      <c r="H2" s="1061"/>
      <c r="I2" s="1062"/>
      <c r="J2" s="785"/>
      <c r="K2" s="785"/>
      <c r="L2" s="785"/>
    </row>
    <row r="3" spans="2:12">
      <c r="B3" s="251"/>
      <c r="C3" s="252"/>
      <c r="D3" s="252"/>
      <c r="E3" s="171" t="s">
        <v>77</v>
      </c>
      <c r="F3" s="171"/>
      <c r="G3" s="252"/>
      <c r="H3" s="252"/>
      <c r="I3" s="253"/>
      <c r="J3" s="855" t="s">
        <v>681</v>
      </c>
      <c r="K3" s="785"/>
      <c r="L3" s="785"/>
    </row>
    <row r="4" spans="2:12">
      <c r="B4" s="254"/>
      <c r="C4" s="255"/>
      <c r="D4" s="256"/>
      <c r="E4" s="256" t="s">
        <v>198</v>
      </c>
      <c r="F4" s="256"/>
      <c r="G4" s="255"/>
      <c r="H4" s="255"/>
      <c r="I4" s="257"/>
      <c r="J4" s="786"/>
      <c r="K4" s="785"/>
      <c r="L4" s="785"/>
    </row>
    <row r="5" spans="2:12">
      <c r="B5" s="254"/>
      <c r="C5" s="255"/>
      <c r="D5" s="255"/>
      <c r="E5" s="255" t="s">
        <v>737</v>
      </c>
      <c r="F5" s="255"/>
      <c r="G5" s="255"/>
      <c r="H5" s="255"/>
      <c r="I5" s="257"/>
      <c r="J5" s="786"/>
      <c r="K5" s="785"/>
      <c r="L5" s="785"/>
    </row>
    <row r="6" spans="2:12">
      <c r="B6" s="254"/>
      <c r="C6" s="255"/>
      <c r="D6" s="255"/>
      <c r="E6" s="255"/>
      <c r="F6" s="255"/>
      <c r="G6" s="255"/>
      <c r="H6" s="255"/>
      <c r="I6" s="257"/>
      <c r="J6" s="786"/>
      <c r="K6" s="785"/>
      <c r="L6" s="785"/>
    </row>
    <row r="7" spans="2:12">
      <c r="B7" s="258" t="s">
        <v>3</v>
      </c>
      <c r="C7" s="256" t="s">
        <v>79</v>
      </c>
      <c r="D7" s="256" t="s">
        <v>79</v>
      </c>
      <c r="E7" s="256" t="s">
        <v>79</v>
      </c>
      <c r="F7" s="256" t="s">
        <v>744</v>
      </c>
      <c r="G7" s="256" t="s">
        <v>80</v>
      </c>
      <c r="H7" s="256" t="s">
        <v>80</v>
      </c>
      <c r="I7" s="259" t="s">
        <v>81</v>
      </c>
      <c r="J7" s="786"/>
      <c r="K7" s="785"/>
      <c r="L7" s="785"/>
    </row>
    <row r="8" spans="2:12" ht="13.5" thickBot="1">
      <c r="B8" s="1063"/>
      <c r="C8" s="1064" t="s">
        <v>82</v>
      </c>
      <c r="D8" s="1064" t="s">
        <v>83</v>
      </c>
      <c r="E8" s="1064" t="s">
        <v>84</v>
      </c>
      <c r="F8" s="1064" t="s">
        <v>745</v>
      </c>
      <c r="G8" s="1064" t="s">
        <v>85</v>
      </c>
      <c r="H8" s="1064" t="s">
        <v>86</v>
      </c>
      <c r="I8" s="1065" t="s">
        <v>87</v>
      </c>
      <c r="J8" s="785"/>
      <c r="K8" s="785"/>
      <c r="L8" s="785"/>
    </row>
    <row r="9" spans="2:12">
      <c r="B9" s="989"/>
      <c r="C9" s="789"/>
      <c r="D9" s="789"/>
      <c r="E9" s="789"/>
      <c r="F9" s="789"/>
      <c r="G9" s="789"/>
      <c r="H9" s="789"/>
      <c r="I9" s="790"/>
      <c r="J9" s="785"/>
      <c r="K9" s="785"/>
      <c r="L9" s="785"/>
    </row>
    <row r="10" spans="2:12">
      <c r="B10" s="1066" t="s">
        <v>55</v>
      </c>
      <c r="C10" s="791">
        <f>SECT_U.FIS.!D12</f>
        <v>1256.5717663390003</v>
      </c>
      <c r="D10" s="791">
        <f>SECT_U.FIS.!D26</f>
        <v>495.41221140645712</v>
      </c>
      <c r="E10" s="791">
        <f>SECT_U.FIS.!D33</f>
        <v>5.0519999999999996</v>
      </c>
      <c r="F10" s="1228">
        <f>SECT_U.FIS.!D44</f>
        <v>32.461146857142857</v>
      </c>
      <c r="G10" s="1228">
        <f>SUM(C10:F10)</f>
        <v>1789.4971246026003</v>
      </c>
      <c r="H10" s="1228">
        <f>SECT_U.FIS.!D57</f>
        <v>118.85964995239999</v>
      </c>
      <c r="I10" s="1229">
        <f>G10+H10</f>
        <v>1908.3567745550004</v>
      </c>
      <c r="J10" s="787"/>
      <c r="K10" s="788"/>
      <c r="L10" s="785"/>
    </row>
    <row r="11" spans="2:12">
      <c r="B11" s="1067" t="s">
        <v>180</v>
      </c>
      <c r="C11" s="791"/>
      <c r="D11" s="791"/>
      <c r="E11" s="791"/>
      <c r="F11" s="791"/>
      <c r="G11" s="791"/>
      <c r="H11" s="791"/>
      <c r="I11" s="790"/>
      <c r="J11" s="785"/>
      <c r="K11" s="785"/>
      <c r="L11" s="785"/>
    </row>
    <row r="12" spans="2:12">
      <c r="B12" s="1066" t="s">
        <v>56</v>
      </c>
      <c r="C12" s="791">
        <f>SECT_U.FIS.!C12</f>
        <v>3910.9772359999993</v>
      </c>
      <c r="D12" s="791">
        <f>SECT_U.FIS.!C26</f>
        <v>1635.0002332857134</v>
      </c>
      <c r="E12" s="791">
        <f>SECT_U.FIS.!C33</f>
        <v>119.20486</v>
      </c>
      <c r="F12" s="1228">
        <f>SECT_U.FIS.!C44</f>
        <v>2.1444553809523805</v>
      </c>
      <c r="G12" s="1228">
        <f>SUM(C12:F12)</f>
        <v>5667.3267846666649</v>
      </c>
      <c r="H12" s="1228">
        <f>SECT_U.FIS.!C57</f>
        <v>270.20439833333313</v>
      </c>
      <c r="I12" s="1229">
        <f>G12+H12</f>
        <v>5937.5311829999982</v>
      </c>
      <c r="J12" s="787"/>
      <c r="K12" s="788"/>
      <c r="L12" s="785"/>
    </row>
    <row r="13" spans="2:12">
      <c r="B13" s="1067" t="s">
        <v>179</v>
      </c>
      <c r="C13" s="791"/>
      <c r="D13" s="791"/>
      <c r="E13" s="791"/>
      <c r="F13" s="1228"/>
      <c r="G13" s="1228"/>
      <c r="H13" s="1228"/>
      <c r="I13" s="1229"/>
      <c r="J13" s="785"/>
      <c r="K13" s="785"/>
      <c r="L13" s="785"/>
    </row>
    <row r="14" spans="2:12">
      <c r="B14" s="1066" t="s">
        <v>199</v>
      </c>
      <c r="C14" s="791">
        <f>SECT_U.FIS.!E12</f>
        <v>2885.5657739999997</v>
      </c>
      <c r="D14" s="791">
        <f>SECT_U.FIS.!E26</f>
        <v>0</v>
      </c>
      <c r="E14" s="791">
        <f>SECT_U.FIS.!E33</f>
        <v>0</v>
      </c>
      <c r="F14" s="1228">
        <f>SECT_U.FIS.!E44</f>
        <v>0</v>
      </c>
      <c r="G14" s="1228">
        <f>SUM(C14:F14)</f>
        <v>2885.5657739999997</v>
      </c>
      <c r="H14" s="1228">
        <f>SECT_U.FIS.!E57</f>
        <v>0</v>
      </c>
      <c r="I14" s="1229">
        <f>G14+H14</f>
        <v>2885.5657739999997</v>
      </c>
      <c r="J14" s="787"/>
      <c r="K14" s="788"/>
      <c r="L14" s="785"/>
    </row>
    <row r="15" spans="2:12">
      <c r="B15" s="1067" t="s">
        <v>179</v>
      </c>
      <c r="C15" s="791"/>
      <c r="D15" s="791"/>
      <c r="E15" s="791"/>
      <c r="F15" s="1228"/>
      <c r="G15" s="1228"/>
      <c r="H15" s="1228"/>
      <c r="I15" s="1229"/>
      <c r="J15" s="785"/>
      <c r="K15" s="785"/>
      <c r="L15" s="785"/>
    </row>
    <row r="16" spans="2:12">
      <c r="B16" s="1066" t="s">
        <v>200</v>
      </c>
      <c r="C16" s="791">
        <v>0</v>
      </c>
      <c r="D16" s="791">
        <v>0</v>
      </c>
      <c r="E16" s="791">
        <v>0</v>
      </c>
      <c r="F16" s="791">
        <v>0</v>
      </c>
      <c r="G16" s="1228">
        <f>SUM(C16:F16)</f>
        <v>0</v>
      </c>
      <c r="H16" s="1228">
        <v>0</v>
      </c>
      <c r="I16" s="1229">
        <f>G16+H16</f>
        <v>0</v>
      </c>
      <c r="J16" s="787"/>
      <c r="K16" s="788"/>
      <c r="L16" s="785"/>
    </row>
    <row r="17" spans="2:12">
      <c r="B17" s="1067" t="s">
        <v>179</v>
      </c>
      <c r="C17" s="791"/>
      <c r="D17" s="791"/>
      <c r="E17" s="791"/>
      <c r="F17" s="1228"/>
      <c r="G17" s="1228"/>
      <c r="H17" s="1228"/>
      <c r="I17" s="1229"/>
      <c r="J17" s="785"/>
      <c r="K17" s="785"/>
      <c r="L17" s="785"/>
    </row>
    <row r="18" spans="2:12">
      <c r="B18" s="1066" t="s">
        <v>59</v>
      </c>
      <c r="C18" s="791">
        <f>SECT_U.FIS.!G12</f>
        <v>17.001049999999999</v>
      </c>
      <c r="D18" s="791">
        <f>SECT_U.FIS.!G26</f>
        <v>27.960875000000009</v>
      </c>
      <c r="E18" s="791">
        <f>SECT_U.FIS.!G33</f>
        <v>70.840610000000012</v>
      </c>
      <c r="F18" s="1228">
        <f>SECT_U.FIS.!G44</f>
        <v>0.25080000000000002</v>
      </c>
      <c r="G18" s="1228">
        <f>SUM(C18:F18)</f>
        <v>116.05333500000002</v>
      </c>
      <c r="H18" s="1228">
        <f>SECT_U.FIS.!G57</f>
        <v>0</v>
      </c>
      <c r="I18" s="1229">
        <f>G18+H18</f>
        <v>116.05333500000002</v>
      </c>
      <c r="J18" s="787"/>
      <c r="K18" s="788"/>
      <c r="L18" s="785"/>
    </row>
    <row r="19" spans="2:12">
      <c r="B19" s="1067" t="s">
        <v>179</v>
      </c>
      <c r="C19" s="791"/>
      <c r="D19" s="791"/>
      <c r="E19" s="791"/>
      <c r="F19" s="1228"/>
      <c r="G19" s="1228"/>
      <c r="H19" s="1228"/>
      <c r="I19" s="1229"/>
      <c r="J19" s="785"/>
      <c r="K19" s="785"/>
      <c r="L19" s="785"/>
    </row>
    <row r="20" spans="2:12">
      <c r="B20" s="1066" t="s">
        <v>60</v>
      </c>
      <c r="C20" s="791">
        <f>SECT_U.FIS.!H12</f>
        <v>0.56072475663265309</v>
      </c>
      <c r="D20" s="791">
        <f>SECT_U.FIS.!H26</f>
        <v>158.87902752877318</v>
      </c>
      <c r="E20" s="791">
        <f>SECT_U.FIS.!H33</f>
        <v>822.03736898759428</v>
      </c>
      <c r="F20" s="1228">
        <f>SECT_U.FIS.!H44</f>
        <v>1.0635260000000004</v>
      </c>
      <c r="G20" s="1228">
        <f>SUM(C20:F20)</f>
        <v>982.5406472730001</v>
      </c>
      <c r="H20" s="1228">
        <f>SECT_U.FIS.!H57</f>
        <v>2.8093496499999997</v>
      </c>
      <c r="I20" s="1229">
        <f>G20+H20</f>
        <v>985.34999692300005</v>
      </c>
      <c r="J20" s="787"/>
      <c r="K20" s="788"/>
      <c r="L20" s="785"/>
    </row>
    <row r="21" spans="2:12">
      <c r="B21" s="1067" t="s">
        <v>180</v>
      </c>
      <c r="C21" s="791"/>
      <c r="D21" s="791"/>
      <c r="E21" s="791"/>
      <c r="F21" s="1228"/>
      <c r="G21" s="1228"/>
      <c r="H21" s="1228"/>
      <c r="I21" s="1229"/>
      <c r="J21" s="785"/>
      <c r="K21" s="788"/>
      <c r="L21" s="785"/>
    </row>
    <row r="22" spans="2:12">
      <c r="B22" s="1066" t="s">
        <v>61</v>
      </c>
      <c r="C22" s="791">
        <f>SECT_U.FIS.!I12</f>
        <v>5.8550000000000004</v>
      </c>
      <c r="D22" s="791">
        <f>SECT_U.FIS.!I26</f>
        <v>0</v>
      </c>
      <c r="E22" s="791">
        <f>SECT_U.FIS.!I33</f>
        <v>0</v>
      </c>
      <c r="F22" s="1228">
        <f>SECT_U.FIS.!I44</f>
        <v>0</v>
      </c>
      <c r="G22" s="1228">
        <f>SUM(C22:F22)</f>
        <v>5.8550000000000004</v>
      </c>
      <c r="H22" s="1228">
        <f>SECT_U.FIS.!I57</f>
        <v>0</v>
      </c>
      <c r="I22" s="1229">
        <f>G22+H22</f>
        <v>5.8550000000000004</v>
      </c>
      <c r="J22" s="787"/>
      <c r="K22" s="788"/>
      <c r="L22" s="785"/>
    </row>
    <row r="23" spans="2:12">
      <c r="B23" s="1067" t="s">
        <v>179</v>
      </c>
      <c r="C23" s="791"/>
      <c r="D23" s="791"/>
      <c r="E23" s="791"/>
      <c r="F23" s="1228"/>
      <c r="G23" s="1228"/>
      <c r="H23" s="1228"/>
      <c r="I23" s="1229"/>
      <c r="J23" s="785"/>
      <c r="K23" s="785"/>
      <c r="L23" s="785"/>
    </row>
    <row r="24" spans="2:12">
      <c r="B24" s="1066" t="s">
        <v>62</v>
      </c>
      <c r="C24" s="791">
        <f>SECT_U.FIS.!J12</f>
        <v>761.38774100000012</v>
      </c>
      <c r="D24" s="791">
        <f>SECT_U.FIS.!J26</f>
        <v>1.9999999999999998E-4</v>
      </c>
      <c r="E24" s="791">
        <f>SECT_U.FIS.!J33</f>
        <v>0</v>
      </c>
      <c r="F24" s="1228">
        <f>SECT_U.FIS.!J44</f>
        <v>0</v>
      </c>
      <c r="G24" s="1228">
        <f>SUM(C24:F24)</f>
        <v>761.38794100000007</v>
      </c>
      <c r="H24" s="1228">
        <f>SECT_U.FIS.!J57</f>
        <v>0</v>
      </c>
      <c r="I24" s="1229">
        <f>G24+H24</f>
        <v>761.38794100000007</v>
      </c>
      <c r="J24" s="787"/>
      <c r="K24" s="788"/>
      <c r="L24" s="785"/>
    </row>
    <row r="25" spans="2:12">
      <c r="B25" s="1067" t="s">
        <v>179</v>
      </c>
      <c r="C25" s="791"/>
      <c r="D25" s="791"/>
      <c r="E25" s="791"/>
      <c r="F25" s="1228"/>
      <c r="G25" s="1228"/>
      <c r="H25" s="1228"/>
      <c r="I25" s="1229"/>
      <c r="J25" s="785"/>
      <c r="K25" s="785"/>
      <c r="L25" s="785"/>
    </row>
    <row r="26" spans="2:12">
      <c r="B26" s="1066" t="s">
        <v>63</v>
      </c>
      <c r="C26" s="791">
        <f>SECT_U.FIS.!K12</f>
        <v>6.8000000000000014E-3</v>
      </c>
      <c r="D26" s="791">
        <f>SECT_U.FIS.!K26</f>
        <v>1.7223680000000001</v>
      </c>
      <c r="E26" s="791">
        <f>SECT_U.FIS.!K33</f>
        <v>1.38809</v>
      </c>
      <c r="F26" s="1228">
        <f>SECT_U.FIS.!K44</f>
        <v>163.32103685714281</v>
      </c>
      <c r="G26" s="1228">
        <f>SUM(C26:F26)</f>
        <v>166.43829485714281</v>
      </c>
      <c r="H26" s="1228">
        <f>SECT_U.FIS.!K57</f>
        <v>3.7407999999999997E-2</v>
      </c>
      <c r="I26" s="1229">
        <f>G26+H26</f>
        <v>166.47570285714281</v>
      </c>
      <c r="J26" s="787"/>
      <c r="K26" s="788"/>
      <c r="L26" s="785"/>
    </row>
    <row r="27" spans="2:12">
      <c r="B27" s="1067" t="s">
        <v>179</v>
      </c>
      <c r="C27" s="791"/>
      <c r="D27" s="791"/>
      <c r="E27" s="791"/>
      <c r="F27" s="1228"/>
      <c r="G27" s="1228"/>
      <c r="H27" s="1228"/>
      <c r="I27" s="1229"/>
      <c r="J27" s="785"/>
      <c r="K27" s="785"/>
      <c r="L27" s="785"/>
    </row>
    <row r="28" spans="2:12">
      <c r="B28" s="1066" t="s">
        <v>64</v>
      </c>
      <c r="C28" s="791">
        <f>SECT_U.FIS.!L12</f>
        <v>0</v>
      </c>
      <c r="D28" s="791">
        <f>SECT_U.FIS.!L26</f>
        <v>0.8607981220657277</v>
      </c>
      <c r="E28" s="791">
        <f>SECT_U.FIS.!L33</f>
        <v>0</v>
      </c>
      <c r="F28" s="1228">
        <f>SECT_U.FIS.!L44</f>
        <v>673.32369999999992</v>
      </c>
      <c r="G28" s="1228">
        <f>SUM(C28:F28)</f>
        <v>674.18449812206563</v>
      </c>
      <c r="H28" s="1228">
        <f>SECT_U.FIS.!L57</f>
        <v>49.353809389671362</v>
      </c>
      <c r="I28" s="1229">
        <f>G28+H28</f>
        <v>723.538307511737</v>
      </c>
      <c r="J28" s="787"/>
      <c r="K28" s="788"/>
      <c r="L28" s="785"/>
    </row>
    <row r="29" spans="2:12">
      <c r="B29" s="1067" t="s">
        <v>179</v>
      </c>
      <c r="C29" s="791"/>
      <c r="D29" s="791"/>
      <c r="E29" s="791"/>
      <c r="F29" s="1228"/>
      <c r="G29" s="1228"/>
      <c r="H29" s="1228"/>
      <c r="I29" s="1229"/>
      <c r="J29" s="785"/>
      <c r="K29" s="785"/>
      <c r="L29" s="785"/>
    </row>
    <row r="30" spans="2:12">
      <c r="B30" s="1066" t="s">
        <v>18</v>
      </c>
      <c r="C30" s="791">
        <f>SECT_U.FIS.!M12</f>
        <v>251.87243700000002</v>
      </c>
      <c r="D30" s="791">
        <f>SECT_U.FIS.!M26</f>
        <v>32424.314309495367</v>
      </c>
      <c r="E30" s="791">
        <f>SECT_U.FIS.!M33</f>
        <v>15367.858966148549</v>
      </c>
      <c r="F30" s="1228">
        <f>SECT_U.FIS.!M44</f>
        <v>2051.8924814689267</v>
      </c>
      <c r="G30" s="1228">
        <f>SUM(C30:F30)</f>
        <v>50095.938194112838</v>
      </c>
      <c r="H30" s="1228">
        <f>SECT_U.FIS.!M57</f>
        <v>0</v>
      </c>
      <c r="I30" s="1229">
        <f>G30+H30</f>
        <v>50095.938194112838</v>
      </c>
      <c r="J30" s="787"/>
      <c r="K30" s="788"/>
      <c r="L30" s="785"/>
    </row>
    <row r="31" spans="2:12">
      <c r="B31" s="1067" t="s">
        <v>183</v>
      </c>
      <c r="C31" s="791"/>
      <c r="D31" s="791"/>
      <c r="E31" s="791"/>
      <c r="F31" s="1228"/>
      <c r="G31" s="1228"/>
      <c r="H31" s="1228"/>
      <c r="I31" s="1229"/>
      <c r="J31" s="785"/>
      <c r="K31" s="785"/>
      <c r="L31" s="785"/>
    </row>
    <row r="32" spans="2:12">
      <c r="B32" s="1066" t="s">
        <v>7</v>
      </c>
      <c r="C32" s="791">
        <f>SECT_U.FIS.!N12</f>
        <v>1.3334285714285715E-2</v>
      </c>
      <c r="D32" s="791">
        <f>SECT_U.FIS.!N26</f>
        <v>630.10179199586753</v>
      </c>
      <c r="E32" s="791">
        <f>SECT_U.FIS.!N33</f>
        <v>5.9921085714285738</v>
      </c>
      <c r="F32" s="1228">
        <f>SECT_U.FIS.!N44</f>
        <v>0.17347645047244806</v>
      </c>
      <c r="G32" s="1228">
        <f>SUM(C32:F32)</f>
        <v>636.28071130348292</v>
      </c>
      <c r="H32" s="1228">
        <f>SECT_U.FIS.!N57</f>
        <v>3303.0521044564489</v>
      </c>
      <c r="I32" s="1229">
        <f>G32+H32</f>
        <v>3939.3328157599317</v>
      </c>
      <c r="J32" s="787"/>
      <c r="K32" s="788"/>
      <c r="L32" s="785"/>
    </row>
    <row r="33" spans="2:12">
      <c r="B33" s="1067" t="s">
        <v>180</v>
      </c>
      <c r="C33" s="791"/>
      <c r="D33" s="791"/>
      <c r="E33" s="791"/>
      <c r="F33" s="1228"/>
      <c r="G33" s="1228"/>
      <c r="H33" s="1228"/>
      <c r="I33" s="1229"/>
      <c r="J33" s="785"/>
      <c r="K33" s="785"/>
      <c r="L33" s="785"/>
    </row>
    <row r="34" spans="2:12">
      <c r="B34" s="1066" t="s">
        <v>66</v>
      </c>
      <c r="C34" s="791">
        <f>SECT_U.FIS.!O12</f>
        <v>0</v>
      </c>
      <c r="D34" s="791">
        <f>SECT_U.FIS.!O26</f>
        <v>382.72987000000018</v>
      </c>
      <c r="E34" s="791">
        <f>SECT_U.FIS.!O33</f>
        <v>0</v>
      </c>
      <c r="F34" s="1228">
        <f>SECT_U.FIS.!O44</f>
        <v>0</v>
      </c>
      <c r="G34" s="1228">
        <f>SUM(C34:F34)</f>
        <v>382.72987000000018</v>
      </c>
      <c r="H34" s="1228">
        <f>SECT_U.FIS.!O57</f>
        <v>1006.7726362619045</v>
      </c>
      <c r="I34" s="1229">
        <f>G34+H34</f>
        <v>1389.5025062619047</v>
      </c>
      <c r="J34" s="787"/>
      <c r="K34" s="788"/>
      <c r="L34" s="785"/>
    </row>
    <row r="35" spans="2:12">
      <c r="B35" s="1067" t="s">
        <v>180</v>
      </c>
      <c r="C35" s="791"/>
      <c r="D35" s="791"/>
      <c r="E35" s="791"/>
      <c r="F35" s="1228"/>
      <c r="G35" s="1228"/>
      <c r="H35" s="1228"/>
      <c r="I35" s="1229"/>
      <c r="J35" s="785"/>
      <c r="K35" s="785"/>
      <c r="L35" s="785"/>
    </row>
    <row r="36" spans="2:12">
      <c r="B36" s="1066" t="s">
        <v>185</v>
      </c>
      <c r="C36" s="791">
        <f>SECT_U.FIS.!P12</f>
        <v>0</v>
      </c>
      <c r="D36" s="791">
        <f>SECT_U.FIS.!P26</f>
        <v>0</v>
      </c>
      <c r="E36" s="791">
        <f>SECT_U.FIS.!P33</f>
        <v>0</v>
      </c>
      <c r="F36" s="1228">
        <f>SECT_U.FIS.!P44</f>
        <v>16358.173076923078</v>
      </c>
      <c r="G36" s="1228">
        <f>SUM(C36:F36)</f>
        <v>16358.173076923078</v>
      </c>
      <c r="H36" s="1228">
        <f>SECT_U.FIS.!P57</f>
        <v>0</v>
      </c>
      <c r="I36" s="1229">
        <f>G36+H36</f>
        <v>16358.173076923078</v>
      </c>
      <c r="J36" s="787"/>
      <c r="K36" s="788"/>
      <c r="L36" s="785"/>
    </row>
    <row r="37" spans="2:12">
      <c r="B37" s="1067" t="s">
        <v>179</v>
      </c>
      <c r="C37" s="791"/>
      <c r="D37" s="791"/>
      <c r="E37" s="791"/>
      <c r="F37" s="1228"/>
      <c r="G37" s="1228"/>
      <c r="H37" s="1228"/>
      <c r="I37" s="1229"/>
      <c r="J37" s="785"/>
      <c r="K37" s="785"/>
      <c r="L37" s="785"/>
    </row>
    <row r="38" spans="2:12">
      <c r="B38" s="1066" t="s">
        <v>20</v>
      </c>
      <c r="C38" s="791">
        <f>SECT_U.FIS.!Q12</f>
        <v>3.1502899999999998E-4</v>
      </c>
      <c r="D38" s="791">
        <f>SECT_U.FIS.!Q26</f>
        <v>208.35797919024</v>
      </c>
      <c r="E38" s="791">
        <f>SECT_U.FIS.!Q33</f>
        <v>52.901405338000004</v>
      </c>
      <c r="F38" s="1228">
        <f>SECT_U.FIS.!Q44</f>
        <v>64.432000000000002</v>
      </c>
      <c r="G38" s="1228">
        <f>SUM(C38:F38)</f>
        <v>325.69169955724004</v>
      </c>
      <c r="H38" s="1228">
        <f>SECT_U.FIS.!Q57</f>
        <v>0</v>
      </c>
      <c r="I38" s="1229">
        <f>G38+H38</f>
        <v>325.69169955724004</v>
      </c>
      <c r="J38" s="787"/>
      <c r="K38" s="788"/>
      <c r="L38" s="785"/>
    </row>
    <row r="39" spans="2:12">
      <c r="B39" s="1067" t="s">
        <v>181</v>
      </c>
      <c r="C39" s="791"/>
      <c r="D39" s="791"/>
      <c r="E39" s="791"/>
      <c r="F39" s="1228"/>
      <c r="G39" s="1228"/>
      <c r="H39" s="1228"/>
      <c r="I39" s="1229"/>
      <c r="J39" s="785"/>
      <c r="K39" s="785"/>
      <c r="L39" s="785"/>
    </row>
    <row r="40" spans="2:12">
      <c r="B40" s="1066" t="s">
        <v>69</v>
      </c>
      <c r="C40" s="791">
        <f>SECT_U.FIS.!R12</f>
        <v>0</v>
      </c>
      <c r="D40" s="791">
        <f>SECT_U.FIS.!R26</f>
        <v>323.96065077777786</v>
      </c>
      <c r="E40" s="791">
        <f>SECT_U.FIS.!R33</f>
        <v>0</v>
      </c>
      <c r="F40" s="1228">
        <f>SECT_U.FIS.!R44</f>
        <v>1010.5522222222222</v>
      </c>
      <c r="G40" s="1228">
        <f>SUM(C40:F40)</f>
        <v>1334.5128730000001</v>
      </c>
      <c r="H40" s="1228">
        <f>SECT_U.FIS.!R57</f>
        <v>0</v>
      </c>
      <c r="I40" s="1229">
        <f>G40+H40</f>
        <v>1334.5128730000001</v>
      </c>
      <c r="J40" s="787"/>
      <c r="K40" s="788"/>
      <c r="L40" s="785"/>
    </row>
    <row r="41" spans="2:12">
      <c r="B41" s="1067" t="s">
        <v>180</v>
      </c>
      <c r="C41" s="791"/>
      <c r="D41" s="791"/>
      <c r="E41" s="791"/>
      <c r="F41" s="1228"/>
      <c r="G41" s="1228"/>
      <c r="H41" s="1228"/>
      <c r="I41" s="1229"/>
      <c r="J41" s="785"/>
      <c r="K41" s="785"/>
      <c r="L41" s="785"/>
    </row>
    <row r="42" spans="2:12">
      <c r="B42" s="1066" t="s">
        <v>201</v>
      </c>
      <c r="C42" s="791">
        <f>SECT_U.FIS.!S12</f>
        <v>36.65598120034668</v>
      </c>
      <c r="D42" s="791">
        <f>SECT_U.FIS.!S26</f>
        <v>959.28754226922035</v>
      </c>
      <c r="E42" s="791">
        <f>SECT_U.FIS.!S33</f>
        <v>502.66421460878161</v>
      </c>
      <c r="F42" s="1228">
        <f>SECT_U.FIS.!S44</f>
        <v>647.69336061219406</v>
      </c>
      <c r="G42" s="1228">
        <f>SUM(C42:F42)</f>
        <v>2146.3010986905429</v>
      </c>
      <c r="H42" s="1228">
        <f>SECT_U.FIS.!S57</f>
        <v>6158.8801195033511</v>
      </c>
      <c r="I42" s="1229">
        <f>G42+H42</f>
        <v>8305.1812181938949</v>
      </c>
      <c r="J42" s="787"/>
      <c r="K42" s="788"/>
      <c r="L42" s="785"/>
    </row>
    <row r="43" spans="2:12">
      <c r="B43" s="1067" t="s">
        <v>181</v>
      </c>
      <c r="C43" s="791"/>
      <c r="D43" s="791"/>
      <c r="E43" s="791"/>
      <c r="F43" s="1228"/>
      <c r="G43" s="1228"/>
      <c r="H43" s="1228"/>
      <c r="I43" s="1229"/>
      <c r="J43" s="785"/>
      <c r="K43" s="785"/>
      <c r="L43" s="785"/>
    </row>
    <row r="44" spans="2:12">
      <c r="B44" s="1066" t="s">
        <v>22</v>
      </c>
      <c r="C44" s="791">
        <f>SECT_U.FIS.!T12</f>
        <v>0</v>
      </c>
      <c r="D44" s="791">
        <f>SECT_U.FIS.!T26</f>
        <v>0</v>
      </c>
      <c r="E44" s="791">
        <f>SECT_U.FIS.!T33</f>
        <v>0</v>
      </c>
      <c r="F44" s="1228">
        <f>SECT_U.FIS.!T44</f>
        <v>93.92580000000001</v>
      </c>
      <c r="G44" s="1228">
        <f>SUM(C44:F44)</f>
        <v>93.92580000000001</v>
      </c>
      <c r="H44" s="1228">
        <f>SECT_U.FIS.!T57</f>
        <v>0</v>
      </c>
      <c r="I44" s="1229">
        <f>G44+H44</f>
        <v>93.92580000000001</v>
      </c>
      <c r="J44" s="787"/>
      <c r="K44" s="788"/>
      <c r="L44" s="785"/>
    </row>
    <row r="45" spans="2:12">
      <c r="B45" s="1067" t="s">
        <v>180</v>
      </c>
      <c r="C45" s="791"/>
      <c r="D45" s="791"/>
      <c r="E45" s="791"/>
      <c r="F45" s="1228"/>
      <c r="G45" s="1228"/>
      <c r="H45" s="1228"/>
      <c r="I45" s="1229"/>
      <c r="J45" s="785"/>
      <c r="K45" s="785"/>
      <c r="L45" s="785"/>
    </row>
    <row r="46" spans="2:12">
      <c r="B46" s="1066" t="s">
        <v>9</v>
      </c>
      <c r="C46" s="791">
        <f>SECT_U.FIS.!V12</f>
        <v>0</v>
      </c>
      <c r="D46" s="791">
        <f>SECT_U.FIS.!V26</f>
        <v>3202.9023622697532</v>
      </c>
      <c r="E46" s="791">
        <f>SECT_U.FIS.!V33</f>
        <v>8304.9730401818288</v>
      </c>
      <c r="F46" s="1228">
        <f>SECT_U.FIS.!V44</f>
        <v>0</v>
      </c>
      <c r="G46" s="1228">
        <f>SUM(C46:F46)</f>
        <v>11507.875402451582</v>
      </c>
      <c r="H46" s="1228">
        <f>SECT_U.FIS.!V57</f>
        <v>1631.4189017412423</v>
      </c>
      <c r="I46" s="1229">
        <f>G46+H46</f>
        <v>13139.294304192825</v>
      </c>
      <c r="J46" s="787"/>
      <c r="K46" s="788"/>
      <c r="L46" s="785"/>
    </row>
    <row r="47" spans="2:12">
      <c r="B47" s="1067" t="s">
        <v>180</v>
      </c>
      <c r="C47" s="791"/>
      <c r="D47" s="791"/>
      <c r="E47" s="791"/>
      <c r="F47" s="1228"/>
      <c r="G47" s="1228"/>
      <c r="H47" s="1228"/>
      <c r="I47" s="1229"/>
      <c r="J47" s="785"/>
      <c r="K47" s="785"/>
      <c r="L47" s="785"/>
    </row>
    <row r="48" spans="2:12">
      <c r="B48" s="1066" t="s">
        <v>10</v>
      </c>
      <c r="C48" s="791">
        <v>0</v>
      </c>
      <c r="D48" s="791">
        <v>0</v>
      </c>
      <c r="E48" s="791">
        <v>0</v>
      </c>
      <c r="F48" s="791">
        <v>0</v>
      </c>
      <c r="G48" s="1228">
        <f>SUM(C48:F48)</f>
        <v>0</v>
      </c>
      <c r="H48" s="1228">
        <v>0</v>
      </c>
      <c r="I48" s="1229">
        <f>G48+H48</f>
        <v>0</v>
      </c>
      <c r="J48" s="787"/>
      <c r="K48" s="785"/>
      <c r="L48" s="785"/>
    </row>
    <row r="49" spans="2:12" ht="13.5" thickBot="1">
      <c r="B49" s="1068" t="s">
        <v>180</v>
      </c>
      <c r="C49" s="792"/>
      <c r="D49" s="792"/>
      <c r="E49" s="792"/>
      <c r="F49" s="792"/>
      <c r="G49" s="792"/>
      <c r="H49" s="792"/>
      <c r="I49" s="793"/>
      <c r="J49" s="788"/>
      <c r="K49" s="785"/>
      <c r="L49" s="785"/>
    </row>
    <row r="50" spans="2:12">
      <c r="B50" s="21" t="s">
        <v>14</v>
      </c>
      <c r="C50" s="21"/>
      <c r="D50" s="21"/>
      <c r="E50" s="21"/>
      <c r="F50" s="21"/>
      <c r="G50" s="21"/>
      <c r="H50" s="21"/>
      <c r="I50" s="21"/>
      <c r="J50" s="76"/>
      <c r="K50" s="76"/>
      <c r="L50" s="76"/>
    </row>
    <row r="51" spans="2:12">
      <c r="B51" s="21" t="s">
        <v>800</v>
      </c>
      <c r="C51" s="21"/>
      <c r="D51" s="21"/>
      <c r="E51" s="21"/>
      <c r="F51" s="21"/>
      <c r="G51" s="21"/>
      <c r="H51" s="21"/>
      <c r="I51" s="21"/>
      <c r="J51" s="76"/>
      <c r="K51" s="76"/>
      <c r="L51" s="76"/>
    </row>
    <row r="52" spans="2:12">
      <c r="B52" s="785"/>
      <c r="C52" s="785"/>
      <c r="D52" s="785"/>
      <c r="E52" s="785"/>
      <c r="F52" s="785"/>
      <c r="G52" s="785"/>
      <c r="H52" s="785"/>
      <c r="I52" s="785"/>
      <c r="J52" s="785"/>
      <c r="K52" s="785"/>
      <c r="L52" s="785"/>
    </row>
    <row r="53" spans="2:12">
      <c r="B53" s="785"/>
      <c r="C53" s="785"/>
      <c r="D53" s="785"/>
      <c r="E53" s="785"/>
      <c r="F53" s="785"/>
      <c r="G53" s="785"/>
      <c r="H53" s="785"/>
      <c r="I53" s="785"/>
      <c r="J53" s="785"/>
      <c r="K53" s="785"/>
      <c r="L53" s="785"/>
    </row>
    <row r="54" spans="2:12">
      <c r="B54" s="785"/>
      <c r="C54" s="785"/>
      <c r="D54" s="785"/>
      <c r="E54" s="785"/>
      <c r="F54" s="785"/>
      <c r="G54" s="785"/>
      <c r="H54" s="785"/>
      <c r="I54" s="785"/>
      <c r="J54" s="785"/>
      <c r="K54" s="785"/>
      <c r="L54" s="785"/>
    </row>
    <row r="55" spans="2:12">
      <c r="B55" s="785"/>
      <c r="C55" s="785"/>
      <c r="D55" s="785"/>
      <c r="E55" s="785"/>
      <c r="F55" s="785"/>
      <c r="G55" s="785"/>
      <c r="H55" s="785"/>
      <c r="I55" s="785"/>
      <c r="J55" s="785"/>
      <c r="K55" s="785"/>
      <c r="L55" s="785"/>
    </row>
    <row r="56" spans="2:12">
      <c r="B56" s="785"/>
      <c r="C56" s="785"/>
      <c r="D56" s="785"/>
      <c r="E56" s="785"/>
      <c r="F56" s="785"/>
      <c r="G56" s="785"/>
      <c r="H56" s="785"/>
      <c r="I56" s="785"/>
      <c r="J56" s="785"/>
      <c r="K56" s="785"/>
      <c r="L56" s="785"/>
    </row>
    <row r="57" spans="2:12">
      <c r="B57" s="22"/>
      <c r="C57" s="22"/>
      <c r="D57" s="22"/>
      <c r="E57" s="22"/>
      <c r="F57" s="22"/>
      <c r="G57" s="22"/>
      <c r="H57" s="22"/>
      <c r="I57" s="22"/>
    </row>
    <row r="58" spans="2:12">
      <c r="B58" s="22"/>
      <c r="C58" s="22"/>
      <c r="D58" s="22"/>
      <c r="E58" s="22"/>
      <c r="F58" s="22"/>
      <c r="G58" s="22"/>
      <c r="H58" s="22"/>
      <c r="I58" s="22"/>
    </row>
    <row r="59" spans="2:12">
      <c r="B59" s="22"/>
      <c r="C59" s="22"/>
      <c r="D59" s="22"/>
      <c r="E59" s="22"/>
      <c r="F59" s="22"/>
      <c r="G59" s="22"/>
      <c r="H59" s="22"/>
      <c r="I59" s="22"/>
    </row>
    <row r="60" spans="2:12">
      <c r="B60" s="22"/>
      <c r="C60" s="22"/>
      <c r="D60" s="22"/>
      <c r="E60" s="22"/>
      <c r="F60" s="22"/>
      <c r="G60" s="22"/>
      <c r="H60" s="22"/>
      <c r="I60" s="22"/>
    </row>
    <row r="61" spans="2:12">
      <c r="B61" s="22"/>
      <c r="C61" s="22"/>
      <c r="D61" s="22"/>
      <c r="E61" s="22"/>
      <c r="F61" s="22"/>
      <c r="G61" s="22"/>
      <c r="H61" s="22"/>
      <c r="I61" s="22"/>
    </row>
    <row r="62" spans="2:12">
      <c r="B62" s="22"/>
      <c r="C62" s="22"/>
      <c r="D62" s="22"/>
      <c r="E62" s="22"/>
      <c r="F62" s="22"/>
      <c r="G62" s="22"/>
      <c r="H62" s="22"/>
      <c r="I62" s="22"/>
    </row>
    <row r="63" spans="2:12">
      <c r="B63" s="22"/>
      <c r="C63" s="22"/>
      <c r="D63" s="22"/>
      <c r="E63" s="22"/>
      <c r="F63" s="22"/>
      <c r="G63" s="22"/>
      <c r="H63" s="22"/>
      <c r="I63" s="22"/>
    </row>
    <row r="64" spans="2:12">
      <c r="B64" s="22"/>
      <c r="C64" s="22"/>
      <c r="D64" s="22"/>
      <c r="E64" s="22"/>
      <c r="F64" s="22"/>
      <c r="G64" s="22"/>
      <c r="H64" s="22"/>
      <c r="I64" s="22"/>
    </row>
    <row r="65" spans="2:9">
      <c r="B65" s="22"/>
      <c r="C65" s="22"/>
      <c r="D65" s="22"/>
      <c r="E65" s="22"/>
      <c r="F65" s="22"/>
      <c r="G65" s="22"/>
      <c r="H65" s="22"/>
      <c r="I65" s="22"/>
    </row>
    <row r="66" spans="2:9" s="22" customFormat="1"/>
    <row r="67" spans="2:9" s="22" customFormat="1"/>
    <row r="68" spans="2:9" s="22" customFormat="1"/>
    <row r="69" spans="2:9" s="22" customFormat="1"/>
    <row r="70" spans="2:9" s="22" customFormat="1"/>
    <row r="71" spans="2:9" s="22" customFormat="1"/>
    <row r="72" spans="2:9" s="22" customFormat="1"/>
    <row r="73" spans="2:9" s="22" customFormat="1"/>
    <row r="74" spans="2:9" s="22" customFormat="1"/>
    <row r="75" spans="2:9" s="22" customFormat="1"/>
    <row r="76" spans="2:9" s="22" customFormat="1"/>
    <row r="77" spans="2:9" s="22" customFormat="1"/>
    <row r="78" spans="2:9" s="22" customFormat="1"/>
    <row r="79" spans="2:9" s="22" customFormat="1"/>
    <row r="80" spans="2:9" s="22" customFormat="1"/>
    <row r="81" s="22" customFormat="1"/>
    <row r="82" s="22" customFormat="1"/>
    <row r="83" s="22" customFormat="1"/>
    <row r="84" s="22" customFormat="1"/>
    <row r="85" s="22" customFormat="1"/>
    <row r="86" s="22" customFormat="1"/>
    <row r="87" s="22" customFormat="1"/>
    <row r="88" s="22" customFormat="1"/>
    <row r="89" s="22" customFormat="1"/>
    <row r="90" s="22" customFormat="1"/>
    <row r="91" s="22" customFormat="1"/>
    <row r="92" s="22" customFormat="1"/>
    <row r="93" s="22" customFormat="1"/>
    <row r="94" s="22" customFormat="1"/>
    <row r="95" s="22" customFormat="1"/>
    <row r="96" s="22" customFormat="1"/>
    <row r="97" s="22" customFormat="1"/>
    <row r="98" s="22" customFormat="1"/>
    <row r="99" s="22" customFormat="1"/>
    <row r="100" s="22" customFormat="1"/>
    <row r="101" s="22" customFormat="1"/>
    <row r="102" s="22" customFormat="1"/>
    <row r="103" s="22" customFormat="1"/>
    <row r="104" s="22" customFormat="1"/>
    <row r="105" s="22" customFormat="1"/>
    <row r="106" s="22" customFormat="1"/>
    <row r="107" s="22" customFormat="1"/>
    <row r="108" s="22" customFormat="1"/>
    <row r="109" s="22" customFormat="1"/>
    <row r="110" s="22" customFormat="1"/>
    <row r="111" s="22" customFormat="1"/>
    <row r="112" s="22" customFormat="1"/>
    <row r="113" s="22" customFormat="1"/>
    <row r="114" s="22" customFormat="1"/>
    <row r="115" s="22" customFormat="1"/>
    <row r="116" s="22" customFormat="1"/>
    <row r="117" s="22" customFormat="1"/>
    <row r="118" s="22" customFormat="1"/>
    <row r="119" s="22" customFormat="1"/>
    <row r="120" s="22" customFormat="1"/>
    <row r="121" s="22" customFormat="1"/>
    <row r="122" s="22" customFormat="1"/>
    <row r="123" s="22" customFormat="1"/>
    <row r="124" s="22" customFormat="1"/>
    <row r="125" s="22" customFormat="1"/>
    <row r="126" s="22" customFormat="1"/>
    <row r="127" s="22" customFormat="1"/>
    <row r="128" s="22" customFormat="1"/>
    <row r="129" s="22" customFormat="1"/>
    <row r="130" s="22" customFormat="1"/>
    <row r="131" s="22" customFormat="1"/>
    <row r="132" s="22" customFormat="1"/>
    <row r="133" s="22" customFormat="1"/>
    <row r="134" s="22" customFormat="1"/>
    <row r="135" s="22" customFormat="1"/>
    <row r="136" s="22" customFormat="1"/>
    <row r="137" s="22" customFormat="1"/>
    <row r="138" s="22" customFormat="1"/>
  </sheetData>
  <phoneticPr fontId="0" type="noConversion"/>
  <hyperlinks>
    <hyperlink ref="J3" location="INDICE!A60" display="VOLVER A INDICE"/>
  </hyperlinks>
  <pageMargins left="0.75" right="0.75" top="1" bottom="1" header="0" footer="0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87"/>
  <sheetViews>
    <sheetView workbookViewId="0">
      <selection activeCell="B34" sqref="B34"/>
    </sheetView>
  </sheetViews>
  <sheetFormatPr baseColWidth="10" defaultRowHeight="12.75"/>
  <cols>
    <col min="1" max="1" width="1.5703125" style="891" customWidth="1"/>
    <col min="2" max="2" width="30" style="891" customWidth="1"/>
    <col min="3" max="7" width="11.42578125" style="891"/>
    <col min="8" max="17" width="11.42578125" style="22"/>
    <col min="18" max="16384" width="11.42578125" style="891"/>
  </cols>
  <sheetData>
    <row r="1" spans="2:9" ht="4.5" customHeight="1" thickBot="1"/>
    <row r="2" spans="2:9" ht="15.75" customHeight="1" thickBot="1">
      <c r="B2" s="1069"/>
      <c r="C2" s="1070"/>
      <c r="D2" s="1070"/>
      <c r="E2" s="1070"/>
      <c r="F2" s="1070"/>
      <c r="G2" s="1071"/>
      <c r="H2" s="288"/>
      <c r="I2" s="288"/>
    </row>
    <row r="3" spans="2:9" ht="15.75">
      <c r="B3" s="279" t="s">
        <v>202</v>
      </c>
      <c r="C3" s="280"/>
      <c r="D3" s="171" t="s">
        <v>77</v>
      </c>
      <c r="E3" s="280"/>
      <c r="F3" s="280"/>
      <c r="G3" s="281"/>
      <c r="H3" s="852" t="s">
        <v>681</v>
      </c>
      <c r="I3" s="288"/>
    </row>
    <row r="4" spans="2:9" ht="15.75">
      <c r="B4" s="282"/>
      <c r="C4" s="283"/>
      <c r="D4" s="284" t="s">
        <v>737</v>
      </c>
      <c r="E4" s="283"/>
      <c r="F4" s="283"/>
      <c r="G4" s="285"/>
      <c r="H4" s="288"/>
      <c r="I4" s="288"/>
    </row>
    <row r="5" spans="2:9" ht="15.75">
      <c r="B5" s="282"/>
      <c r="C5" s="283"/>
      <c r="D5" s="283" t="s">
        <v>203</v>
      </c>
      <c r="E5" s="283"/>
      <c r="F5" s="283"/>
      <c r="G5" s="285"/>
      <c r="H5" s="288"/>
      <c r="I5" s="288"/>
    </row>
    <row r="6" spans="2:9" ht="15.75">
      <c r="B6" s="282"/>
      <c r="C6" s="283"/>
      <c r="D6" s="284" t="s">
        <v>588</v>
      </c>
      <c r="E6" s="283"/>
      <c r="F6" s="283"/>
      <c r="G6" s="285"/>
      <c r="H6" s="288"/>
      <c r="I6" s="288"/>
    </row>
    <row r="7" spans="2:9" ht="15.75">
      <c r="B7" s="282"/>
      <c r="C7" s="283"/>
      <c r="D7" s="283"/>
      <c r="E7" s="283"/>
      <c r="F7" s="283"/>
      <c r="G7" s="285"/>
      <c r="H7" s="288"/>
      <c r="I7" s="288"/>
    </row>
    <row r="8" spans="2:9" ht="16.5" thickBot="1">
      <c r="B8" s="1072" t="s">
        <v>3</v>
      </c>
      <c r="C8" s="1073" t="s">
        <v>94</v>
      </c>
      <c r="D8" s="1073" t="s">
        <v>95</v>
      </c>
      <c r="E8" s="1073" t="s">
        <v>96</v>
      </c>
      <c r="F8" s="1073" t="s">
        <v>97</v>
      </c>
      <c r="G8" s="1074" t="s">
        <v>11</v>
      </c>
      <c r="H8" s="288"/>
      <c r="I8" s="288"/>
    </row>
    <row r="9" spans="2:9">
      <c r="B9" s="1075"/>
      <c r="C9" s="286"/>
      <c r="D9" s="286"/>
      <c r="E9" s="286"/>
      <c r="F9" s="286"/>
      <c r="G9" s="287"/>
      <c r="H9" s="288"/>
      <c r="I9" s="288"/>
    </row>
    <row r="10" spans="2:9">
      <c r="B10" s="1076" t="s">
        <v>204</v>
      </c>
      <c r="C10" s="289">
        <f>SECT_U.FIS.!D7</f>
        <v>0.25927</v>
      </c>
      <c r="D10" s="289">
        <f>SECT_U.FIS.!D8</f>
        <v>0</v>
      </c>
      <c r="E10" s="289">
        <f>SECT_U.FIS.!D9</f>
        <v>1254.1563563390002</v>
      </c>
      <c r="F10" s="289">
        <f>SECT_U.FIS.!D10</f>
        <v>2.1561400000000002</v>
      </c>
      <c r="G10" s="290">
        <f>SUM(C10:F10)</f>
        <v>1256.5717663390003</v>
      </c>
      <c r="H10" s="291"/>
      <c r="I10" s="288"/>
    </row>
    <row r="11" spans="2:9">
      <c r="B11" s="1077" t="s">
        <v>180</v>
      </c>
      <c r="C11" s="289"/>
      <c r="D11" s="289"/>
      <c r="E11" s="289"/>
      <c r="F11" s="289"/>
      <c r="G11" s="290"/>
      <c r="H11" s="288"/>
      <c r="I11" s="288"/>
    </row>
    <row r="12" spans="2:9">
      <c r="B12" s="1076" t="s">
        <v>56</v>
      </c>
      <c r="C12" s="289">
        <f>SECT_U.FIS.!C7</f>
        <v>3456.2683569999999</v>
      </c>
      <c r="D12" s="289">
        <f>SECT_U.FIS.!C8</f>
        <v>19.844507999999994</v>
      </c>
      <c r="E12" s="289">
        <f>SECT_U.FIS.!C9</f>
        <v>404.71160299999985</v>
      </c>
      <c r="F12" s="289">
        <f>SECT_U.FIS.!C10</f>
        <v>30.152767999999998</v>
      </c>
      <c r="G12" s="290">
        <f>SUM(C12:F12)</f>
        <v>3910.9772359999997</v>
      </c>
      <c r="H12" s="291"/>
      <c r="I12" s="288"/>
    </row>
    <row r="13" spans="2:9">
      <c r="B13" s="1077" t="s">
        <v>179</v>
      </c>
      <c r="C13" s="289"/>
      <c r="D13" s="289"/>
      <c r="E13" s="289"/>
      <c r="F13" s="289"/>
      <c r="G13" s="290"/>
      <c r="H13" s="288"/>
      <c r="I13" s="288"/>
    </row>
    <row r="14" spans="2:9">
      <c r="B14" s="1076" t="s">
        <v>199</v>
      </c>
      <c r="C14" s="289">
        <f>SECT_U.FIS.!E7</f>
        <v>2878.9447739999996</v>
      </c>
      <c r="D14" s="289">
        <f>SECT_U.FIS.!E8</f>
        <v>0</v>
      </c>
      <c r="E14" s="289">
        <f>SECT_U.FIS.!E9</f>
        <v>6.3930000000000007</v>
      </c>
      <c r="F14" s="289">
        <f>SECT_U.FIS.!E10</f>
        <v>0.22800000000000001</v>
      </c>
      <c r="G14" s="290">
        <f>SUM(C14:F14)</f>
        <v>2885.5657739999997</v>
      </c>
      <c r="H14" s="291"/>
      <c r="I14" s="288"/>
    </row>
    <row r="15" spans="2:9">
      <c r="B15" s="1077" t="s">
        <v>179</v>
      </c>
      <c r="C15" s="289"/>
      <c r="D15" s="289"/>
      <c r="E15" s="289"/>
      <c r="F15" s="289"/>
      <c r="G15" s="290"/>
      <c r="H15" s="288"/>
      <c r="I15" s="288"/>
    </row>
    <row r="16" spans="2:9">
      <c r="B16" s="1076" t="s">
        <v>90</v>
      </c>
      <c r="C16" s="289">
        <v>0</v>
      </c>
      <c r="D16" s="289">
        <v>0</v>
      </c>
      <c r="E16" s="289">
        <v>0</v>
      </c>
      <c r="F16" s="289">
        <v>0</v>
      </c>
      <c r="G16" s="290">
        <f>SUM(C16:F16)</f>
        <v>0</v>
      </c>
      <c r="H16" s="291"/>
      <c r="I16" s="288"/>
    </row>
    <row r="17" spans="2:9">
      <c r="B17" s="1077" t="s">
        <v>179</v>
      </c>
      <c r="C17" s="289"/>
      <c r="D17" s="289"/>
      <c r="E17" s="289"/>
      <c r="F17" s="289"/>
      <c r="G17" s="290"/>
      <c r="H17" s="288"/>
      <c r="I17" s="288"/>
    </row>
    <row r="18" spans="2:9">
      <c r="B18" s="1076" t="s">
        <v>205</v>
      </c>
      <c r="C18" s="289">
        <f>SECT_U.FIS.!I7</f>
        <v>2.4E-2</v>
      </c>
      <c r="D18" s="289">
        <f>SECT_U.FIS.!I8</f>
        <v>0</v>
      </c>
      <c r="E18" s="289">
        <f>SECT_U.FIS.!I9</f>
        <v>0</v>
      </c>
      <c r="F18" s="289">
        <f>SECT_U.FIS.!I10</f>
        <v>5.8310000000000004</v>
      </c>
      <c r="G18" s="290">
        <f>SUM(C18:F18)</f>
        <v>5.8550000000000004</v>
      </c>
      <c r="H18" s="291"/>
      <c r="I18" s="288"/>
    </row>
    <row r="19" spans="2:9">
      <c r="B19" s="1077" t="s">
        <v>179</v>
      </c>
      <c r="C19" s="289"/>
      <c r="D19" s="289"/>
      <c r="E19" s="289"/>
      <c r="F19" s="289"/>
      <c r="G19" s="290"/>
      <c r="H19" s="288"/>
      <c r="I19" s="288"/>
    </row>
    <row r="20" spans="2:9">
      <c r="B20" s="1076" t="s">
        <v>62</v>
      </c>
      <c r="C20" s="289">
        <f>SECT_U.FIS.!J7</f>
        <v>0.128</v>
      </c>
      <c r="D20" s="289">
        <f>SECT_U.FIS.!J8</f>
        <v>0</v>
      </c>
      <c r="E20" s="289">
        <f>SECT_U.FIS.!J9</f>
        <v>0</v>
      </c>
      <c r="F20" s="289">
        <f>SECT_U.FIS.!J10</f>
        <v>761.25974100000008</v>
      </c>
      <c r="G20" s="290">
        <f>SUM(C20:F20)</f>
        <v>761.38774100000012</v>
      </c>
      <c r="H20" s="291"/>
      <c r="I20" s="288"/>
    </row>
    <row r="21" spans="2:9">
      <c r="B21" s="1077" t="s">
        <v>179</v>
      </c>
      <c r="C21" s="289"/>
      <c r="D21" s="289"/>
      <c r="E21" s="289"/>
      <c r="F21" s="289"/>
      <c r="G21" s="290"/>
      <c r="H21" s="288"/>
      <c r="I21" s="288"/>
    </row>
    <row r="22" spans="2:9">
      <c r="B22" s="1210" t="s">
        <v>59</v>
      </c>
      <c r="C22" s="289">
        <f>SECT_U.FIS.!G7</f>
        <v>16.610050000000001</v>
      </c>
      <c r="D22" s="289">
        <f>SECT_U.FIS.!G8</f>
        <v>0</v>
      </c>
      <c r="E22" s="289">
        <f>SECT_U.FIS.!G9</f>
        <v>0.185</v>
      </c>
      <c r="F22" s="289">
        <f>SECT_U.FIS.!G10</f>
        <v>0.20600000000000002</v>
      </c>
      <c r="G22" s="290">
        <f>SUM(C22:F22)</f>
        <v>17.001049999999999</v>
      </c>
      <c r="H22" s="288"/>
      <c r="I22" s="288"/>
    </row>
    <row r="23" spans="2:9">
      <c r="B23" s="1077" t="s">
        <v>179</v>
      </c>
      <c r="C23" s="289"/>
      <c r="D23" s="289"/>
      <c r="E23" s="289"/>
      <c r="F23" s="289"/>
      <c r="G23" s="290"/>
      <c r="H23" s="288"/>
      <c r="I23" s="288"/>
    </row>
    <row r="24" spans="2:9">
      <c r="B24" s="1210" t="s">
        <v>60</v>
      </c>
      <c r="C24" s="289">
        <f>SECT_U.FIS.!H7</f>
        <v>0.48057535663265305</v>
      </c>
      <c r="D24" s="289">
        <f>SECT_U.FIS.!H8</f>
        <v>0</v>
      </c>
      <c r="E24" s="289">
        <f>SECT_U.FIS.!H9</f>
        <v>8.0149399999999996E-2</v>
      </c>
      <c r="F24" s="289">
        <f>SECT_U.FIS.!H10</f>
        <v>0</v>
      </c>
      <c r="G24" s="290">
        <f>SUM(C24:F24)</f>
        <v>0.56072475663265309</v>
      </c>
      <c r="H24" s="288"/>
      <c r="I24" s="288"/>
    </row>
    <row r="25" spans="2:9">
      <c r="B25" s="1077" t="s">
        <v>180</v>
      </c>
      <c r="C25" s="289"/>
      <c r="D25" s="289"/>
      <c r="E25" s="289"/>
      <c r="F25" s="289"/>
      <c r="G25" s="290"/>
      <c r="H25" s="288"/>
      <c r="I25" s="288"/>
    </row>
    <row r="26" spans="2:9">
      <c r="B26" s="1076" t="s">
        <v>18</v>
      </c>
      <c r="C26" s="289">
        <f>SECT_U.FIS.!M7</f>
        <v>178.20105300000006</v>
      </c>
      <c r="D26" s="289">
        <f>SECT_U.FIS.!M8</f>
        <v>73.671383999999975</v>
      </c>
      <c r="E26" s="289">
        <f>SECT_U.FIS.!M9</f>
        <v>0</v>
      </c>
      <c r="F26" s="289">
        <f>SECT_U.FIS.!M10</f>
        <v>0</v>
      </c>
      <c r="G26" s="290">
        <f>SUM(C26:F26)</f>
        <v>251.87243700000005</v>
      </c>
      <c r="H26" s="291"/>
      <c r="I26" s="292"/>
    </row>
    <row r="27" spans="2:9">
      <c r="B27" s="1077" t="s">
        <v>183</v>
      </c>
      <c r="C27" s="289"/>
      <c r="D27" s="289"/>
      <c r="E27" s="289"/>
      <c r="F27" s="289"/>
      <c r="G27" s="290"/>
      <c r="H27" s="288"/>
      <c r="I27" s="288"/>
    </row>
    <row r="28" spans="2:9">
      <c r="B28" s="1076" t="s">
        <v>6</v>
      </c>
      <c r="C28" s="289">
        <f>SECT_U.FIS.!S7</f>
        <v>36.65598120034668</v>
      </c>
      <c r="D28" s="289">
        <f>SECT_U.FIS.!S8</f>
        <v>0</v>
      </c>
      <c r="E28" s="289">
        <f>SECT_U.FIS.!S9</f>
        <v>0</v>
      </c>
      <c r="F28" s="289">
        <f>SECT_U.FIS.!S10</f>
        <v>0</v>
      </c>
      <c r="G28" s="290">
        <f>SUM(C28:F28)</f>
        <v>36.65598120034668</v>
      </c>
      <c r="H28" s="291"/>
      <c r="I28" s="288"/>
    </row>
    <row r="29" spans="2:9">
      <c r="B29" s="1077" t="s">
        <v>181</v>
      </c>
      <c r="C29" s="289"/>
      <c r="D29" s="289"/>
      <c r="E29" s="289"/>
      <c r="F29" s="289"/>
      <c r="G29" s="290"/>
      <c r="H29" s="288"/>
      <c r="I29" s="288"/>
    </row>
    <row r="30" spans="2:9">
      <c r="B30" s="1076" t="s">
        <v>7</v>
      </c>
      <c r="C30" s="289">
        <f>SECT_U.FIS.!N7</f>
        <v>0</v>
      </c>
      <c r="D30" s="289">
        <f>SECT_U.FIS.!N8</f>
        <v>1.3334285714285715E-2</v>
      </c>
      <c r="E30" s="289">
        <f>SECT_U.FIS.!N9</f>
        <v>0</v>
      </c>
      <c r="F30" s="289">
        <f>SECT_U.FIS.!N10</f>
        <v>0</v>
      </c>
      <c r="G30" s="290">
        <f>SUM(C30:F30)</f>
        <v>1.3334285714285715E-2</v>
      </c>
      <c r="H30" s="291"/>
      <c r="I30" s="288"/>
    </row>
    <row r="31" spans="2:9">
      <c r="B31" s="1077" t="s">
        <v>180</v>
      </c>
      <c r="C31" s="289"/>
      <c r="D31" s="289"/>
      <c r="E31" s="289"/>
      <c r="F31" s="289"/>
      <c r="G31" s="290"/>
      <c r="H31" s="288"/>
      <c r="I31" s="288"/>
    </row>
    <row r="32" spans="2:9" ht="13.5" thickBot="1">
      <c r="B32" s="1078"/>
      <c r="C32" s="293"/>
      <c r="D32" s="293"/>
      <c r="E32" s="293"/>
      <c r="F32" s="293"/>
      <c r="G32" s="294"/>
      <c r="H32" s="288"/>
      <c r="I32" s="288"/>
    </row>
    <row r="33" spans="2:9">
      <c r="B33" s="21" t="s">
        <v>14</v>
      </c>
      <c r="C33" s="21"/>
      <c r="D33" s="21"/>
      <c r="E33" s="21"/>
      <c r="F33" s="21"/>
      <c r="G33" s="21"/>
      <c r="H33" s="21"/>
      <c r="I33" s="76"/>
    </row>
    <row r="34" spans="2:9">
      <c r="B34" s="21" t="s">
        <v>800</v>
      </c>
      <c r="C34" s="21"/>
      <c r="D34" s="21"/>
      <c r="E34" s="21"/>
      <c r="F34" s="21"/>
      <c r="G34" s="21"/>
      <c r="H34" s="21"/>
      <c r="I34" s="76"/>
    </row>
    <row r="35" spans="2:9">
      <c r="B35" s="288"/>
      <c r="C35" s="288"/>
      <c r="D35" s="288"/>
      <c r="E35" s="288"/>
      <c r="F35" s="288"/>
      <c r="G35" s="288"/>
      <c r="H35" s="288"/>
      <c r="I35" s="288"/>
    </row>
    <row r="36" spans="2:9">
      <c r="B36" s="22"/>
      <c r="C36" s="22"/>
      <c r="D36" s="22"/>
      <c r="E36" s="22"/>
      <c r="F36" s="22"/>
      <c r="G36" s="22"/>
    </row>
    <row r="37" spans="2:9">
      <c r="B37" s="22"/>
      <c r="C37" s="22"/>
      <c r="D37" s="22"/>
      <c r="E37" s="22"/>
      <c r="F37" s="22"/>
      <c r="G37" s="22"/>
    </row>
    <row r="38" spans="2:9" s="22" customFormat="1"/>
    <row r="39" spans="2:9" s="22" customFormat="1"/>
    <row r="40" spans="2:9" s="22" customFormat="1"/>
    <row r="41" spans="2:9" s="22" customFormat="1"/>
    <row r="42" spans="2:9" s="22" customFormat="1"/>
    <row r="43" spans="2:9" s="22" customFormat="1"/>
    <row r="44" spans="2:9" s="22" customFormat="1"/>
    <row r="45" spans="2:9" s="22" customFormat="1"/>
    <row r="46" spans="2:9" s="22" customFormat="1"/>
    <row r="47" spans="2:9" s="22" customFormat="1"/>
    <row r="48" spans="2:9" s="22" customFormat="1"/>
    <row r="49" s="22" customFormat="1"/>
    <row r="50" s="22" customFormat="1"/>
    <row r="51" s="22" customFormat="1"/>
    <row r="52" s="22" customFormat="1"/>
    <row r="53" s="22" customFormat="1"/>
    <row r="54" s="22" customFormat="1"/>
    <row r="55" s="22" customFormat="1"/>
    <row r="56" s="22" customFormat="1"/>
    <row r="57" s="22" customFormat="1"/>
    <row r="58" s="22" customFormat="1"/>
    <row r="59" s="22" customFormat="1"/>
    <row r="60" s="22" customFormat="1"/>
    <row r="61" s="22" customFormat="1"/>
    <row r="62" s="22" customFormat="1"/>
    <row r="63" s="22" customFormat="1"/>
    <row r="64" s="22" customFormat="1"/>
    <row r="65" spans="3:7" s="22" customFormat="1"/>
    <row r="66" spans="3:7" s="22" customFormat="1"/>
    <row r="67" spans="3:7" s="22" customFormat="1"/>
    <row r="68" spans="3:7" s="22" customFormat="1"/>
    <row r="69" spans="3:7" s="22" customFormat="1"/>
    <row r="70" spans="3:7" s="22" customFormat="1"/>
    <row r="71" spans="3:7" s="22" customFormat="1"/>
    <row r="72" spans="3:7" s="22" customFormat="1"/>
    <row r="73" spans="3:7" s="22" customFormat="1"/>
    <row r="74" spans="3:7" s="22" customFormat="1"/>
    <row r="75" spans="3:7" s="22" customFormat="1"/>
    <row r="76" spans="3:7" s="22" customFormat="1"/>
    <row r="77" spans="3:7" s="22" customFormat="1"/>
    <row r="78" spans="3:7" s="22" customFormat="1"/>
    <row r="79" spans="3:7" s="22" customFormat="1"/>
    <row r="80" spans="3:7">
      <c r="C80" s="22"/>
      <c r="D80" s="22"/>
      <c r="E80" s="22"/>
      <c r="F80" s="22"/>
      <c r="G80" s="22"/>
    </row>
    <row r="81" spans="3:7">
      <c r="C81" s="22"/>
      <c r="D81" s="22"/>
      <c r="E81" s="22"/>
      <c r="F81" s="22"/>
      <c r="G81" s="22"/>
    </row>
    <row r="82" spans="3:7">
      <c r="C82" s="22"/>
      <c r="D82" s="22"/>
      <c r="E82" s="22"/>
      <c r="F82" s="22"/>
      <c r="G82" s="22"/>
    </row>
    <row r="83" spans="3:7">
      <c r="C83" s="22"/>
      <c r="D83" s="22"/>
      <c r="E83" s="22"/>
      <c r="F83" s="22"/>
      <c r="G83" s="22"/>
    </row>
    <row r="84" spans="3:7">
      <c r="C84" s="22"/>
      <c r="D84" s="22"/>
      <c r="E84" s="22"/>
      <c r="F84" s="22"/>
      <c r="G84" s="22"/>
    </row>
    <row r="85" spans="3:7">
      <c r="C85" s="22"/>
      <c r="D85" s="22"/>
      <c r="E85" s="22"/>
      <c r="F85" s="22"/>
      <c r="G85" s="22"/>
    </row>
    <row r="86" spans="3:7">
      <c r="C86" s="22"/>
      <c r="D86" s="22"/>
      <c r="E86" s="22"/>
      <c r="F86" s="22"/>
      <c r="G86" s="22"/>
    </row>
    <row r="87" spans="3:7">
      <c r="C87" s="22"/>
      <c r="D87" s="22"/>
      <c r="E87" s="22"/>
      <c r="F87" s="22"/>
      <c r="G87" s="22"/>
    </row>
  </sheetData>
  <phoneticPr fontId="0" type="noConversion"/>
  <hyperlinks>
    <hyperlink ref="H3" location="INDICE!A60" display="VOLVER A INDICE"/>
  </hyperlinks>
  <pageMargins left="0.75" right="0.75" top="1" bottom="1" header="0" footer="0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6"/>
  <sheetViews>
    <sheetView workbookViewId="0">
      <selection activeCell="J6" sqref="J6"/>
    </sheetView>
  </sheetViews>
  <sheetFormatPr baseColWidth="10" defaultRowHeight="12.75"/>
  <cols>
    <col min="1" max="1" width="2.7109375" style="22" customWidth="1"/>
    <col min="2" max="16384" width="11.42578125" style="22"/>
  </cols>
  <sheetData>
    <row r="6" spans="2:2" ht="15.75">
      <c r="B6" s="885"/>
    </row>
  </sheetData>
  <phoneticPr fontId="0" type="noConversion"/>
  <pageMargins left="0.75" right="0.75" top="1" bottom="1" header="0" footer="0"/>
  <pageSetup paperSize="9" scale="74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0"/>
  <sheetViews>
    <sheetView showGridLines="0" zoomScale="85" workbookViewId="0">
      <pane ySplit="8" topLeftCell="A9" activePane="bottomLeft" state="frozen"/>
      <selection pane="bottomLeft" activeCell="B41" sqref="B41"/>
    </sheetView>
  </sheetViews>
  <sheetFormatPr baseColWidth="10" defaultRowHeight="12.75"/>
  <cols>
    <col min="1" max="1" width="1.85546875" style="891" customWidth="1"/>
    <col min="2" max="2" width="27.85546875" customWidth="1"/>
    <col min="14" max="14" width="15.140625" customWidth="1"/>
    <col min="15" max="15" width="11.42578125" style="22"/>
    <col min="16" max="16" width="19.28515625" style="22" customWidth="1"/>
    <col min="17" max="17" width="19.42578125" style="22" customWidth="1"/>
    <col min="18" max="24" width="11.42578125" style="22"/>
    <col min="26" max="26" width="21.5703125" customWidth="1"/>
  </cols>
  <sheetData>
    <row r="1" spans="2:26" ht="5.25" customHeight="1" thickBot="1"/>
    <row r="2" spans="2:26" ht="15.75" customHeight="1" thickBot="1">
      <c r="B2" s="1079"/>
      <c r="C2" s="1080"/>
      <c r="D2" s="1080"/>
      <c r="E2" s="1080"/>
      <c r="F2" s="1080"/>
      <c r="G2" s="1080"/>
      <c r="H2" s="1080"/>
      <c r="I2" s="1080"/>
      <c r="J2" s="1080"/>
      <c r="K2" s="1080"/>
      <c r="L2" s="1080"/>
      <c r="M2" s="1080"/>
      <c r="N2" s="1081"/>
      <c r="O2" s="308"/>
    </row>
    <row r="3" spans="2:26" ht="15.75">
      <c r="B3" s="295"/>
      <c r="C3" s="296"/>
      <c r="D3" s="296"/>
      <c r="E3" s="296"/>
      <c r="F3" s="297"/>
      <c r="G3" s="171" t="s">
        <v>77</v>
      </c>
      <c r="H3" s="296"/>
      <c r="I3" s="296"/>
      <c r="J3" s="296"/>
      <c r="K3" s="296"/>
      <c r="L3" s="296"/>
      <c r="M3" s="296"/>
      <c r="N3" s="298"/>
      <c r="O3" s="307"/>
    </row>
    <row r="4" spans="2:26" ht="15.75">
      <c r="B4" s="299"/>
      <c r="C4" s="300"/>
      <c r="D4" s="300"/>
      <c r="E4" s="300"/>
      <c r="F4" s="301" t="s">
        <v>206</v>
      </c>
      <c r="G4" s="301"/>
      <c r="H4" s="300"/>
      <c r="I4" s="300"/>
      <c r="J4" s="300"/>
      <c r="K4" s="300"/>
      <c r="L4" s="300"/>
      <c r="M4" s="300"/>
      <c r="N4" s="302"/>
      <c r="O4" s="307"/>
    </row>
    <row r="5" spans="2:26" ht="15.75">
      <c r="B5" s="299"/>
      <c r="C5" s="300"/>
      <c r="D5" s="300"/>
      <c r="E5" s="300"/>
      <c r="F5" s="303" t="s">
        <v>798</v>
      </c>
      <c r="G5" s="303"/>
      <c r="H5" s="300"/>
      <c r="I5" s="300"/>
      <c r="J5" s="300"/>
      <c r="K5" s="300"/>
      <c r="L5" s="300"/>
      <c r="M5" s="300"/>
      <c r="N5" s="302"/>
      <c r="O5" s="307"/>
    </row>
    <row r="6" spans="2:26" ht="15.75">
      <c r="B6" s="299"/>
      <c r="C6" s="300"/>
      <c r="D6" s="300"/>
      <c r="E6" s="300"/>
      <c r="F6" s="301" t="s">
        <v>207</v>
      </c>
      <c r="G6" s="300"/>
      <c r="H6" s="300"/>
      <c r="I6" s="300"/>
      <c r="J6" s="300"/>
      <c r="K6" s="300"/>
      <c r="L6" s="300"/>
      <c r="M6" s="300"/>
      <c r="N6" s="302"/>
      <c r="O6" s="852" t="s">
        <v>681</v>
      </c>
    </row>
    <row r="7" spans="2:26" ht="15.75">
      <c r="B7" s="299"/>
      <c r="C7" s="303" t="s">
        <v>99</v>
      </c>
      <c r="D7" s="303" t="s">
        <v>100</v>
      </c>
      <c r="E7" s="303" t="s">
        <v>101</v>
      </c>
      <c r="F7" s="303" t="s">
        <v>102</v>
      </c>
      <c r="G7" s="303" t="s">
        <v>103</v>
      </c>
      <c r="H7" s="303" t="s">
        <v>104</v>
      </c>
      <c r="I7" s="303" t="s">
        <v>105</v>
      </c>
      <c r="J7" s="303" t="s">
        <v>106</v>
      </c>
      <c r="K7" s="303" t="s">
        <v>107</v>
      </c>
      <c r="L7" s="303" t="s">
        <v>108</v>
      </c>
      <c r="M7" s="303" t="s">
        <v>109</v>
      </c>
      <c r="N7" s="304" t="s">
        <v>11</v>
      </c>
      <c r="O7" s="1290"/>
      <c r="P7" s="1291"/>
      <c r="Q7" s="1291"/>
      <c r="R7" s="1291"/>
      <c r="S7" s="1291"/>
      <c r="T7" s="1291"/>
      <c r="U7" s="1291"/>
      <c r="V7" s="1291"/>
      <c r="W7" s="1291"/>
      <c r="X7" s="1291"/>
      <c r="Y7" s="1291"/>
      <c r="Z7" s="1291"/>
    </row>
    <row r="8" spans="2:26" ht="16.5" thickBot="1">
      <c r="B8" s="1082" t="s">
        <v>3</v>
      </c>
      <c r="C8" s="1083"/>
      <c r="D8" s="1083"/>
      <c r="E8" s="1083"/>
      <c r="F8" s="1083" t="s">
        <v>110</v>
      </c>
      <c r="G8" s="1083" t="s">
        <v>208</v>
      </c>
      <c r="H8" s="1083" t="s">
        <v>112</v>
      </c>
      <c r="I8" s="1083"/>
      <c r="J8" s="1083"/>
      <c r="K8" s="1083"/>
      <c r="L8" s="1083" t="s">
        <v>113</v>
      </c>
      <c r="M8" s="1083" t="s">
        <v>113</v>
      </c>
      <c r="N8" s="1084"/>
      <c r="O8" s="1290"/>
      <c r="P8" s="1291"/>
      <c r="Q8" s="1291"/>
      <c r="R8" s="1291"/>
      <c r="S8" s="1291"/>
      <c r="T8" s="1291"/>
      <c r="U8" s="1291"/>
      <c r="V8" s="1291"/>
      <c r="W8" s="1291"/>
      <c r="X8" s="1291"/>
      <c r="Y8" s="1291"/>
      <c r="Z8" s="1291"/>
    </row>
    <row r="9" spans="2:26">
      <c r="B9" s="1085"/>
      <c r="C9" s="309"/>
      <c r="D9" s="309"/>
      <c r="E9" s="309"/>
      <c r="F9" s="309"/>
      <c r="G9" s="309"/>
      <c r="H9" s="309"/>
      <c r="I9" s="309"/>
      <c r="J9" s="309"/>
      <c r="K9" s="309"/>
      <c r="L9" s="309"/>
      <c r="M9" s="309"/>
      <c r="N9" s="310"/>
      <c r="O9" s="1290"/>
      <c r="P9" s="1292"/>
      <c r="Q9" s="1292"/>
      <c r="R9" s="1292"/>
      <c r="S9" s="1292"/>
      <c r="T9" s="1292"/>
      <c r="U9" s="1292"/>
      <c r="V9" s="1292"/>
      <c r="W9" s="1292"/>
      <c r="X9" s="1292"/>
      <c r="Y9" s="1292"/>
      <c r="Z9" s="1292"/>
    </row>
    <row r="10" spans="2:26">
      <c r="B10" s="1086" t="s">
        <v>55</v>
      </c>
      <c r="C10" s="1289">
        <f>SECT_U.FIS.!D14</f>
        <v>72.329662000000013</v>
      </c>
      <c r="D10" s="305">
        <f>SECT_U.FIS.!D15</f>
        <v>5.9884649999999979</v>
      </c>
      <c r="E10" s="305">
        <f>SECT_U.FIS.!D16</f>
        <v>4.1791</v>
      </c>
      <c r="F10" s="305">
        <f>SECT_U.FIS.!D17</f>
        <v>127.4240107676</v>
      </c>
      <c r="G10" s="305">
        <f>SECT_U.FIS.!D18</f>
        <v>17.112769358857143</v>
      </c>
      <c r="H10" s="305">
        <f>SECT_U.FIS.!D19</f>
        <v>0.90567900000000001</v>
      </c>
      <c r="I10" s="305">
        <f>SECT_U.FIS.!D20</f>
        <v>23.135108000000002</v>
      </c>
      <c r="J10" s="305">
        <f>SECT_U.FIS.!D21</f>
        <v>9.4339246580000005</v>
      </c>
      <c r="K10" s="305">
        <f>SECT_U.FIS.!D22</f>
        <v>48.988798634999995</v>
      </c>
      <c r="L10" s="305">
        <f>SECT_U.FIS.!D23</f>
        <v>125.70588398699999</v>
      </c>
      <c r="M10" s="1289">
        <f>SECT_U.FIS.!D24</f>
        <v>60.208809999999971</v>
      </c>
      <c r="N10" s="306">
        <f>SUM(C10:M10)</f>
        <v>495.41221140645712</v>
      </c>
      <c r="O10" s="1293"/>
      <c r="P10" s="1293"/>
      <c r="Q10" s="1293"/>
      <c r="R10" s="1293"/>
      <c r="S10" s="1293"/>
      <c r="T10" s="1293"/>
      <c r="U10" s="1293"/>
      <c r="V10" s="1293"/>
      <c r="W10" s="1293"/>
      <c r="X10" s="1293"/>
      <c r="Y10" s="1293"/>
      <c r="Z10" s="1293"/>
    </row>
    <row r="11" spans="2:26">
      <c r="B11" s="1087" t="s">
        <v>180</v>
      </c>
      <c r="C11" s="305"/>
      <c r="D11" s="305"/>
      <c r="E11" s="305"/>
      <c r="F11" s="305"/>
      <c r="G11" s="305"/>
      <c r="H11" s="305"/>
      <c r="I11" s="305"/>
      <c r="J11" s="305"/>
      <c r="K11" s="305"/>
      <c r="L11" s="305"/>
      <c r="M11" s="305"/>
      <c r="N11" s="306"/>
      <c r="O11" s="1294"/>
      <c r="P11" s="1293"/>
      <c r="Q11" s="1293"/>
      <c r="R11" s="1292"/>
      <c r="S11" s="1292"/>
      <c r="T11" s="1292"/>
      <c r="U11" s="1292"/>
      <c r="V11" s="1292"/>
      <c r="W11" s="1292"/>
      <c r="X11" s="1292"/>
      <c r="Y11" s="1292"/>
      <c r="Z11" s="1292"/>
    </row>
    <row r="12" spans="2:26">
      <c r="B12" s="1086" t="s">
        <v>56</v>
      </c>
      <c r="C12" s="1289">
        <f>SECT_U.FIS.!C14</f>
        <v>702.30468159999987</v>
      </c>
      <c r="D12" s="305">
        <f>SECT_U.FIS.!C15</f>
        <v>34.198999999999998</v>
      </c>
      <c r="E12" s="305">
        <f>SECT_U.FIS.!C16</f>
        <v>4.9537019999999998</v>
      </c>
      <c r="F12" s="305">
        <f>SECT_U.FIS.!C17</f>
        <v>4.5633389999999991</v>
      </c>
      <c r="G12" s="305">
        <f>SECT_U.FIS.!C18</f>
        <v>1.4863000000000002</v>
      </c>
      <c r="H12" s="305">
        <f>SECT_U.FIS.!C19</f>
        <v>2.2160499999999996</v>
      </c>
      <c r="I12" s="305">
        <f>SECT_U.FIS.!C20</f>
        <v>7.4865074000000007</v>
      </c>
      <c r="J12" s="305">
        <f>SECT_U.FIS.!C21</f>
        <v>0</v>
      </c>
      <c r="K12" s="305">
        <f>SECT_U.FIS.!C22</f>
        <v>36.473594999999996</v>
      </c>
      <c r="L12" s="305">
        <f>SECT_U.FIS.!C23</f>
        <v>507.52500588571411</v>
      </c>
      <c r="M12" s="305">
        <f>SECT_U.FIS.!C24</f>
        <v>333.79205239999959</v>
      </c>
      <c r="N12" s="306">
        <f>SUM(C12:M12)</f>
        <v>1635.0002332857139</v>
      </c>
      <c r="O12" s="1293"/>
      <c r="P12" s="1293"/>
      <c r="Q12" s="1293"/>
      <c r="R12" s="1293"/>
      <c r="S12" s="1293"/>
      <c r="T12" s="1293"/>
      <c r="U12" s="1293"/>
      <c r="V12" s="1293"/>
      <c r="W12" s="1293"/>
      <c r="X12" s="1293"/>
      <c r="Y12" s="1293"/>
      <c r="Z12" s="1293"/>
    </row>
    <row r="13" spans="2:26">
      <c r="B13" s="1087" t="s">
        <v>179</v>
      </c>
      <c r="C13" s="305"/>
      <c r="D13" s="305"/>
      <c r="E13" s="305"/>
      <c r="F13" s="305"/>
      <c r="G13" s="305"/>
      <c r="H13" s="305"/>
      <c r="I13" s="305"/>
      <c r="J13" s="305"/>
      <c r="K13" s="305"/>
      <c r="L13" s="305"/>
      <c r="M13" s="305"/>
      <c r="N13" s="306"/>
      <c r="O13" s="1294"/>
      <c r="P13" s="1294"/>
      <c r="Q13" s="1294"/>
      <c r="R13" s="1292"/>
      <c r="S13" s="1292"/>
      <c r="T13" s="1292"/>
      <c r="U13" s="1292"/>
      <c r="V13" s="1292"/>
      <c r="W13" s="1292"/>
      <c r="X13" s="1292"/>
      <c r="Y13" s="1292"/>
      <c r="Z13" s="1292"/>
    </row>
    <row r="14" spans="2:26">
      <c r="B14" s="1086" t="s">
        <v>59</v>
      </c>
      <c r="C14" s="1289">
        <f>SECT_U.FIS.!G14</f>
        <v>10.254789000000002</v>
      </c>
      <c r="D14" s="305">
        <f>SECT_U.FIS.!G15</f>
        <v>4.335</v>
      </c>
      <c r="E14" s="305">
        <f>SECT_U.FIS.!G16</f>
        <v>0</v>
      </c>
      <c r="F14" s="305">
        <f>SECT_U.FIS.!G17</f>
        <v>1.2978000000000002E-2</v>
      </c>
      <c r="G14" s="305">
        <f>SECT_U.FIS.!G18</f>
        <v>0.65900000000000014</v>
      </c>
      <c r="H14" s="305">
        <f>SECT_U.FIS.!G19</f>
        <v>0</v>
      </c>
      <c r="I14" s="305">
        <f>SECT_U.FIS.!G20</f>
        <v>0</v>
      </c>
      <c r="J14" s="305">
        <f>SECT_U.FIS.!G21</f>
        <v>0</v>
      </c>
      <c r="K14" s="305">
        <f>SECT_U.FIS.!G22</f>
        <v>0</v>
      </c>
      <c r="L14" s="305">
        <f>SECT_U.FIS.!G23</f>
        <v>2.4090220000000002</v>
      </c>
      <c r="M14" s="305">
        <f>SECT_U.FIS.!G24</f>
        <v>10.290086000000004</v>
      </c>
      <c r="N14" s="306">
        <f>SUM(C14:M14)</f>
        <v>27.960875000000009</v>
      </c>
      <c r="O14" s="1293"/>
      <c r="P14" s="1293"/>
      <c r="Q14" s="1293"/>
      <c r="R14" s="1293"/>
      <c r="S14" s="1293"/>
      <c r="T14" s="1293"/>
      <c r="U14" s="1293"/>
      <c r="V14" s="1293"/>
      <c r="W14" s="1293"/>
      <c r="X14" s="1293"/>
      <c r="Y14" s="1293"/>
      <c r="Z14" s="1293"/>
    </row>
    <row r="15" spans="2:26">
      <c r="B15" s="1087" t="s">
        <v>179</v>
      </c>
      <c r="C15" s="305"/>
      <c r="D15" s="305"/>
      <c r="E15" s="305"/>
      <c r="F15" s="305"/>
      <c r="G15" s="305"/>
      <c r="H15" s="305"/>
      <c r="I15" s="305"/>
      <c r="J15" s="305"/>
      <c r="K15" s="305"/>
      <c r="L15" s="305"/>
      <c r="M15" s="305"/>
      <c r="N15" s="306"/>
      <c r="O15" s="1294"/>
      <c r="P15" s="1294"/>
      <c r="Q15" s="1294"/>
      <c r="R15" s="1292"/>
      <c r="S15" s="1292"/>
      <c r="T15" s="1292"/>
      <c r="U15" s="1292"/>
      <c r="V15" s="1292"/>
      <c r="W15" s="1292"/>
      <c r="X15" s="1292"/>
      <c r="Y15" s="1292"/>
      <c r="Z15" s="1292"/>
    </row>
    <row r="16" spans="2:26">
      <c r="B16" s="1086" t="s">
        <v>60</v>
      </c>
      <c r="C16" s="1289">
        <f>SECT_U.FIS.!H14</f>
        <v>4.0877465779999991</v>
      </c>
      <c r="D16" s="305">
        <f>SECT_U.FIS.!H15</f>
        <v>0</v>
      </c>
      <c r="E16" s="305">
        <f>SECT_U.FIS.!H16</f>
        <v>0</v>
      </c>
      <c r="F16" s="305">
        <f>SECT_U.FIS.!H17</f>
        <v>5.0380739999999982</v>
      </c>
      <c r="G16" s="305">
        <f>SECT_U.FIS.!H18</f>
        <v>1.56</v>
      </c>
      <c r="H16" s="305">
        <f>SECT_U.FIS.!H19</f>
        <v>1.3078079499999999</v>
      </c>
      <c r="I16" s="305">
        <f>SECT_U.FIS.!H20</f>
        <v>0.21900000000000003</v>
      </c>
      <c r="J16" s="305">
        <f>SECT_U.FIS.!H21</f>
        <v>0.19600000000000001</v>
      </c>
      <c r="K16" s="305">
        <f>SECT_U.FIS.!H22</f>
        <v>17.010530000000003</v>
      </c>
      <c r="L16" s="305">
        <f>SECT_U.FIS.!H23</f>
        <v>128.93586900077318</v>
      </c>
      <c r="M16" s="305">
        <f>SECT_U.FIS.!H24</f>
        <v>0.52400000000000002</v>
      </c>
      <c r="N16" s="306">
        <f>SUM(C16:M16)</f>
        <v>158.87902752877318</v>
      </c>
      <c r="O16" s="1293"/>
      <c r="P16" s="1293"/>
      <c r="Q16" s="1293"/>
      <c r="R16" s="1293"/>
      <c r="S16" s="1293"/>
      <c r="T16" s="1293"/>
      <c r="U16" s="1293"/>
      <c r="V16" s="1293"/>
      <c r="W16" s="1293"/>
      <c r="X16" s="1293"/>
      <c r="Y16" s="1293"/>
      <c r="Z16" s="1293"/>
    </row>
    <row r="17" spans="2:26">
      <c r="B17" s="1087" t="s">
        <v>180</v>
      </c>
      <c r="C17" s="305"/>
      <c r="D17" s="305"/>
      <c r="E17" s="305"/>
      <c r="F17" s="305"/>
      <c r="G17" s="305"/>
      <c r="H17" s="305"/>
      <c r="I17" s="305"/>
      <c r="J17" s="305"/>
      <c r="K17" s="305"/>
      <c r="L17" s="305"/>
      <c r="M17" s="305"/>
      <c r="N17" s="306"/>
      <c r="O17" s="1294"/>
      <c r="P17" s="1294"/>
      <c r="Q17" s="1294"/>
      <c r="R17" s="1292"/>
      <c r="S17" s="1292"/>
      <c r="T17" s="1292"/>
      <c r="U17" s="1292"/>
      <c r="V17" s="1292"/>
      <c r="W17" s="1292"/>
      <c r="X17" s="1292"/>
      <c r="Y17" s="1292"/>
      <c r="Z17" s="1292"/>
    </row>
    <row r="18" spans="2:26">
      <c r="B18" s="1086" t="s">
        <v>63</v>
      </c>
      <c r="C18" s="1289">
        <f>SECT_U.FIS.!K14</f>
        <v>1.7067680000000001</v>
      </c>
      <c r="D18" s="305">
        <f>SECT_U.FIS.!K15</f>
        <v>0</v>
      </c>
      <c r="E18" s="305">
        <f>SECT_U.FIS.!K16</f>
        <v>0</v>
      </c>
      <c r="F18" s="305">
        <f>SECT_U.FIS.!K17</f>
        <v>0</v>
      </c>
      <c r="G18" s="305">
        <f>SECT_U.FIS.!K18</f>
        <v>0</v>
      </c>
      <c r="H18" s="1289">
        <f>SECT_U.FIS.!K19</f>
        <v>0</v>
      </c>
      <c r="I18" s="305">
        <f>SECT_U.FIS.!K20</f>
        <v>0</v>
      </c>
      <c r="J18" s="305">
        <f>SECT_U.FIS.!K21</f>
        <v>0</v>
      </c>
      <c r="K18" s="305">
        <f>SECT_U.FIS.!K22</f>
        <v>0</v>
      </c>
      <c r="L18" s="305">
        <f>SECT_U.FIS.!K23</f>
        <v>1.5600000000000001E-2</v>
      </c>
      <c r="M18" s="305">
        <f>SECT_U.FIS.!K24</f>
        <v>0</v>
      </c>
      <c r="N18" s="306">
        <f>SUM(C18:M18)</f>
        <v>1.7223680000000001</v>
      </c>
      <c r="O18" s="1293"/>
      <c r="P18" s="1293"/>
      <c r="Q18" s="1293"/>
      <c r="R18" s="1293"/>
      <c r="S18" s="1293"/>
      <c r="T18" s="1293"/>
      <c r="U18" s="1293"/>
      <c r="V18" s="1293"/>
      <c r="W18" s="1293"/>
      <c r="X18" s="1293"/>
      <c r="Y18" s="1293"/>
      <c r="Z18" s="1293"/>
    </row>
    <row r="19" spans="2:26">
      <c r="B19" s="1087" t="s">
        <v>179</v>
      </c>
      <c r="C19" s="305"/>
      <c r="D19" s="305"/>
      <c r="E19" s="305"/>
      <c r="F19" s="305"/>
      <c r="G19" s="305"/>
      <c r="H19" s="305"/>
      <c r="I19" s="305"/>
      <c r="J19" s="305"/>
      <c r="K19" s="305"/>
      <c r="L19" s="305"/>
      <c r="M19" s="305"/>
      <c r="N19" s="306"/>
      <c r="O19" s="1294"/>
      <c r="P19" s="1294"/>
      <c r="Q19" s="1294"/>
      <c r="R19" s="1292"/>
      <c r="S19" s="1292"/>
      <c r="T19" s="1292"/>
      <c r="U19" s="1292"/>
      <c r="V19" s="1292"/>
      <c r="W19" s="1292"/>
      <c r="X19" s="1292"/>
      <c r="Y19" s="1292"/>
      <c r="Z19" s="1292"/>
    </row>
    <row r="20" spans="2:26">
      <c r="B20" s="1086" t="s">
        <v>64</v>
      </c>
      <c r="C20" s="1289">
        <f>SECT_U.FIS.!L14</f>
        <v>0</v>
      </c>
      <c r="D20" s="305">
        <f>SECT_U.FIS.!L15</f>
        <v>0</v>
      </c>
      <c r="E20" s="305">
        <f>SECT_U.FIS.!L16</f>
        <v>0</v>
      </c>
      <c r="F20" s="305">
        <f>SECT_U.FIS.!L17</f>
        <v>0</v>
      </c>
      <c r="G20" s="305">
        <f>SECT_U.FIS.!L18</f>
        <v>0</v>
      </c>
      <c r="H20" s="305">
        <f>SECT_U.FIS.!L19</f>
        <v>0.8607981220657277</v>
      </c>
      <c r="I20" s="305">
        <f>SECT_U.FIS.!L20</f>
        <v>0</v>
      </c>
      <c r="J20" s="305">
        <f>SECT_U.FIS.!L21</f>
        <v>0</v>
      </c>
      <c r="K20" s="305">
        <f>SECT_U.FIS.!L22</f>
        <v>0</v>
      </c>
      <c r="L20" s="305">
        <f>SECT_U.FIS.!L23</f>
        <v>0</v>
      </c>
      <c r="M20" s="305">
        <f>SECT_U.FIS.!L24</f>
        <v>0</v>
      </c>
      <c r="N20" s="306">
        <f>SUM(C20:M20)</f>
        <v>0.8607981220657277</v>
      </c>
      <c r="O20" s="1293"/>
      <c r="P20" s="1293"/>
      <c r="Q20" s="1293"/>
      <c r="R20" s="1293"/>
      <c r="S20" s="1293"/>
      <c r="T20" s="1293"/>
      <c r="U20" s="1293"/>
      <c r="V20" s="1293"/>
      <c r="W20" s="1293"/>
      <c r="X20" s="1293"/>
      <c r="Y20" s="1293"/>
      <c r="Z20" s="1293"/>
    </row>
    <row r="21" spans="2:26">
      <c r="B21" s="1087" t="s">
        <v>179</v>
      </c>
      <c r="C21" s="305"/>
      <c r="D21" s="305"/>
      <c r="E21" s="305"/>
      <c r="F21" s="305"/>
      <c r="G21" s="305"/>
      <c r="H21" s="305"/>
      <c r="I21" s="305"/>
      <c r="J21" s="305"/>
      <c r="K21" s="305"/>
      <c r="L21" s="305"/>
      <c r="M21" s="305"/>
      <c r="N21" s="306"/>
      <c r="O21" s="1294"/>
      <c r="P21" s="1294"/>
      <c r="Q21" s="1294"/>
      <c r="R21" s="1292"/>
      <c r="S21" s="1292"/>
      <c r="T21" s="1292"/>
      <c r="U21" s="1292"/>
      <c r="V21" s="1292"/>
      <c r="W21" s="1292"/>
      <c r="X21" s="1292"/>
      <c r="Y21" s="1292"/>
      <c r="Z21" s="1292"/>
    </row>
    <row r="22" spans="2:26">
      <c r="B22" s="1086" t="s">
        <v>18</v>
      </c>
      <c r="C22" s="1289">
        <f>SECT_U.FIS.!M14</f>
        <v>15859.370826726008</v>
      </c>
      <c r="D22" s="305">
        <f>SECT_U.FIS.!M15</f>
        <v>414.14774099999988</v>
      </c>
      <c r="E22" s="305">
        <f>SECT_U.FIS.!M16</f>
        <v>360.19684799999999</v>
      </c>
      <c r="F22" s="305">
        <f>SECT_U.FIS.!M17</f>
        <v>4351.2164768697139</v>
      </c>
      <c r="G22" s="305">
        <f>SECT_U.FIS.!M18</f>
        <v>573.81299700000034</v>
      </c>
      <c r="H22" s="305">
        <f>SECT_U.FIS.!M19</f>
        <v>642.49999400000013</v>
      </c>
      <c r="I22" s="1289">
        <f>SECT_U.FIS.!M20</f>
        <v>491.71166399999981</v>
      </c>
      <c r="J22" s="305">
        <f>SECT_U.FIS.!M21</f>
        <v>102.23826619459706</v>
      </c>
      <c r="K22" s="305">
        <f>SECT_U.FIS.!M22</f>
        <v>124.44678599999995</v>
      </c>
      <c r="L22" s="305">
        <f>SECT_U.FIS.!M23</f>
        <v>8043.6551270451037</v>
      </c>
      <c r="M22" s="305">
        <f>SECT_U.FIS.!M24</f>
        <v>1461.0175826599411</v>
      </c>
      <c r="N22" s="306">
        <f>SUM(C22:M22)</f>
        <v>32424.314309495367</v>
      </c>
      <c r="O22" s="1293"/>
      <c r="P22" s="1293"/>
      <c r="Q22" s="1293"/>
      <c r="R22" s="1293"/>
      <c r="S22" s="1293"/>
      <c r="T22" s="1293"/>
      <c r="U22" s="1293"/>
      <c r="V22" s="1293"/>
      <c r="W22" s="1293"/>
      <c r="X22" s="1293"/>
      <c r="Y22" s="1293"/>
      <c r="Z22" s="1293"/>
    </row>
    <row r="23" spans="2:26">
      <c r="B23" s="1087" t="s">
        <v>183</v>
      </c>
      <c r="C23" s="305"/>
      <c r="D23" s="305"/>
      <c r="E23" s="305"/>
      <c r="F23" s="305"/>
      <c r="G23" s="305"/>
      <c r="H23" s="305"/>
      <c r="I23" s="305"/>
      <c r="J23" s="305"/>
      <c r="K23" s="305"/>
      <c r="L23" s="305"/>
      <c r="M23" s="305"/>
      <c r="N23" s="306"/>
      <c r="O23" s="1294"/>
      <c r="P23" s="1294"/>
      <c r="Q23" s="1294"/>
      <c r="R23" s="1292"/>
      <c r="S23" s="1292"/>
      <c r="T23" s="1292"/>
      <c r="U23" s="1292"/>
      <c r="V23" s="1292"/>
      <c r="W23" s="1292"/>
      <c r="X23" s="1292"/>
      <c r="Y23" s="1292"/>
      <c r="Z23" s="1292"/>
    </row>
    <row r="24" spans="2:26">
      <c r="B24" s="1086" t="s">
        <v>7</v>
      </c>
      <c r="C24" s="1289">
        <f>SECT_U.FIS.!N14</f>
        <v>2.7700000000000002E-2</v>
      </c>
      <c r="D24" s="305">
        <f>SECT_U.FIS.!N15</f>
        <v>0</v>
      </c>
      <c r="E24" s="305">
        <f>SECT_U.FIS.!N16</f>
        <v>84.94559999999997</v>
      </c>
      <c r="F24" s="305">
        <f>SECT_U.FIS.!N17</f>
        <v>0</v>
      </c>
      <c r="G24" s="305">
        <f>SECT_U.FIS.!N18</f>
        <v>6.6519999999999996E-2</v>
      </c>
      <c r="H24" s="305">
        <f>SECT_U.FIS.!N19</f>
        <v>0</v>
      </c>
      <c r="I24" s="305">
        <f>SECT_U.FIS.!N20</f>
        <v>199.06648956963531</v>
      </c>
      <c r="J24" s="305">
        <f>SECT_U.FIS.!N21</f>
        <v>125.55967941104946</v>
      </c>
      <c r="K24" s="305">
        <f>SECT_U.FIS.!N22</f>
        <v>18.552569142857138</v>
      </c>
      <c r="L24" s="305">
        <f>SECT_U.FIS.!N23</f>
        <v>198.43469906232565</v>
      </c>
      <c r="M24" s="1289">
        <f>SECT_U.FIS.!N24</f>
        <v>3.44853481</v>
      </c>
      <c r="N24" s="306">
        <f>SUM(C24:M24)</f>
        <v>630.10179199586742</v>
      </c>
      <c r="O24" s="1293"/>
      <c r="P24" s="1293"/>
      <c r="Q24" s="1293"/>
      <c r="R24" s="1293"/>
      <c r="S24" s="1293"/>
      <c r="T24" s="1293"/>
      <c r="U24" s="1293"/>
      <c r="V24" s="1293"/>
      <c r="W24" s="1293"/>
      <c r="X24" s="1293"/>
      <c r="Y24" s="1293"/>
      <c r="Z24" s="1293"/>
    </row>
    <row r="25" spans="2:26">
      <c r="B25" s="1087" t="s">
        <v>180</v>
      </c>
      <c r="C25" s="305"/>
      <c r="D25" s="305"/>
      <c r="E25" s="305"/>
      <c r="F25" s="305"/>
      <c r="G25" s="305"/>
      <c r="H25" s="305"/>
      <c r="I25" s="305"/>
      <c r="J25" s="305"/>
      <c r="K25" s="305"/>
      <c r="L25" s="305"/>
      <c r="M25" s="305"/>
      <c r="N25" s="306"/>
      <c r="O25" s="1294"/>
      <c r="P25" s="1294"/>
      <c r="Q25" s="1294"/>
      <c r="R25" s="1292"/>
      <c r="S25" s="1292"/>
      <c r="T25" s="1292"/>
      <c r="U25" s="1292"/>
      <c r="V25" s="1292"/>
      <c r="W25" s="1292"/>
      <c r="X25" s="1292"/>
      <c r="Y25" s="1292"/>
      <c r="Z25" s="1292"/>
    </row>
    <row r="26" spans="2:26">
      <c r="B26" s="1086" t="s">
        <v>66</v>
      </c>
      <c r="C26" s="1289">
        <f>SECT_U.FIS.!O14</f>
        <v>6.6615800000000007</v>
      </c>
      <c r="D26" s="305">
        <f>SECT_U.FIS.!O15</f>
        <v>0</v>
      </c>
      <c r="E26" s="305">
        <f>SECT_U.FIS.!O16</f>
        <v>0</v>
      </c>
      <c r="F26" s="305">
        <f>SECT_U.FIS.!O17</f>
        <v>0</v>
      </c>
      <c r="G26" s="305">
        <f>SECT_U.FIS.!O18</f>
        <v>304.65402857142868</v>
      </c>
      <c r="H26" s="305">
        <f>SECT_U.FIS.!O19</f>
        <v>0</v>
      </c>
      <c r="I26" s="305">
        <f>SECT_U.FIS.!O20</f>
        <v>60.326999999999998</v>
      </c>
      <c r="J26" s="305">
        <f>SECT_U.FIS.!O21</f>
        <v>5.4397020000000005</v>
      </c>
      <c r="K26" s="305">
        <f>SECT_U.FIS.!O22</f>
        <v>0</v>
      </c>
      <c r="L26" s="305">
        <f>SECT_U.FIS.!O23</f>
        <v>1.3595594285714283</v>
      </c>
      <c r="M26" s="305">
        <f>SECT_U.FIS.!O24</f>
        <v>4.2879999999999994</v>
      </c>
      <c r="N26" s="306">
        <f>SUM(C26:M26)</f>
        <v>382.72987000000012</v>
      </c>
      <c r="O26" s="1293"/>
      <c r="P26" s="1293"/>
      <c r="Q26" s="1293"/>
      <c r="R26" s="1293"/>
      <c r="S26" s="1293"/>
      <c r="T26" s="1293"/>
      <c r="U26" s="1293"/>
      <c r="V26" s="1293"/>
      <c r="W26" s="1293"/>
      <c r="X26" s="1293"/>
      <c r="Y26" s="1293"/>
      <c r="Z26" s="1293"/>
    </row>
    <row r="27" spans="2:26">
      <c r="B27" s="1087" t="s">
        <v>180</v>
      </c>
      <c r="C27" s="305"/>
      <c r="D27" s="305"/>
      <c r="E27" s="305"/>
      <c r="F27" s="305"/>
      <c r="G27" s="305"/>
      <c r="H27" s="305"/>
      <c r="I27" s="305"/>
      <c r="J27" s="305"/>
      <c r="K27" s="305"/>
      <c r="L27" s="305"/>
      <c r="M27" s="305"/>
      <c r="N27" s="306"/>
      <c r="O27" s="1294"/>
      <c r="P27" s="1294"/>
      <c r="Q27" s="1294"/>
      <c r="R27" s="1292"/>
      <c r="S27" s="1292"/>
      <c r="T27" s="1292"/>
      <c r="U27" s="1292"/>
      <c r="V27" s="1292"/>
      <c r="W27" s="1292"/>
      <c r="X27" s="1292"/>
      <c r="Y27" s="1292"/>
      <c r="Z27" s="1292"/>
    </row>
    <row r="28" spans="2:26">
      <c r="B28" s="1086" t="s">
        <v>185</v>
      </c>
      <c r="C28" s="1289">
        <f>SECT_U.FIS.!P14</f>
        <v>0</v>
      </c>
      <c r="D28" s="305">
        <f>SECT_U.FIS.!P15</f>
        <v>0</v>
      </c>
      <c r="E28" s="305">
        <f>SECT_U.FIS.!P16</f>
        <v>0</v>
      </c>
      <c r="F28" s="305">
        <f>SECT_U.FIS.!P17</f>
        <v>0</v>
      </c>
      <c r="G28" s="305">
        <f>SECT_U.FIS.!P18</f>
        <v>0</v>
      </c>
      <c r="H28" s="305">
        <f>SECT_U.FIS.!P19</f>
        <v>0</v>
      </c>
      <c r="I28" s="305">
        <f>SECT_U.FIS.!P20</f>
        <v>0</v>
      </c>
      <c r="J28" s="305">
        <f>SECT_U.FIS.!P21</f>
        <v>0</v>
      </c>
      <c r="K28" s="305">
        <f>SECT_U.FIS.!P22</f>
        <v>0</v>
      </c>
      <c r="L28" s="305">
        <f>SECT_U.FIS.!P23</f>
        <v>0</v>
      </c>
      <c r="M28" s="305">
        <f>SECT_U.FIS.!P24</f>
        <v>0</v>
      </c>
      <c r="N28" s="306">
        <f>SUM(C28:M28)</f>
        <v>0</v>
      </c>
      <c r="O28" s="1293"/>
      <c r="P28" s="1293"/>
      <c r="Q28" s="1293"/>
      <c r="R28" s="1293"/>
      <c r="S28" s="1293"/>
      <c r="T28" s="1293"/>
      <c r="U28" s="1293"/>
      <c r="V28" s="1293"/>
      <c r="W28" s="1293"/>
      <c r="X28" s="1293"/>
      <c r="Y28" s="1293"/>
      <c r="Z28" s="1293"/>
    </row>
    <row r="29" spans="2:26">
      <c r="B29" s="1087" t="s">
        <v>179</v>
      </c>
      <c r="C29" s="305"/>
      <c r="D29" s="305"/>
      <c r="E29" s="305"/>
      <c r="F29" s="305"/>
      <c r="G29" s="305"/>
      <c r="H29" s="305"/>
      <c r="I29" s="305"/>
      <c r="J29" s="305"/>
      <c r="K29" s="305"/>
      <c r="L29" s="305"/>
      <c r="M29" s="305"/>
      <c r="N29" s="306"/>
      <c r="O29" s="1294"/>
      <c r="P29" s="1294"/>
      <c r="Q29" s="1294"/>
      <c r="R29" s="1292"/>
      <c r="S29" s="1292"/>
      <c r="T29" s="1292"/>
      <c r="U29" s="1292"/>
      <c r="V29" s="1292"/>
      <c r="W29" s="1292"/>
      <c r="X29" s="1292"/>
      <c r="Y29" s="1292"/>
      <c r="Z29" s="1292"/>
    </row>
    <row r="30" spans="2:26">
      <c r="B30" s="1086" t="s">
        <v>20</v>
      </c>
      <c r="C30" s="1289">
        <f>SECT_U.FIS.!Q14</f>
        <v>3.7800000000000003E-4</v>
      </c>
      <c r="D30" s="305">
        <f>SECT_U.FIS.!Q15</f>
        <v>5.8500000000000002E-4</v>
      </c>
      <c r="E30" s="305">
        <f>SECT_U.FIS.!Q16</f>
        <v>0</v>
      </c>
      <c r="F30" s="305">
        <f>SECT_U.FIS.!Q17</f>
        <v>9.9999999999999995E-7</v>
      </c>
      <c r="G30" s="305">
        <f>SECT_U.FIS.!Q18</f>
        <v>208.35449952824001</v>
      </c>
      <c r="H30" s="305">
        <f>SECT_U.FIS.!Q19</f>
        <v>0</v>
      </c>
      <c r="I30" s="305">
        <f>SECT_U.FIS.!Q20</f>
        <v>0</v>
      </c>
      <c r="J30" s="305">
        <f>SECT_U.FIS.!Q21</f>
        <v>0</v>
      </c>
      <c r="K30" s="305">
        <f>SECT_U.FIS.!Q22</f>
        <v>0</v>
      </c>
      <c r="L30" s="305">
        <f>SECT_U.FIS.!Q23</f>
        <v>7.3266200000000003E-4</v>
      </c>
      <c r="M30" s="305">
        <f>SECT_U.FIS.!Q24</f>
        <v>1.7830000000000001E-3</v>
      </c>
      <c r="N30" s="306">
        <f>SUM(C30:M30)</f>
        <v>208.35797919024</v>
      </c>
      <c r="O30" s="1293"/>
      <c r="P30" s="1293"/>
      <c r="Q30" s="1293"/>
      <c r="R30" s="1293"/>
      <c r="S30" s="1293"/>
      <c r="T30" s="1293"/>
      <c r="U30" s="1293"/>
      <c r="V30" s="1293"/>
      <c r="W30" s="1293"/>
      <c r="X30" s="1293"/>
      <c r="Y30" s="1293"/>
      <c r="Z30" s="1293"/>
    </row>
    <row r="31" spans="2:26">
      <c r="B31" s="1087" t="s">
        <v>181</v>
      </c>
      <c r="C31" s="305"/>
      <c r="D31" s="305"/>
      <c r="E31" s="305"/>
      <c r="F31" s="305"/>
      <c r="G31" s="305"/>
      <c r="H31" s="305"/>
      <c r="I31" s="305"/>
      <c r="J31" s="305"/>
      <c r="K31" s="305"/>
      <c r="L31" s="305"/>
      <c r="M31" s="305"/>
      <c r="N31" s="306"/>
      <c r="O31" s="1294"/>
      <c r="P31" s="1294"/>
      <c r="Q31" s="1294"/>
      <c r="R31" s="1292"/>
      <c r="S31" s="1292"/>
      <c r="T31" s="1292"/>
      <c r="U31" s="1292"/>
      <c r="V31" s="1292"/>
      <c r="W31" s="1292"/>
      <c r="X31" s="1292"/>
      <c r="Y31" s="1292"/>
      <c r="Z31" s="1292"/>
    </row>
    <row r="32" spans="2:26">
      <c r="B32" s="1086" t="s">
        <v>69</v>
      </c>
      <c r="C32" s="1289">
        <f>SECT_U.FIS.!R14</f>
        <v>0</v>
      </c>
      <c r="D32" s="305">
        <f>SECT_U.FIS.!R15</f>
        <v>0</v>
      </c>
      <c r="E32" s="305">
        <f>SECT_U.FIS.!R16</f>
        <v>0</v>
      </c>
      <c r="F32" s="305">
        <f>SECT_U.FIS.!R17</f>
        <v>0</v>
      </c>
      <c r="G32" s="305">
        <f>SECT_U.FIS.!R18</f>
        <v>323.96065077777786</v>
      </c>
      <c r="H32" s="305">
        <f>SECT_U.FIS.!R19</f>
        <v>0</v>
      </c>
      <c r="I32" s="305">
        <f>SECT_U.FIS.!R20</f>
        <v>0</v>
      </c>
      <c r="J32" s="305">
        <f>SECT_U.FIS.!R21</f>
        <v>0</v>
      </c>
      <c r="K32" s="305">
        <f>SECT_U.FIS.!R22</f>
        <v>0</v>
      </c>
      <c r="L32" s="305">
        <f>SECT_U.FIS.!R23</f>
        <v>0</v>
      </c>
      <c r="M32" s="305">
        <f>SECT_U.FIS.!R24</f>
        <v>0</v>
      </c>
      <c r="N32" s="306">
        <f>SUM(C32:M32)</f>
        <v>323.96065077777786</v>
      </c>
      <c r="O32" s="1293"/>
      <c r="P32" s="1293"/>
      <c r="Q32" s="1293"/>
      <c r="R32" s="1293"/>
      <c r="S32" s="1293"/>
      <c r="T32" s="1293"/>
      <c r="U32" s="1293"/>
      <c r="V32" s="1293"/>
      <c r="W32" s="1293"/>
      <c r="X32" s="1293"/>
      <c r="Y32" s="1293"/>
      <c r="Z32" s="1293"/>
    </row>
    <row r="33" spans="2:26">
      <c r="B33" s="1087" t="s">
        <v>180</v>
      </c>
      <c r="C33" s="305"/>
      <c r="D33" s="305"/>
      <c r="E33" s="305"/>
      <c r="F33" s="305"/>
      <c r="G33" s="305"/>
      <c r="H33" s="305"/>
      <c r="I33" s="305"/>
      <c r="J33" s="305"/>
      <c r="K33" s="305"/>
      <c r="L33" s="305"/>
      <c r="M33" s="305"/>
      <c r="N33" s="306"/>
      <c r="O33" s="1294"/>
      <c r="P33" s="1294"/>
      <c r="Q33" s="1294"/>
      <c r="R33" s="1292"/>
      <c r="S33" s="1292"/>
      <c r="T33" s="1292"/>
      <c r="U33" s="1292"/>
      <c r="V33" s="1292"/>
      <c r="W33" s="1292"/>
      <c r="X33" s="1292"/>
      <c r="Y33" s="1292"/>
      <c r="Z33" s="1292"/>
    </row>
    <row r="34" spans="2:26">
      <c r="B34" s="1086" t="s">
        <v>201</v>
      </c>
      <c r="C34" s="1289">
        <f>SECT_U.FIS.!S14</f>
        <v>179.58946925309127</v>
      </c>
      <c r="D34" s="305">
        <f>SECT_U.FIS.!S15</f>
        <v>88.725247999999993</v>
      </c>
      <c r="E34" s="305">
        <f>SECT_U.FIS.!S16</f>
        <v>0</v>
      </c>
      <c r="F34" s="305">
        <f>SECT_U.FIS.!S17</f>
        <v>88.844921259585078</v>
      </c>
      <c r="G34" s="305">
        <f>SECT_U.FIS.!S18</f>
        <v>23.984812244369962</v>
      </c>
      <c r="H34" s="305">
        <f>SECT_U.FIS.!S19</f>
        <v>10.65165841920822</v>
      </c>
      <c r="I34" s="305">
        <f>SECT_U.FIS.!S20</f>
        <v>31.361358865452541</v>
      </c>
      <c r="J34" s="1289">
        <f>SECT_U.FIS.!S21</f>
        <v>0</v>
      </c>
      <c r="K34" s="305">
        <f>SECT_U.FIS.!S22</f>
        <v>54.943356747871348</v>
      </c>
      <c r="L34" s="305">
        <f>SECT_U.FIS.!S23</f>
        <v>478.34696547964194</v>
      </c>
      <c r="M34" s="305">
        <f>SECT_U.FIS.!S24</f>
        <v>2.8397520000000078</v>
      </c>
      <c r="N34" s="306">
        <f>SUM(C34:M34)</f>
        <v>959.28754226922035</v>
      </c>
      <c r="O34" s="1293"/>
      <c r="P34" s="1293"/>
      <c r="Q34" s="1293"/>
      <c r="R34" s="1293"/>
      <c r="S34" s="1293"/>
      <c r="T34" s="1293"/>
      <c r="U34" s="1293"/>
      <c r="V34" s="1293"/>
      <c r="W34" s="1293"/>
      <c r="X34" s="1293"/>
      <c r="Y34" s="1293"/>
      <c r="Z34" s="1293"/>
    </row>
    <row r="35" spans="2:26">
      <c r="B35" s="1087" t="s">
        <v>181</v>
      </c>
      <c r="C35" s="305"/>
      <c r="D35" s="305"/>
      <c r="E35" s="305"/>
      <c r="F35" s="305"/>
      <c r="G35" s="305"/>
      <c r="H35" s="305"/>
      <c r="I35" s="305"/>
      <c r="J35" s="305"/>
      <c r="K35" s="305"/>
      <c r="L35" s="305"/>
      <c r="M35" s="305"/>
      <c r="N35" s="306"/>
      <c r="O35" s="1294"/>
      <c r="P35" s="1294"/>
      <c r="Q35" s="1294"/>
      <c r="R35" s="1292"/>
      <c r="S35" s="1292"/>
      <c r="T35" s="1292"/>
      <c r="U35" s="1292"/>
      <c r="V35" s="1292"/>
      <c r="W35" s="1292"/>
      <c r="X35" s="1292"/>
      <c r="Y35" s="1292"/>
      <c r="Z35" s="1292"/>
    </row>
    <row r="36" spans="2:26">
      <c r="B36" s="1086" t="s">
        <v>22</v>
      </c>
      <c r="C36" s="1289">
        <f>SECT_U.FIS.!T14</f>
        <v>0</v>
      </c>
      <c r="D36" s="305">
        <f>SECT_U.FIS.!T15</f>
        <v>0</v>
      </c>
      <c r="E36" s="305">
        <f>SECT_U.FIS.!T16</f>
        <v>0</v>
      </c>
      <c r="F36" s="305">
        <f>SECT_U.FIS.!T17</f>
        <v>0</v>
      </c>
      <c r="G36" s="305">
        <f>SECT_U.FIS.!T18</f>
        <v>0</v>
      </c>
      <c r="H36" s="305">
        <f>SECT_U.FIS.!T19</f>
        <v>0</v>
      </c>
      <c r="I36" s="305">
        <f>SECT_U.FIS.!T20</f>
        <v>0</v>
      </c>
      <c r="J36" s="305">
        <f>SECT_U.FIS.!T21</f>
        <v>0</v>
      </c>
      <c r="K36" s="305">
        <f>SECT_U.FIS.!T22</f>
        <v>0</v>
      </c>
      <c r="L36" s="305">
        <f>SECT_U.FIS.!T23</f>
        <v>0</v>
      </c>
      <c r="M36" s="305">
        <f>SECT_U.FIS.!T24</f>
        <v>0</v>
      </c>
      <c r="N36" s="306">
        <f>SUM(C36:M36)</f>
        <v>0</v>
      </c>
      <c r="O36" s="1293"/>
      <c r="P36" s="1293"/>
      <c r="Q36" s="1293"/>
      <c r="R36" s="1293"/>
      <c r="S36" s="1293"/>
      <c r="T36" s="1293"/>
      <c r="U36" s="1293"/>
      <c r="V36" s="1293"/>
      <c r="W36" s="1293"/>
      <c r="X36" s="1293"/>
      <c r="Y36" s="1293"/>
      <c r="Z36" s="1293"/>
    </row>
    <row r="37" spans="2:26">
      <c r="B37" s="1087" t="s">
        <v>180</v>
      </c>
      <c r="C37" s="311"/>
      <c r="D37" s="311"/>
      <c r="E37" s="311"/>
      <c r="F37" s="311"/>
      <c r="G37" s="311"/>
      <c r="H37" s="311"/>
      <c r="I37" s="311"/>
      <c r="J37" s="311"/>
      <c r="K37" s="311"/>
      <c r="L37" s="311"/>
      <c r="M37" s="311"/>
      <c r="N37" s="312"/>
      <c r="O37" s="1292"/>
      <c r="P37" s="1292"/>
      <c r="Q37" s="1292"/>
      <c r="R37" s="1292"/>
      <c r="S37" s="1292"/>
      <c r="T37" s="1292"/>
      <c r="U37" s="1292"/>
      <c r="V37" s="1292"/>
      <c r="W37" s="1292"/>
      <c r="X37" s="1292"/>
      <c r="Y37" s="1292"/>
      <c r="Z37" s="1292"/>
    </row>
    <row r="38" spans="2:26">
      <c r="B38" s="1086" t="s">
        <v>9</v>
      </c>
      <c r="C38" s="1289">
        <f>SECT_U.FIS.!V14</f>
        <v>0</v>
      </c>
      <c r="D38" s="305">
        <f>SECT_U.FIS.!V15</f>
        <v>0</v>
      </c>
      <c r="E38" s="305">
        <f>SECT_U.FIS.!V16</f>
        <v>0</v>
      </c>
      <c r="F38" s="305">
        <f>SECT_U.FIS.!V17</f>
        <v>2103.9906516193132</v>
      </c>
      <c r="G38" s="305">
        <f>SECT_U.FIS.!V18</f>
        <v>1.3979999999999999E-2</v>
      </c>
      <c r="H38" s="305">
        <f>SECT_U.FIS.!V19</f>
        <v>0</v>
      </c>
      <c r="I38" s="305">
        <f>SECT_U.FIS.!V20</f>
        <v>0</v>
      </c>
      <c r="J38" s="305">
        <f>SECT_U.FIS.!V21</f>
        <v>0</v>
      </c>
      <c r="K38" s="305">
        <f>SECT_U.FIS.!V22</f>
        <v>0</v>
      </c>
      <c r="L38" s="305">
        <f>SECT_U.FIS.!V23</f>
        <v>1098.8977306504401</v>
      </c>
      <c r="M38" s="305">
        <f>SECT_U.FIS.!V24</f>
        <v>0</v>
      </c>
      <c r="N38" s="306">
        <f>SUM(C38:M38)</f>
        <v>3202.9023622697532</v>
      </c>
      <c r="O38" s="1293"/>
      <c r="P38" s="1293"/>
      <c r="Q38" s="1293"/>
      <c r="R38" s="1293"/>
      <c r="S38" s="1293"/>
      <c r="T38" s="1293"/>
      <c r="U38" s="1293"/>
      <c r="V38" s="1293"/>
      <c r="W38" s="1293"/>
      <c r="X38" s="1293"/>
      <c r="Y38" s="1293"/>
      <c r="Z38" s="1293"/>
    </row>
    <row r="39" spans="2:26" ht="13.5" thickBot="1">
      <c r="B39" s="1088" t="s">
        <v>180</v>
      </c>
      <c r="C39" s="313"/>
      <c r="D39" s="313"/>
      <c r="E39" s="313"/>
      <c r="F39" s="313"/>
      <c r="G39" s="313"/>
      <c r="H39" s="313"/>
      <c r="I39" s="313"/>
      <c r="J39" s="313"/>
      <c r="K39" s="313"/>
      <c r="L39" s="313"/>
      <c r="M39" s="313"/>
      <c r="N39" s="314"/>
      <c r="O39" s="1290"/>
      <c r="P39" s="1292"/>
      <c r="Q39" s="1292"/>
      <c r="R39" s="1292"/>
      <c r="S39" s="1292"/>
      <c r="T39" s="1292"/>
      <c r="U39" s="1292"/>
      <c r="V39" s="1292"/>
      <c r="W39" s="1292"/>
      <c r="X39" s="1292"/>
      <c r="Y39" s="1292"/>
      <c r="Z39" s="1292"/>
    </row>
    <row r="40" spans="2:26">
      <c r="B40" s="21" t="s">
        <v>14</v>
      </c>
      <c r="C40" s="21"/>
      <c r="D40" s="21"/>
      <c r="E40" s="21"/>
      <c r="F40" s="21"/>
      <c r="G40" s="21"/>
      <c r="H40" s="21"/>
      <c r="I40" s="76"/>
      <c r="J40" s="76"/>
      <c r="K40" s="76"/>
      <c r="L40" s="76"/>
      <c r="M40" s="76"/>
      <c r="N40" s="76"/>
      <c r="O40" s="1295"/>
      <c r="P40" s="1292"/>
      <c r="Q40" s="1292"/>
      <c r="R40" s="1292"/>
      <c r="S40" s="1292"/>
      <c r="T40" s="1292"/>
      <c r="U40" s="1292"/>
      <c r="V40" s="1292"/>
      <c r="W40" s="1292"/>
      <c r="X40" s="1292"/>
      <c r="Y40" s="1292"/>
      <c r="Z40" s="1292"/>
    </row>
    <row r="41" spans="2:26">
      <c r="B41" s="21" t="s">
        <v>800</v>
      </c>
      <c r="C41" s="21"/>
      <c r="D41" s="21"/>
      <c r="E41" s="21"/>
      <c r="F41" s="21"/>
      <c r="G41" s="21"/>
      <c r="H41" s="21"/>
      <c r="I41" s="76"/>
      <c r="J41" s="856" t="s">
        <v>681</v>
      </c>
      <c r="K41" s="76"/>
      <c r="L41" s="76"/>
      <c r="M41" s="76"/>
      <c r="N41" s="76"/>
      <c r="O41" s="1295"/>
      <c r="P41" s="1292"/>
      <c r="Q41" s="1292"/>
      <c r="R41" s="1292"/>
      <c r="S41" s="1292"/>
      <c r="T41" s="1292"/>
      <c r="U41" s="1292"/>
      <c r="V41" s="1292"/>
      <c r="W41" s="1292"/>
      <c r="X41" s="1292"/>
      <c r="Y41" s="1292"/>
      <c r="Z41" s="1292"/>
    </row>
    <row r="42" spans="2:26">
      <c r="B42" s="308"/>
      <c r="C42" s="308"/>
      <c r="D42" s="308"/>
      <c r="E42" s="308"/>
      <c r="F42" s="308"/>
      <c r="G42" s="308"/>
      <c r="H42" s="308"/>
      <c r="I42" s="308"/>
      <c r="J42" s="308"/>
      <c r="K42" s="308"/>
      <c r="L42" s="308"/>
      <c r="M42" s="308"/>
      <c r="N42" s="308"/>
      <c r="O42" s="1296"/>
      <c r="P42" s="1297"/>
      <c r="Q42" s="1298"/>
      <c r="R42" s="1298"/>
      <c r="S42" s="1298"/>
      <c r="T42" s="1298"/>
      <c r="U42" s="1298"/>
      <c r="V42" s="1298"/>
      <c r="W42" s="1298"/>
      <c r="X42" s="1298"/>
      <c r="Y42" s="1298"/>
      <c r="Z42" s="1298"/>
    </row>
    <row r="43" spans="2:26">
      <c r="B43" s="308"/>
      <c r="C43" s="308"/>
      <c r="D43" s="308"/>
      <c r="E43" s="308"/>
      <c r="F43" s="308"/>
      <c r="G43" s="308"/>
      <c r="H43" s="308"/>
      <c r="I43" s="308"/>
      <c r="J43" s="308"/>
      <c r="K43" s="308"/>
      <c r="L43" s="308"/>
      <c r="M43" s="308"/>
      <c r="N43" s="308"/>
      <c r="O43" s="1296"/>
      <c r="P43" s="1298"/>
      <c r="Q43" s="1298"/>
      <c r="R43" s="1298"/>
      <c r="S43" s="1298"/>
      <c r="T43" s="1298"/>
      <c r="U43" s="1298"/>
      <c r="V43" s="1298"/>
      <c r="W43" s="1298"/>
      <c r="X43" s="1298"/>
      <c r="Y43" s="1298"/>
      <c r="Z43" s="1298"/>
    </row>
    <row r="44" spans="2:26">
      <c r="B44" s="308"/>
      <c r="C44" s="308"/>
      <c r="D44" s="308"/>
      <c r="E44" s="308"/>
      <c r="F44" s="308"/>
      <c r="G44" s="308"/>
      <c r="H44" s="308"/>
      <c r="I44" s="308"/>
      <c r="J44" s="308"/>
      <c r="K44" s="308"/>
      <c r="L44" s="308"/>
      <c r="M44" s="308"/>
      <c r="N44" s="308"/>
      <c r="O44" s="1296"/>
      <c r="P44" s="1298"/>
      <c r="Q44" s="1298"/>
      <c r="R44" s="1298"/>
      <c r="S44" s="1298"/>
      <c r="T44" s="1298"/>
      <c r="U44" s="1298"/>
      <c r="V44" s="1298"/>
      <c r="W44" s="1298"/>
      <c r="X44" s="1298"/>
      <c r="Y44" s="1298"/>
      <c r="Z44" s="1298"/>
    </row>
    <row r="45" spans="2:26">
      <c r="B45" s="308"/>
      <c r="C45" s="308"/>
      <c r="D45" s="308"/>
      <c r="E45" s="308"/>
      <c r="F45" s="308"/>
      <c r="G45" s="308"/>
      <c r="H45" s="308"/>
      <c r="I45" s="308"/>
      <c r="J45" s="308"/>
      <c r="K45" s="308"/>
      <c r="L45" s="308"/>
      <c r="M45" s="308"/>
      <c r="N45" s="308"/>
      <c r="O45" s="1296"/>
      <c r="P45" s="1298"/>
      <c r="Q45" s="1298"/>
      <c r="R45" s="1298"/>
      <c r="S45" s="1298"/>
      <c r="T45" s="1298"/>
      <c r="U45" s="1298"/>
      <c r="V45" s="1298"/>
      <c r="W45" s="1298"/>
      <c r="X45" s="1298"/>
      <c r="Y45" s="1298"/>
      <c r="Z45" s="1298"/>
    </row>
    <row r="46" spans="2:26">
      <c r="B46" s="308"/>
      <c r="C46" s="308"/>
      <c r="D46" s="308"/>
      <c r="E46" s="308"/>
      <c r="F46" s="308"/>
      <c r="G46" s="308"/>
      <c r="H46" s="308"/>
      <c r="I46" s="308"/>
      <c r="J46" s="308"/>
      <c r="K46" s="308"/>
      <c r="L46" s="308"/>
      <c r="M46" s="308"/>
      <c r="N46" s="308"/>
      <c r="O46" s="1296"/>
      <c r="P46" s="1298"/>
      <c r="Q46" s="1298"/>
      <c r="R46" s="1298"/>
      <c r="S46" s="1298"/>
      <c r="T46" s="1298"/>
      <c r="U46" s="1298"/>
      <c r="V46" s="1298"/>
      <c r="W46" s="1298"/>
      <c r="X46" s="1298"/>
      <c r="Y46" s="1298"/>
      <c r="Z46" s="1298"/>
    </row>
    <row r="47" spans="2:26">
      <c r="B47" s="308"/>
      <c r="C47" s="308"/>
      <c r="D47" s="308"/>
      <c r="E47" s="308"/>
      <c r="F47" s="308"/>
      <c r="G47" s="308"/>
      <c r="H47" s="308"/>
      <c r="I47" s="308"/>
      <c r="J47" s="308"/>
      <c r="K47" s="308"/>
      <c r="L47" s="308"/>
      <c r="M47" s="308"/>
      <c r="N47" s="308"/>
      <c r="O47" s="1296"/>
      <c r="P47" s="1298"/>
      <c r="Q47" s="1298"/>
      <c r="R47" s="1298"/>
      <c r="S47" s="1298"/>
      <c r="T47" s="1298"/>
      <c r="U47" s="1298"/>
      <c r="V47" s="1298"/>
      <c r="W47" s="1298"/>
      <c r="X47" s="1298"/>
      <c r="Y47" s="1298"/>
      <c r="Z47" s="1298"/>
    </row>
    <row r="48" spans="2:26">
      <c r="B48" s="308"/>
      <c r="C48" s="308"/>
      <c r="D48" s="308"/>
      <c r="E48" s="308"/>
      <c r="F48" s="308"/>
      <c r="G48" s="308"/>
      <c r="H48" s="308"/>
      <c r="I48" s="308"/>
      <c r="J48" s="308"/>
      <c r="K48" s="308"/>
      <c r="L48" s="308"/>
      <c r="M48" s="308"/>
      <c r="N48" s="308"/>
      <c r="O48" s="1296"/>
      <c r="P48" s="1298"/>
      <c r="Q48" s="1298"/>
      <c r="R48" s="1298"/>
      <c r="S48" s="1298"/>
      <c r="T48" s="1298"/>
      <c r="U48" s="1298"/>
      <c r="V48" s="1298"/>
      <c r="W48" s="1298"/>
      <c r="X48" s="1298"/>
      <c r="Y48" s="1298"/>
      <c r="Z48" s="1298"/>
    </row>
    <row r="49" spans="2:26">
      <c r="B49" s="308"/>
      <c r="C49" s="308"/>
      <c r="D49" s="308"/>
      <c r="E49" s="308"/>
      <c r="F49" s="308"/>
      <c r="G49" s="308"/>
      <c r="H49" s="308"/>
      <c r="I49" s="308"/>
      <c r="J49" s="308"/>
      <c r="K49" s="308"/>
      <c r="L49" s="308"/>
      <c r="M49" s="308"/>
      <c r="N49" s="308"/>
      <c r="O49" s="1296"/>
      <c r="P49" s="1298"/>
      <c r="Q49" s="1298"/>
      <c r="R49" s="1298"/>
      <c r="S49" s="1298"/>
      <c r="T49" s="1298"/>
      <c r="U49" s="1298"/>
      <c r="V49" s="1298"/>
      <c r="W49" s="1298"/>
      <c r="X49" s="1298"/>
      <c r="Y49" s="1298"/>
      <c r="Z49" s="1298"/>
    </row>
    <row r="50" spans="2:26">
      <c r="B50" s="308"/>
      <c r="C50" s="308"/>
      <c r="D50" s="308"/>
      <c r="E50" s="308"/>
      <c r="F50" s="308"/>
      <c r="G50" s="308"/>
      <c r="H50" s="308"/>
      <c r="I50" s="308"/>
      <c r="J50" s="308"/>
      <c r="K50" s="308"/>
      <c r="L50" s="308"/>
      <c r="M50" s="308"/>
      <c r="N50" s="308"/>
      <c r="O50" s="1296"/>
      <c r="P50" s="1298"/>
      <c r="Q50" s="1298"/>
      <c r="R50" s="1298"/>
      <c r="S50" s="1298"/>
      <c r="T50" s="1298"/>
      <c r="U50" s="1298"/>
      <c r="V50" s="1298"/>
      <c r="W50" s="1298"/>
      <c r="X50" s="1298"/>
      <c r="Y50" s="1298"/>
      <c r="Z50" s="1298"/>
    </row>
    <row r="51" spans="2:26">
      <c r="B51" s="308"/>
      <c r="C51" s="308"/>
      <c r="D51" s="308"/>
      <c r="E51" s="308"/>
      <c r="F51" s="308"/>
      <c r="G51" s="308"/>
      <c r="H51" s="308"/>
      <c r="I51" s="308"/>
      <c r="J51" s="308"/>
      <c r="K51" s="308"/>
      <c r="L51" s="308"/>
      <c r="M51" s="308"/>
      <c r="N51" s="308"/>
      <c r="O51" s="1296"/>
      <c r="P51" s="1298"/>
      <c r="Q51" s="1298"/>
      <c r="R51" s="1298"/>
      <c r="S51" s="1298"/>
      <c r="T51" s="1298"/>
      <c r="U51" s="1298"/>
      <c r="V51" s="1298"/>
      <c r="W51" s="1298"/>
      <c r="X51" s="1298"/>
      <c r="Y51" s="1298"/>
      <c r="Z51" s="1298"/>
    </row>
    <row r="52" spans="2:26">
      <c r="B52" s="308"/>
      <c r="C52" s="308"/>
      <c r="D52" s="308"/>
      <c r="E52" s="308"/>
      <c r="F52" s="308"/>
      <c r="G52" s="308"/>
      <c r="H52" s="308"/>
      <c r="I52" s="308"/>
      <c r="J52" s="308"/>
      <c r="K52" s="308"/>
      <c r="L52" s="308"/>
      <c r="M52" s="308"/>
      <c r="N52" s="308"/>
      <c r="O52" s="1296"/>
      <c r="P52" s="1298"/>
      <c r="Q52" s="1298"/>
      <c r="R52" s="1298"/>
      <c r="S52" s="1298"/>
      <c r="T52" s="1298"/>
      <c r="U52" s="1298"/>
      <c r="V52" s="1298"/>
      <c r="W52" s="1298"/>
      <c r="X52" s="1298"/>
      <c r="Y52" s="1298"/>
      <c r="Z52" s="1298"/>
    </row>
    <row r="53" spans="2:26">
      <c r="B53" s="308"/>
      <c r="C53" s="308"/>
      <c r="D53" s="308"/>
      <c r="E53" s="308"/>
      <c r="F53" s="308"/>
      <c r="G53" s="308"/>
      <c r="H53" s="308"/>
      <c r="I53" s="308"/>
      <c r="J53" s="308"/>
      <c r="K53" s="308"/>
      <c r="L53" s="308"/>
      <c r="M53" s="308"/>
      <c r="N53" s="308"/>
      <c r="O53" s="1296"/>
      <c r="P53" s="1298"/>
      <c r="Q53" s="1298"/>
      <c r="R53" s="1298"/>
      <c r="S53" s="1298"/>
      <c r="T53" s="1298"/>
      <c r="U53" s="1298"/>
      <c r="V53" s="1298"/>
      <c r="W53" s="1298"/>
      <c r="X53" s="1298"/>
      <c r="Y53" s="1298"/>
      <c r="Z53" s="1298"/>
    </row>
    <row r="54" spans="2:26">
      <c r="B54" s="308"/>
      <c r="C54" s="308"/>
      <c r="D54" s="308"/>
      <c r="E54" s="308"/>
      <c r="F54" s="308"/>
      <c r="G54" s="308"/>
      <c r="H54" s="308"/>
      <c r="I54" s="308"/>
      <c r="J54" s="308"/>
      <c r="K54" s="308"/>
      <c r="L54" s="308"/>
      <c r="M54" s="308"/>
      <c r="N54" s="308"/>
      <c r="O54" s="1296"/>
      <c r="P54" s="1298"/>
      <c r="Q54" s="1298"/>
      <c r="R54" s="1298"/>
      <c r="S54" s="1298"/>
      <c r="T54" s="1298"/>
      <c r="U54" s="1298"/>
      <c r="V54" s="1298"/>
      <c r="W54" s="1298"/>
      <c r="X54" s="1298"/>
      <c r="Y54" s="1298"/>
      <c r="Z54" s="1298"/>
    </row>
    <row r="55" spans="2:26">
      <c r="B55" s="308"/>
      <c r="C55" s="308"/>
      <c r="D55" s="308"/>
      <c r="E55" s="308"/>
      <c r="F55" s="308"/>
      <c r="G55" s="308"/>
      <c r="H55" s="308"/>
      <c r="I55" s="308"/>
      <c r="J55" s="308"/>
      <c r="K55" s="308"/>
      <c r="L55" s="308"/>
      <c r="M55" s="308"/>
      <c r="N55" s="308"/>
      <c r="O55" s="1296"/>
      <c r="P55" s="1298"/>
      <c r="Q55" s="1298"/>
      <c r="R55" s="1298"/>
      <c r="S55" s="1298"/>
      <c r="T55" s="1298"/>
      <c r="U55" s="1298"/>
      <c r="V55" s="1298"/>
      <c r="W55" s="1298"/>
      <c r="X55" s="1298"/>
      <c r="Y55" s="1298"/>
      <c r="Z55" s="1298"/>
    </row>
    <row r="56" spans="2:26">
      <c r="B56" s="308"/>
      <c r="C56" s="308"/>
      <c r="D56" s="308"/>
      <c r="E56" s="308"/>
      <c r="F56" s="308"/>
      <c r="G56" s="308"/>
      <c r="H56" s="308"/>
      <c r="I56" s="308"/>
      <c r="J56" s="308"/>
      <c r="K56" s="308"/>
      <c r="L56" s="308"/>
      <c r="M56" s="308"/>
      <c r="N56" s="308"/>
      <c r="O56" s="1296"/>
      <c r="P56" s="1298"/>
      <c r="Q56" s="1298"/>
      <c r="R56" s="1298"/>
      <c r="S56" s="1298"/>
      <c r="T56" s="1298"/>
      <c r="U56" s="1298"/>
      <c r="V56" s="1298"/>
      <c r="W56" s="1298"/>
      <c r="X56" s="1298"/>
      <c r="Y56" s="1298"/>
      <c r="Z56" s="1298"/>
    </row>
    <row r="57" spans="2:26">
      <c r="B57" s="308"/>
      <c r="C57" s="308"/>
      <c r="D57" s="308"/>
      <c r="E57" s="308"/>
      <c r="F57" s="308"/>
      <c r="G57" s="308"/>
      <c r="H57" s="308"/>
      <c r="I57" s="308"/>
      <c r="J57" s="308"/>
      <c r="K57" s="308"/>
      <c r="L57" s="308"/>
      <c r="M57" s="308"/>
      <c r="N57" s="308"/>
      <c r="O57" s="1296"/>
      <c r="P57" s="1298"/>
      <c r="Q57" s="1298"/>
      <c r="R57" s="1298"/>
      <c r="S57" s="1298"/>
      <c r="T57" s="1298"/>
      <c r="U57" s="1298"/>
      <c r="V57" s="1298"/>
      <c r="W57" s="1298"/>
      <c r="X57" s="1298"/>
      <c r="Y57" s="1298"/>
      <c r="Z57" s="1298"/>
    </row>
    <row r="58" spans="2:26">
      <c r="B58" s="308"/>
      <c r="C58" s="308"/>
      <c r="D58" s="308"/>
      <c r="E58" s="308"/>
      <c r="F58" s="308"/>
      <c r="G58" s="308"/>
      <c r="H58" s="308"/>
      <c r="I58" s="308"/>
      <c r="J58" s="308"/>
      <c r="K58" s="308"/>
      <c r="L58" s="308"/>
      <c r="M58" s="308"/>
      <c r="N58" s="308"/>
      <c r="O58" s="1296"/>
      <c r="P58" s="1298"/>
      <c r="Q58" s="1298"/>
      <c r="R58" s="1298"/>
      <c r="S58" s="1298"/>
      <c r="T58" s="1298"/>
      <c r="U58" s="1298"/>
      <c r="V58" s="1298"/>
      <c r="W58" s="1298"/>
      <c r="X58" s="1298"/>
      <c r="Y58" s="1298"/>
      <c r="Z58" s="1298"/>
    </row>
    <row r="59" spans="2:26">
      <c r="B59" s="308"/>
      <c r="C59" s="308"/>
      <c r="D59" s="308"/>
      <c r="E59" s="308"/>
      <c r="F59" s="308"/>
      <c r="G59" s="308"/>
      <c r="H59" s="308"/>
      <c r="I59" s="308"/>
      <c r="J59" s="308"/>
      <c r="K59" s="308"/>
      <c r="L59" s="308"/>
      <c r="M59" s="308"/>
      <c r="N59" s="308"/>
      <c r="O59" s="1296"/>
      <c r="P59" s="1298"/>
      <c r="Q59" s="1298"/>
      <c r="R59" s="1298"/>
      <c r="S59" s="1298"/>
      <c r="T59" s="1298"/>
      <c r="U59" s="1298"/>
      <c r="V59" s="1298"/>
      <c r="W59" s="1298"/>
      <c r="X59" s="1298"/>
      <c r="Y59" s="1298"/>
      <c r="Z59" s="1298"/>
    </row>
    <row r="60" spans="2:26"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1292"/>
      <c r="P60" s="1298"/>
      <c r="Q60" s="1298"/>
      <c r="R60" s="1298"/>
      <c r="S60" s="1298"/>
      <c r="T60" s="1298"/>
      <c r="U60" s="1298"/>
      <c r="V60" s="1298"/>
      <c r="W60" s="1298"/>
      <c r="X60" s="1298"/>
      <c r="Y60" s="1298"/>
      <c r="Z60" s="1298"/>
    </row>
    <row r="61" spans="2:26"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1292"/>
      <c r="P61" s="1298"/>
      <c r="Q61" s="1298"/>
      <c r="R61" s="1298"/>
      <c r="S61" s="1298"/>
      <c r="T61" s="1298"/>
      <c r="U61" s="1298"/>
      <c r="V61" s="1298"/>
      <c r="W61" s="1298"/>
      <c r="X61" s="1298"/>
      <c r="Y61" s="1298"/>
      <c r="Z61" s="1298"/>
    </row>
    <row r="62" spans="2:26"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1292"/>
      <c r="P62" s="1298"/>
      <c r="Q62" s="1298"/>
      <c r="R62" s="1298"/>
      <c r="S62" s="1298"/>
      <c r="T62" s="1298"/>
      <c r="U62" s="1298"/>
      <c r="V62" s="1298"/>
      <c r="W62" s="1298"/>
      <c r="X62" s="1298"/>
      <c r="Y62" s="1298"/>
      <c r="Z62" s="1298"/>
    </row>
    <row r="63" spans="2:26">
      <c r="O63" s="1292"/>
      <c r="P63" s="1298"/>
      <c r="Q63" s="1298"/>
      <c r="R63" s="1298"/>
      <c r="S63" s="1298"/>
      <c r="T63" s="1298"/>
      <c r="U63" s="1298"/>
      <c r="V63" s="1298"/>
      <c r="W63" s="1298"/>
      <c r="X63" s="1298"/>
      <c r="Y63" s="1298"/>
      <c r="Z63" s="1298"/>
    </row>
    <row r="64" spans="2:26">
      <c r="O64" s="1292"/>
      <c r="P64" s="1298"/>
      <c r="Q64" s="1298"/>
      <c r="R64" s="1298"/>
      <c r="S64" s="1298"/>
      <c r="T64" s="1298"/>
      <c r="U64" s="1298"/>
      <c r="V64" s="1298"/>
      <c r="W64" s="1298"/>
      <c r="X64" s="1298"/>
      <c r="Y64" s="1298"/>
      <c r="Z64" s="1298"/>
    </row>
    <row r="65" spans="15:26">
      <c r="O65" s="1292"/>
      <c r="P65" s="1298"/>
      <c r="Q65" s="1298"/>
      <c r="R65" s="1298"/>
      <c r="S65" s="1298"/>
      <c r="T65" s="1298"/>
      <c r="U65" s="1298"/>
      <c r="V65" s="1298"/>
      <c r="W65" s="1298"/>
      <c r="X65" s="1298"/>
      <c r="Y65" s="1298"/>
      <c r="Z65" s="1298"/>
    </row>
    <row r="66" spans="15:26">
      <c r="O66" s="1292"/>
      <c r="P66" s="1298"/>
      <c r="Q66" s="1298"/>
      <c r="R66" s="1298"/>
      <c r="S66" s="1298"/>
      <c r="T66" s="1298"/>
      <c r="U66" s="1298"/>
      <c r="V66" s="1298"/>
      <c r="W66" s="1298"/>
      <c r="X66" s="1298"/>
      <c r="Y66" s="1298"/>
      <c r="Z66" s="1298"/>
    </row>
    <row r="67" spans="15:26">
      <c r="O67" s="1292"/>
      <c r="P67" s="1298"/>
      <c r="Q67" s="1298"/>
      <c r="R67" s="1298"/>
      <c r="S67" s="1298"/>
      <c r="T67" s="1298"/>
      <c r="U67" s="1298"/>
      <c r="V67" s="1298"/>
      <c r="W67" s="1298"/>
      <c r="X67" s="1298"/>
      <c r="Y67" s="1298"/>
      <c r="Z67" s="1298"/>
    </row>
    <row r="68" spans="15:26">
      <c r="O68" s="1292"/>
      <c r="P68" s="1298"/>
      <c r="Q68" s="1298"/>
      <c r="R68" s="1298"/>
      <c r="S68" s="1298"/>
      <c r="T68" s="1298"/>
      <c r="U68" s="1298"/>
      <c r="V68" s="1298"/>
      <c r="W68" s="1298"/>
      <c r="X68" s="1298"/>
      <c r="Y68" s="1298"/>
      <c r="Z68" s="1298"/>
    </row>
    <row r="69" spans="15:26">
      <c r="O69" s="1292"/>
      <c r="P69" s="1298"/>
      <c r="Q69" s="1298"/>
      <c r="R69" s="1298"/>
      <c r="S69" s="1298"/>
      <c r="T69" s="1298"/>
      <c r="U69" s="1298"/>
      <c r="V69" s="1298"/>
      <c r="W69" s="1298"/>
      <c r="X69" s="1298"/>
      <c r="Y69" s="1298"/>
      <c r="Z69" s="1298"/>
    </row>
    <row r="70" spans="15:26">
      <c r="O70" s="1292"/>
      <c r="P70" s="1298"/>
      <c r="Q70" s="1298"/>
      <c r="R70" s="1298"/>
      <c r="S70" s="1298"/>
      <c r="T70" s="1298"/>
      <c r="U70" s="1298"/>
      <c r="V70" s="1298"/>
      <c r="W70" s="1298"/>
      <c r="X70" s="1298"/>
      <c r="Y70" s="1298"/>
      <c r="Z70" s="1298"/>
    </row>
  </sheetData>
  <phoneticPr fontId="0" type="noConversion"/>
  <hyperlinks>
    <hyperlink ref="J41" location="INDICE!A60" display="VOLVER A INDICE"/>
    <hyperlink ref="O6" location="INDICE!A60" display="VOLVER A INDICE"/>
  </hyperlinks>
  <pageMargins left="0.75" right="0.75" top="1" bottom="1" header="0" footer="0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96"/>
  <sheetViews>
    <sheetView workbookViewId="0">
      <selection activeCell="B34" sqref="B34"/>
    </sheetView>
  </sheetViews>
  <sheetFormatPr baseColWidth="10" defaultRowHeight="12.75"/>
  <cols>
    <col min="1" max="1" width="1.42578125" style="891" customWidth="1"/>
    <col min="2" max="2" width="30" style="891" customWidth="1"/>
    <col min="3" max="3" width="13.85546875" style="891" customWidth="1"/>
    <col min="4" max="6" width="11.42578125" style="891"/>
    <col min="7" max="17" width="11.42578125" style="22"/>
    <col min="18" max="16384" width="11.42578125" style="891"/>
  </cols>
  <sheetData>
    <row r="1" spans="2:9" ht="6.75" customHeight="1" thickBot="1"/>
    <row r="2" spans="2:9" ht="15.75" customHeight="1" thickBot="1">
      <c r="B2" s="1089"/>
      <c r="C2" s="1090"/>
      <c r="D2" s="1090"/>
      <c r="E2" s="1090"/>
      <c r="F2" s="1091"/>
      <c r="G2" s="328"/>
      <c r="H2" s="328"/>
      <c r="I2" s="328"/>
    </row>
    <row r="3" spans="2:9" ht="15.75">
      <c r="B3" s="315"/>
      <c r="C3" s="171" t="s">
        <v>77</v>
      </c>
      <c r="D3" s="316"/>
      <c r="E3" s="316"/>
      <c r="F3" s="317"/>
      <c r="G3" s="852" t="s">
        <v>681</v>
      </c>
      <c r="H3" s="328"/>
      <c r="I3" s="328"/>
    </row>
    <row r="4" spans="2:9" ht="15.75">
      <c r="B4" s="318"/>
      <c r="C4" s="319" t="s">
        <v>737</v>
      </c>
      <c r="D4" s="320"/>
      <c r="E4" s="321"/>
      <c r="F4" s="322"/>
      <c r="G4" s="328"/>
      <c r="H4" s="328"/>
      <c r="I4" s="328"/>
    </row>
    <row r="5" spans="2:9" ht="15.75">
      <c r="B5" s="318"/>
      <c r="C5" s="321" t="s">
        <v>589</v>
      </c>
      <c r="D5" s="321"/>
      <c r="E5" s="321"/>
      <c r="F5" s="322"/>
      <c r="G5" s="328"/>
      <c r="H5" s="328"/>
      <c r="I5" s="328"/>
    </row>
    <row r="6" spans="2:9" ht="15.75">
      <c r="B6" s="318"/>
      <c r="C6" s="321" t="s">
        <v>766</v>
      </c>
      <c r="D6" s="321"/>
      <c r="E6" s="321"/>
      <c r="F6" s="322"/>
      <c r="G6" s="328"/>
      <c r="H6" s="328"/>
      <c r="I6" s="328"/>
    </row>
    <row r="7" spans="2:9" ht="15.75">
      <c r="B7" s="318"/>
      <c r="C7" s="319" t="s">
        <v>767</v>
      </c>
      <c r="D7" s="321"/>
      <c r="E7" s="321"/>
      <c r="F7" s="322"/>
      <c r="G7" s="328"/>
      <c r="H7" s="328"/>
      <c r="I7" s="328"/>
    </row>
    <row r="8" spans="2:9" ht="15.75">
      <c r="B8" s="318"/>
      <c r="C8" s="321"/>
      <c r="D8" s="321"/>
      <c r="E8" s="321"/>
      <c r="F8" s="322"/>
      <c r="G8" s="328"/>
      <c r="H8" s="328"/>
      <c r="I8" s="328"/>
    </row>
    <row r="9" spans="2:9" ht="15.75">
      <c r="B9" s="323" t="s">
        <v>3</v>
      </c>
      <c r="C9" s="324" t="s">
        <v>121</v>
      </c>
      <c r="D9" s="324" t="s">
        <v>122</v>
      </c>
      <c r="E9" s="324" t="s">
        <v>123</v>
      </c>
      <c r="F9" s="325" t="s">
        <v>11</v>
      </c>
      <c r="G9" s="328"/>
      <c r="H9" s="328"/>
      <c r="I9" s="328"/>
    </row>
    <row r="10" spans="2:9" ht="13.5" thickBot="1">
      <c r="B10" s="1092"/>
      <c r="C10" s="1093"/>
      <c r="D10" s="1093"/>
      <c r="E10" s="1093"/>
      <c r="F10" s="1094"/>
      <c r="G10" s="328"/>
      <c r="H10" s="328"/>
      <c r="I10" s="328"/>
    </row>
    <row r="11" spans="2:9">
      <c r="B11" s="989"/>
      <c r="C11" s="326"/>
      <c r="D11" s="326"/>
      <c r="E11" s="326"/>
      <c r="F11" s="327"/>
      <c r="G11" s="328"/>
      <c r="H11" s="328"/>
      <c r="I11" s="328"/>
    </row>
    <row r="12" spans="2:9">
      <c r="B12" s="1095" t="s">
        <v>124</v>
      </c>
      <c r="C12" s="329">
        <f>SECT_U.FIS.!D29</f>
        <v>4.907</v>
      </c>
      <c r="D12" s="329">
        <f>SECT_U.FIS.!D30</f>
        <v>0</v>
      </c>
      <c r="E12" s="329">
        <f>SECT_U.FIS.!D31</f>
        <v>0.14499999999999999</v>
      </c>
      <c r="F12" s="330">
        <f>SUM(C12:E12)</f>
        <v>5.0519999999999996</v>
      </c>
      <c r="G12" s="331"/>
      <c r="H12" s="331"/>
      <c r="I12" s="328"/>
    </row>
    <row r="13" spans="2:9">
      <c r="B13" s="1096" t="s">
        <v>180</v>
      </c>
      <c r="C13" s="329"/>
      <c r="D13" s="329"/>
      <c r="E13" s="329"/>
      <c r="F13" s="330"/>
      <c r="G13" s="328"/>
      <c r="H13" s="331"/>
      <c r="I13" s="328"/>
    </row>
    <row r="14" spans="2:9">
      <c r="B14" s="1095" t="s">
        <v>125</v>
      </c>
      <c r="C14" s="329">
        <f>SECT_U.FIS.!C29</f>
        <v>103.60799999999999</v>
      </c>
      <c r="D14" s="329">
        <f>SECT_U.FIS.!C30</f>
        <v>3.2039999999999997</v>
      </c>
      <c r="E14" s="329">
        <f>SECT_U.FIS.!C31</f>
        <v>12.392860000000002</v>
      </c>
      <c r="F14" s="330">
        <f>SUM(C14:E14)</f>
        <v>119.20485999999998</v>
      </c>
      <c r="G14" s="331"/>
      <c r="H14" s="331"/>
      <c r="I14" s="328"/>
    </row>
    <row r="15" spans="2:9">
      <c r="B15" s="1096" t="s">
        <v>179</v>
      </c>
      <c r="C15" s="329"/>
      <c r="D15" s="329"/>
      <c r="E15" s="329"/>
      <c r="F15" s="330"/>
      <c r="G15" s="328"/>
      <c r="H15" s="331"/>
      <c r="I15" s="328"/>
    </row>
    <row r="16" spans="2:9">
      <c r="B16" s="1095" t="s">
        <v>59</v>
      </c>
      <c r="C16" s="329">
        <f>SECT_U.FIS.!G29</f>
        <v>1.64</v>
      </c>
      <c r="D16" s="329">
        <f>SECT_U.FIS.!G30</f>
        <v>8.0000000000000002E-3</v>
      </c>
      <c r="E16" s="329">
        <f>SECT_U.FIS.!G31</f>
        <v>69.192610000000002</v>
      </c>
      <c r="F16" s="330">
        <f>SUM(C16:E16)</f>
        <v>70.840609999999998</v>
      </c>
      <c r="G16" s="331"/>
      <c r="H16" s="331"/>
      <c r="I16" s="328"/>
    </row>
    <row r="17" spans="2:9">
      <c r="B17" s="1096" t="s">
        <v>179</v>
      </c>
      <c r="C17" s="329"/>
      <c r="D17" s="329"/>
      <c r="E17" s="329"/>
      <c r="F17" s="330"/>
      <c r="G17" s="328"/>
      <c r="H17" s="331"/>
      <c r="I17" s="328"/>
    </row>
    <row r="18" spans="2:9">
      <c r="B18" s="1210" t="s">
        <v>63</v>
      </c>
      <c r="C18" s="329">
        <f>SECT_U.FIS.!K29</f>
        <v>0</v>
      </c>
      <c r="D18" s="329">
        <f>SECT_U.FIS.!K30</f>
        <v>1.38809</v>
      </c>
      <c r="E18" s="329">
        <f>SECT_U.FIS.!K31</f>
        <v>0</v>
      </c>
      <c r="F18" s="330">
        <f>SUM(C18:E18)</f>
        <v>1.38809</v>
      </c>
      <c r="G18" s="328"/>
      <c r="H18" s="331"/>
      <c r="I18" s="328"/>
    </row>
    <row r="19" spans="2:9">
      <c r="B19" s="1096" t="s">
        <v>179</v>
      </c>
      <c r="C19" s="329"/>
      <c r="D19" s="329"/>
      <c r="E19" s="329"/>
      <c r="F19" s="330"/>
      <c r="G19" s="328"/>
      <c r="H19" s="331"/>
      <c r="I19" s="328"/>
    </row>
    <row r="20" spans="2:9">
      <c r="B20" s="1095" t="s">
        <v>60</v>
      </c>
      <c r="C20" s="329">
        <f>SECT_U.FIS.!H29</f>
        <v>90.46258673451743</v>
      </c>
      <c r="D20" s="329">
        <f>SECT_U.FIS.!H30</f>
        <v>19.018744712702592</v>
      </c>
      <c r="E20" s="329">
        <f>SECT_U.FIS.!H31</f>
        <v>712.55603754037418</v>
      </c>
      <c r="F20" s="330">
        <f>SUM(C20:E20)</f>
        <v>822.03736898759416</v>
      </c>
      <c r="G20" s="331"/>
      <c r="H20" s="331"/>
      <c r="I20" s="328"/>
    </row>
    <row r="21" spans="2:9">
      <c r="B21" s="1096" t="s">
        <v>180</v>
      </c>
      <c r="C21" s="329"/>
      <c r="D21" s="329"/>
      <c r="E21" s="329"/>
      <c r="F21" s="330"/>
      <c r="G21" s="328"/>
      <c r="H21" s="331"/>
      <c r="I21" s="328"/>
    </row>
    <row r="22" spans="2:9">
      <c r="B22" s="1095" t="s">
        <v>18</v>
      </c>
      <c r="C22" s="329">
        <f>SECT_U.FIS.!M29</f>
        <v>5511.4376904938872</v>
      </c>
      <c r="D22" s="329">
        <f>SECT_U.FIS.!M30</f>
        <v>1572.3251589170388</v>
      </c>
      <c r="E22" s="329">
        <f>SECT_U.FIS.!M31</f>
        <v>8284.0961167376208</v>
      </c>
      <c r="F22" s="330">
        <f>SUM(C22:E22)</f>
        <v>15367.858966148546</v>
      </c>
      <c r="G22" s="331"/>
      <c r="H22" s="331"/>
      <c r="I22" s="328"/>
    </row>
    <row r="23" spans="2:9">
      <c r="B23" s="1096" t="s">
        <v>183</v>
      </c>
      <c r="C23" s="329"/>
      <c r="D23" s="329"/>
      <c r="E23" s="329"/>
      <c r="F23" s="330"/>
      <c r="G23" s="328"/>
      <c r="H23" s="331"/>
      <c r="I23" s="328"/>
    </row>
    <row r="24" spans="2:9">
      <c r="B24" s="1095" t="s">
        <v>7</v>
      </c>
      <c r="C24" s="329">
        <f>SECT_U.FIS.!N29</f>
        <v>0.10214285714285713</v>
      </c>
      <c r="D24" s="329">
        <f>SECT_U.FIS.!N30</f>
        <v>4.9242728571428591</v>
      </c>
      <c r="E24" s="329">
        <f>SECT_U.FIS.!N31</f>
        <v>0.96569285714285713</v>
      </c>
      <c r="F24" s="330">
        <f>SUM(C24:E24)</f>
        <v>5.9921085714285729</v>
      </c>
      <c r="G24" s="331"/>
      <c r="H24" s="331"/>
      <c r="I24" s="328"/>
    </row>
    <row r="25" spans="2:9">
      <c r="B25" s="1096" t="s">
        <v>180</v>
      </c>
      <c r="C25" s="329"/>
      <c r="D25" s="329"/>
      <c r="E25" s="329"/>
      <c r="F25" s="330"/>
      <c r="G25" s="328"/>
      <c r="H25" s="331"/>
      <c r="I25" s="328"/>
    </row>
    <row r="26" spans="2:9">
      <c r="B26" s="1095" t="s">
        <v>20</v>
      </c>
      <c r="C26" s="329">
        <f>SECT_U.FIS.!Q29</f>
        <v>26.131228338</v>
      </c>
      <c r="D26" s="329">
        <f>SECT_U.FIS.!Q30</f>
        <v>0</v>
      </c>
      <c r="E26" s="329">
        <f>SECT_U.FIS.!Q31</f>
        <v>26.770177</v>
      </c>
      <c r="F26" s="330">
        <f>SUM(C26:E26)</f>
        <v>52.901405338000004</v>
      </c>
      <c r="G26" s="331"/>
      <c r="H26" s="331"/>
      <c r="I26" s="328"/>
    </row>
    <row r="27" spans="2:9">
      <c r="B27" s="1096" t="s">
        <v>181</v>
      </c>
      <c r="C27" s="329"/>
      <c r="D27" s="329"/>
      <c r="E27" s="329"/>
      <c r="F27" s="330"/>
      <c r="G27" s="328"/>
      <c r="H27" s="331"/>
      <c r="I27" s="328"/>
    </row>
    <row r="28" spans="2:9">
      <c r="B28" s="1095" t="s">
        <v>6</v>
      </c>
      <c r="C28" s="329">
        <f>SECT_U.FIS.!S29</f>
        <v>74.836192990148135</v>
      </c>
      <c r="D28" s="329">
        <f>SECT_U.FIS.!S30</f>
        <v>17.021408000000001</v>
      </c>
      <c r="E28" s="329">
        <f>SECT_U.FIS.!S31</f>
        <v>410.80661361863355</v>
      </c>
      <c r="F28" s="330">
        <f>SUM(C28:E28)</f>
        <v>502.66421460878166</v>
      </c>
      <c r="G28" s="331"/>
      <c r="H28" s="331"/>
      <c r="I28" s="328"/>
    </row>
    <row r="29" spans="2:9">
      <c r="B29" s="1096" t="s">
        <v>181</v>
      </c>
      <c r="C29" s="329"/>
      <c r="D29" s="329"/>
      <c r="E29" s="329"/>
      <c r="F29" s="330"/>
      <c r="G29" s="328"/>
      <c r="H29" s="331"/>
      <c r="I29" s="328"/>
    </row>
    <row r="30" spans="2:9">
      <c r="B30" s="1095" t="s">
        <v>9</v>
      </c>
      <c r="C30" s="329">
        <f>SECT_U.FIS.!V29</f>
        <v>0</v>
      </c>
      <c r="D30" s="329">
        <f>SECT_U.FIS.!V30</f>
        <v>0</v>
      </c>
      <c r="E30" s="329">
        <f>SECT_U.FIS.!V31</f>
        <v>8304.9730401818288</v>
      </c>
      <c r="F30" s="330">
        <f>SUM(C30:E30)</f>
        <v>8304.9730401818288</v>
      </c>
      <c r="G30" s="331"/>
      <c r="H30" s="331"/>
      <c r="I30" s="328"/>
    </row>
    <row r="31" spans="2:9">
      <c r="B31" s="1096" t="s">
        <v>180</v>
      </c>
      <c r="C31" s="329"/>
      <c r="D31" s="329"/>
      <c r="E31" s="329"/>
      <c r="F31" s="330"/>
      <c r="G31" s="328"/>
      <c r="H31" s="328"/>
      <c r="I31" s="328"/>
    </row>
    <row r="32" spans="2:9" ht="13.5" thickBot="1">
      <c r="B32" s="1097"/>
      <c r="C32" s="332"/>
      <c r="D32" s="332"/>
      <c r="E32" s="332"/>
      <c r="F32" s="333"/>
      <c r="G32" s="328"/>
      <c r="H32" s="328"/>
      <c r="I32" s="328"/>
    </row>
    <row r="33" spans="2:9">
      <c r="B33" s="21" t="s">
        <v>14</v>
      </c>
      <c r="C33" s="21"/>
      <c r="D33" s="21"/>
      <c r="E33" s="21"/>
      <c r="F33" s="21"/>
      <c r="G33" s="21"/>
      <c r="H33" s="21"/>
      <c r="I33" s="76"/>
    </row>
    <row r="34" spans="2:9">
      <c r="B34" s="21" t="s">
        <v>800</v>
      </c>
      <c r="C34" s="21"/>
      <c r="D34" s="21"/>
      <c r="E34" s="21"/>
      <c r="F34" s="21"/>
      <c r="G34" s="21"/>
      <c r="H34" s="21"/>
      <c r="I34" s="76"/>
    </row>
    <row r="35" spans="2:9">
      <c r="B35" s="328"/>
      <c r="C35" s="328"/>
      <c r="D35" s="328"/>
      <c r="E35" s="328"/>
      <c r="F35" s="328"/>
      <c r="G35" s="328"/>
      <c r="H35" s="328"/>
      <c r="I35" s="328"/>
    </row>
    <row r="36" spans="2:9">
      <c r="B36" s="328"/>
      <c r="C36" s="328"/>
      <c r="D36" s="328"/>
      <c r="E36" s="328"/>
      <c r="F36" s="328"/>
      <c r="G36" s="328"/>
      <c r="H36" s="328"/>
      <c r="I36" s="328"/>
    </row>
    <row r="37" spans="2:9">
      <c r="B37" s="22"/>
      <c r="C37" s="22"/>
      <c r="D37" s="22"/>
      <c r="E37" s="22"/>
      <c r="F37" s="22"/>
    </row>
    <row r="38" spans="2:9">
      <c r="B38" s="22"/>
      <c r="C38" s="22"/>
      <c r="D38" s="22"/>
      <c r="E38" s="22"/>
      <c r="F38" s="22"/>
    </row>
    <row r="39" spans="2:9">
      <c r="B39" s="22"/>
      <c r="C39" s="22"/>
      <c r="D39" s="22"/>
      <c r="E39" s="22"/>
      <c r="F39" s="22"/>
    </row>
    <row r="40" spans="2:9">
      <c r="B40" s="22"/>
      <c r="C40" s="22"/>
      <c r="D40" s="22"/>
      <c r="E40" s="22"/>
      <c r="F40" s="22"/>
    </row>
    <row r="41" spans="2:9">
      <c r="B41" s="22"/>
      <c r="C41" s="22"/>
      <c r="D41" s="22"/>
      <c r="E41" s="22"/>
      <c r="F41" s="22"/>
    </row>
    <row r="42" spans="2:9">
      <c r="B42" s="22"/>
      <c r="C42" s="22"/>
      <c r="D42" s="22"/>
      <c r="E42" s="22"/>
      <c r="F42" s="22"/>
    </row>
    <row r="43" spans="2:9">
      <c r="B43" s="22"/>
      <c r="C43" s="22"/>
      <c r="D43" s="22"/>
      <c r="E43" s="22"/>
      <c r="F43" s="22"/>
    </row>
    <row r="44" spans="2:9">
      <c r="B44" s="22"/>
      <c r="C44" s="22"/>
      <c r="D44" s="22"/>
      <c r="E44" s="22"/>
      <c r="F44" s="22"/>
    </row>
    <row r="45" spans="2:9">
      <c r="B45" s="22"/>
      <c r="C45" s="22"/>
      <c r="D45" s="22"/>
      <c r="E45" s="22"/>
      <c r="F45" s="22"/>
    </row>
    <row r="46" spans="2:9">
      <c r="B46" s="22"/>
      <c r="C46" s="22"/>
      <c r="D46" s="22"/>
      <c r="E46" s="22"/>
      <c r="F46" s="22"/>
    </row>
    <row r="47" spans="2:9">
      <c r="B47" s="22"/>
      <c r="C47" s="22"/>
      <c r="D47" s="22"/>
      <c r="E47" s="22"/>
      <c r="F47" s="22"/>
    </row>
    <row r="48" spans="2:9">
      <c r="B48" s="22"/>
      <c r="C48" s="22"/>
      <c r="D48" s="22"/>
      <c r="E48" s="22"/>
      <c r="F48" s="22"/>
    </row>
    <row r="49" spans="2:6">
      <c r="B49" s="22"/>
      <c r="C49" s="22"/>
      <c r="D49" s="22"/>
      <c r="E49" s="22"/>
      <c r="F49" s="22"/>
    </row>
    <row r="50" spans="2:6">
      <c r="B50" s="22"/>
      <c r="C50" s="22"/>
      <c r="D50" s="22"/>
      <c r="E50" s="22"/>
      <c r="F50" s="22"/>
    </row>
    <row r="51" spans="2:6">
      <c r="B51" s="22"/>
      <c r="C51" s="22"/>
      <c r="D51" s="22"/>
      <c r="E51" s="22"/>
      <c r="F51" s="22"/>
    </row>
    <row r="52" spans="2:6" s="22" customFormat="1"/>
    <row r="53" spans="2:6" s="22" customFormat="1"/>
    <row r="54" spans="2:6" s="22" customFormat="1"/>
    <row r="55" spans="2:6" s="22" customFormat="1"/>
    <row r="56" spans="2:6" s="22" customFormat="1"/>
    <row r="57" spans="2:6" s="22" customFormat="1"/>
    <row r="58" spans="2:6" s="22" customFormat="1"/>
    <row r="59" spans="2:6" s="22" customFormat="1"/>
    <row r="60" spans="2:6" s="22" customFormat="1"/>
    <row r="61" spans="2:6" s="22" customFormat="1"/>
    <row r="62" spans="2:6" s="22" customFormat="1"/>
    <row r="63" spans="2:6" s="22" customFormat="1"/>
    <row r="64" spans="2:6" s="22" customFormat="1"/>
    <row r="65" s="22" customFormat="1"/>
    <row r="66" s="22" customFormat="1"/>
    <row r="67" s="22" customFormat="1"/>
    <row r="68" s="22" customFormat="1"/>
    <row r="69" s="22" customFormat="1"/>
    <row r="70" s="22" customFormat="1"/>
    <row r="71" s="22" customFormat="1"/>
    <row r="72" s="22" customFormat="1"/>
    <row r="73" s="22" customFormat="1"/>
    <row r="74" s="22" customFormat="1"/>
    <row r="75" s="22" customFormat="1"/>
    <row r="76" s="22" customFormat="1"/>
    <row r="77" s="22" customFormat="1"/>
    <row r="78" s="22" customFormat="1"/>
    <row r="79" s="22" customFormat="1"/>
    <row r="80" s="22" customFormat="1"/>
    <row r="81" s="22" customFormat="1"/>
    <row r="82" s="22" customFormat="1"/>
    <row r="83" s="22" customFormat="1"/>
    <row r="84" s="22" customFormat="1"/>
    <row r="85" s="22" customFormat="1"/>
    <row r="86" s="22" customFormat="1"/>
    <row r="87" s="22" customFormat="1"/>
    <row r="88" s="22" customFormat="1"/>
    <row r="89" s="22" customFormat="1"/>
    <row r="90" s="22" customFormat="1"/>
    <row r="91" s="22" customFormat="1"/>
    <row r="92" s="22" customFormat="1"/>
    <row r="93" s="22" customFormat="1"/>
    <row r="94" s="22" customFormat="1"/>
    <row r="95" s="22" customFormat="1"/>
    <row r="96" s="22" customFormat="1"/>
  </sheetData>
  <phoneticPr fontId="0" type="noConversion"/>
  <hyperlinks>
    <hyperlink ref="G3" location="INDICE!A60" display="VOLVER A INDICE"/>
  </hyperlinks>
  <pageMargins left="0.75" right="0.75" top="1" bottom="1" header="0" footer="0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43"/>
  <sheetViews>
    <sheetView showGridLines="0" workbookViewId="0">
      <selection activeCell="B43" sqref="B43"/>
    </sheetView>
  </sheetViews>
  <sheetFormatPr baseColWidth="10" defaultRowHeight="12.75"/>
  <cols>
    <col min="1" max="1" width="2.85546875" customWidth="1"/>
    <col min="2" max="2" width="31.28515625" customWidth="1"/>
    <col min="3" max="3" width="15.7109375" customWidth="1"/>
    <col min="4" max="4" width="13.7109375" customWidth="1"/>
  </cols>
  <sheetData>
    <row r="1" spans="2:9" ht="7.5" customHeight="1" thickBot="1"/>
    <row r="2" spans="2:9" ht="13.5" thickBot="1">
      <c r="B2" s="1098"/>
      <c r="C2" s="1099"/>
      <c r="D2" s="1099"/>
      <c r="E2" s="1099"/>
      <c r="F2" s="1099"/>
      <c r="G2" s="1099"/>
      <c r="H2" s="1100"/>
    </row>
    <row r="3" spans="2:9" ht="15.75">
      <c r="B3" s="335"/>
      <c r="C3" s="336"/>
      <c r="D3" s="171" t="s">
        <v>77</v>
      </c>
      <c r="E3" s="336"/>
      <c r="F3" s="336"/>
      <c r="G3" s="336"/>
      <c r="H3" s="337"/>
    </row>
    <row r="4" spans="2:9" ht="15.75">
      <c r="B4" s="339"/>
      <c r="C4" s="340"/>
      <c r="D4" s="341" t="s">
        <v>799</v>
      </c>
      <c r="E4" s="340"/>
      <c r="F4" s="340"/>
      <c r="G4" s="340"/>
      <c r="H4" s="342"/>
    </row>
    <row r="5" spans="2:9" ht="15.75">
      <c r="B5" s="339"/>
      <c r="C5" s="340"/>
      <c r="D5" s="340" t="s">
        <v>590</v>
      </c>
      <c r="E5" s="340"/>
      <c r="F5" s="340"/>
      <c r="G5" s="340"/>
      <c r="H5" s="342"/>
      <c r="I5" s="1232" t="s">
        <v>681</v>
      </c>
    </row>
    <row r="6" spans="2:9" ht="15.75">
      <c r="B6" s="339"/>
      <c r="C6" s="340"/>
      <c r="D6" s="343" t="s">
        <v>748</v>
      </c>
      <c r="E6" s="340"/>
      <c r="F6" s="340"/>
      <c r="G6" s="340"/>
      <c r="H6" s="342"/>
    </row>
    <row r="7" spans="2:9" ht="15.75">
      <c r="B7" s="339"/>
      <c r="C7" s="340"/>
      <c r="D7" s="340"/>
      <c r="E7" s="340"/>
      <c r="F7" s="340"/>
      <c r="G7" s="340"/>
      <c r="H7" s="342"/>
    </row>
    <row r="8" spans="2:9" ht="15.75">
      <c r="B8" s="339"/>
      <c r="C8" s="343"/>
      <c r="D8" s="343"/>
      <c r="E8" s="343"/>
      <c r="F8" s="343"/>
      <c r="G8" s="343"/>
      <c r="H8" s="344"/>
    </row>
    <row r="9" spans="2:9" ht="15.75">
      <c r="B9" s="339" t="s">
        <v>3</v>
      </c>
      <c r="C9" s="181" t="s">
        <v>779</v>
      </c>
      <c r="D9" s="181" t="s">
        <v>780</v>
      </c>
      <c r="E9" s="181" t="s">
        <v>127</v>
      </c>
      <c r="F9" s="181" t="s">
        <v>128</v>
      </c>
      <c r="G9" s="181" t="s">
        <v>6</v>
      </c>
      <c r="H9" s="182" t="s">
        <v>11</v>
      </c>
    </row>
    <row r="10" spans="2:9" ht="16.5" thickBot="1">
      <c r="B10" s="1101"/>
      <c r="C10" s="1025"/>
      <c r="D10" s="1025"/>
      <c r="E10" s="1025" t="s">
        <v>6</v>
      </c>
      <c r="F10" s="1025" t="s">
        <v>781</v>
      </c>
      <c r="G10" s="1025" t="s">
        <v>782</v>
      </c>
      <c r="H10" s="1026"/>
    </row>
    <row r="11" spans="2:9">
      <c r="B11" s="1102"/>
      <c r="C11" s="345"/>
      <c r="D11" s="345"/>
      <c r="E11" s="345"/>
      <c r="F11" s="345"/>
      <c r="G11" s="346"/>
      <c r="H11" s="347"/>
    </row>
    <row r="12" spans="2:9">
      <c r="B12" s="1066" t="s">
        <v>55</v>
      </c>
      <c r="C12" s="329">
        <f>SECT_U.FIS.!D36+SECT_U.FIS.!D37</f>
        <v>0</v>
      </c>
      <c r="D12" s="329">
        <f>SECT_U.FIS.!D38+SECT_U.FIS.!D39</f>
        <v>6.9771428571428569</v>
      </c>
      <c r="E12" s="329">
        <f>SECT_U.FIS.!D40</f>
        <v>25.484003999999999</v>
      </c>
      <c r="F12" s="329">
        <f>SECT_U.FIS.!D41</f>
        <v>0</v>
      </c>
      <c r="G12" s="329">
        <f>SECT_U.FIS.!D42</f>
        <v>0</v>
      </c>
      <c r="H12" s="330">
        <f>SUM(C12:G12)</f>
        <v>32.461146857142857</v>
      </c>
    </row>
    <row r="13" spans="2:9">
      <c r="B13" s="1067" t="s">
        <v>211</v>
      </c>
      <c r="C13" s="329"/>
      <c r="D13" s="329"/>
      <c r="E13" s="329"/>
      <c r="F13" s="329"/>
      <c r="G13" s="329"/>
      <c r="H13" s="330"/>
    </row>
    <row r="14" spans="2:9">
      <c r="B14" s="1066" t="s">
        <v>56</v>
      </c>
      <c r="C14" s="329">
        <f>SECT_U.FIS.!C36+SECT_U.FIS.!C37</f>
        <v>0</v>
      </c>
      <c r="D14" s="329">
        <f>SECT_U.FIS.!C38+SECT_U.FIS.!C39</f>
        <v>0.19893838095238089</v>
      </c>
      <c r="E14" s="329">
        <f>SECT_U.FIS.!C40</f>
        <v>1.7505839999999997</v>
      </c>
      <c r="F14" s="329">
        <f>SECT_U.FIS.!C41</f>
        <v>0.19493299999999997</v>
      </c>
      <c r="G14" s="329">
        <f>SECT_U.FIS.!C42</f>
        <v>0</v>
      </c>
      <c r="H14" s="330">
        <f>SUM(C14:G14)</f>
        <v>2.1444553809523805</v>
      </c>
    </row>
    <row r="15" spans="2:9">
      <c r="B15" s="1067" t="s">
        <v>179</v>
      </c>
      <c r="C15" s="329"/>
      <c r="D15" s="329"/>
      <c r="E15" s="329"/>
      <c r="F15" s="329"/>
      <c r="G15" s="329"/>
      <c r="H15" s="330"/>
    </row>
    <row r="16" spans="2:9">
      <c r="B16" s="1066" t="s">
        <v>199</v>
      </c>
      <c r="C16" s="329">
        <f>SECT_U.FIS.!E36+SECT_U.FIS.!E37</f>
        <v>0</v>
      </c>
      <c r="D16" s="329">
        <f>SECT_U.FIS.!E38+SECT_U.FIS.!E39</f>
        <v>0</v>
      </c>
      <c r="E16" s="329">
        <f>SECT_U.FIS.!E40</f>
        <v>0</v>
      </c>
      <c r="F16" s="329">
        <f>SECT_U.FIS.!E41</f>
        <v>0</v>
      </c>
      <c r="G16" s="329">
        <f>SECT_U.FIS.!E42</f>
        <v>0</v>
      </c>
      <c r="H16" s="330">
        <f>SUM(C16:G16)</f>
        <v>0</v>
      </c>
    </row>
    <row r="17" spans="2:8">
      <c r="B17" s="1067" t="s">
        <v>179</v>
      </c>
      <c r="C17" s="329"/>
      <c r="D17" s="329"/>
      <c r="E17" s="329"/>
      <c r="F17" s="329"/>
      <c r="G17" s="329"/>
      <c r="H17" s="330"/>
    </row>
    <row r="18" spans="2:8">
      <c r="B18" s="1066" t="s">
        <v>60</v>
      </c>
      <c r="C18" s="329">
        <f>SECT_U.FIS.!H36+SECT_U.FIS.!H37</f>
        <v>0</v>
      </c>
      <c r="D18" s="329">
        <f>SECT_U.FIS.!H38+SECT_U.FIS.!H39</f>
        <v>1.0166120000000003</v>
      </c>
      <c r="E18" s="329">
        <f>SECT_U.FIS.!H40</f>
        <v>4.6914000000000004E-2</v>
      </c>
      <c r="F18" s="329">
        <f>SECT_U.FIS.!H41</f>
        <v>0</v>
      </c>
      <c r="G18" s="329">
        <f>SECT_U.FIS.!H42</f>
        <v>0</v>
      </c>
      <c r="H18" s="330">
        <f>SUM(C18:G18)</f>
        <v>1.0635260000000002</v>
      </c>
    </row>
    <row r="19" spans="2:8">
      <c r="B19" s="1067" t="s">
        <v>180</v>
      </c>
      <c r="C19" s="329"/>
      <c r="D19" s="329"/>
      <c r="E19" s="329"/>
      <c r="F19" s="329"/>
      <c r="G19" s="329"/>
      <c r="H19" s="330"/>
    </row>
    <row r="20" spans="2:8">
      <c r="B20" s="1066" t="s">
        <v>63</v>
      </c>
      <c r="C20" s="329">
        <f>SECT_U.FIS.!K36+SECT_U.FIS.!K37</f>
        <v>0</v>
      </c>
      <c r="D20" s="329">
        <f>SECT_U.FIS.!K38+SECT_U.FIS.!K39</f>
        <v>6.7400000000000003E-3</v>
      </c>
      <c r="E20" s="329">
        <f>SECT_U.FIS.!K40</f>
        <v>163.31429685714284</v>
      </c>
      <c r="F20" s="329">
        <f>SECT_U.FIS.!K41</f>
        <v>0</v>
      </c>
      <c r="G20" s="329">
        <f>SECT_U.FIS.!K42</f>
        <v>0</v>
      </c>
      <c r="H20" s="330">
        <f>SUM(C20:G20)</f>
        <v>163.32103685714284</v>
      </c>
    </row>
    <row r="21" spans="2:8">
      <c r="B21" s="1067" t="s">
        <v>179</v>
      </c>
      <c r="C21" s="329"/>
      <c r="D21" s="329"/>
      <c r="E21" s="329"/>
      <c r="F21" s="329"/>
      <c r="G21" s="329"/>
      <c r="H21" s="330"/>
    </row>
    <row r="22" spans="2:8">
      <c r="B22" s="1066" t="s">
        <v>64</v>
      </c>
      <c r="C22" s="329">
        <f>SECT_U.FIS.!L36+SECT_U.FIS.!L37</f>
        <v>0</v>
      </c>
      <c r="D22" s="329">
        <f>SECT_U.FIS.!L38+SECT_U.FIS.!L39</f>
        <v>0</v>
      </c>
      <c r="E22" s="329">
        <f>SECT_U.FIS.!L40</f>
        <v>673.32369999999992</v>
      </c>
      <c r="F22" s="329">
        <f>SECT_U.FIS.!L41</f>
        <v>0</v>
      </c>
      <c r="G22" s="329">
        <f>SECT_U.FIS.!L42</f>
        <v>0</v>
      </c>
      <c r="H22" s="330">
        <f>SUM(C22:G22)</f>
        <v>673.32369999999992</v>
      </c>
    </row>
    <row r="23" spans="2:8">
      <c r="B23" s="1067" t="s">
        <v>179</v>
      </c>
      <c r="C23" s="329"/>
      <c r="D23" s="329"/>
      <c r="E23" s="329"/>
      <c r="F23" s="329"/>
      <c r="G23" s="329"/>
      <c r="H23" s="330"/>
    </row>
    <row r="24" spans="2:8">
      <c r="B24" s="1066" t="s">
        <v>18</v>
      </c>
      <c r="C24" s="329">
        <f>SECT_U.FIS.!M36+SECT_U.FIS.!M37</f>
        <v>1188.939556432563</v>
      </c>
      <c r="D24" s="329">
        <f>SECT_U.FIS.!M38+SECT_U.FIS.!M39</f>
        <v>9.0988966363636372</v>
      </c>
      <c r="E24" s="329">
        <f>SECT_U.FIS.!M40</f>
        <v>586.2743289</v>
      </c>
      <c r="F24" s="329">
        <f>SECT_U.FIS.!M41</f>
        <v>5.5480490000000007</v>
      </c>
      <c r="G24" s="329">
        <f>SECT_U.FIS.!M42</f>
        <v>262.03165050000001</v>
      </c>
      <c r="H24" s="330">
        <f>SUM(C24:G24)</f>
        <v>2051.8924814689267</v>
      </c>
    </row>
    <row r="25" spans="2:8">
      <c r="B25" s="1067" t="s">
        <v>183</v>
      </c>
      <c r="C25" s="329"/>
      <c r="D25" s="329"/>
      <c r="E25" s="329"/>
      <c r="F25" s="329"/>
      <c r="G25" s="329"/>
      <c r="H25" s="330"/>
    </row>
    <row r="26" spans="2:8">
      <c r="B26" s="1066" t="s">
        <v>7</v>
      </c>
      <c r="C26" s="329">
        <f>SECT_U.FIS.!N36+SECT_U.FIS.!N37</f>
        <v>0</v>
      </c>
      <c r="D26" s="329">
        <f>SECT_U.FIS.!N38+SECT_U.FIS.!N39</f>
        <v>0</v>
      </c>
      <c r="E26" s="329">
        <f>SECT_U.FIS.!N40</f>
        <v>0</v>
      </c>
      <c r="F26" s="329">
        <f>SECT_U.FIS.!N41</f>
        <v>0.17347645047244806</v>
      </c>
      <c r="G26" s="329">
        <f>SECT_U.FIS.!N42</f>
        <v>0</v>
      </c>
      <c r="H26" s="330">
        <f>SUM(C26:G26)</f>
        <v>0.17347645047244806</v>
      </c>
    </row>
    <row r="27" spans="2:8">
      <c r="B27" s="1067" t="s">
        <v>180</v>
      </c>
      <c r="C27" s="329"/>
      <c r="D27" s="329"/>
      <c r="E27" s="329"/>
      <c r="F27" s="329"/>
      <c r="G27" s="329"/>
      <c r="H27" s="330"/>
    </row>
    <row r="28" spans="2:8">
      <c r="B28" s="1066" t="s">
        <v>185</v>
      </c>
      <c r="C28" s="329">
        <f>SECT_U.FIS.!P36+SECT_U.FIS.!P37</f>
        <v>0</v>
      </c>
      <c r="D28" s="329">
        <f>SECT_U.FIS.!P38+SECT_U.FIS.!P39</f>
        <v>16358.173076923078</v>
      </c>
      <c r="E28" s="329">
        <f>SECT_U.FIS.!P40</f>
        <v>0</v>
      </c>
      <c r="F28" s="329">
        <f>SECT_U.FIS.!P41</f>
        <v>0</v>
      </c>
      <c r="G28" s="329">
        <f>SECT_U.FIS.!P42</f>
        <v>0</v>
      </c>
      <c r="H28" s="330">
        <f>SUM(C28:G28)</f>
        <v>16358.173076923078</v>
      </c>
    </row>
    <row r="29" spans="2:8">
      <c r="B29" s="1067" t="s">
        <v>179</v>
      </c>
      <c r="C29" s="329"/>
      <c r="D29" s="329"/>
      <c r="E29" s="329"/>
      <c r="F29" s="329"/>
      <c r="G29" s="329"/>
      <c r="H29" s="330"/>
    </row>
    <row r="30" spans="2:8">
      <c r="B30" s="1066" t="s">
        <v>20</v>
      </c>
      <c r="C30" s="329">
        <f>SECT_U.FIS.!Q36+SECT_U.FIS.!Q37</f>
        <v>0</v>
      </c>
      <c r="D30" s="329">
        <f>SECT_U.FIS.!Q38+SECT_U.FIS.!Q39</f>
        <v>64.432000000000002</v>
      </c>
      <c r="E30" s="329">
        <f>SECT_U.FIS.!Q40</f>
        <v>0</v>
      </c>
      <c r="F30" s="329">
        <f>SECT_U.FIS.!Q41</f>
        <v>0</v>
      </c>
      <c r="G30" s="329">
        <f>SECT_U.FIS.!Q42</f>
        <v>0</v>
      </c>
      <c r="H30" s="330">
        <f>SUM(C30:G30)</f>
        <v>64.432000000000002</v>
      </c>
    </row>
    <row r="31" spans="2:8">
      <c r="B31" s="1067" t="s">
        <v>181</v>
      </c>
      <c r="C31" s="329"/>
      <c r="D31" s="329"/>
      <c r="E31" s="329"/>
      <c r="F31" s="329"/>
      <c r="G31" s="329"/>
      <c r="H31" s="330"/>
    </row>
    <row r="32" spans="2:8">
      <c r="B32" s="1066" t="s">
        <v>69</v>
      </c>
      <c r="C32" s="329">
        <f>SECT_U.FIS.!R36+SECT_U.FIS.!R37</f>
        <v>0</v>
      </c>
      <c r="D32" s="329">
        <f>SECT_U.FIS.!R38+SECT_U.FIS.!R39</f>
        <v>1010.5522222222222</v>
      </c>
      <c r="E32" s="329">
        <f>SECT_U.FIS.!R40</f>
        <v>0</v>
      </c>
      <c r="F32" s="329">
        <f>SECT_U.FIS.!R41</f>
        <v>0</v>
      </c>
      <c r="G32" s="329">
        <f>SECT_U.FIS.!R42</f>
        <v>0</v>
      </c>
      <c r="H32" s="330">
        <f>SUM(C32:G32)</f>
        <v>1010.5522222222222</v>
      </c>
    </row>
    <row r="33" spans="2:8">
      <c r="B33" s="1067" t="s">
        <v>180</v>
      </c>
      <c r="C33" s="329"/>
      <c r="D33" s="329"/>
      <c r="E33" s="329"/>
      <c r="F33" s="329"/>
      <c r="G33" s="329"/>
      <c r="H33" s="330"/>
    </row>
    <row r="34" spans="2:8">
      <c r="B34" s="1066" t="s">
        <v>201</v>
      </c>
      <c r="C34" s="329">
        <f>SECT_U.FIS.!S36+SECT_U.FIS.!S37</f>
        <v>0</v>
      </c>
      <c r="D34" s="329">
        <f>SECT_U.FIS.!S38+SECT_U.FIS.!S39</f>
        <v>0.99525999999999992</v>
      </c>
      <c r="E34" s="329">
        <f>SECT_U.FIS.!S40</f>
        <v>646.69810061219403</v>
      </c>
      <c r="F34" s="329">
        <f>SECT_U.FIS.!S41</f>
        <v>0</v>
      </c>
      <c r="G34" s="329">
        <f>SECT_U.FIS.!S42</f>
        <v>0</v>
      </c>
      <c r="H34" s="330">
        <f>SUM(C34:G34)</f>
        <v>647.69336061219406</v>
      </c>
    </row>
    <row r="35" spans="2:8">
      <c r="B35" s="1067" t="s">
        <v>181</v>
      </c>
      <c r="C35" s="329"/>
      <c r="D35" s="329"/>
      <c r="E35" s="329"/>
      <c r="F35" s="329"/>
      <c r="G35" s="329"/>
      <c r="H35" s="330"/>
    </row>
    <row r="36" spans="2:8">
      <c r="B36" s="1066" t="s">
        <v>22</v>
      </c>
      <c r="C36" s="329">
        <f>SECT_U.FIS.!T36+SECT_U.FIS.!T37</f>
        <v>0</v>
      </c>
      <c r="D36" s="329">
        <f>SECT_U.FIS.!T38+SECT_U.FIS.!T39</f>
        <v>0</v>
      </c>
      <c r="E36" s="329">
        <f>SECT_U.FIS.!T40</f>
        <v>0</v>
      </c>
      <c r="F36" s="329">
        <f>SECT_U.FIS.!T41</f>
        <v>0</v>
      </c>
      <c r="G36" s="329">
        <f>SECT_U.FIS.!T42</f>
        <v>93.92580000000001</v>
      </c>
      <c r="H36" s="330">
        <f>SUM(C36:G36)</f>
        <v>93.92580000000001</v>
      </c>
    </row>
    <row r="37" spans="2:8" ht="13.5" thickBot="1">
      <c r="B37" s="1068" t="s">
        <v>180</v>
      </c>
      <c r="C37" s="349"/>
      <c r="D37" s="349"/>
      <c r="E37" s="349"/>
      <c r="F37" s="349"/>
      <c r="G37" s="349"/>
      <c r="H37" s="350"/>
    </row>
    <row r="38" spans="2:8" s="1221" customFormat="1">
      <c r="B38" s="1278" t="s">
        <v>775</v>
      </c>
      <c r="C38" s="1299"/>
      <c r="D38" s="1299"/>
      <c r="E38" s="1299"/>
      <c r="F38" s="1299"/>
      <c r="G38" s="1299"/>
      <c r="H38" s="1299"/>
    </row>
    <row r="39" spans="2:8" s="1221" customFormat="1">
      <c r="B39" s="1278" t="s">
        <v>776</v>
      </c>
      <c r="C39" s="1299"/>
      <c r="D39" s="1299"/>
      <c r="E39" s="1299"/>
      <c r="F39" s="1299"/>
      <c r="G39" s="1299"/>
      <c r="H39" s="1299"/>
    </row>
    <row r="40" spans="2:8" s="1221" customFormat="1">
      <c r="B40" s="1278" t="s">
        <v>777</v>
      </c>
      <c r="C40" s="1299"/>
      <c r="D40" s="1299"/>
      <c r="E40" s="1299"/>
      <c r="F40" s="1299"/>
      <c r="G40" s="1299"/>
      <c r="H40" s="1299"/>
    </row>
    <row r="41" spans="2:8" s="1221" customFormat="1">
      <c r="B41" s="1278" t="s">
        <v>778</v>
      </c>
      <c r="C41" s="1299"/>
      <c r="D41" s="1299"/>
      <c r="E41" s="1299"/>
      <c r="F41" s="1299"/>
      <c r="G41" s="1299"/>
      <c r="H41" s="1299"/>
    </row>
    <row r="42" spans="2:8">
      <c r="B42" s="21" t="s">
        <v>14</v>
      </c>
      <c r="C42" s="21"/>
      <c r="D42" s="21"/>
      <c r="E42" s="21"/>
      <c r="F42" s="21"/>
      <c r="G42" s="21"/>
      <c r="H42" s="21"/>
    </row>
    <row r="43" spans="2:8">
      <c r="B43" s="21" t="s">
        <v>800</v>
      </c>
      <c r="C43" s="21"/>
      <c r="D43" s="21"/>
      <c r="E43" s="21"/>
      <c r="F43" s="21"/>
      <c r="G43" s="21"/>
      <c r="H43" s="21"/>
    </row>
  </sheetData>
  <phoneticPr fontId="92" type="noConversion"/>
  <hyperlinks>
    <hyperlink ref="I5" location="INDICE!A60" display="VOLVER A INDICE"/>
  </hyperlinks>
  <pageMargins left="0.75" right="0.75" top="1" bottom="1" header="0" footer="0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47"/>
  <sheetViews>
    <sheetView workbookViewId="0">
      <selection activeCell="B29" sqref="B29"/>
    </sheetView>
  </sheetViews>
  <sheetFormatPr baseColWidth="10" defaultRowHeight="12.75"/>
  <cols>
    <col min="1" max="1" width="1.85546875" style="891" customWidth="1"/>
    <col min="2" max="2" width="30.140625" style="891" customWidth="1"/>
    <col min="3" max="3" width="15.42578125" style="891" customWidth="1"/>
    <col min="4" max="4" width="13.5703125" style="891" customWidth="1"/>
    <col min="5" max="5" width="12.7109375" style="891" customWidth="1"/>
    <col min="6" max="6" width="11.7109375" style="891" customWidth="1"/>
    <col min="7" max="9" width="11.42578125" style="891"/>
    <col min="10" max="14" width="11.42578125" style="22"/>
    <col min="15" max="16384" width="11.42578125" style="891"/>
  </cols>
  <sheetData>
    <row r="1" spans="2:9" ht="6" customHeight="1" thickBot="1"/>
    <row r="2" spans="2:9" ht="13.5" thickBot="1">
      <c r="B2" s="1098"/>
      <c r="C2" s="1099"/>
      <c r="D2" s="1099"/>
      <c r="E2" s="1099"/>
      <c r="F2" s="1099"/>
      <c r="G2" s="1099"/>
      <c r="H2" s="1100"/>
      <c r="I2" s="334"/>
    </row>
    <row r="3" spans="2:9" ht="15.75">
      <c r="B3" s="335"/>
      <c r="C3" s="336"/>
      <c r="D3" s="171" t="s">
        <v>77</v>
      </c>
      <c r="E3" s="336"/>
      <c r="F3" s="336"/>
      <c r="G3" s="336"/>
      <c r="H3" s="337"/>
      <c r="I3" s="852" t="s">
        <v>681</v>
      </c>
    </row>
    <row r="4" spans="2:9" ht="15.75">
      <c r="B4" s="339"/>
      <c r="C4" s="340"/>
      <c r="D4" s="341" t="s">
        <v>799</v>
      </c>
      <c r="E4" s="340"/>
      <c r="F4" s="340"/>
      <c r="G4" s="340"/>
      <c r="H4" s="342"/>
      <c r="I4" s="338"/>
    </row>
    <row r="5" spans="2:9" ht="15.75">
      <c r="B5" s="339"/>
      <c r="C5" s="340"/>
      <c r="D5" s="340" t="s">
        <v>590</v>
      </c>
      <c r="E5" s="340"/>
      <c r="F5" s="340"/>
      <c r="G5" s="340"/>
      <c r="H5" s="342"/>
      <c r="I5" s="338"/>
    </row>
    <row r="6" spans="2:9" ht="15.75">
      <c r="B6" s="339"/>
      <c r="C6" s="340"/>
      <c r="D6" s="343" t="s">
        <v>209</v>
      </c>
      <c r="E6" s="340"/>
      <c r="F6" s="340"/>
      <c r="G6" s="340"/>
      <c r="H6" s="342"/>
      <c r="I6" s="338"/>
    </row>
    <row r="7" spans="2:9" ht="15.75">
      <c r="B7" s="339"/>
      <c r="C7" s="340"/>
      <c r="D7" s="340"/>
      <c r="E7" s="340"/>
      <c r="F7" s="340"/>
      <c r="G7" s="340"/>
      <c r="H7" s="342"/>
      <c r="I7" s="338"/>
    </row>
    <row r="8" spans="2:9" ht="15.75">
      <c r="B8" s="339"/>
      <c r="C8" s="343"/>
      <c r="D8" s="343"/>
      <c r="E8" s="343"/>
      <c r="F8" s="343"/>
      <c r="G8" s="343"/>
      <c r="H8" s="344"/>
      <c r="I8" s="338"/>
    </row>
    <row r="9" spans="2:9" ht="15.75">
      <c r="B9" s="339" t="s">
        <v>3</v>
      </c>
      <c r="C9" s="181" t="s">
        <v>779</v>
      </c>
      <c r="D9" s="181" t="s">
        <v>780</v>
      </c>
      <c r="E9" s="181" t="s">
        <v>127</v>
      </c>
      <c r="F9" s="181" t="s">
        <v>128</v>
      </c>
      <c r="G9" s="181" t="s">
        <v>6</v>
      </c>
      <c r="H9" s="182" t="s">
        <v>11</v>
      </c>
      <c r="I9" s="338"/>
    </row>
    <row r="10" spans="2:9" ht="16.5" thickBot="1">
      <c r="B10" s="1101"/>
      <c r="C10" s="1025"/>
      <c r="D10" s="1025"/>
      <c r="E10" s="1025" t="s">
        <v>6</v>
      </c>
      <c r="F10" s="1025" t="s">
        <v>781</v>
      </c>
      <c r="G10" s="1025" t="s">
        <v>782</v>
      </c>
      <c r="H10" s="1026"/>
      <c r="I10" s="338"/>
    </row>
    <row r="11" spans="2:9">
      <c r="B11" s="1102"/>
      <c r="C11" s="345"/>
      <c r="D11" s="345"/>
      <c r="E11" s="345"/>
      <c r="F11" s="345"/>
      <c r="G11" s="346"/>
      <c r="H11" s="347"/>
      <c r="I11" s="334"/>
    </row>
    <row r="12" spans="2:9">
      <c r="B12" s="1103" t="s">
        <v>55</v>
      </c>
      <c r="C12" s="1271">
        <f>SECT_U.FIS.!D49+SECT_U.FIS.!D50</f>
        <v>118.85964995239999</v>
      </c>
      <c r="D12" s="1272">
        <f>SECT_U.FIS.!D51+SECT_U.FIS.!D52</f>
        <v>0</v>
      </c>
      <c r="E12" s="1272">
        <f>SECT_U.FIS.!D53</f>
        <v>0</v>
      </c>
      <c r="F12" s="1272">
        <f>SECT_U.FIS.!D54</f>
        <v>0</v>
      </c>
      <c r="G12" s="1272">
        <f>SECT_U.FIS.!D55</f>
        <v>0</v>
      </c>
      <c r="H12" s="1273">
        <f>SUM(C12:G12)</f>
        <v>118.85964995239999</v>
      </c>
      <c r="I12" s="348"/>
    </row>
    <row r="13" spans="2:9">
      <c r="B13" s="1104" t="s">
        <v>211</v>
      </c>
      <c r="C13" s="1271"/>
      <c r="D13" s="1271"/>
      <c r="E13" s="1271"/>
      <c r="F13" s="1271"/>
      <c r="G13" s="1271"/>
      <c r="H13" s="1274"/>
      <c r="I13" s="348"/>
    </row>
    <row r="14" spans="2:9">
      <c r="B14" s="1103" t="s">
        <v>56</v>
      </c>
      <c r="C14" s="1271">
        <f>SECT_U.FIS.!C49+SECT_U.FIS.!C50</f>
        <v>270.20439833333313</v>
      </c>
      <c r="D14" s="1272">
        <f>SECT_U.FIS.!C51+SECT_U.FIS.!C52</f>
        <v>0</v>
      </c>
      <c r="E14" s="1272">
        <f>SECT_U.FIS.!C53</f>
        <v>0</v>
      </c>
      <c r="F14" s="1272">
        <f>SECT_U.FIS.!C54</f>
        <v>0</v>
      </c>
      <c r="G14" s="1272">
        <f>SECT_U.FIS.!C55</f>
        <v>0</v>
      </c>
      <c r="H14" s="1273">
        <f>SUM(C14:G14)</f>
        <v>270.20439833333313</v>
      </c>
      <c r="I14" s="348"/>
    </row>
    <row r="15" spans="2:9">
      <c r="B15" s="1104" t="s">
        <v>179</v>
      </c>
      <c r="C15" s="1271"/>
      <c r="D15" s="1272"/>
      <c r="E15" s="1272"/>
      <c r="F15" s="1272"/>
      <c r="G15" s="1272"/>
      <c r="H15" s="1273"/>
      <c r="I15" s="348"/>
    </row>
    <row r="16" spans="2:9">
      <c r="B16" s="1103" t="s">
        <v>60</v>
      </c>
      <c r="C16" s="1271">
        <f>SECT_U.FIS.!H49+SECT_U.FIS.!H50</f>
        <v>4.657965E-2</v>
      </c>
      <c r="D16" s="1272">
        <f>SECT_U.FIS.!H51+SECT_U.FIS.!H52</f>
        <v>2.7627699999999997</v>
      </c>
      <c r="E16" s="1272">
        <f>SECT_U.FIS.!H53</f>
        <v>0</v>
      </c>
      <c r="F16" s="1272">
        <f>SECT_U.FIS.!H54</f>
        <v>0</v>
      </c>
      <c r="G16" s="1272">
        <f>SECT_U.FIS.!H55</f>
        <v>0</v>
      </c>
      <c r="H16" s="1273">
        <f>SUM(C16:G16)</f>
        <v>2.8093496499999997</v>
      </c>
      <c r="I16" s="348"/>
    </row>
    <row r="17" spans="2:9">
      <c r="B17" s="1104" t="s">
        <v>211</v>
      </c>
      <c r="C17" s="1271"/>
      <c r="D17" s="1272"/>
      <c r="E17" s="1272"/>
      <c r="F17" s="1272"/>
      <c r="G17" s="1272"/>
      <c r="H17" s="1273"/>
      <c r="I17" s="348"/>
    </row>
    <row r="18" spans="2:9">
      <c r="B18" s="1103" t="s">
        <v>212</v>
      </c>
      <c r="C18" s="1271">
        <f>SECT_U.FIS.!L49+SECT_U.FIS.!L50</f>
        <v>49.353809389671362</v>
      </c>
      <c r="D18" s="1272">
        <f>SECT_U.FIS.!L51+SECT_U.FIS.!L52</f>
        <v>0</v>
      </c>
      <c r="E18" s="1272">
        <f>SECT_U.FIS.!L53</f>
        <v>0</v>
      </c>
      <c r="F18" s="1272">
        <f>SECT_U.FIS.!L54</f>
        <v>0</v>
      </c>
      <c r="G18" s="1272">
        <f>SECT_U.FIS.!L55</f>
        <v>0</v>
      </c>
      <c r="H18" s="1273">
        <f>SUM(C18:G18)</f>
        <v>49.353809389671362</v>
      </c>
      <c r="I18" s="348"/>
    </row>
    <row r="19" spans="2:9">
      <c r="B19" s="1104" t="s">
        <v>179</v>
      </c>
      <c r="C19" s="1271"/>
      <c r="D19" s="1272"/>
      <c r="E19" s="1272"/>
      <c r="F19" s="1272"/>
      <c r="G19" s="1272"/>
      <c r="H19" s="1273"/>
      <c r="I19" s="348"/>
    </row>
    <row r="20" spans="2:9">
      <c r="B20" s="1103" t="s">
        <v>7</v>
      </c>
      <c r="C20" s="1271">
        <f>SECT_U.FIS.!N49+SECT_U.FIS.!N50</f>
        <v>2579.9324473135916</v>
      </c>
      <c r="D20" s="1272">
        <f>SECT_U.FIS.!N51+SECT_U.FIS.!N52</f>
        <v>723.11965714285725</v>
      </c>
      <c r="E20" s="1272">
        <f>SECT_U.FIS.!N53</f>
        <v>0</v>
      </c>
      <c r="F20" s="1272">
        <f>SECT_U.FIS.!N54</f>
        <v>0</v>
      </c>
      <c r="G20" s="1272">
        <f>SECT_U.FIS.!N55</f>
        <v>0</v>
      </c>
      <c r="H20" s="1273">
        <f>SUM(C20:G20)</f>
        <v>3303.0521044564489</v>
      </c>
      <c r="I20" s="348"/>
    </row>
    <row r="21" spans="2:9">
      <c r="B21" s="1104" t="s">
        <v>211</v>
      </c>
      <c r="C21" s="1271"/>
      <c r="D21" s="1272"/>
      <c r="E21" s="1272"/>
      <c r="F21" s="1272"/>
      <c r="G21" s="1272"/>
      <c r="H21" s="1273"/>
      <c r="I21" s="348"/>
    </row>
    <row r="22" spans="2:9">
      <c r="B22" s="1103" t="s">
        <v>115</v>
      </c>
      <c r="C22" s="1271">
        <f>SECT_U.FIS.!O49+SECT_U.FIS.!O50</f>
        <v>775.07706483333311</v>
      </c>
      <c r="D22" s="1272">
        <f>SECT_U.FIS.!O51+SECT_U.FIS.!O52</f>
        <v>231.69557142857141</v>
      </c>
      <c r="E22" s="1272">
        <f>SECT_U.FIS.!O53</f>
        <v>0</v>
      </c>
      <c r="F22" s="1272">
        <f>SECT_U.FIS.!O54</f>
        <v>0</v>
      </c>
      <c r="G22" s="1272">
        <f>SECT_U.FIS.!O55</f>
        <v>0</v>
      </c>
      <c r="H22" s="1273">
        <f>SUM(C22:G22)</f>
        <v>1006.7726362619045</v>
      </c>
      <c r="I22" s="348"/>
    </row>
    <row r="23" spans="2:9">
      <c r="B23" s="1104" t="s">
        <v>211</v>
      </c>
      <c r="C23" s="1271"/>
      <c r="D23" s="1272"/>
      <c r="E23" s="1272"/>
      <c r="F23" s="1272"/>
      <c r="G23" s="1272"/>
      <c r="H23" s="1273"/>
      <c r="I23" s="348"/>
    </row>
    <row r="24" spans="2:9">
      <c r="B24" s="1103" t="s">
        <v>6</v>
      </c>
      <c r="C24" s="1271">
        <f>SECT_U.FIS.!S49+SECT_U.FIS.!S50</f>
        <v>3225.4685094431402</v>
      </c>
      <c r="D24" s="1272">
        <f>SECT_U.FIS.!S51+SECT_U.FIS.!S52</f>
        <v>28.048237999999998</v>
      </c>
      <c r="E24" s="1272">
        <f>SECT_U.FIS.!S53</f>
        <v>211.98637206021093</v>
      </c>
      <c r="F24" s="1272">
        <f>SECT_U.FIS.!S54</f>
        <v>0</v>
      </c>
      <c r="G24" s="1272">
        <f>SECT_U.FIS.!S55</f>
        <v>2693.3769999999995</v>
      </c>
      <c r="H24" s="1273">
        <f>SUM(C24:G24)</f>
        <v>6158.8801195033502</v>
      </c>
      <c r="I24" s="348"/>
    </row>
    <row r="25" spans="2:9">
      <c r="B25" s="1104" t="s">
        <v>213</v>
      </c>
      <c r="C25" s="1271"/>
      <c r="D25" s="1272"/>
      <c r="E25" s="1272"/>
      <c r="F25" s="1272"/>
      <c r="G25" s="1272"/>
      <c r="H25" s="1273"/>
      <c r="I25" s="334"/>
    </row>
    <row r="26" spans="2:9">
      <c r="B26" s="1103" t="s">
        <v>23</v>
      </c>
      <c r="C26" s="1271">
        <f>SECT_U.FIS.!V49+SECT_U.FIS.!V50</f>
        <v>1631.4189017412423</v>
      </c>
      <c r="D26" s="1272">
        <f>SECT_U.FIS.!V51+SECT_U.FIS.!V52</f>
        <v>0</v>
      </c>
      <c r="E26" s="1272">
        <f>SECT_U.FIS.!V53</f>
        <v>0</v>
      </c>
      <c r="F26" s="1272">
        <f>SECT_U.FIS.!V54</f>
        <v>0</v>
      </c>
      <c r="G26" s="1272">
        <f>SECT_U.FIS.!V55</f>
        <v>0</v>
      </c>
      <c r="H26" s="1273">
        <f>SUM(C26:G26)</f>
        <v>1631.4189017412423</v>
      </c>
      <c r="I26" s="348"/>
    </row>
    <row r="27" spans="2:9" ht="13.5" thickBot="1">
      <c r="B27" s="1105" t="s">
        <v>211</v>
      </c>
      <c r="C27" s="349"/>
      <c r="D27" s="349"/>
      <c r="E27" s="349"/>
      <c r="F27" s="349"/>
      <c r="G27" s="349"/>
      <c r="H27" s="350"/>
      <c r="I27" s="334"/>
    </row>
    <row r="28" spans="2:9">
      <c r="B28" s="21" t="s">
        <v>14</v>
      </c>
      <c r="C28" s="21"/>
      <c r="D28" s="21"/>
      <c r="E28" s="21"/>
      <c r="F28" s="21"/>
      <c r="G28" s="21"/>
      <c r="H28" s="21"/>
      <c r="I28" s="76"/>
    </row>
    <row r="29" spans="2:9">
      <c r="B29" s="21" t="s">
        <v>800</v>
      </c>
      <c r="C29" s="21"/>
      <c r="D29" s="21"/>
      <c r="E29" s="21"/>
      <c r="F29" s="21"/>
      <c r="G29" s="21"/>
      <c r="H29" s="21"/>
      <c r="I29" s="76"/>
    </row>
    <row r="30" spans="2:9">
      <c r="B30" s="338"/>
      <c r="C30" s="334"/>
      <c r="D30" s="334"/>
      <c r="E30" s="334"/>
      <c r="F30" s="334"/>
      <c r="G30" s="334"/>
      <c r="H30" s="334"/>
      <c r="I30" s="334"/>
    </row>
    <row r="31" spans="2:9">
      <c r="B31" s="338"/>
      <c r="C31" s="334"/>
      <c r="D31" s="334"/>
      <c r="E31" s="334"/>
      <c r="F31" s="334"/>
      <c r="G31" s="334"/>
      <c r="H31" s="334"/>
      <c r="I31" s="334"/>
    </row>
    <row r="32" spans="2:9">
      <c r="B32" s="22"/>
      <c r="C32" s="22"/>
      <c r="D32" s="22"/>
      <c r="E32" s="22"/>
      <c r="F32" s="22"/>
      <c r="G32" s="22"/>
      <c r="H32" s="22"/>
      <c r="I32" s="22"/>
    </row>
    <row r="33" spans="2:9">
      <c r="B33" s="22"/>
      <c r="C33" s="22"/>
      <c r="D33" s="22"/>
      <c r="E33" s="22"/>
      <c r="F33" s="22"/>
      <c r="G33" s="22"/>
      <c r="H33" s="22"/>
      <c r="I33" s="22"/>
    </row>
    <row r="34" spans="2:9">
      <c r="B34" s="22"/>
      <c r="C34" s="22"/>
      <c r="D34" s="22"/>
      <c r="E34" s="22"/>
      <c r="F34" s="22"/>
      <c r="G34" s="22"/>
      <c r="H34" s="22"/>
      <c r="I34" s="22"/>
    </row>
    <row r="35" spans="2:9">
      <c r="B35" s="22"/>
      <c r="C35" s="22"/>
      <c r="D35" s="22"/>
      <c r="E35" s="22"/>
      <c r="F35" s="22"/>
      <c r="G35" s="22"/>
      <c r="H35" s="22"/>
      <c r="I35" s="22"/>
    </row>
    <row r="36" spans="2:9">
      <c r="B36" s="22"/>
      <c r="C36" s="22"/>
      <c r="D36" s="22"/>
      <c r="E36" s="22"/>
      <c r="F36" s="22"/>
      <c r="G36" s="22"/>
      <c r="H36" s="22"/>
      <c r="I36" s="22"/>
    </row>
    <row r="37" spans="2:9">
      <c r="B37" s="22"/>
      <c r="C37" s="22"/>
      <c r="D37" s="22"/>
      <c r="E37" s="22"/>
      <c r="F37" s="22"/>
      <c r="G37" s="22"/>
      <c r="H37" s="22"/>
      <c r="I37" s="22"/>
    </row>
    <row r="38" spans="2:9">
      <c r="B38" s="22"/>
      <c r="C38" s="22"/>
      <c r="D38" s="22"/>
      <c r="E38" s="22"/>
      <c r="F38" s="22"/>
      <c r="G38" s="22"/>
      <c r="H38" s="22"/>
      <c r="I38" s="22"/>
    </row>
    <row r="39" spans="2:9">
      <c r="B39" s="22"/>
      <c r="C39" s="22"/>
      <c r="D39" s="22"/>
      <c r="E39" s="22"/>
      <c r="F39" s="22"/>
      <c r="G39" s="22"/>
      <c r="H39" s="22"/>
      <c r="I39" s="22"/>
    </row>
    <row r="40" spans="2:9" s="22" customFormat="1"/>
    <row r="41" spans="2:9" s="22" customFormat="1"/>
    <row r="42" spans="2:9" s="22" customFormat="1"/>
    <row r="43" spans="2:9" s="22" customFormat="1"/>
    <row r="44" spans="2:9" s="22" customFormat="1"/>
    <row r="45" spans="2:9" s="22" customFormat="1"/>
    <row r="46" spans="2:9" s="22" customFormat="1"/>
    <row r="47" spans="2:9" s="22" customFormat="1"/>
  </sheetData>
  <phoneticPr fontId="0" type="noConversion"/>
  <hyperlinks>
    <hyperlink ref="I3" location="INDICE!A60" display="VOLVER A INDICE"/>
  </hyperlinks>
  <pageMargins left="0.75" right="0.75" top="1" bottom="1" header="0" footer="0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70"/>
  <sheetViews>
    <sheetView workbookViewId="0">
      <selection activeCell="B28" sqref="B28"/>
    </sheetView>
  </sheetViews>
  <sheetFormatPr baseColWidth="10" defaultRowHeight="12.75"/>
  <cols>
    <col min="1" max="1" width="1.7109375" style="891" customWidth="1"/>
    <col min="2" max="2" width="11.42578125" style="891"/>
    <col min="3" max="3" width="15.28515625" style="891" customWidth="1"/>
    <col min="4" max="4" width="20.140625" style="891" customWidth="1"/>
    <col min="5" max="11" width="11.42578125" style="891"/>
    <col min="12" max="17" width="11.42578125" style="22"/>
    <col min="18" max="16384" width="11.42578125" style="891"/>
  </cols>
  <sheetData>
    <row r="1" spans="2:11" ht="6.75" customHeight="1" thickBot="1"/>
    <row r="2" spans="2:11" ht="13.5" thickBot="1">
      <c r="B2" s="1106"/>
      <c r="C2" s="1107"/>
      <c r="D2" s="1108"/>
      <c r="E2" s="351"/>
      <c r="F2" s="351"/>
      <c r="G2" s="351"/>
      <c r="H2" s="351"/>
      <c r="I2" s="22"/>
      <c r="J2" s="22"/>
      <c r="K2" s="22"/>
    </row>
    <row r="3" spans="2:11" ht="15.75">
      <c r="B3" s="352" t="s">
        <v>214</v>
      </c>
      <c r="C3" s="353"/>
      <c r="D3" s="354"/>
      <c r="E3" s="852" t="s">
        <v>681</v>
      </c>
      <c r="F3" s="351"/>
      <c r="G3" s="351"/>
      <c r="H3" s="351"/>
      <c r="I3" s="22"/>
      <c r="J3" s="22"/>
      <c r="K3" s="22"/>
    </row>
    <row r="4" spans="2:11" ht="15.75">
      <c r="B4" s="355" t="s">
        <v>215</v>
      </c>
      <c r="C4" s="356"/>
      <c r="D4" s="357"/>
      <c r="E4" s="351"/>
      <c r="F4" s="351"/>
      <c r="G4" s="351"/>
      <c r="H4" s="351"/>
      <c r="I4" s="22"/>
      <c r="J4" s="22"/>
      <c r="K4" s="22"/>
    </row>
    <row r="5" spans="2:11" ht="15.75">
      <c r="B5" s="355" t="s">
        <v>216</v>
      </c>
      <c r="C5" s="356"/>
      <c r="D5" s="357"/>
      <c r="E5" s="351"/>
      <c r="F5" s="351"/>
      <c r="G5" s="351"/>
      <c r="H5" s="351"/>
      <c r="I5" s="22"/>
      <c r="J5" s="22"/>
      <c r="K5" s="22"/>
    </row>
    <row r="6" spans="2:11" ht="15.75">
      <c r="B6" s="358"/>
      <c r="C6" s="356">
        <v>2005</v>
      </c>
      <c r="D6" s="357"/>
      <c r="E6" s="351"/>
      <c r="F6" s="351"/>
      <c r="G6" s="351"/>
      <c r="H6" s="351"/>
      <c r="I6" s="22"/>
      <c r="J6" s="22"/>
      <c r="K6" s="22"/>
    </row>
    <row r="7" spans="2:11" ht="15.75">
      <c r="B7" s="355"/>
      <c r="C7" s="356"/>
      <c r="D7" s="357"/>
      <c r="E7" s="351"/>
      <c r="F7" s="351"/>
      <c r="G7" s="351"/>
      <c r="H7" s="351"/>
      <c r="I7" s="22"/>
      <c r="J7" s="22"/>
      <c r="K7" s="22"/>
    </row>
    <row r="8" spans="2:11" ht="15.75">
      <c r="B8" s="355"/>
      <c r="C8" s="356"/>
      <c r="D8" s="359" t="s">
        <v>25</v>
      </c>
      <c r="E8" s="351"/>
      <c r="F8" s="351"/>
      <c r="G8" s="351"/>
      <c r="H8" s="351"/>
      <c r="I8" s="22"/>
      <c r="J8" s="22"/>
      <c r="K8" s="22"/>
    </row>
    <row r="9" spans="2:11" ht="16.5" thickBot="1">
      <c r="B9" s="1109" t="s">
        <v>132</v>
      </c>
      <c r="C9" s="1110"/>
      <c r="D9" s="1111" t="s">
        <v>30</v>
      </c>
      <c r="E9" s="351"/>
      <c r="F9" s="351"/>
      <c r="G9" s="351"/>
      <c r="H9" s="351"/>
      <c r="I9" s="22"/>
      <c r="J9" s="22"/>
      <c r="K9" s="22"/>
    </row>
    <row r="10" spans="2:11">
      <c r="B10" s="1112"/>
      <c r="C10" s="1113"/>
      <c r="D10" s="360"/>
      <c r="E10" s="351"/>
      <c r="F10" s="351"/>
      <c r="G10" s="351"/>
      <c r="H10" s="351"/>
      <c r="I10" s="22"/>
      <c r="J10" s="22"/>
      <c r="K10" s="22"/>
    </row>
    <row r="11" spans="2:11">
      <c r="B11" s="361" t="s">
        <v>134</v>
      </c>
      <c r="C11" s="1114"/>
      <c r="D11" s="362">
        <v>2.5175999999999998</v>
      </c>
      <c r="E11" s="351"/>
      <c r="F11" s="351"/>
      <c r="G11" s="351"/>
      <c r="H11" s="351"/>
      <c r="I11" s="22"/>
      <c r="J11" s="22"/>
      <c r="K11" s="22"/>
    </row>
    <row r="12" spans="2:11">
      <c r="B12" s="361"/>
      <c r="C12" s="1114"/>
      <c r="D12" s="362"/>
      <c r="E12" s="351"/>
      <c r="F12" s="351"/>
      <c r="G12" s="351"/>
      <c r="H12" s="351"/>
      <c r="I12" s="22"/>
      <c r="J12" s="22"/>
      <c r="K12" s="22"/>
    </row>
    <row r="13" spans="2:11">
      <c r="B13" s="363" t="s">
        <v>135</v>
      </c>
      <c r="C13" s="1115"/>
      <c r="D13" s="362">
        <v>26.657299999999996</v>
      </c>
      <c r="E13" s="351"/>
      <c r="F13" s="351"/>
      <c r="G13" s="351"/>
      <c r="H13" s="351"/>
      <c r="I13" s="22"/>
      <c r="J13" s="22"/>
      <c r="K13" s="22"/>
    </row>
    <row r="14" spans="2:11">
      <c r="B14" s="363"/>
      <c r="C14" s="1115"/>
      <c r="D14" s="362"/>
      <c r="E14" s="351"/>
      <c r="F14" s="351"/>
      <c r="G14" s="351"/>
      <c r="H14" s="351"/>
      <c r="I14" s="22"/>
      <c r="J14" s="22"/>
      <c r="K14" s="22"/>
    </row>
    <row r="15" spans="2:11">
      <c r="B15" s="363" t="s">
        <v>136</v>
      </c>
      <c r="C15" s="1115"/>
      <c r="D15" s="362">
        <v>13.920999999999999</v>
      </c>
      <c r="E15" s="351"/>
      <c r="F15" s="351"/>
      <c r="G15" s="351"/>
      <c r="H15" s="351"/>
      <c r="I15" s="22"/>
      <c r="J15" s="22"/>
      <c r="K15" s="22"/>
    </row>
    <row r="16" spans="2:11">
      <c r="B16" s="363"/>
      <c r="C16" s="1115"/>
      <c r="D16" s="362"/>
      <c r="E16" s="351"/>
      <c r="F16" s="351"/>
      <c r="G16" s="351"/>
      <c r="H16" s="351"/>
      <c r="I16" s="22"/>
      <c r="J16" s="22"/>
      <c r="K16" s="22"/>
    </row>
    <row r="17" spans="2:11">
      <c r="B17" s="363" t="s">
        <v>137</v>
      </c>
      <c r="C17" s="1115"/>
      <c r="D17" s="362">
        <v>0</v>
      </c>
      <c r="E17" s="351"/>
      <c r="F17" s="351"/>
      <c r="G17" s="351"/>
      <c r="H17" s="351"/>
      <c r="I17" s="22"/>
      <c r="J17" s="22"/>
      <c r="K17" s="22"/>
    </row>
    <row r="18" spans="2:11">
      <c r="B18" s="363"/>
      <c r="C18" s="1115"/>
      <c r="D18" s="362"/>
      <c r="E18" s="351"/>
      <c r="F18" s="351"/>
      <c r="G18" s="351"/>
      <c r="H18" s="351"/>
      <c r="I18" s="22"/>
      <c r="J18" s="22"/>
      <c r="K18" s="22"/>
    </row>
    <row r="19" spans="2:11">
      <c r="B19" s="363" t="s">
        <v>138</v>
      </c>
      <c r="C19" s="1115"/>
      <c r="D19" s="362">
        <v>0</v>
      </c>
      <c r="E19" s="351"/>
      <c r="F19" s="351"/>
      <c r="G19" s="351"/>
      <c r="H19" s="351"/>
      <c r="I19" s="22"/>
      <c r="J19" s="22"/>
      <c r="K19" s="22"/>
    </row>
    <row r="20" spans="2:11">
      <c r="B20" s="363"/>
      <c r="C20" s="1115"/>
      <c r="D20" s="362"/>
      <c r="E20" s="351"/>
      <c r="F20" s="351"/>
      <c r="G20" s="351"/>
      <c r="H20" s="351"/>
      <c r="I20" s="22"/>
      <c r="J20" s="22"/>
      <c r="K20" s="22"/>
    </row>
    <row r="21" spans="2:11">
      <c r="B21" s="363" t="s">
        <v>139</v>
      </c>
      <c r="C21" s="1115"/>
      <c r="D21" s="362">
        <v>136.53</v>
      </c>
      <c r="E21" s="351"/>
      <c r="F21" s="351"/>
      <c r="G21" s="351"/>
      <c r="H21" s="351"/>
      <c r="I21" s="22"/>
      <c r="J21" s="22"/>
      <c r="K21" s="22"/>
    </row>
    <row r="22" spans="2:11">
      <c r="B22" s="363"/>
      <c r="C22" s="1115"/>
      <c r="D22" s="362"/>
      <c r="E22" s="351"/>
      <c r="F22" s="351"/>
      <c r="G22" s="351"/>
      <c r="H22" s="351"/>
      <c r="I22" s="22"/>
      <c r="J22" s="22"/>
      <c r="K22" s="22"/>
    </row>
    <row r="23" spans="2:11">
      <c r="B23" s="363" t="s">
        <v>140</v>
      </c>
      <c r="C23" s="1115"/>
      <c r="D23" s="362">
        <v>107.1986</v>
      </c>
      <c r="E23" s="351"/>
      <c r="F23" s="351"/>
      <c r="G23" s="351"/>
      <c r="H23" s="351"/>
      <c r="I23" s="22"/>
      <c r="J23" s="22"/>
      <c r="K23" s="22"/>
    </row>
    <row r="24" spans="2:11">
      <c r="B24" s="363"/>
      <c r="C24" s="1115"/>
      <c r="D24" s="364"/>
      <c r="E24" s="351"/>
      <c r="F24" s="351"/>
      <c r="G24" s="351"/>
      <c r="H24" s="351"/>
      <c r="I24" s="22"/>
      <c r="J24" s="22"/>
      <c r="K24" s="22"/>
    </row>
    <row r="25" spans="2:11">
      <c r="B25" s="365" t="s">
        <v>87</v>
      </c>
      <c r="C25" s="1116"/>
      <c r="D25" s="366">
        <f>SUM(D11:D23)</f>
        <v>286.8245</v>
      </c>
      <c r="E25" s="351"/>
      <c r="F25" s="351"/>
      <c r="G25" s="351"/>
      <c r="H25" s="351"/>
      <c r="I25" s="22"/>
      <c r="J25" s="22"/>
      <c r="K25" s="22"/>
    </row>
    <row r="26" spans="2:11" ht="13.5" thickBot="1">
      <c r="B26" s="367"/>
      <c r="C26" s="1117"/>
      <c r="D26" s="368"/>
      <c r="E26" s="351"/>
      <c r="F26" s="351"/>
      <c r="G26" s="351"/>
      <c r="H26" s="351"/>
      <c r="I26" s="22"/>
      <c r="J26" s="22"/>
      <c r="K26" s="22"/>
    </row>
    <row r="27" spans="2:11">
      <c r="B27" s="21" t="s">
        <v>14</v>
      </c>
      <c r="C27" s="21"/>
      <c r="D27" s="21"/>
      <c r="E27" s="21"/>
      <c r="F27" s="21"/>
      <c r="G27" s="21"/>
      <c r="H27" s="21"/>
      <c r="I27" s="22"/>
      <c r="J27" s="22"/>
      <c r="K27" s="22"/>
    </row>
    <row r="28" spans="2:11">
      <c r="B28" s="21" t="s">
        <v>800</v>
      </c>
      <c r="C28" s="21"/>
      <c r="D28" s="21"/>
      <c r="E28" s="21"/>
      <c r="F28" s="21"/>
      <c r="G28" s="21"/>
      <c r="H28" s="21"/>
      <c r="I28" s="22"/>
      <c r="J28" s="22"/>
      <c r="K28" s="22"/>
    </row>
    <row r="29" spans="2:11">
      <c r="B29" s="351"/>
      <c r="C29" s="369"/>
      <c r="D29" s="351"/>
      <c r="E29" s="351"/>
      <c r="F29" s="351"/>
      <c r="G29" s="351"/>
      <c r="H29" s="351"/>
      <c r="I29" s="22"/>
      <c r="J29" s="22"/>
      <c r="K29" s="22"/>
    </row>
    <row r="30" spans="2:11">
      <c r="B30" s="351"/>
      <c r="C30" s="369"/>
      <c r="D30" s="351"/>
      <c r="E30" s="351"/>
      <c r="F30" s="351"/>
      <c r="G30" s="351"/>
      <c r="H30" s="351"/>
      <c r="I30" s="22"/>
      <c r="J30" s="22"/>
      <c r="K30" s="22"/>
    </row>
    <row r="31" spans="2:11">
      <c r="B31" s="22"/>
      <c r="C31" s="22"/>
      <c r="D31" s="22"/>
      <c r="E31" s="22"/>
      <c r="F31" s="22"/>
      <c r="G31" s="22"/>
      <c r="H31" s="22"/>
      <c r="I31" s="22"/>
      <c r="J31" s="22"/>
      <c r="K31" s="22"/>
    </row>
    <row r="32" spans="2:11">
      <c r="B32" s="22"/>
      <c r="C32" s="22"/>
      <c r="D32" s="22"/>
      <c r="E32" s="22"/>
      <c r="F32" s="22"/>
      <c r="G32" s="22"/>
      <c r="H32" s="22"/>
      <c r="I32" s="22"/>
      <c r="J32" s="22"/>
      <c r="K32" s="22"/>
    </row>
    <row r="33" spans="2:11">
      <c r="B33" s="22"/>
      <c r="C33" s="22"/>
      <c r="D33" s="22"/>
      <c r="E33" s="22"/>
      <c r="F33" s="22"/>
      <c r="G33" s="22"/>
      <c r="H33" s="22"/>
      <c r="I33" s="22"/>
      <c r="J33" s="22"/>
      <c r="K33" s="22"/>
    </row>
    <row r="34" spans="2:11">
      <c r="B34" s="22"/>
      <c r="C34" s="22"/>
      <c r="D34" s="22"/>
      <c r="E34" s="22"/>
      <c r="F34" s="22"/>
      <c r="G34" s="22"/>
      <c r="H34" s="22"/>
      <c r="I34" s="22"/>
      <c r="J34" s="22"/>
      <c r="K34" s="22"/>
    </row>
    <row r="35" spans="2:11">
      <c r="B35" s="22"/>
      <c r="C35" s="22"/>
      <c r="D35" s="22"/>
      <c r="E35" s="22"/>
      <c r="F35" s="22"/>
      <c r="G35" s="22"/>
      <c r="H35" s="22"/>
      <c r="I35" s="22"/>
      <c r="J35" s="22"/>
      <c r="K35" s="22"/>
    </row>
    <row r="36" spans="2:11">
      <c r="B36" s="22"/>
      <c r="C36" s="22"/>
      <c r="D36" s="22"/>
      <c r="E36" s="22"/>
      <c r="F36" s="22"/>
      <c r="G36" s="22"/>
      <c r="H36" s="22"/>
      <c r="I36" s="22"/>
      <c r="J36" s="22"/>
      <c r="K36" s="22"/>
    </row>
    <row r="37" spans="2:11">
      <c r="B37" s="22"/>
      <c r="C37" s="22"/>
      <c r="D37" s="22"/>
      <c r="E37" s="22"/>
      <c r="F37" s="22"/>
      <c r="G37" s="22"/>
      <c r="H37" s="22"/>
      <c r="I37" s="22"/>
      <c r="J37" s="22"/>
      <c r="K37" s="22"/>
    </row>
    <row r="38" spans="2:11">
      <c r="B38" s="22"/>
      <c r="C38" s="22"/>
      <c r="D38" s="22"/>
      <c r="E38" s="22"/>
      <c r="F38" s="22"/>
      <c r="G38" s="22"/>
      <c r="H38" s="22"/>
      <c r="I38" s="22"/>
      <c r="J38" s="22"/>
      <c r="K38" s="22"/>
    </row>
    <row r="39" spans="2:11">
      <c r="B39" s="22"/>
      <c r="C39" s="22"/>
      <c r="D39" s="22"/>
      <c r="E39" s="22"/>
      <c r="F39" s="22"/>
      <c r="G39" s="22"/>
      <c r="H39" s="22"/>
      <c r="I39" s="22"/>
      <c r="J39" s="22"/>
      <c r="K39" s="22"/>
    </row>
    <row r="40" spans="2:11">
      <c r="B40" s="22"/>
      <c r="C40" s="22"/>
      <c r="D40" s="22"/>
      <c r="E40" s="22"/>
      <c r="F40" s="22"/>
      <c r="G40" s="22"/>
      <c r="H40" s="22"/>
      <c r="I40" s="22"/>
      <c r="J40" s="22"/>
      <c r="K40" s="22"/>
    </row>
    <row r="41" spans="2:11">
      <c r="B41" s="22"/>
      <c r="C41" s="22"/>
      <c r="D41" s="22"/>
      <c r="E41" s="22"/>
      <c r="F41" s="22"/>
      <c r="G41" s="22"/>
      <c r="H41" s="22"/>
      <c r="I41" s="22"/>
      <c r="J41" s="22"/>
      <c r="K41" s="22"/>
    </row>
    <row r="42" spans="2:11">
      <c r="B42" s="22"/>
      <c r="C42" s="22"/>
      <c r="D42" s="22"/>
      <c r="E42" s="22"/>
      <c r="F42" s="22"/>
      <c r="G42" s="22"/>
      <c r="H42" s="22"/>
      <c r="I42" s="22"/>
      <c r="J42" s="22"/>
      <c r="K42" s="22"/>
    </row>
    <row r="43" spans="2:11">
      <c r="B43" s="22"/>
      <c r="C43" s="22"/>
      <c r="D43" s="22"/>
      <c r="E43" s="22"/>
      <c r="F43" s="22"/>
      <c r="G43" s="22"/>
      <c r="H43" s="22"/>
      <c r="I43" s="22"/>
      <c r="J43" s="22"/>
      <c r="K43" s="22"/>
    </row>
    <row r="44" spans="2:11">
      <c r="B44" s="22"/>
      <c r="C44" s="22"/>
      <c r="D44" s="22"/>
      <c r="E44" s="22"/>
      <c r="F44" s="22"/>
      <c r="G44" s="22"/>
      <c r="H44" s="22"/>
      <c r="I44" s="22"/>
      <c r="J44" s="22"/>
      <c r="K44" s="22"/>
    </row>
    <row r="45" spans="2:11">
      <c r="B45" s="22"/>
      <c r="C45" s="22"/>
      <c r="D45" s="22"/>
      <c r="E45" s="22"/>
      <c r="F45" s="22"/>
      <c r="G45" s="22"/>
      <c r="H45" s="22"/>
      <c r="I45" s="22"/>
      <c r="J45" s="22"/>
      <c r="K45" s="22"/>
    </row>
    <row r="46" spans="2:11">
      <c r="B46" s="22"/>
      <c r="C46" s="22"/>
      <c r="D46" s="22"/>
      <c r="E46" s="22"/>
      <c r="F46" s="22"/>
      <c r="G46" s="22"/>
      <c r="H46" s="22"/>
      <c r="I46" s="22"/>
      <c r="J46" s="22"/>
      <c r="K46" s="22"/>
    </row>
    <row r="47" spans="2:11">
      <c r="B47" s="22"/>
      <c r="C47" s="22"/>
      <c r="D47" s="22"/>
      <c r="E47" s="22"/>
      <c r="F47" s="22"/>
      <c r="G47" s="22"/>
      <c r="H47" s="22"/>
      <c r="I47" s="22"/>
      <c r="J47" s="22"/>
      <c r="K47" s="22"/>
    </row>
    <row r="48" spans="2:11">
      <c r="B48" s="22"/>
      <c r="C48" s="22"/>
      <c r="D48" s="22"/>
      <c r="E48" s="22"/>
      <c r="F48" s="22"/>
      <c r="G48" s="22"/>
      <c r="H48" s="22"/>
      <c r="I48" s="22"/>
      <c r="J48" s="22"/>
      <c r="K48" s="22"/>
    </row>
    <row r="49" spans="2:11">
      <c r="B49" s="22"/>
      <c r="C49" s="22"/>
      <c r="D49" s="22"/>
      <c r="E49" s="22"/>
      <c r="F49" s="22"/>
      <c r="G49" s="22"/>
      <c r="H49" s="22"/>
      <c r="I49" s="22"/>
      <c r="J49" s="22"/>
      <c r="K49" s="22"/>
    </row>
    <row r="50" spans="2:11">
      <c r="B50" s="22"/>
      <c r="C50" s="22"/>
      <c r="D50" s="22"/>
      <c r="E50" s="22"/>
      <c r="F50" s="22"/>
      <c r="G50" s="22"/>
      <c r="H50" s="22"/>
      <c r="I50" s="22"/>
      <c r="J50" s="22"/>
      <c r="K50" s="22"/>
    </row>
    <row r="51" spans="2:11">
      <c r="B51" s="22"/>
      <c r="C51" s="22"/>
      <c r="D51" s="22"/>
      <c r="E51" s="22"/>
      <c r="F51" s="22"/>
      <c r="G51" s="22"/>
      <c r="H51" s="22"/>
      <c r="I51" s="22"/>
      <c r="J51" s="22"/>
      <c r="K51" s="22"/>
    </row>
    <row r="52" spans="2:11">
      <c r="B52" s="22"/>
      <c r="C52" s="22"/>
      <c r="D52" s="22"/>
      <c r="E52" s="22"/>
      <c r="F52" s="22"/>
      <c r="G52" s="22"/>
      <c r="H52" s="22"/>
      <c r="I52" s="22"/>
      <c r="J52" s="22"/>
      <c r="K52" s="22"/>
    </row>
    <row r="53" spans="2:11">
      <c r="B53" s="22"/>
      <c r="C53" s="22"/>
      <c r="D53" s="22"/>
      <c r="E53" s="22"/>
      <c r="F53" s="22"/>
      <c r="G53" s="22"/>
      <c r="H53" s="22"/>
      <c r="I53" s="22"/>
      <c r="J53" s="22"/>
      <c r="K53" s="22"/>
    </row>
    <row r="54" spans="2:11">
      <c r="B54" s="22"/>
      <c r="C54" s="22"/>
      <c r="D54" s="22"/>
      <c r="E54" s="22"/>
      <c r="F54" s="22"/>
      <c r="G54" s="22"/>
      <c r="H54" s="22"/>
      <c r="I54" s="22"/>
      <c r="J54" s="22"/>
      <c r="K54" s="22"/>
    </row>
    <row r="55" spans="2:11">
      <c r="B55" s="22"/>
      <c r="C55" s="22"/>
      <c r="D55" s="22"/>
      <c r="E55" s="22"/>
      <c r="F55" s="22"/>
      <c r="G55" s="22"/>
      <c r="H55" s="22"/>
      <c r="I55" s="22"/>
      <c r="J55" s="22"/>
      <c r="K55" s="22"/>
    </row>
    <row r="56" spans="2:11">
      <c r="B56" s="22"/>
      <c r="C56" s="22"/>
      <c r="D56" s="22"/>
      <c r="E56" s="22"/>
      <c r="F56" s="22"/>
      <c r="G56" s="22"/>
      <c r="H56" s="22"/>
      <c r="I56" s="22"/>
      <c r="J56" s="22"/>
      <c r="K56" s="22"/>
    </row>
    <row r="57" spans="2:11">
      <c r="B57" s="22"/>
      <c r="C57" s="22"/>
      <c r="D57" s="22"/>
      <c r="E57" s="22"/>
      <c r="F57" s="22"/>
      <c r="G57" s="22"/>
      <c r="H57" s="22"/>
      <c r="I57" s="22"/>
      <c r="J57" s="22"/>
      <c r="K57" s="22"/>
    </row>
    <row r="58" spans="2:11">
      <c r="B58" s="22"/>
      <c r="C58" s="22"/>
      <c r="D58" s="22"/>
      <c r="E58" s="22"/>
      <c r="F58" s="22"/>
      <c r="G58" s="22"/>
      <c r="H58" s="22"/>
      <c r="I58" s="22"/>
      <c r="J58" s="22"/>
      <c r="K58" s="22"/>
    </row>
    <row r="59" spans="2:11">
      <c r="B59" s="22"/>
      <c r="C59" s="22"/>
      <c r="D59" s="22"/>
      <c r="E59" s="22"/>
      <c r="F59" s="22"/>
      <c r="G59" s="22"/>
      <c r="H59" s="22"/>
      <c r="I59" s="22"/>
      <c r="J59" s="22"/>
      <c r="K59" s="22"/>
    </row>
    <row r="60" spans="2:11">
      <c r="B60" s="22"/>
      <c r="C60" s="22"/>
      <c r="D60" s="22"/>
      <c r="E60" s="22"/>
      <c r="F60" s="22"/>
      <c r="G60" s="22"/>
      <c r="H60" s="22"/>
      <c r="I60" s="22"/>
      <c r="J60" s="22"/>
      <c r="K60" s="22"/>
    </row>
    <row r="61" spans="2:11">
      <c r="B61" s="22"/>
      <c r="C61" s="22"/>
      <c r="D61" s="22"/>
      <c r="E61" s="22"/>
      <c r="F61" s="22"/>
      <c r="G61" s="22"/>
      <c r="H61" s="22"/>
      <c r="I61" s="22"/>
      <c r="J61" s="22"/>
      <c r="K61" s="22"/>
    </row>
    <row r="62" spans="2:11">
      <c r="B62" s="22"/>
      <c r="C62" s="22"/>
      <c r="D62" s="22"/>
      <c r="E62" s="22"/>
      <c r="F62" s="22"/>
      <c r="G62" s="22"/>
      <c r="H62" s="22"/>
      <c r="I62" s="22"/>
      <c r="J62" s="22"/>
      <c r="K62" s="22"/>
    </row>
    <row r="63" spans="2:11">
      <c r="B63" s="22"/>
      <c r="C63" s="22"/>
      <c r="D63" s="22"/>
      <c r="E63" s="22"/>
      <c r="F63" s="22"/>
      <c r="G63" s="22"/>
      <c r="H63" s="22"/>
      <c r="I63" s="22"/>
      <c r="J63" s="22"/>
      <c r="K63" s="22"/>
    </row>
    <row r="64" spans="2:11">
      <c r="B64" s="22"/>
      <c r="C64" s="22"/>
      <c r="D64" s="22"/>
      <c r="E64" s="22"/>
      <c r="F64" s="22"/>
      <c r="G64" s="22"/>
      <c r="H64" s="22"/>
      <c r="I64" s="22"/>
      <c r="J64" s="22"/>
      <c r="K64" s="22"/>
    </row>
    <row r="65" spans="2:11">
      <c r="B65" s="22"/>
      <c r="C65" s="22"/>
      <c r="D65" s="22"/>
      <c r="E65" s="22"/>
      <c r="F65" s="22"/>
      <c r="G65" s="22"/>
      <c r="H65" s="22"/>
      <c r="I65" s="22"/>
      <c r="J65" s="22"/>
      <c r="K65" s="22"/>
    </row>
    <row r="66" spans="2:11" s="22" customFormat="1"/>
    <row r="67" spans="2:11" s="22" customFormat="1"/>
    <row r="68" spans="2:11" s="22" customFormat="1"/>
    <row r="69" spans="2:11" s="22" customFormat="1"/>
    <row r="70" spans="2:11" s="22" customFormat="1"/>
  </sheetData>
  <phoneticPr fontId="0" type="noConversion"/>
  <hyperlinks>
    <hyperlink ref="E3" location="INDICE!A60" display="VOLVER A INDICE"/>
  </hyperlinks>
  <pageMargins left="0.75" right="0.75" top="1" bottom="1" header="0" footer="0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Y88"/>
  <sheetViews>
    <sheetView topLeftCell="E31" zoomScale="85" workbookViewId="0">
      <selection activeCell="K26" sqref="K26"/>
    </sheetView>
  </sheetViews>
  <sheetFormatPr baseColWidth="10" defaultRowHeight="12.75"/>
  <cols>
    <col min="1" max="1" width="2.28515625" style="891" customWidth="1"/>
    <col min="2" max="2" width="28.42578125" style="891" customWidth="1"/>
    <col min="3" max="14" width="9.5703125" style="891" customWidth="1"/>
    <col min="15" max="16" width="9.5703125" style="22" customWidth="1"/>
    <col min="17" max="25" width="11.42578125" style="22"/>
    <col min="26" max="16384" width="11.42578125" style="891"/>
  </cols>
  <sheetData>
    <row r="1" spans="2:14">
      <c r="B1" s="627" t="s">
        <v>804</v>
      </c>
      <c r="C1" s="22"/>
      <c r="D1" s="22"/>
      <c r="E1" s="22"/>
      <c r="F1" s="22"/>
      <c r="G1" s="22"/>
      <c r="H1" s="852" t="s">
        <v>681</v>
      </c>
      <c r="I1" s="22"/>
      <c r="J1" s="22"/>
      <c r="K1" s="22"/>
      <c r="L1" s="22"/>
      <c r="M1" s="22"/>
      <c r="N1" s="22"/>
    </row>
    <row r="2" spans="2:14" ht="18">
      <c r="B2" s="1343" t="s">
        <v>423</v>
      </c>
      <c r="C2" s="1343"/>
      <c r="D2" s="1343"/>
      <c r="E2" s="1343"/>
      <c r="F2" s="1343"/>
      <c r="G2" s="22"/>
      <c r="H2" s="22"/>
      <c r="I2" s="22"/>
      <c r="J2" s="22"/>
      <c r="K2" s="22"/>
      <c r="L2" s="22"/>
      <c r="M2" s="22"/>
      <c r="N2" s="22"/>
    </row>
    <row r="3" spans="2:14" ht="16.5" thickBot="1">
      <c r="B3" s="1344" t="s">
        <v>424</v>
      </c>
      <c r="C3" s="1344"/>
      <c r="D3" s="1344"/>
      <c r="E3" s="1344"/>
      <c r="F3" s="1344"/>
      <c r="G3" s="22"/>
      <c r="H3" s="22"/>
      <c r="I3" s="22"/>
      <c r="J3" s="22"/>
      <c r="K3" s="22"/>
      <c r="L3" s="22"/>
      <c r="M3" s="22"/>
      <c r="N3" s="22"/>
    </row>
    <row r="4" spans="2:14" ht="16.5" thickBot="1">
      <c r="B4" s="1171"/>
      <c r="C4" s="1172"/>
      <c r="D4" s="1172"/>
      <c r="E4" s="1172"/>
      <c r="F4" s="1172"/>
      <c r="G4" s="1173"/>
      <c r="H4" s="1173"/>
      <c r="I4" s="1173"/>
      <c r="J4" s="1173"/>
      <c r="K4" s="1173"/>
      <c r="L4" s="1174"/>
      <c r="M4" s="22"/>
      <c r="N4" s="22"/>
    </row>
    <row r="5" spans="2:14">
      <c r="B5" s="538"/>
      <c r="C5" s="539">
        <v>1978</v>
      </c>
      <c r="D5" s="540">
        <v>1988</v>
      </c>
      <c r="E5" s="540">
        <v>1998</v>
      </c>
      <c r="F5" s="481">
        <v>1999</v>
      </c>
      <c r="G5" s="482">
        <v>2000</v>
      </c>
      <c r="H5" s="482">
        <v>2001</v>
      </c>
      <c r="I5" s="482">
        <v>2002</v>
      </c>
      <c r="J5" s="483">
        <v>2003</v>
      </c>
      <c r="K5" s="483">
        <v>2004</v>
      </c>
      <c r="L5" s="483">
        <v>2005</v>
      </c>
      <c r="M5" s="22"/>
      <c r="N5" s="22"/>
    </row>
    <row r="6" spans="2:14">
      <c r="B6" s="541" t="s">
        <v>425</v>
      </c>
      <c r="C6" s="484">
        <v>0.470076043090982</v>
      </c>
      <c r="D6" s="485">
        <v>0.37514013607074959</v>
      </c>
      <c r="E6" s="485">
        <v>0.46</v>
      </c>
      <c r="F6" s="486">
        <v>0.45</v>
      </c>
      <c r="G6" s="487">
        <v>0.41</v>
      </c>
      <c r="H6" s="487">
        <v>0.37</v>
      </c>
      <c r="I6" s="487">
        <v>0.39</v>
      </c>
      <c r="J6" s="488">
        <v>0.38</v>
      </c>
      <c r="K6" s="488">
        <v>0.3789698411743081</v>
      </c>
      <c r="L6" s="488">
        <f>CUADRO3B!H49</f>
        <v>0.37903395994826816</v>
      </c>
      <c r="M6" s="22"/>
      <c r="N6" s="22"/>
    </row>
    <row r="7" spans="2:14">
      <c r="B7" s="542" t="s">
        <v>426</v>
      </c>
      <c r="C7" s="489">
        <v>9.3341216754073919E-2</v>
      </c>
      <c r="D7" s="490">
        <v>9.374367908398E-2</v>
      </c>
      <c r="E7" s="490">
        <v>7.0000000000000007E-2</v>
      </c>
      <c r="F7" s="491">
        <v>0.13</v>
      </c>
      <c r="G7" s="492">
        <v>0.15</v>
      </c>
      <c r="H7" s="492">
        <v>0.19</v>
      </c>
      <c r="I7" s="492">
        <v>0.18</v>
      </c>
      <c r="J7" s="493">
        <v>0.2</v>
      </c>
      <c r="K7" s="493">
        <v>0.20505043896718239</v>
      </c>
      <c r="L7" s="493">
        <f>CUADRO3B!H50</f>
        <v>0.18463573470838712</v>
      </c>
      <c r="M7" s="22"/>
      <c r="N7" s="22"/>
    </row>
    <row r="8" spans="2:14">
      <c r="B8" s="542" t="s">
        <v>227</v>
      </c>
      <c r="C8" s="489">
        <v>9.9086063870191393E-2</v>
      </c>
      <c r="D8" s="490">
        <v>0.12845558632465301</v>
      </c>
      <c r="E8" s="490">
        <v>0.16</v>
      </c>
      <c r="F8" s="491">
        <v>0.15</v>
      </c>
      <c r="G8" s="492">
        <v>0.11</v>
      </c>
      <c r="H8" s="492">
        <v>0.09</v>
      </c>
      <c r="I8" s="492">
        <v>0.08</v>
      </c>
      <c r="J8" s="493">
        <v>0.09</v>
      </c>
      <c r="K8" s="493">
        <v>0.10068330234050628</v>
      </c>
      <c r="L8" s="493">
        <f>CUADRO3B!H51</f>
        <v>9.3772705043159557E-2</v>
      </c>
      <c r="M8" s="22"/>
      <c r="N8" s="22"/>
    </row>
    <row r="9" spans="2:14">
      <c r="B9" s="542" t="s">
        <v>427</v>
      </c>
      <c r="C9" s="489">
        <v>0.17975279972289931</v>
      </c>
      <c r="D9" s="490">
        <v>0.22206785936088999</v>
      </c>
      <c r="E9" s="490">
        <v>0.16</v>
      </c>
      <c r="F9" s="491">
        <v>0.12</v>
      </c>
      <c r="G9" s="492">
        <v>0.18</v>
      </c>
      <c r="H9" s="492">
        <v>0.2</v>
      </c>
      <c r="I9" s="492">
        <v>0.21</v>
      </c>
      <c r="J9" s="493">
        <v>0.2</v>
      </c>
      <c r="K9" s="493">
        <v>0.18212983290586712</v>
      </c>
      <c r="L9" s="493">
        <f>CUADRO3B!H52</f>
        <v>0.20817229321047451</v>
      </c>
      <c r="M9" s="22"/>
      <c r="N9" s="22"/>
    </row>
    <row r="10" spans="2:14" ht="13.5" thickBot="1">
      <c r="B10" s="542" t="s">
        <v>428</v>
      </c>
      <c r="C10" s="494">
        <v>0.15905948874300771</v>
      </c>
      <c r="D10" s="495">
        <v>0.17996205033530982</v>
      </c>
      <c r="E10" s="495">
        <v>0.15</v>
      </c>
      <c r="F10" s="496">
        <v>0.15412567696659363</v>
      </c>
      <c r="G10" s="497">
        <v>0.15</v>
      </c>
      <c r="H10" s="497">
        <v>0.15</v>
      </c>
      <c r="I10" s="497">
        <v>0.14000000000000001</v>
      </c>
      <c r="J10" s="498">
        <v>0.13</v>
      </c>
      <c r="K10" s="498">
        <v>0.13316658461213621</v>
      </c>
      <c r="L10" s="498">
        <f>CUADRO3B!H53</f>
        <v>0.13438530708971066</v>
      </c>
      <c r="M10" s="22"/>
      <c r="N10" s="22"/>
    </row>
    <row r="11" spans="2:14">
      <c r="B11" s="543" t="s">
        <v>429</v>
      </c>
      <c r="C11" s="499">
        <v>105074</v>
      </c>
      <c r="D11" s="500">
        <v>142342</v>
      </c>
      <c r="E11" s="500">
        <v>258126</v>
      </c>
      <c r="F11" s="501">
        <v>274847</v>
      </c>
      <c r="G11" s="502">
        <v>286293</v>
      </c>
      <c r="H11" s="502">
        <v>287338</v>
      </c>
      <c r="I11" s="502">
        <v>301841</v>
      </c>
      <c r="J11" s="503">
        <v>303312</v>
      </c>
      <c r="K11" s="503">
        <v>323739.88263594679</v>
      </c>
      <c r="L11" s="503">
        <f>CUADRO3B!G55</f>
        <v>342206.533292924</v>
      </c>
      <c r="M11" s="22"/>
      <c r="N11" s="22"/>
    </row>
    <row r="12" spans="2:14" ht="13.5" thickBot="1">
      <c r="B12" s="544" t="s">
        <v>430</v>
      </c>
      <c r="C12" s="504">
        <v>100</v>
      </c>
      <c r="D12" s="505">
        <v>135.47</v>
      </c>
      <c r="E12" s="505">
        <v>245.66</v>
      </c>
      <c r="F12" s="506">
        <v>261.58</v>
      </c>
      <c r="G12" s="507">
        <v>272.47000000000003</v>
      </c>
      <c r="H12" s="507">
        <v>273.45999999999998</v>
      </c>
      <c r="I12" s="507">
        <v>287.27</v>
      </c>
      <c r="J12" s="508">
        <v>288.67</v>
      </c>
      <c r="K12" s="508">
        <v>308.10655598525494</v>
      </c>
      <c r="L12" s="508">
        <f>100*L11/C11</f>
        <v>325.68145620507835</v>
      </c>
      <c r="M12" s="22"/>
      <c r="N12" s="22"/>
    </row>
    <row r="13" spans="2:14" ht="13.5" thickBot="1">
      <c r="B13" s="545" t="s">
        <v>431</v>
      </c>
      <c r="C13" s="546"/>
      <c r="D13" s="547">
        <v>3.0800000000000001E-2</v>
      </c>
      <c r="E13" s="547">
        <v>6.0544618984837102E-2</v>
      </c>
      <c r="F13" s="548">
        <v>6.4699999999999994E-2</v>
      </c>
      <c r="G13" s="549">
        <v>5.3100000000000001E-2</v>
      </c>
      <c r="H13" s="549">
        <v>3.6400000000000002E-2</v>
      </c>
      <c r="I13" s="549">
        <v>3.9899999999999998E-2</v>
      </c>
      <c r="J13" s="550">
        <v>3.2800000000000003E-2</v>
      </c>
      <c r="K13" s="550">
        <v>3.8470288624344207E-2</v>
      </c>
      <c r="L13" s="550">
        <f>EXP(LN(L11/E11)/(L5-E5))-1</f>
        <v>4.1103225930211318E-2</v>
      </c>
      <c r="M13" s="22"/>
      <c r="N13" s="22"/>
    </row>
    <row r="14" spans="2:14">
      <c r="B14" s="22" t="s">
        <v>432</v>
      </c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</row>
    <row r="15" spans="2:14">
      <c r="B15" s="22" t="s">
        <v>433</v>
      </c>
      <c r="C15" s="22"/>
      <c r="D15" s="22"/>
      <c r="E15" s="22"/>
      <c r="F15" s="22"/>
      <c r="G15" s="22"/>
      <c r="H15" s="22"/>
      <c r="I15" s="22"/>
      <c r="J15" s="22"/>
      <c r="K15" s="311"/>
      <c r="L15" s="22"/>
      <c r="M15" s="22"/>
      <c r="N15" s="22"/>
    </row>
    <row r="16" spans="2:14">
      <c r="B16" s="22" t="s">
        <v>434</v>
      </c>
      <c r="C16" s="22"/>
      <c r="D16" s="22"/>
      <c r="E16" s="22"/>
      <c r="F16" s="22"/>
      <c r="G16" s="22"/>
      <c r="H16" s="22"/>
      <c r="I16" s="22"/>
      <c r="J16" s="22"/>
      <c r="K16" s="628"/>
      <c r="L16" s="22"/>
      <c r="M16" s="22"/>
      <c r="N16" s="22"/>
    </row>
    <row r="17" spans="2:14">
      <c r="B17" s="22" t="s">
        <v>435</v>
      </c>
      <c r="C17" s="22"/>
      <c r="D17" s="22"/>
      <c r="E17" s="22"/>
      <c r="F17" s="22"/>
      <c r="G17" s="22"/>
      <c r="H17" s="22"/>
      <c r="I17" s="311"/>
      <c r="J17" s="311"/>
      <c r="K17" s="311"/>
      <c r="L17" s="22"/>
      <c r="M17" s="22"/>
      <c r="N17" s="22"/>
    </row>
    <row r="18" spans="2:14">
      <c r="B18" s="22" t="s">
        <v>436</v>
      </c>
      <c r="C18" s="22"/>
      <c r="D18" s="22"/>
      <c r="E18" s="22"/>
      <c r="F18" s="22"/>
      <c r="G18" s="22"/>
      <c r="H18" s="22"/>
      <c r="I18" s="629"/>
      <c r="J18" s="629"/>
      <c r="K18" s="311"/>
      <c r="L18" s="22"/>
      <c r="M18" s="22"/>
      <c r="N18" s="22"/>
    </row>
    <row r="19" spans="2:14">
      <c r="B19" s="22"/>
      <c r="C19" s="630"/>
      <c r="D19" s="630"/>
      <c r="E19" s="630"/>
      <c r="F19" s="630"/>
      <c r="G19" s="630"/>
      <c r="H19" s="630"/>
      <c r="I19" s="631"/>
      <c r="J19" s="631"/>
      <c r="K19" s="311"/>
      <c r="L19" s="22"/>
      <c r="M19" s="22"/>
      <c r="N19" s="22"/>
    </row>
    <row r="20" spans="2:14">
      <c r="B20" s="627" t="s">
        <v>805</v>
      </c>
      <c r="C20" s="22"/>
      <c r="D20" s="22"/>
      <c r="E20" s="22"/>
      <c r="F20" s="22"/>
      <c r="G20" s="474"/>
      <c r="H20" s="22"/>
      <c r="I20" s="311"/>
      <c r="J20" s="311"/>
      <c r="K20" s="311"/>
      <c r="L20" s="22"/>
      <c r="M20" s="22"/>
      <c r="N20" s="22"/>
    </row>
    <row r="21" spans="2:14" ht="18">
      <c r="B21" s="1343" t="s">
        <v>437</v>
      </c>
      <c r="C21" s="1343"/>
      <c r="D21" s="1343"/>
      <c r="E21" s="1343"/>
      <c r="F21" s="1343"/>
      <c r="G21" s="22"/>
      <c r="H21" s="22"/>
      <c r="I21" s="22"/>
      <c r="J21" s="22"/>
      <c r="K21" s="22"/>
      <c r="L21" s="22"/>
      <c r="M21" s="22"/>
      <c r="N21" s="22"/>
    </row>
    <row r="22" spans="2:14" ht="16.5" thickBot="1">
      <c r="B22" s="1345" t="s">
        <v>438</v>
      </c>
      <c r="C22" s="1345"/>
      <c r="D22" s="1345"/>
      <c r="E22" s="1345"/>
      <c r="F22" s="1345"/>
      <c r="G22" s="22"/>
      <c r="H22" s="22"/>
      <c r="I22" s="22"/>
      <c r="J22" s="22"/>
      <c r="K22" s="22"/>
      <c r="L22" s="22"/>
      <c r="M22" s="22"/>
      <c r="N22" s="22"/>
    </row>
    <row r="23" spans="2:14" ht="16.5" thickBot="1">
      <c r="B23" s="1171"/>
      <c r="C23" s="1172"/>
      <c r="D23" s="1172"/>
      <c r="E23" s="1172"/>
      <c r="F23" s="1172"/>
      <c r="G23" s="1173"/>
      <c r="H23" s="1173"/>
      <c r="I23" s="1173"/>
      <c r="J23" s="1173"/>
      <c r="K23" s="1173"/>
      <c r="L23" s="1174"/>
      <c r="M23" s="22"/>
      <c r="N23" s="22"/>
    </row>
    <row r="24" spans="2:14">
      <c r="B24" s="1175"/>
      <c r="C24" s="1176">
        <v>1978</v>
      </c>
      <c r="D24" s="1177">
        <v>1988</v>
      </c>
      <c r="E24" s="1177">
        <v>1998</v>
      </c>
      <c r="F24" s="1178">
        <v>1999</v>
      </c>
      <c r="G24" s="1179">
        <v>2000</v>
      </c>
      <c r="H24" s="1179">
        <v>2001</v>
      </c>
      <c r="I24" s="1179">
        <v>2002</v>
      </c>
      <c r="J24" s="1180">
        <v>2003</v>
      </c>
      <c r="K24" s="1180">
        <v>2004</v>
      </c>
      <c r="L24" s="1180">
        <v>2005</v>
      </c>
      <c r="M24" s="22"/>
      <c r="N24" s="22"/>
    </row>
    <row r="25" spans="2:14">
      <c r="B25" s="541" t="s">
        <v>439</v>
      </c>
      <c r="C25" s="509">
        <v>0.54400000000000004</v>
      </c>
      <c r="D25" s="510">
        <v>0.45400000000000001</v>
      </c>
      <c r="E25" s="510">
        <v>0.436</v>
      </c>
      <c r="F25" s="511">
        <v>0.41</v>
      </c>
      <c r="G25" s="512">
        <v>0.39100000000000001</v>
      </c>
      <c r="H25" s="512">
        <v>0.379</v>
      </c>
      <c r="I25" s="512">
        <v>0.375</v>
      </c>
      <c r="J25" s="513">
        <v>0.36599999999999999</v>
      </c>
      <c r="K25" s="513">
        <v>0.35744758715704694</v>
      </c>
      <c r="L25" s="513">
        <f>CUADRO5!I9/CUADRO5!I50</f>
        <v>0.37119645193159462</v>
      </c>
      <c r="M25" s="22"/>
      <c r="N25" s="22"/>
    </row>
    <row r="26" spans="2:14">
      <c r="B26" s="542" t="s">
        <v>426</v>
      </c>
      <c r="C26" s="514">
        <v>7.8E-2</v>
      </c>
      <c r="D26" s="515">
        <v>9.4E-2</v>
      </c>
      <c r="E26" s="515">
        <v>0.13800000000000001</v>
      </c>
      <c r="F26" s="516">
        <v>0.17</v>
      </c>
      <c r="G26" s="517">
        <v>0.216</v>
      </c>
      <c r="H26" s="517">
        <v>0.24399999999999999</v>
      </c>
      <c r="I26" s="517">
        <v>0.24099999999999999</v>
      </c>
      <c r="J26" s="518">
        <v>0.25600000000000001</v>
      </c>
      <c r="K26" s="518">
        <v>0.2583351121403441</v>
      </c>
      <c r="L26" s="518">
        <f>(CUADRO5!I38+CUADRO5!I40+CUADRO5!I42)/CUADRO5!I50</f>
        <v>0.24311040421145924</v>
      </c>
      <c r="M26" s="22"/>
      <c r="N26" s="22"/>
    </row>
    <row r="27" spans="2:14">
      <c r="B27" s="542" t="s">
        <v>440</v>
      </c>
      <c r="C27" s="514">
        <v>0.125</v>
      </c>
      <c r="D27" s="515">
        <v>0.159</v>
      </c>
      <c r="E27" s="515">
        <v>0.17</v>
      </c>
      <c r="F27" s="516">
        <v>0.16700000000000001</v>
      </c>
      <c r="G27" s="517">
        <v>0.13</v>
      </c>
      <c r="H27" s="517">
        <v>0.106</v>
      </c>
      <c r="I27" s="517">
        <v>0.109</v>
      </c>
      <c r="J27" s="518">
        <v>0.109</v>
      </c>
      <c r="K27" s="518">
        <v>0.11828412463945853</v>
      </c>
      <c r="L27" s="518">
        <f>(CUADRO5!I32+CUADRO5!I34+CUADRO5!I36)/CUADRO5!I50</f>
        <v>0.11375548150206657</v>
      </c>
      <c r="M27" s="22"/>
      <c r="N27" s="22"/>
    </row>
    <row r="28" spans="2:14">
      <c r="B28" s="542" t="s">
        <v>441</v>
      </c>
      <c r="C28" s="514">
        <v>8.2000000000000003E-2</v>
      </c>
      <c r="D28" s="515">
        <v>9.8000000000000004E-2</v>
      </c>
      <c r="E28" s="515">
        <v>0.106</v>
      </c>
      <c r="F28" s="516">
        <v>0.109</v>
      </c>
      <c r="G28" s="517">
        <v>0.114</v>
      </c>
      <c r="H28" s="517">
        <v>0.122</v>
      </c>
      <c r="I28" s="517">
        <v>0.126</v>
      </c>
      <c r="J28" s="518">
        <v>0.13200000000000001</v>
      </c>
      <c r="K28" s="518">
        <v>0.13155544236248884</v>
      </c>
      <c r="L28" s="518">
        <f>CUADRO5!I30/CUADRO5!I50</f>
        <v>0.13078765316779559</v>
      </c>
      <c r="M28" s="22"/>
      <c r="N28" s="22"/>
    </row>
    <row r="29" spans="2:14" ht="13.5" thickBot="1">
      <c r="B29" s="542" t="s">
        <v>428</v>
      </c>
      <c r="C29" s="519">
        <v>0.17100000000000001</v>
      </c>
      <c r="D29" s="520">
        <v>0.19500000000000001</v>
      </c>
      <c r="E29" s="520">
        <v>0.15</v>
      </c>
      <c r="F29" s="521">
        <v>0.14399999999999999</v>
      </c>
      <c r="G29" s="522">
        <v>0.14899999999999999</v>
      </c>
      <c r="H29" s="522">
        <v>0.14899999999999999</v>
      </c>
      <c r="I29" s="522">
        <v>0.14899999999999999</v>
      </c>
      <c r="J29" s="523">
        <v>0.13700000000000001</v>
      </c>
      <c r="K29" s="523">
        <v>0.13437773370066153</v>
      </c>
      <c r="L29" s="523">
        <f>CUADRO5!I46/CUADRO5!I50</f>
        <v>0.13960657288376618</v>
      </c>
      <c r="M29" s="22"/>
      <c r="N29" s="22"/>
    </row>
    <row r="30" spans="2:14">
      <c r="B30" s="543" t="s">
        <v>284</v>
      </c>
      <c r="C30" s="524">
        <v>96965</v>
      </c>
      <c r="D30" s="525">
        <v>127857</v>
      </c>
      <c r="E30" s="525">
        <v>264754</v>
      </c>
      <c r="F30" s="501">
        <v>286266</v>
      </c>
      <c r="G30" s="502">
        <v>288481</v>
      </c>
      <c r="H30" s="502">
        <v>287550</v>
      </c>
      <c r="I30" s="502">
        <v>292454</v>
      </c>
      <c r="J30" s="503">
        <v>298566</v>
      </c>
      <c r="K30" s="503">
        <v>320822.00887088344</v>
      </c>
      <c r="L30" s="503">
        <f>CUADRO5!I50</f>
        <v>329408.05805012665</v>
      </c>
      <c r="M30" s="1221"/>
      <c r="N30" s="22"/>
    </row>
    <row r="31" spans="2:14" ht="13.5" thickBot="1">
      <c r="B31" s="544" t="s">
        <v>430</v>
      </c>
      <c r="C31" s="526">
        <v>100</v>
      </c>
      <c r="D31" s="527">
        <v>131.86027804133494</v>
      </c>
      <c r="E31" s="527">
        <v>273.04360381172393</v>
      </c>
      <c r="F31" s="528">
        <v>295.22899999999998</v>
      </c>
      <c r="G31" s="529">
        <v>297.51</v>
      </c>
      <c r="H31" s="529">
        <v>296.55</v>
      </c>
      <c r="I31" s="529">
        <v>301.61</v>
      </c>
      <c r="J31" s="530">
        <v>307.91000000000003</v>
      </c>
      <c r="K31" s="530">
        <v>330.86372285967457</v>
      </c>
      <c r="L31" s="530">
        <f>100*L30/C30</f>
        <v>339.71851497976246</v>
      </c>
      <c r="M31" s="22"/>
      <c r="N31" s="22"/>
    </row>
    <row r="32" spans="2:14" ht="13.5" thickBot="1">
      <c r="B32" s="545" t="s">
        <v>442</v>
      </c>
      <c r="C32" s="546"/>
      <c r="D32" s="547">
        <v>2.8043280325314113E-2</v>
      </c>
      <c r="E32" s="547">
        <v>7.5503435561546706E-2</v>
      </c>
      <c r="F32" s="548">
        <v>8.1250000000000003E-2</v>
      </c>
      <c r="G32" s="549">
        <v>4.3799999999999999E-2</v>
      </c>
      <c r="H32" s="549">
        <v>2.7900000000000001E-2</v>
      </c>
      <c r="I32" s="549">
        <v>2.52E-2</v>
      </c>
      <c r="J32" s="550">
        <v>2.4299999999999999E-2</v>
      </c>
      <c r="K32" s="550">
        <v>3.2532199318530797E-2</v>
      </c>
      <c r="L32" s="550">
        <f>EXP(LN(L30/E30)/6)-1</f>
        <v>3.7087217408886985E-2</v>
      </c>
      <c r="M32" s="22"/>
      <c r="N32" s="22"/>
    </row>
    <row r="33" spans="2:16">
      <c r="B33" s="22" t="s">
        <v>443</v>
      </c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</row>
    <row r="34" spans="2:16">
      <c r="B34" s="22" t="s">
        <v>444</v>
      </c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</row>
    <row r="35" spans="2:16">
      <c r="B35" s="22" t="s">
        <v>764</v>
      </c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</row>
    <row r="36" spans="2:16">
      <c r="B36" s="22" t="s">
        <v>765</v>
      </c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</row>
    <row r="37" spans="2:16">
      <c r="B37" s="22" t="s">
        <v>436</v>
      </c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</row>
    <row r="38" spans="2:16">
      <c r="B38" s="22"/>
      <c r="C38" s="632"/>
      <c r="D38" s="632"/>
      <c r="E38" s="632"/>
      <c r="F38" s="632"/>
      <c r="G38" s="632"/>
      <c r="H38" s="632"/>
      <c r="I38" s="632"/>
      <c r="J38" s="632"/>
      <c r="K38" s="22"/>
      <c r="L38" s="22"/>
      <c r="M38" s="22"/>
      <c r="N38" s="22"/>
    </row>
    <row r="39" spans="2:16">
      <c r="B39" s="627" t="s">
        <v>806</v>
      </c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</row>
    <row r="40" spans="2:16" ht="18">
      <c r="B40" s="1343" t="s">
        <v>445</v>
      </c>
      <c r="C40" s="1343"/>
      <c r="D40" s="1343"/>
      <c r="E40" s="1343"/>
      <c r="F40" s="1343"/>
      <c r="G40" s="22"/>
      <c r="H40" s="22"/>
      <c r="I40" s="22"/>
      <c r="J40" s="22"/>
      <c r="K40" s="22"/>
      <c r="L40" s="22"/>
      <c r="M40" s="22"/>
      <c r="N40" s="22"/>
    </row>
    <row r="41" spans="2:16" ht="16.5" thickBot="1">
      <c r="B41" s="1344" t="s">
        <v>446</v>
      </c>
      <c r="C41" s="1344"/>
      <c r="D41" s="1344"/>
      <c r="E41" s="1344"/>
      <c r="F41" s="1344"/>
      <c r="G41" s="22"/>
      <c r="H41" s="22"/>
      <c r="I41" s="22"/>
      <c r="J41" s="22"/>
      <c r="K41" s="22"/>
      <c r="L41" s="22"/>
      <c r="M41" s="22"/>
      <c r="N41" s="22"/>
    </row>
    <row r="42" spans="2:16" ht="16.5" thickBot="1">
      <c r="B42" s="1184"/>
      <c r="C42" s="1185"/>
      <c r="D42" s="1185"/>
      <c r="E42" s="1185"/>
      <c r="F42" s="1185"/>
      <c r="G42" s="1186"/>
      <c r="H42" s="1186"/>
      <c r="I42" s="1186"/>
      <c r="J42" s="1186"/>
      <c r="K42" s="1186"/>
      <c r="L42" s="1186"/>
      <c r="M42" s="1187"/>
      <c r="N42" s="1187"/>
      <c r="O42" s="1187"/>
      <c r="P42" s="1188"/>
    </row>
    <row r="43" spans="2:16">
      <c r="B43" s="1181" t="s">
        <v>447</v>
      </c>
      <c r="C43" s="1182">
        <v>1999</v>
      </c>
      <c r="D43" s="1182"/>
      <c r="E43" s="1182">
        <v>2000</v>
      </c>
      <c r="F43" s="1182"/>
      <c r="G43" s="1182">
        <v>2001</v>
      </c>
      <c r="H43" s="1182"/>
      <c r="I43" s="1182">
        <v>2002</v>
      </c>
      <c r="J43" s="1182"/>
      <c r="K43" s="1182">
        <v>2003</v>
      </c>
      <c r="L43" s="1182"/>
      <c r="M43" s="1182">
        <v>2004</v>
      </c>
      <c r="N43" s="1183"/>
      <c r="O43" s="1182">
        <v>2005</v>
      </c>
      <c r="P43" s="1183"/>
    </row>
    <row r="44" spans="2:16">
      <c r="B44" s="655" t="s">
        <v>82</v>
      </c>
      <c r="C44" s="531">
        <v>66988</v>
      </c>
      <c r="D44" s="532">
        <v>0.26500000000000001</v>
      </c>
      <c r="E44" s="531">
        <v>69835</v>
      </c>
      <c r="F44" s="532">
        <v>0.27610000000000001</v>
      </c>
      <c r="G44" s="531">
        <v>67320</v>
      </c>
      <c r="H44" s="532">
        <v>0.27</v>
      </c>
      <c r="I44" s="531">
        <v>68996</v>
      </c>
      <c r="J44" s="532">
        <v>0.2646</v>
      </c>
      <c r="K44" s="531">
        <v>70365</v>
      </c>
      <c r="L44" s="532">
        <v>0.26800000000000002</v>
      </c>
      <c r="M44" s="531">
        <v>73459.315952227378</v>
      </c>
      <c r="N44" s="656">
        <v>0.25772670480207505</v>
      </c>
      <c r="O44" s="531">
        <f>CUADRO5!C50</f>
        <v>80206.461333364161</v>
      </c>
      <c r="P44" s="656">
        <f>O44/$O$48</f>
        <v>0.27148569624383712</v>
      </c>
    </row>
    <row r="45" spans="2:16">
      <c r="B45" s="655" t="s">
        <v>448</v>
      </c>
      <c r="C45" s="531">
        <v>68838</v>
      </c>
      <c r="D45" s="532">
        <v>0.27300000000000002</v>
      </c>
      <c r="E45" s="531">
        <v>74210</v>
      </c>
      <c r="F45" s="532">
        <v>0.29339999999999999</v>
      </c>
      <c r="G45" s="531">
        <v>75289</v>
      </c>
      <c r="H45" s="532">
        <v>0.30199999999999999</v>
      </c>
      <c r="I45" s="531">
        <v>75672</v>
      </c>
      <c r="J45" s="532">
        <v>0.29020000000000001</v>
      </c>
      <c r="K45" s="531">
        <v>75584</v>
      </c>
      <c r="L45" s="532">
        <v>0.28699999999999998</v>
      </c>
      <c r="M45" s="531">
        <v>78536.906260316391</v>
      </c>
      <c r="N45" s="656">
        <v>0.27554106369550357</v>
      </c>
      <c r="O45" s="531">
        <f>CUADRO5!D50</f>
        <v>78633.848319433921</v>
      </c>
      <c r="P45" s="656">
        <f>O45/$O$48</f>
        <v>0.26616265952196427</v>
      </c>
    </row>
    <row r="46" spans="2:16">
      <c r="B46" s="655" t="s">
        <v>449</v>
      </c>
      <c r="C46" s="531">
        <v>52669</v>
      </c>
      <c r="D46" s="532">
        <v>0.20899999999999999</v>
      </c>
      <c r="E46" s="531">
        <v>54257</v>
      </c>
      <c r="F46" s="532">
        <v>0.2145</v>
      </c>
      <c r="G46" s="531">
        <v>56282</v>
      </c>
      <c r="H46" s="532">
        <v>0.22600000000000001</v>
      </c>
      <c r="I46" s="531">
        <v>56190</v>
      </c>
      <c r="J46" s="532">
        <v>0.215</v>
      </c>
      <c r="K46" s="531">
        <v>56172</v>
      </c>
      <c r="L46" s="532">
        <v>0.214</v>
      </c>
      <c r="M46" s="531">
        <v>58868.26968253668</v>
      </c>
      <c r="N46" s="656">
        <v>0.20653507272715144</v>
      </c>
      <c r="O46" s="531">
        <f>CUADRO5!E50</f>
        <v>58971.94107345667</v>
      </c>
      <c r="P46" s="656">
        <f>O46/$O$48</f>
        <v>0.19961033332009234</v>
      </c>
    </row>
    <row r="47" spans="2:16">
      <c r="B47" s="655" t="s">
        <v>450</v>
      </c>
      <c r="C47" s="531">
        <v>63843</v>
      </c>
      <c r="D47" s="532">
        <v>0.253</v>
      </c>
      <c r="E47" s="531">
        <v>54666</v>
      </c>
      <c r="F47" s="532">
        <v>0.21609999999999999</v>
      </c>
      <c r="G47" s="531">
        <v>50526</v>
      </c>
      <c r="H47" s="532">
        <v>0.20200000000000001</v>
      </c>
      <c r="I47" s="531">
        <v>59883</v>
      </c>
      <c r="J47" s="532">
        <v>0.22969999999999999</v>
      </c>
      <c r="K47" s="531">
        <v>60825</v>
      </c>
      <c r="L47" s="532">
        <v>0.23100000000000001</v>
      </c>
      <c r="M47" s="531">
        <v>74163.464399326505</v>
      </c>
      <c r="N47" s="656">
        <v>0.26019715877526994</v>
      </c>
      <c r="O47" s="531">
        <f>CUADRO1!D23+CUADRO4!D53-CUADRO4!E53-CUADRO5!C50-CUADRO5!D50-CUADRO5!E50</f>
        <v>77623.061126514367</v>
      </c>
      <c r="P47" s="656">
        <f>O47/$O$48</f>
        <v>0.2627413109141063</v>
      </c>
    </row>
    <row r="48" spans="2:16" ht="13.5" thickBot="1">
      <c r="B48" s="545" t="s">
        <v>87</v>
      </c>
      <c r="C48" s="657">
        <v>252338</v>
      </c>
      <c r="D48" s="658"/>
      <c r="E48" s="658">
        <v>252968</v>
      </c>
      <c r="F48" s="658"/>
      <c r="G48" s="659">
        <v>249417</v>
      </c>
      <c r="H48" s="659"/>
      <c r="I48" s="659">
        <v>260741</v>
      </c>
      <c r="J48" s="659"/>
      <c r="K48" s="659">
        <v>262946</v>
      </c>
      <c r="L48" s="659"/>
      <c r="M48" s="659">
        <v>285027.95629440696</v>
      </c>
      <c r="N48" s="660"/>
      <c r="O48" s="659">
        <f>SUM(O44:O47)</f>
        <v>295435.31185276911</v>
      </c>
      <c r="P48" s="660"/>
    </row>
    <row r="49" spans="2:16">
      <c r="B49" s="22" t="s">
        <v>451</v>
      </c>
      <c r="C49" s="22"/>
      <c r="D49" s="533"/>
      <c r="E49" s="73"/>
      <c r="F49" s="533"/>
      <c r="G49" s="22"/>
      <c r="H49" s="533"/>
      <c r="I49" s="22"/>
      <c r="J49" s="533"/>
      <c r="K49" s="22"/>
      <c r="L49" s="533"/>
      <c r="M49" s="22"/>
      <c r="N49" s="22"/>
    </row>
    <row r="50" spans="2:16">
      <c r="B50" s="22" t="s">
        <v>749</v>
      </c>
      <c r="C50" s="22"/>
      <c r="D50" s="22"/>
      <c r="E50" s="22"/>
      <c r="F50" s="22"/>
      <c r="G50" s="22"/>
      <c r="H50" s="22"/>
      <c r="I50" s="73"/>
      <c r="J50" s="22"/>
      <c r="K50" s="22"/>
      <c r="L50" s="22"/>
      <c r="M50" s="22"/>
      <c r="N50" s="22"/>
    </row>
    <row r="51" spans="2:16">
      <c r="B51" s="22"/>
      <c r="C51" s="73"/>
      <c r="D51" s="22"/>
      <c r="E51" s="73"/>
      <c r="F51" s="22"/>
      <c r="G51" s="73"/>
      <c r="H51" s="22"/>
      <c r="I51" s="73"/>
      <c r="J51" s="22"/>
      <c r="K51" s="73"/>
      <c r="L51" s="22"/>
      <c r="M51" s="22"/>
      <c r="N51" s="22"/>
    </row>
    <row r="52" spans="2:16">
      <c r="B52" s="627" t="s">
        <v>807</v>
      </c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</row>
    <row r="53" spans="2:16" ht="18">
      <c r="B53" s="1343" t="s">
        <v>452</v>
      </c>
      <c r="C53" s="1343"/>
      <c r="D53" s="1343"/>
      <c r="E53" s="1343"/>
      <c r="F53" s="1343"/>
      <c r="G53" s="22"/>
      <c r="H53" s="22"/>
      <c r="I53" s="22"/>
      <c r="J53" s="22"/>
      <c r="K53" s="22"/>
      <c r="L53" s="22"/>
      <c r="M53" s="22"/>
      <c r="N53" s="22"/>
    </row>
    <row r="54" spans="2:16" ht="16.5" thickBot="1">
      <c r="B54" s="1344" t="s">
        <v>453</v>
      </c>
      <c r="C54" s="1344"/>
      <c r="D54" s="1344"/>
      <c r="E54" s="1344"/>
      <c r="F54" s="1344"/>
      <c r="G54" s="22"/>
      <c r="H54" s="22"/>
      <c r="I54" s="22"/>
      <c r="J54" s="22"/>
      <c r="K54" s="22"/>
      <c r="L54" s="22"/>
      <c r="M54" s="22"/>
      <c r="N54" s="22"/>
    </row>
    <row r="55" spans="2:16" ht="16.5" thickBot="1">
      <c r="B55" s="1171"/>
      <c r="C55" s="1172"/>
      <c r="D55" s="1172"/>
      <c r="E55" s="1172"/>
      <c r="F55" s="1172"/>
      <c r="G55" s="1173"/>
      <c r="H55" s="1173"/>
      <c r="I55" s="1173"/>
      <c r="J55" s="1173"/>
      <c r="K55" s="1173"/>
      <c r="L55" s="1173"/>
      <c r="M55" s="1173"/>
      <c r="N55" s="1173"/>
      <c r="O55" s="1173"/>
      <c r="P55" s="1174"/>
    </row>
    <row r="56" spans="2:16">
      <c r="B56" s="1175" t="s">
        <v>454</v>
      </c>
      <c r="C56" s="1177">
        <v>1999</v>
      </c>
      <c r="D56" s="1192"/>
      <c r="E56" s="1177">
        <v>2000</v>
      </c>
      <c r="F56" s="1192"/>
      <c r="G56" s="1177">
        <v>2001</v>
      </c>
      <c r="H56" s="1192"/>
      <c r="I56" s="1177">
        <v>2002</v>
      </c>
      <c r="J56" s="1192"/>
      <c r="K56" s="1177">
        <v>2003</v>
      </c>
      <c r="L56" s="1192"/>
      <c r="M56" s="1177">
        <v>2004</v>
      </c>
      <c r="N56" s="1193"/>
      <c r="O56" s="1177">
        <v>2005</v>
      </c>
      <c r="P56" s="1193"/>
    </row>
    <row r="57" spans="2:16">
      <c r="B57" s="541" t="s">
        <v>455</v>
      </c>
      <c r="C57" s="534">
        <v>83900</v>
      </c>
      <c r="D57" s="535">
        <v>0.31</v>
      </c>
      <c r="E57" s="534">
        <v>91719</v>
      </c>
      <c r="F57" s="535">
        <v>0.32</v>
      </c>
      <c r="G57" s="534">
        <v>98107</v>
      </c>
      <c r="H57" s="535">
        <v>0.34</v>
      </c>
      <c r="I57" s="534">
        <v>103063</v>
      </c>
      <c r="J57" s="535">
        <v>0.34</v>
      </c>
      <c r="K57" s="534">
        <v>90410</v>
      </c>
      <c r="L57" s="535">
        <v>0.3</v>
      </c>
      <c r="M57" s="1189">
        <v>89179.792011981364</v>
      </c>
      <c r="N57" s="661">
        <v>0.27546742553269576</v>
      </c>
      <c r="O57" s="1189">
        <f>CUADRO3B!C77</f>
        <v>103560.67529210076</v>
      </c>
      <c r="P57" s="661">
        <f>O57/O59</f>
        <v>0.30262623654661286</v>
      </c>
    </row>
    <row r="58" spans="2:16">
      <c r="B58" s="542" t="s">
        <v>456</v>
      </c>
      <c r="C58" s="536">
        <v>190947</v>
      </c>
      <c r="D58" s="537">
        <v>0.69</v>
      </c>
      <c r="E58" s="536">
        <v>194574</v>
      </c>
      <c r="F58" s="537">
        <v>0.68</v>
      </c>
      <c r="G58" s="536">
        <v>189231</v>
      </c>
      <c r="H58" s="537">
        <v>0.66</v>
      </c>
      <c r="I58" s="536">
        <v>198778</v>
      </c>
      <c r="J58" s="537">
        <v>0.66</v>
      </c>
      <c r="K58" s="536">
        <v>212902</v>
      </c>
      <c r="L58" s="537">
        <v>0.7</v>
      </c>
      <c r="M58" s="1190">
        <v>234560.09062396549</v>
      </c>
      <c r="N58" s="662">
        <v>0.72453257446730424</v>
      </c>
      <c r="O58" s="1190">
        <f>CUADRO3B!D77</f>
        <v>238645.85800082321</v>
      </c>
      <c r="P58" s="662">
        <f>O58/O59</f>
        <v>0.69737376345338709</v>
      </c>
    </row>
    <row r="59" spans="2:16" ht="13.5" thickBot="1">
      <c r="B59" s="649" t="s">
        <v>457</v>
      </c>
      <c r="C59" s="663">
        <v>274847</v>
      </c>
      <c r="D59" s="664"/>
      <c r="E59" s="663">
        <v>286293</v>
      </c>
      <c r="F59" s="664"/>
      <c r="G59" s="663">
        <f>G57+G58</f>
        <v>287338</v>
      </c>
      <c r="H59" s="664"/>
      <c r="I59" s="663">
        <v>301841</v>
      </c>
      <c r="J59" s="664"/>
      <c r="K59" s="663">
        <v>303312</v>
      </c>
      <c r="L59" s="664"/>
      <c r="M59" s="1191">
        <v>323739.88263594685</v>
      </c>
      <c r="N59" s="665"/>
      <c r="O59" s="1191">
        <f>CUADRO3B!E77</f>
        <v>342206.533292924</v>
      </c>
      <c r="P59" s="665"/>
    </row>
    <row r="60" spans="2:16">
      <c r="B60" s="22" t="s">
        <v>458</v>
      </c>
      <c r="C60" s="22"/>
      <c r="D60" s="22"/>
      <c r="E60" s="73"/>
      <c r="F60" s="22"/>
      <c r="G60" s="22"/>
      <c r="H60" s="22"/>
      <c r="I60" s="22"/>
      <c r="J60" s="22"/>
      <c r="K60" s="22"/>
      <c r="L60" s="22"/>
      <c r="M60" s="22"/>
      <c r="N60" s="22"/>
    </row>
    <row r="61" spans="2:16">
      <c r="B61" s="22" t="s">
        <v>459</v>
      </c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</row>
    <row r="62" spans="2:16"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</row>
    <row r="63" spans="2:16"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</row>
    <row r="64" spans="2:16"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</row>
    <row r="65" spans="2:14"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</row>
    <row r="66" spans="2:14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</row>
    <row r="67" spans="2:14" s="22" customFormat="1"/>
    <row r="68" spans="2:14" s="22" customFormat="1"/>
    <row r="69" spans="2:14" s="22" customFormat="1"/>
    <row r="70" spans="2:14" s="22" customFormat="1"/>
    <row r="71" spans="2:14" s="22" customFormat="1"/>
    <row r="72" spans="2:14" s="22" customFormat="1"/>
    <row r="73" spans="2:14" s="22" customFormat="1"/>
    <row r="74" spans="2:14" s="22" customFormat="1"/>
    <row r="75" spans="2:14" s="22" customFormat="1"/>
    <row r="76" spans="2:14" s="22" customFormat="1"/>
    <row r="77" spans="2:14" s="22" customFormat="1"/>
    <row r="78" spans="2:14" s="22" customFormat="1"/>
    <row r="79" spans="2:14" s="22" customFormat="1"/>
    <row r="80" spans="2:14" s="22" customFormat="1"/>
    <row r="81" s="22" customFormat="1"/>
    <row r="82" s="22" customFormat="1"/>
    <row r="83" s="22" customFormat="1"/>
    <row r="84" s="22" customFormat="1"/>
    <row r="85" s="22" customFormat="1"/>
    <row r="86" s="22" customFormat="1"/>
    <row r="87" s="22" customFormat="1"/>
    <row r="88" s="22" customFormat="1"/>
  </sheetData>
  <mergeCells count="8">
    <mergeCell ref="B40:F40"/>
    <mergeCell ref="B41:F41"/>
    <mergeCell ref="B53:F53"/>
    <mergeCell ref="B54:F54"/>
    <mergeCell ref="B2:F2"/>
    <mergeCell ref="B3:F3"/>
    <mergeCell ref="B21:F21"/>
    <mergeCell ref="B22:F22"/>
  </mergeCells>
  <phoneticPr fontId="0" type="noConversion"/>
  <hyperlinks>
    <hyperlink ref="H1" location="INDICE!A60" display="VOLVER A INDICE"/>
  </hyperlinks>
  <pageMargins left="0.75" right="0.75" top="1" bottom="1" header="0" footer="0"/>
  <pageSetup scale="72" orientation="portrait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showGridLines="0" topLeftCell="A16" zoomScale="85" workbookViewId="0">
      <selection activeCell="C15" sqref="C15:C18"/>
    </sheetView>
  </sheetViews>
  <sheetFormatPr baseColWidth="10" defaultRowHeight="12.75"/>
  <cols>
    <col min="1" max="1" width="2.5703125" customWidth="1"/>
    <col min="2" max="2" width="20.28515625" customWidth="1"/>
  </cols>
  <sheetData>
    <row r="1" spans="1:17" ht="15">
      <c r="A1" s="1314"/>
      <c r="B1" s="627" t="s">
        <v>808</v>
      </c>
      <c r="C1" s="1315"/>
      <c r="D1" s="1315"/>
      <c r="E1" s="1315"/>
      <c r="F1" s="1315"/>
      <c r="G1" s="640"/>
      <c r="H1" s="1316"/>
      <c r="I1" s="1316"/>
      <c r="J1" s="1316"/>
      <c r="K1" s="1316"/>
      <c r="L1" s="1315"/>
      <c r="M1" s="1315"/>
      <c r="N1" s="1315"/>
      <c r="O1" s="1315"/>
      <c r="P1" s="1315"/>
      <c r="Q1" s="1315"/>
    </row>
    <row r="2" spans="1:17">
      <c r="A2" s="1314"/>
      <c r="B2" s="1315"/>
      <c r="C2" s="1315"/>
      <c r="D2" s="1315"/>
      <c r="E2" s="1315"/>
      <c r="F2" s="1315"/>
      <c r="G2" s="1315"/>
      <c r="H2" s="855" t="s">
        <v>681</v>
      </c>
      <c r="I2" s="1316"/>
      <c r="J2" s="1316"/>
      <c r="K2" s="1316"/>
      <c r="L2" s="1315"/>
      <c r="M2" s="1315"/>
      <c r="N2" s="1315"/>
      <c r="O2" s="1315"/>
      <c r="P2" s="1315"/>
      <c r="Q2" s="1315"/>
    </row>
    <row r="3" spans="1:17" ht="18.75" thickBot="1">
      <c r="A3" s="1314"/>
      <c r="B3" s="641" t="s">
        <v>801</v>
      </c>
      <c r="C3" s="1315"/>
      <c r="D3" s="1315"/>
      <c r="E3" s="1315"/>
      <c r="F3" s="1315"/>
      <c r="G3" s="1315"/>
      <c r="H3" s="634"/>
      <c r="I3" s="635"/>
      <c r="J3" s="635"/>
      <c r="K3" s="1316"/>
      <c r="L3" s="1315"/>
      <c r="M3" s="1315"/>
      <c r="N3" s="1315"/>
      <c r="O3" s="1315"/>
      <c r="P3" s="1315"/>
      <c r="Q3" s="1315"/>
    </row>
    <row r="4" spans="1:17" ht="13.5" thickBot="1">
      <c r="A4" s="1314"/>
      <c r="B4" s="1317"/>
      <c r="C4" s="1318"/>
      <c r="D4" s="1318"/>
      <c r="E4" s="1318"/>
      <c r="F4" s="1319"/>
      <c r="G4" s="1315"/>
      <c r="H4" s="633"/>
      <c r="I4" s="633"/>
      <c r="J4" s="633"/>
      <c r="K4" s="1316"/>
      <c r="L4" s="1315"/>
      <c r="M4" s="1315"/>
      <c r="N4" s="1315"/>
      <c r="O4" s="1315"/>
      <c r="P4" s="1315"/>
      <c r="Q4" s="1315"/>
    </row>
    <row r="5" spans="1:17" ht="13.5" thickTop="1">
      <c r="A5" s="1314"/>
      <c r="B5" s="645" t="s">
        <v>79</v>
      </c>
      <c r="C5" s="596" t="s">
        <v>481</v>
      </c>
      <c r="D5" s="597" t="s">
        <v>482</v>
      </c>
      <c r="E5" s="596" t="s">
        <v>483</v>
      </c>
      <c r="F5" s="646" t="s">
        <v>484</v>
      </c>
      <c r="G5" s="1315"/>
      <c r="H5" s="636"/>
      <c r="I5" s="637"/>
      <c r="J5" s="637"/>
      <c r="K5" s="1316"/>
      <c r="L5" s="1315"/>
      <c r="M5" s="1315"/>
      <c r="N5" s="1315"/>
      <c r="O5" s="1315"/>
      <c r="P5" s="1315"/>
      <c r="Q5" s="1315"/>
    </row>
    <row r="6" spans="1:17">
      <c r="A6" s="1314"/>
      <c r="B6" s="541" t="s">
        <v>485</v>
      </c>
      <c r="C6" s="598">
        <v>11982.263000000001</v>
      </c>
      <c r="D6" s="599">
        <f>C6/C8</f>
        <v>0.92127854539907506</v>
      </c>
      <c r="E6" s="598">
        <v>50937.3</v>
      </c>
      <c r="F6" s="647">
        <f>E6/E8</f>
        <v>0.93491873797049674</v>
      </c>
      <c r="G6" s="1315"/>
      <c r="H6" s="638"/>
      <c r="I6" s="637"/>
      <c r="J6" s="637"/>
      <c r="K6" s="1316"/>
      <c r="L6" s="1315"/>
      <c r="M6" s="1315"/>
      <c r="N6" s="1315"/>
      <c r="O6" s="1315"/>
      <c r="P6" s="1315"/>
      <c r="Q6" s="1315"/>
    </row>
    <row r="7" spans="1:17">
      <c r="A7" s="1314"/>
      <c r="B7" s="542" t="s">
        <v>364</v>
      </c>
      <c r="C7" s="600">
        <v>1023.861</v>
      </c>
      <c r="D7" s="601">
        <f>C7/C8</f>
        <v>7.8721454600924903E-2</v>
      </c>
      <c r="E7" s="600">
        <v>3545.8309195638667</v>
      </c>
      <c r="F7" s="648">
        <f>E7/E8</f>
        <v>6.5081262029503248E-2</v>
      </c>
      <c r="G7" s="1315"/>
      <c r="H7" s="638"/>
      <c r="I7" s="637"/>
      <c r="J7" s="637"/>
      <c r="K7" s="1316"/>
      <c r="L7" s="1315"/>
      <c r="M7" s="1315"/>
      <c r="N7" s="1315"/>
      <c r="O7" s="1315"/>
      <c r="P7" s="1315"/>
      <c r="Q7" s="1315"/>
    </row>
    <row r="8" spans="1:17" ht="13.5" thickBot="1">
      <c r="A8" s="1314"/>
      <c r="B8" s="649" t="s">
        <v>87</v>
      </c>
      <c r="C8" s="650">
        <f>C6+C7</f>
        <v>13006.124000000002</v>
      </c>
      <c r="D8" s="651"/>
      <c r="E8" s="650">
        <f>E6+E7</f>
        <v>54483.130919563868</v>
      </c>
      <c r="F8" s="652"/>
      <c r="G8" s="1315"/>
      <c r="H8" s="638"/>
      <c r="I8" s="637"/>
      <c r="J8" s="637"/>
      <c r="K8" s="1316"/>
      <c r="L8" s="1315"/>
      <c r="M8" s="1315"/>
      <c r="N8" s="1315"/>
      <c r="O8" s="1315"/>
      <c r="P8" s="1315"/>
      <c r="Q8" s="1315"/>
    </row>
    <row r="9" spans="1:17">
      <c r="A9" s="1314"/>
      <c r="B9" s="1315"/>
      <c r="C9" s="1315"/>
      <c r="D9" s="1315"/>
      <c r="E9" s="1320"/>
      <c r="F9" s="1315"/>
      <c r="G9" s="1315"/>
      <c r="H9" s="638"/>
      <c r="I9" s="637"/>
      <c r="J9" s="637"/>
      <c r="K9" s="1316"/>
      <c r="L9" s="1315"/>
      <c r="M9" s="1315"/>
      <c r="N9" s="1315"/>
      <c r="O9" s="1315"/>
      <c r="P9" s="1315"/>
      <c r="Q9" s="1315"/>
    </row>
    <row r="10" spans="1:17">
      <c r="A10" s="1314"/>
      <c r="B10" s="627" t="s">
        <v>809</v>
      </c>
      <c r="C10" s="1315"/>
      <c r="D10" s="1315"/>
      <c r="E10" s="1315"/>
      <c r="F10" s="1315"/>
      <c r="G10" s="1315"/>
      <c r="H10" s="638"/>
      <c r="I10" s="637"/>
      <c r="J10" s="637"/>
      <c r="K10" s="1316"/>
      <c r="L10" s="1315"/>
      <c r="M10" s="1315"/>
      <c r="N10" s="1315"/>
      <c r="O10" s="1315"/>
      <c r="P10" s="1315"/>
      <c r="Q10" s="1315"/>
    </row>
    <row r="11" spans="1:17" ht="18.75" thickBot="1">
      <c r="A11" s="1314"/>
      <c r="B11" s="641" t="s">
        <v>802</v>
      </c>
      <c r="C11" s="1315"/>
      <c r="D11" s="1315"/>
      <c r="E11" s="1315"/>
      <c r="F11" s="1315"/>
      <c r="G11" s="1315"/>
      <c r="H11" s="638"/>
      <c r="I11" s="637"/>
      <c r="J11" s="637"/>
      <c r="K11" s="1316"/>
      <c r="L11" s="1315"/>
      <c r="M11" s="1315"/>
      <c r="N11" s="1315"/>
      <c r="O11" s="1315"/>
      <c r="P11" s="1315"/>
      <c r="Q11" s="1315"/>
    </row>
    <row r="12" spans="1:17">
      <c r="A12" s="1314"/>
      <c r="B12" s="1321"/>
      <c r="C12" s="602"/>
      <c r="D12" s="1322"/>
      <c r="E12" s="1323"/>
      <c r="F12" s="603"/>
      <c r="G12" s="1315"/>
      <c r="H12" s="638"/>
      <c r="I12" s="637"/>
      <c r="J12" s="637"/>
      <c r="K12" s="1316"/>
      <c r="L12" s="1315"/>
      <c r="M12" s="1315"/>
      <c r="N12" s="1315"/>
      <c r="O12" s="1315"/>
      <c r="P12" s="1315"/>
      <c r="Q12" s="1315"/>
    </row>
    <row r="13" spans="1:17" ht="25.5">
      <c r="A13" s="1314"/>
      <c r="B13" s="604" t="s">
        <v>486</v>
      </c>
      <c r="C13" s="605" t="s">
        <v>487</v>
      </c>
      <c r="D13" s="606" t="s">
        <v>487</v>
      </c>
      <c r="E13" s="607" t="s">
        <v>483</v>
      </c>
      <c r="F13" s="608" t="s">
        <v>483</v>
      </c>
      <c r="G13" s="1315"/>
      <c r="H13" s="638"/>
      <c r="I13" s="637"/>
      <c r="J13" s="637"/>
      <c r="K13" s="1316"/>
      <c r="L13" s="1315"/>
      <c r="M13" s="1315"/>
      <c r="N13" s="1315"/>
      <c r="O13" s="1315"/>
      <c r="P13" s="1315"/>
      <c r="Q13" s="1315"/>
    </row>
    <row r="14" spans="1:17" ht="25.5">
      <c r="A14" s="1314"/>
      <c r="B14" s="609" t="s">
        <v>488</v>
      </c>
      <c r="C14" s="610" t="s">
        <v>489</v>
      </c>
      <c r="D14" s="611" t="s">
        <v>490</v>
      </c>
      <c r="E14" s="612" t="s">
        <v>491</v>
      </c>
      <c r="F14" s="613" t="s">
        <v>492</v>
      </c>
      <c r="G14" s="1315"/>
      <c r="H14" s="638"/>
      <c r="I14" s="637"/>
      <c r="J14" s="637"/>
      <c r="K14" s="1316"/>
      <c r="L14" s="1315"/>
      <c r="M14" s="1315"/>
      <c r="N14" s="1315"/>
      <c r="O14" s="1315"/>
      <c r="P14" s="1315"/>
      <c r="Q14" s="1315"/>
    </row>
    <row r="15" spans="1:17">
      <c r="A15" s="1314"/>
      <c r="B15" s="614" t="s">
        <v>389</v>
      </c>
      <c r="C15" s="615">
        <v>3595.7950000000001</v>
      </c>
      <c r="D15" s="616">
        <f>C15/$C$20</f>
        <v>0.27646937704115387</v>
      </c>
      <c r="E15" s="617">
        <v>12657.3</v>
      </c>
      <c r="F15" s="618">
        <f>E15/$E$20</f>
        <v>0.23231594415318377</v>
      </c>
      <c r="G15" s="1324"/>
      <c r="H15" s="638"/>
      <c r="I15" s="637"/>
      <c r="J15" s="637"/>
      <c r="K15" s="1316"/>
      <c r="L15" s="1315"/>
      <c r="M15" s="1315"/>
      <c r="N15" s="1315"/>
      <c r="O15" s="1315"/>
      <c r="P15" s="1315"/>
      <c r="Q15" s="1315"/>
    </row>
    <row r="16" spans="1:17">
      <c r="A16" s="1314"/>
      <c r="B16" s="614" t="s">
        <v>390</v>
      </c>
      <c r="C16" s="615">
        <v>8288.2999999999993</v>
      </c>
      <c r="D16" s="616">
        <f>C16/$C$20</f>
        <v>0.63726133935060125</v>
      </c>
      <c r="E16" s="617">
        <v>37964.5</v>
      </c>
      <c r="F16" s="618">
        <f>E16/$E$20</f>
        <v>0.69681201060285725</v>
      </c>
      <c r="G16" s="1324"/>
      <c r="H16" s="638"/>
      <c r="I16" s="637"/>
      <c r="J16" s="637"/>
      <c r="K16" s="1316"/>
      <c r="L16" s="1315"/>
      <c r="M16" s="1315"/>
      <c r="N16" s="1315"/>
      <c r="O16" s="1315"/>
      <c r="P16" s="1315"/>
      <c r="Q16" s="1315"/>
    </row>
    <row r="17" spans="1:17">
      <c r="A17" s="1314"/>
      <c r="B17" s="614" t="s">
        <v>420</v>
      </c>
      <c r="C17" s="615">
        <v>33.463000000000001</v>
      </c>
      <c r="D17" s="616">
        <f>C17/$C$20</f>
        <v>2.5728649057936092E-3</v>
      </c>
      <c r="E17" s="619">
        <v>107.9</v>
      </c>
      <c r="F17" s="618">
        <f>E17/$E$20</f>
        <v>1.9804295050388733E-3</v>
      </c>
      <c r="G17" s="1324"/>
      <c r="H17" s="638"/>
      <c r="I17" s="637"/>
      <c r="J17" s="637"/>
      <c r="K17" s="1316"/>
      <c r="L17" s="1315"/>
      <c r="M17" s="1315"/>
      <c r="N17" s="1315"/>
      <c r="O17" s="1315"/>
      <c r="P17" s="1315"/>
      <c r="Q17" s="1315"/>
    </row>
    <row r="18" spans="1:17">
      <c r="A18" s="1314"/>
      <c r="B18" s="614" t="s">
        <v>394</v>
      </c>
      <c r="C18" s="615">
        <v>64.704999999999998</v>
      </c>
      <c r="D18" s="616">
        <f>C18/$C$20</f>
        <v>4.9749641015263274E-3</v>
      </c>
      <c r="E18" s="619">
        <v>207.6</v>
      </c>
      <c r="F18" s="618">
        <f>E18/$E$20</f>
        <v>3.8103537094167756E-3</v>
      </c>
      <c r="G18" s="1324"/>
      <c r="H18" s="638"/>
      <c r="I18" s="637"/>
      <c r="J18" s="637"/>
      <c r="K18" s="1316"/>
      <c r="L18" s="1315"/>
      <c r="M18" s="1315"/>
      <c r="N18" s="1315"/>
      <c r="O18" s="1315"/>
      <c r="P18" s="1315"/>
      <c r="Q18" s="1315"/>
    </row>
    <row r="19" spans="1:17">
      <c r="A19" s="1314"/>
      <c r="B19" s="620" t="s">
        <v>338</v>
      </c>
      <c r="C19" s="621">
        <v>1023.861</v>
      </c>
      <c r="D19" s="616">
        <f>C19/$C$20</f>
        <v>7.8721454600924917E-2</v>
      </c>
      <c r="E19" s="622">
        <v>3545.8309195638667</v>
      </c>
      <c r="F19" s="618">
        <f>E19/$E$20</f>
        <v>6.5081262029503248E-2</v>
      </c>
      <c r="G19" s="1324"/>
      <c r="H19" s="638"/>
      <c r="I19" s="637"/>
      <c r="J19" s="637"/>
      <c r="K19" s="1316"/>
      <c r="L19" s="1315"/>
      <c r="M19" s="1315"/>
      <c r="N19" s="1315"/>
      <c r="O19" s="1315"/>
      <c r="P19" s="1315"/>
      <c r="Q19" s="1315"/>
    </row>
    <row r="20" spans="1:17" ht="13.5" thickBot="1">
      <c r="A20" s="1314"/>
      <c r="B20" s="623" t="s">
        <v>11</v>
      </c>
      <c r="C20" s="624">
        <f>C15+C16+C17+C18+C19</f>
        <v>13006.124</v>
      </c>
      <c r="D20" s="625">
        <v>1</v>
      </c>
      <c r="E20" s="624">
        <f>E15+E16+E17+E18+E19</f>
        <v>54483.130919563868</v>
      </c>
      <c r="F20" s="626">
        <v>1</v>
      </c>
      <c r="G20" s="1324"/>
      <c r="H20" s="1316"/>
      <c r="I20" s="639"/>
      <c r="J20" s="1316"/>
      <c r="K20" s="1316"/>
      <c r="L20" s="1315"/>
      <c r="M20" s="1315"/>
      <c r="N20" s="1315"/>
      <c r="O20" s="1315"/>
      <c r="P20" s="1315"/>
      <c r="Q20" s="1315"/>
    </row>
    <row r="21" spans="1:17" ht="13.5" thickBot="1">
      <c r="A21" s="1314"/>
      <c r="B21" s="1325"/>
      <c r="C21" s="1326"/>
      <c r="D21" s="1327"/>
      <c r="E21" s="1328"/>
      <c r="F21" s="1329"/>
      <c r="G21" s="1315"/>
      <c r="H21" s="1316"/>
      <c r="I21" s="1316"/>
      <c r="J21" s="1316"/>
      <c r="K21" s="1316"/>
      <c r="L21" s="1315"/>
      <c r="M21" s="1315"/>
      <c r="N21" s="1315"/>
      <c r="O21" s="1315"/>
      <c r="P21" s="1315"/>
      <c r="Q21" s="1315"/>
    </row>
    <row r="22" spans="1:17">
      <c r="A22" s="1314"/>
      <c r="B22" s="1315"/>
      <c r="C22" s="1320"/>
      <c r="D22" s="1315"/>
      <c r="E22" s="1320"/>
      <c r="F22" s="1315"/>
      <c r="G22" s="1315"/>
      <c r="H22" s="1315"/>
      <c r="I22" s="1315"/>
      <c r="J22" s="1315"/>
      <c r="K22" s="1315"/>
      <c r="L22" s="1315"/>
      <c r="M22" s="1315"/>
      <c r="N22" s="1315"/>
      <c r="O22" s="1315"/>
      <c r="P22" s="1315"/>
      <c r="Q22" s="1315"/>
    </row>
    <row r="23" spans="1:17">
      <c r="A23" s="1314"/>
      <c r="B23" s="627" t="s">
        <v>810</v>
      </c>
      <c r="C23" s="1315"/>
      <c r="D23" s="1315"/>
      <c r="E23" s="1315"/>
      <c r="F23" s="1315"/>
      <c r="G23" s="1315"/>
      <c r="H23" s="1315"/>
      <c r="I23" s="1315"/>
      <c r="J23" s="1315"/>
      <c r="K23" s="1315"/>
      <c r="L23" s="1315"/>
      <c r="M23" s="1315"/>
      <c r="N23" s="1315"/>
      <c r="O23" s="1315"/>
      <c r="P23" s="1315"/>
      <c r="Q23" s="1315"/>
    </row>
    <row r="24" spans="1:17" ht="18">
      <c r="A24" s="1314"/>
      <c r="B24" s="1346" t="s">
        <v>493</v>
      </c>
      <c r="C24" s="1346"/>
      <c r="D24" s="1346"/>
      <c r="E24" s="1346"/>
      <c r="F24" s="1346"/>
      <c r="G24" s="1346"/>
      <c r="H24" s="1346"/>
      <c r="I24" s="1346"/>
      <c r="J24" s="1346"/>
      <c r="K24" s="1346"/>
      <c r="L24" s="1346"/>
      <c r="M24" s="1315"/>
      <c r="N24" s="1315"/>
      <c r="O24" s="1315"/>
      <c r="P24" s="1315"/>
      <c r="Q24" s="1315"/>
    </row>
    <row r="25" spans="1:17" ht="16.5" thickBot="1">
      <c r="A25" s="1314"/>
      <c r="B25" s="1344" t="s">
        <v>196</v>
      </c>
      <c r="C25" s="1344"/>
      <c r="D25" s="1344"/>
      <c r="E25" s="1344"/>
      <c r="F25" s="1344"/>
      <c r="G25" s="1315"/>
      <c r="H25" s="1315"/>
      <c r="I25" s="1315"/>
      <c r="J25" s="1315"/>
      <c r="K25" s="1315"/>
      <c r="L25" s="1315"/>
      <c r="M25" s="1315"/>
      <c r="N25" s="1315"/>
      <c r="O25" s="1315"/>
      <c r="P25" s="1315"/>
      <c r="Q25" s="1315"/>
    </row>
    <row r="26" spans="1:17" ht="16.5" thickBot="1">
      <c r="A26" s="1314"/>
      <c r="B26" s="1171"/>
      <c r="C26" s="1172"/>
      <c r="D26" s="1172"/>
      <c r="E26" s="1172"/>
      <c r="F26" s="1172"/>
      <c r="G26" s="1330"/>
      <c r="H26" s="1330"/>
      <c r="I26" s="1330"/>
      <c r="J26" s="1330"/>
      <c r="K26" s="1330"/>
      <c r="L26" s="1330"/>
      <c r="M26" s="1330"/>
      <c r="N26" s="1330"/>
      <c r="O26" s="1330"/>
      <c r="P26" s="1331"/>
      <c r="Q26" s="1315"/>
    </row>
    <row r="27" spans="1:17">
      <c r="A27" s="1314"/>
      <c r="B27" s="1175" t="s">
        <v>494</v>
      </c>
      <c r="C27" s="1177">
        <v>1999</v>
      </c>
      <c r="D27" s="1192"/>
      <c r="E27" s="1177">
        <v>2000</v>
      </c>
      <c r="F27" s="1192"/>
      <c r="G27" s="1177">
        <v>2001</v>
      </c>
      <c r="H27" s="1192"/>
      <c r="I27" s="1177">
        <v>2002</v>
      </c>
      <c r="J27" s="1192"/>
      <c r="K27" s="1177">
        <v>2003</v>
      </c>
      <c r="L27" s="1192"/>
      <c r="M27" s="1176">
        <v>2004</v>
      </c>
      <c r="N27" s="1192"/>
      <c r="O27" s="1177">
        <v>2005</v>
      </c>
      <c r="P27" s="1193"/>
      <c r="Q27" s="1315"/>
    </row>
    <row r="28" spans="1:17">
      <c r="A28" s="1314"/>
      <c r="B28" s="541" t="s">
        <v>495</v>
      </c>
      <c r="C28" s="598">
        <v>13577</v>
      </c>
      <c r="D28" s="599">
        <v>0.35366901977128867</v>
      </c>
      <c r="E28" s="598">
        <v>19081</v>
      </c>
      <c r="F28" s="599">
        <v>0.46236793641562468</v>
      </c>
      <c r="G28" s="598">
        <v>21680</v>
      </c>
      <c r="H28" s="599">
        <v>0.49365849215565727</v>
      </c>
      <c r="I28" s="598">
        <v>23187</v>
      </c>
      <c r="J28" s="599">
        <v>0.50979486841237387</v>
      </c>
      <c r="K28" s="598">
        <v>22603</v>
      </c>
      <c r="L28" s="599">
        <v>0.46300000000000002</v>
      </c>
      <c r="M28" s="598">
        <v>20969.338340000002</v>
      </c>
      <c r="N28" s="599">
        <v>0.42820609962793699</v>
      </c>
      <c r="O28" s="1194">
        <v>25575.5</v>
      </c>
      <c r="P28" s="647">
        <f>O28/$O$33</f>
        <v>0.50209767694793395</v>
      </c>
      <c r="Q28" s="1315"/>
    </row>
    <row r="29" spans="1:17">
      <c r="A29" s="1314"/>
      <c r="B29" s="542" t="s">
        <v>496</v>
      </c>
      <c r="C29" s="600">
        <v>6698</v>
      </c>
      <c r="D29" s="601">
        <v>0.17447706374221783</v>
      </c>
      <c r="E29" s="600">
        <v>9771</v>
      </c>
      <c r="F29" s="601">
        <v>0.23676940971212562</v>
      </c>
      <c r="G29" s="600">
        <v>12504</v>
      </c>
      <c r="H29" s="601">
        <v>0.28471890156431451</v>
      </c>
      <c r="I29" s="600">
        <v>12529</v>
      </c>
      <c r="J29" s="601">
        <v>0.27546555856034122</v>
      </c>
      <c r="K29" s="600">
        <v>15961</v>
      </c>
      <c r="L29" s="601">
        <v>0.32700000000000001</v>
      </c>
      <c r="M29" s="600">
        <v>17683.138361000001</v>
      </c>
      <c r="N29" s="601">
        <v>0.36109998245871977</v>
      </c>
      <c r="O29" s="1195">
        <v>14953.694481592225</v>
      </c>
      <c r="P29" s="648">
        <f>O29/$O$33</f>
        <v>0.29357061488520642</v>
      </c>
      <c r="Q29" s="1315"/>
    </row>
    <row r="30" spans="1:17">
      <c r="A30" s="1314"/>
      <c r="B30" s="542" t="s">
        <v>227</v>
      </c>
      <c r="C30" s="600">
        <v>13260</v>
      </c>
      <c r="D30" s="601">
        <v>0.34541144598713175</v>
      </c>
      <c r="E30" s="600">
        <v>9354</v>
      </c>
      <c r="F30" s="601">
        <v>0.22666472811863914</v>
      </c>
      <c r="G30" s="600">
        <v>6228</v>
      </c>
      <c r="H30" s="601">
        <v>0.14181296536648677</v>
      </c>
      <c r="I30" s="600">
        <v>6925</v>
      </c>
      <c r="J30" s="601">
        <v>0.15225468856495833</v>
      </c>
      <c r="K30" s="600">
        <v>6581</v>
      </c>
      <c r="L30" s="601">
        <v>0.13500000000000001</v>
      </c>
      <c r="M30" s="600">
        <v>8894.8492200000001</v>
      </c>
      <c r="N30" s="601">
        <v>0.18163800066162686</v>
      </c>
      <c r="O30" s="1195">
        <v>8371.4701332636341</v>
      </c>
      <c r="P30" s="648">
        <f>O30/$O$33</f>
        <v>0.16434852521165499</v>
      </c>
      <c r="Q30" s="1315"/>
    </row>
    <row r="31" spans="1:17">
      <c r="A31" s="1314"/>
      <c r="B31" s="542" t="s">
        <v>497</v>
      </c>
      <c r="C31" s="600">
        <v>3399</v>
      </c>
      <c r="D31" s="601">
        <v>8.8540988303941234E-2</v>
      </c>
      <c r="E31" s="600">
        <v>1687</v>
      </c>
      <c r="F31" s="601">
        <v>4.087913153048367E-2</v>
      </c>
      <c r="G31" s="600">
        <v>1822</v>
      </c>
      <c r="H31" s="601">
        <v>4.1487351139649797E-2</v>
      </c>
      <c r="I31" s="600">
        <v>1062</v>
      </c>
      <c r="J31" s="601">
        <v>2.4E-2</v>
      </c>
      <c r="K31" s="600">
        <v>1940</v>
      </c>
      <c r="L31" s="601">
        <v>0.04</v>
      </c>
      <c r="M31" s="600">
        <v>159.74271499999998</v>
      </c>
      <c r="N31" s="601">
        <v>3.2620392606115549E-3</v>
      </c>
      <c r="O31" s="1195">
        <v>1201.000738985445</v>
      </c>
      <c r="P31" s="648">
        <f>O31/$O$33</f>
        <v>2.35780211943987E-2</v>
      </c>
      <c r="Q31" s="1315"/>
    </row>
    <row r="32" spans="1:17">
      <c r="A32" s="1314"/>
      <c r="B32" s="542" t="s">
        <v>246</v>
      </c>
      <c r="C32" s="600">
        <v>1450</v>
      </c>
      <c r="D32" s="601">
        <v>3.7901482195420562E-2</v>
      </c>
      <c r="E32" s="600">
        <v>1375</v>
      </c>
      <c r="F32" s="601">
        <v>3.3076475719685958E-2</v>
      </c>
      <c r="G32" s="600">
        <v>1683</v>
      </c>
      <c r="H32" s="601">
        <v>3.8322289773891662E-2</v>
      </c>
      <c r="I32" s="600">
        <v>1781</v>
      </c>
      <c r="J32" s="601">
        <v>3.913550117626366E-2</v>
      </c>
      <c r="K32" s="600">
        <v>1695</v>
      </c>
      <c r="L32" s="601">
        <v>3.5000000000000003E-2</v>
      </c>
      <c r="M32" s="600">
        <v>1263.1313639999921</v>
      </c>
      <c r="N32" s="601">
        <v>2.5793877991104632E-2</v>
      </c>
      <c r="O32" s="1195">
        <v>835.63464615869862</v>
      </c>
      <c r="P32" s="648">
        <f>O32/$O$33</f>
        <v>1.6405161760805902E-2</v>
      </c>
      <c r="Q32" s="1315"/>
    </row>
    <row r="33" spans="1:17" ht="13.5" thickBot="1">
      <c r="A33" s="1314"/>
      <c r="B33" s="649" t="s">
        <v>87</v>
      </c>
      <c r="C33" s="650">
        <v>38384</v>
      </c>
      <c r="D33" s="653"/>
      <c r="E33" s="650">
        <v>41268</v>
      </c>
      <c r="F33" s="653">
        <v>0.99975768149655919</v>
      </c>
      <c r="G33" s="650">
        <v>43917</v>
      </c>
      <c r="H33" s="651"/>
      <c r="I33" s="650">
        <v>45484</v>
      </c>
      <c r="J33" s="651"/>
      <c r="K33" s="650">
        <v>48780</v>
      </c>
      <c r="L33" s="651"/>
      <c r="M33" s="1332">
        <v>48970.2</v>
      </c>
      <c r="N33" s="651"/>
      <c r="O33" s="1196">
        <f>SUM(O28:O32)</f>
        <v>50937.3</v>
      </c>
      <c r="P33" s="652"/>
      <c r="Q33" s="1315"/>
    </row>
    <row r="34" spans="1:17">
      <c r="A34" s="1314"/>
      <c r="B34" s="627" t="s">
        <v>498</v>
      </c>
      <c r="C34" s="1315"/>
      <c r="D34" s="1315"/>
      <c r="E34" s="1320"/>
      <c r="F34" s="1315"/>
      <c r="G34" s="1320"/>
      <c r="H34" s="1315"/>
      <c r="I34" s="1315"/>
      <c r="J34" s="1315"/>
      <c r="K34" s="1315"/>
      <c r="L34" s="1315"/>
      <c r="M34" s="1315"/>
      <c r="N34" s="1315"/>
      <c r="O34" s="1315"/>
      <c r="P34" s="1315"/>
      <c r="Q34" s="1315"/>
    </row>
    <row r="35" spans="1:17">
      <c r="A35" s="1314"/>
      <c r="B35" s="1315"/>
      <c r="C35" s="1320"/>
      <c r="D35" s="1324"/>
      <c r="E35" s="1320"/>
      <c r="F35" s="1324"/>
      <c r="G35" s="1320"/>
      <c r="H35" s="1324"/>
      <c r="I35" s="1320"/>
      <c r="J35" s="1324"/>
      <c r="K35" s="1320"/>
      <c r="L35" s="1324"/>
      <c r="M35" s="1315"/>
      <c r="N35" s="1315"/>
      <c r="O35" s="1315"/>
      <c r="P35" s="1315"/>
      <c r="Q35" s="1315"/>
    </row>
    <row r="36" spans="1:17">
      <c r="A36" s="1314"/>
      <c r="B36" s="1315"/>
      <c r="C36" s="1315"/>
      <c r="D36" s="1315"/>
      <c r="E36" s="1315"/>
      <c r="F36" s="1315"/>
      <c r="G36" s="1315"/>
      <c r="H36" s="1315"/>
      <c r="I36" s="1315"/>
      <c r="J36" s="1315"/>
      <c r="K36" s="1315"/>
      <c r="L36" s="1315"/>
      <c r="M36" s="1315"/>
      <c r="N36" s="1315"/>
      <c r="O36" s="1315"/>
      <c r="P36" s="1315"/>
      <c r="Q36" s="1315"/>
    </row>
    <row r="37" spans="1:17">
      <c r="A37" s="1314"/>
      <c r="B37" s="627" t="s">
        <v>811</v>
      </c>
      <c r="C37" s="1315"/>
      <c r="D37" s="1315"/>
      <c r="E37" s="1315"/>
      <c r="F37" s="1315"/>
      <c r="G37" s="1315"/>
      <c r="H37" s="1315"/>
      <c r="I37" s="1315"/>
      <c r="J37" s="1315"/>
      <c r="K37" s="1315"/>
      <c r="L37" s="1315"/>
      <c r="M37" s="1315"/>
      <c r="N37" s="1315"/>
      <c r="O37" s="1315"/>
      <c r="P37" s="1315"/>
      <c r="Q37" s="1315"/>
    </row>
    <row r="38" spans="1:17" ht="18">
      <c r="A38" s="1314"/>
      <c r="B38" s="1347" t="s">
        <v>499</v>
      </c>
      <c r="C38" s="1347"/>
      <c r="D38" s="1347"/>
      <c r="E38" s="1347"/>
      <c r="F38" s="1347"/>
      <c r="G38" s="1347"/>
      <c r="H38" s="1347"/>
      <c r="I38" s="1347"/>
      <c r="J38" s="1315"/>
      <c r="K38" s="1315"/>
      <c r="L38" s="1315"/>
      <c r="M38" s="1315"/>
      <c r="N38" s="1315"/>
      <c r="O38" s="1315"/>
      <c r="P38" s="1315"/>
      <c r="Q38" s="1315"/>
    </row>
    <row r="39" spans="1:17" ht="16.5" thickBot="1">
      <c r="A39" s="1314"/>
      <c r="B39" s="1344" t="s">
        <v>500</v>
      </c>
      <c r="C39" s="1344"/>
      <c r="D39" s="1344"/>
      <c r="E39" s="1344"/>
      <c r="F39" s="1344"/>
      <c r="G39" s="1315"/>
      <c r="H39" s="1315"/>
      <c r="I39" s="1315"/>
      <c r="J39" s="1315"/>
      <c r="K39" s="1315"/>
      <c r="L39" s="1315"/>
      <c r="M39" s="1315"/>
      <c r="N39" s="1315"/>
      <c r="O39" s="1315"/>
      <c r="P39" s="1315"/>
      <c r="Q39" s="1315"/>
    </row>
    <row r="40" spans="1:17" ht="16.5" thickBot="1">
      <c r="A40" s="1314"/>
      <c r="B40" s="1171"/>
      <c r="C40" s="1172"/>
      <c r="D40" s="1172"/>
      <c r="E40" s="1172"/>
      <c r="F40" s="1172"/>
      <c r="G40" s="1330"/>
      <c r="H40" s="1330"/>
      <c r="I40" s="1330"/>
      <c r="J40" s="1330"/>
      <c r="K40" s="1330"/>
      <c r="L40" s="1330"/>
      <c r="M40" s="1330"/>
      <c r="N40" s="1330"/>
      <c r="O40" s="1330"/>
      <c r="P40" s="1331"/>
      <c r="Q40" s="1315"/>
    </row>
    <row r="41" spans="1:17">
      <c r="A41" s="1314"/>
      <c r="B41" s="1175" t="s">
        <v>494</v>
      </c>
      <c r="C41" s="1177">
        <v>1999</v>
      </c>
      <c r="D41" s="1192"/>
      <c r="E41" s="1177">
        <v>2000</v>
      </c>
      <c r="F41" s="1192"/>
      <c r="G41" s="1177">
        <v>2001</v>
      </c>
      <c r="H41" s="1192"/>
      <c r="I41" s="1177">
        <v>2002</v>
      </c>
      <c r="J41" s="1192"/>
      <c r="K41" s="1177">
        <v>2003</v>
      </c>
      <c r="L41" s="1192"/>
      <c r="M41" s="1176">
        <v>2004</v>
      </c>
      <c r="N41" s="1192"/>
      <c r="O41" s="1177">
        <v>2005</v>
      </c>
      <c r="P41" s="1193"/>
      <c r="Q41" s="1315"/>
    </row>
    <row r="42" spans="1:17">
      <c r="A42" s="1314"/>
      <c r="B42" s="541" t="s">
        <v>495</v>
      </c>
      <c r="C42" s="598">
        <v>4012</v>
      </c>
      <c r="D42" s="599">
        <v>0.4</v>
      </c>
      <c r="E42" s="598">
        <v>4128</v>
      </c>
      <c r="F42" s="599">
        <v>0.39799460084843813</v>
      </c>
      <c r="G42" s="598">
        <v>4124</v>
      </c>
      <c r="H42" s="599">
        <v>0.37793255131964809</v>
      </c>
      <c r="I42" s="598">
        <v>4157</v>
      </c>
      <c r="J42" s="599">
        <v>0.373</v>
      </c>
      <c r="K42" s="598">
        <v>4167</v>
      </c>
      <c r="L42" s="599">
        <v>0.36399999999999999</v>
      </c>
      <c r="M42" s="598">
        <v>4725.6720000000005</v>
      </c>
      <c r="N42" s="599">
        <v>0.40874696175528791</v>
      </c>
      <c r="O42" s="1194">
        <v>4725.6720000000005</v>
      </c>
      <c r="P42" s="647">
        <f>O42/$O$47</f>
        <v>0.39438893971864913</v>
      </c>
      <c r="Q42" s="1315"/>
    </row>
    <row r="43" spans="1:17">
      <c r="A43" s="1314"/>
      <c r="B43" s="542" t="s">
        <v>496</v>
      </c>
      <c r="C43" s="600">
        <v>2299</v>
      </c>
      <c r="D43" s="601">
        <v>0.22900000000000001</v>
      </c>
      <c r="E43" s="600">
        <v>2638</v>
      </c>
      <c r="F43" s="601">
        <v>0.25433860393366758</v>
      </c>
      <c r="G43" s="600">
        <v>3126</v>
      </c>
      <c r="H43" s="601">
        <v>0.28699999999999998</v>
      </c>
      <c r="I43" s="600">
        <v>3441</v>
      </c>
      <c r="J43" s="601">
        <v>0.309</v>
      </c>
      <c r="K43" s="600">
        <v>3708</v>
      </c>
      <c r="L43" s="601">
        <v>0.32300000000000001</v>
      </c>
      <c r="M43" s="600">
        <v>3915.9550000000004</v>
      </c>
      <c r="N43" s="601">
        <v>0.33871049633161771</v>
      </c>
      <c r="O43" s="1195">
        <v>4311.8550000000005</v>
      </c>
      <c r="P43" s="648">
        <f>O43/$O$47</f>
        <v>0.3598531429330169</v>
      </c>
      <c r="Q43" s="1315"/>
    </row>
    <row r="44" spans="1:17">
      <c r="A44" s="1314"/>
      <c r="B44" s="542" t="s">
        <v>227</v>
      </c>
      <c r="C44" s="600">
        <v>2260</v>
      </c>
      <c r="D44" s="601">
        <v>0.22600000000000001</v>
      </c>
      <c r="E44" s="600">
        <v>2225</v>
      </c>
      <c r="F44" s="601">
        <v>0.21451986116467411</v>
      </c>
      <c r="G44" s="600">
        <v>2264</v>
      </c>
      <c r="H44" s="601">
        <v>0.20799999999999999</v>
      </c>
      <c r="I44" s="600">
        <v>2253</v>
      </c>
      <c r="J44" s="601">
        <v>0.20200000000000001</v>
      </c>
      <c r="K44" s="600">
        <v>2258</v>
      </c>
      <c r="L44" s="601">
        <v>0.19700000000000001</v>
      </c>
      <c r="M44" s="600">
        <v>2143.34</v>
      </c>
      <c r="N44" s="601">
        <v>0.18538817611729691</v>
      </c>
      <c r="O44" s="1195">
        <v>2143.34</v>
      </c>
      <c r="P44" s="648">
        <f>O44/$O$47</f>
        <v>0.17887606039026183</v>
      </c>
      <c r="Q44" s="1315"/>
    </row>
    <row r="45" spans="1:17">
      <c r="A45" s="1314"/>
      <c r="B45" s="542" t="s">
        <v>497</v>
      </c>
      <c r="C45" s="600">
        <f>1238</f>
        <v>1238</v>
      </c>
      <c r="D45" s="601">
        <v>0.124</v>
      </c>
      <c r="E45" s="600">
        <f>1168</f>
        <v>1168</v>
      </c>
      <c r="F45" s="601">
        <v>0.11280370227535673</v>
      </c>
      <c r="G45" s="600">
        <f>1015</f>
        <v>1015</v>
      </c>
      <c r="H45" s="601">
        <v>9.2999999999999999E-2</v>
      </c>
      <c r="I45" s="600">
        <f>996</f>
        <v>996</v>
      </c>
      <c r="J45" s="601">
        <v>0.09</v>
      </c>
      <c r="K45" s="600">
        <f>1003</f>
        <v>1003</v>
      </c>
      <c r="L45" s="601">
        <v>8.7999999999999995E-2</v>
      </c>
      <c r="M45" s="600">
        <v>553.51600000000008</v>
      </c>
      <c r="N45" s="601">
        <v>4.7876361982579399E-2</v>
      </c>
      <c r="O45" s="1195">
        <v>553.51600000000008</v>
      </c>
      <c r="P45" s="648">
        <f>O45/$O$47</f>
        <v>4.61946128206333E-2</v>
      </c>
      <c r="Q45" s="1315"/>
    </row>
    <row r="46" spans="1:17">
      <c r="A46" s="1314"/>
      <c r="B46" s="542" t="s">
        <v>246</v>
      </c>
      <c r="C46" s="600">
        <v>211</v>
      </c>
      <c r="D46" s="601">
        <v>2.1000000000000001E-2</v>
      </c>
      <c r="E46" s="600">
        <v>211</v>
      </c>
      <c r="F46" s="601">
        <v>2.0343231777863478E-2</v>
      </c>
      <c r="G46" s="600">
        <v>375</v>
      </c>
      <c r="H46" s="601">
        <v>3.4365835777126097E-2</v>
      </c>
      <c r="I46" s="600">
        <v>289</v>
      </c>
      <c r="J46" s="601">
        <v>2.5999999999999999E-2</v>
      </c>
      <c r="K46" s="600">
        <v>318</v>
      </c>
      <c r="L46" s="601">
        <v>2.8000000000000001E-2</v>
      </c>
      <c r="M46" s="600">
        <v>222.88</v>
      </c>
      <c r="N46" s="601">
        <v>1.9278003813218217E-2</v>
      </c>
      <c r="O46" s="1195">
        <v>247.88</v>
      </c>
      <c r="P46" s="648">
        <f>O46/$O$47</f>
        <v>2.0687244137438811E-2</v>
      </c>
      <c r="Q46" s="1315"/>
    </row>
    <row r="47" spans="1:17" ht="13.5" thickBot="1">
      <c r="A47" s="1314"/>
      <c r="B47" s="649" t="s">
        <v>87</v>
      </c>
      <c r="C47" s="650">
        <v>10020</v>
      </c>
      <c r="D47" s="651"/>
      <c r="E47" s="650">
        <v>10370</v>
      </c>
      <c r="F47" s="651"/>
      <c r="G47" s="650">
        <v>10904</v>
      </c>
      <c r="H47" s="653"/>
      <c r="I47" s="650">
        <v>11136</v>
      </c>
      <c r="J47" s="653"/>
      <c r="K47" s="650">
        <v>11454</v>
      </c>
      <c r="L47" s="653"/>
      <c r="M47" s="1332">
        <v>11561.362999999999</v>
      </c>
      <c r="N47" s="653"/>
      <c r="O47" s="1196">
        <f>SUM(O42:O46)</f>
        <v>11982.263000000001</v>
      </c>
      <c r="P47" s="654"/>
      <c r="Q47" s="1315"/>
    </row>
    <row r="48" spans="1:17">
      <c r="A48" s="1314"/>
      <c r="B48" s="627" t="s">
        <v>803</v>
      </c>
      <c r="C48" s="1315"/>
      <c r="D48" s="1315"/>
      <c r="E48" s="1315"/>
      <c r="F48" s="1315"/>
      <c r="G48" s="1315"/>
      <c r="H48" s="1315"/>
      <c r="I48" s="1315"/>
      <c r="J48" s="1315"/>
      <c r="K48" s="1320"/>
      <c r="L48" s="1315"/>
      <c r="M48" s="1324"/>
      <c r="N48" s="1315"/>
      <c r="O48" s="1315"/>
      <c r="P48" s="1315"/>
      <c r="Q48" s="1315"/>
    </row>
    <row r="49" spans="1:17">
      <c r="A49" s="1315"/>
      <c r="B49" s="627" t="s">
        <v>501</v>
      </c>
      <c r="C49" s="1315"/>
      <c r="D49" s="1315"/>
      <c r="E49" s="1315"/>
      <c r="F49" s="1315"/>
      <c r="G49" s="1315"/>
      <c r="H49" s="1315"/>
      <c r="I49" s="1315"/>
      <c r="J49" s="1315"/>
      <c r="K49" s="1315"/>
      <c r="L49" s="1315"/>
      <c r="M49" s="1315"/>
      <c r="N49" s="1315"/>
      <c r="O49" s="1315"/>
      <c r="P49" s="1315"/>
      <c r="Q49" s="1315"/>
    </row>
    <row r="50" spans="1:17">
      <c r="A50" s="1315"/>
      <c r="B50" s="1315"/>
      <c r="C50" s="1320"/>
      <c r="D50" s="1320"/>
      <c r="E50" s="1320"/>
      <c r="F50" s="1320"/>
      <c r="G50" s="1320"/>
      <c r="H50" s="1320"/>
      <c r="I50" s="1320"/>
      <c r="J50" s="1320"/>
      <c r="K50" s="1320"/>
      <c r="L50" s="1320"/>
      <c r="M50" s="1315"/>
      <c r="N50" s="1315"/>
      <c r="O50" s="1315"/>
      <c r="P50" s="1315"/>
      <c r="Q50" s="1315"/>
    </row>
  </sheetData>
  <mergeCells count="4">
    <mergeCell ref="B24:L24"/>
    <mergeCell ref="B25:F25"/>
    <mergeCell ref="B38:I38"/>
    <mergeCell ref="B39:F39"/>
  </mergeCells>
  <phoneticPr fontId="92" type="noConversion"/>
  <hyperlinks>
    <hyperlink ref="H2" location="INDICE!A60" display="VOLVER A INDICE"/>
  </hyperlinks>
  <pageMargins left="0.75" right="0.75" top="1" bottom="1" header="0" footer="0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9"/>
  <sheetViews>
    <sheetView showGridLines="0" zoomScale="70" workbookViewId="0">
      <pane xSplit="2" ySplit="5" topLeftCell="N30" activePane="bottomRight" state="frozen"/>
      <selection pane="topRight" activeCell="C1" sqref="C1"/>
      <selection pane="bottomLeft" activeCell="A6" sqref="A6"/>
      <selection pane="bottomRight" activeCell="W64" sqref="W64"/>
    </sheetView>
  </sheetViews>
  <sheetFormatPr baseColWidth="10" defaultRowHeight="12.75"/>
  <cols>
    <col min="1" max="1" width="20.42578125" customWidth="1"/>
    <col min="2" max="2" width="30.42578125" customWidth="1"/>
    <col min="3" max="3" width="12.85546875" customWidth="1"/>
    <col min="4" max="4" width="12" customWidth="1"/>
    <col min="12" max="12" width="11.42578125" style="1221"/>
  </cols>
  <sheetData>
    <row r="1" spans="1:24" ht="15.75">
      <c r="A1" s="370" t="s">
        <v>823</v>
      </c>
      <c r="B1" s="371"/>
      <c r="C1" s="372"/>
      <c r="D1" s="857" t="s">
        <v>681</v>
      </c>
      <c r="E1" s="372"/>
      <c r="F1" s="372"/>
      <c r="G1" s="372"/>
      <c r="H1" s="373"/>
      <c r="I1" s="373"/>
      <c r="J1" s="374" t="s">
        <v>217</v>
      </c>
      <c r="K1" s="373"/>
      <c r="L1" s="1217"/>
      <c r="M1" s="372"/>
      <c r="N1" s="372"/>
      <c r="O1" s="372"/>
      <c r="P1" s="372"/>
      <c r="Q1" s="372"/>
      <c r="R1" s="372"/>
      <c r="S1" s="372"/>
      <c r="T1" s="372"/>
      <c r="U1" s="372"/>
      <c r="V1" s="372"/>
      <c r="W1" s="372"/>
      <c r="X1" s="372"/>
    </row>
    <row r="2" spans="1:24">
      <c r="A2" s="371"/>
      <c r="B2" s="371"/>
      <c r="C2" s="372"/>
      <c r="D2" s="372"/>
      <c r="E2" s="372"/>
      <c r="F2" s="372"/>
      <c r="G2" s="372"/>
      <c r="H2" s="372"/>
      <c r="I2" s="372"/>
      <c r="J2" s="372"/>
      <c r="K2" s="372"/>
      <c r="L2" s="384"/>
      <c r="M2" s="372"/>
      <c r="N2" s="372"/>
      <c r="O2" s="372"/>
      <c r="P2" s="372"/>
      <c r="Q2" s="372"/>
      <c r="R2" s="372"/>
      <c r="S2" s="372"/>
      <c r="T2" s="372"/>
      <c r="U2" s="372"/>
      <c r="V2" s="372"/>
      <c r="W2" s="372"/>
      <c r="X2" s="372"/>
    </row>
    <row r="3" spans="1:24">
      <c r="A3" s="375"/>
      <c r="B3" s="375"/>
      <c r="C3" s="376" t="s">
        <v>218</v>
      </c>
      <c r="D3" s="376" t="s">
        <v>219</v>
      </c>
      <c r="E3" s="376" t="s">
        <v>220</v>
      </c>
      <c r="F3" s="376" t="s">
        <v>220</v>
      </c>
      <c r="G3" s="376" t="s">
        <v>221</v>
      </c>
      <c r="H3" s="377" t="s">
        <v>222</v>
      </c>
      <c r="I3" s="376" t="s">
        <v>220</v>
      </c>
      <c r="J3" s="376" t="s">
        <v>221</v>
      </c>
      <c r="K3" s="376" t="s">
        <v>223</v>
      </c>
      <c r="L3" s="1218" t="s">
        <v>224</v>
      </c>
      <c r="M3" s="376" t="s">
        <v>225</v>
      </c>
      <c r="N3" s="376" t="s">
        <v>226</v>
      </c>
      <c r="O3" s="377" t="s">
        <v>227</v>
      </c>
      <c r="P3" s="377" t="s">
        <v>285</v>
      </c>
      <c r="Q3" s="377" t="s">
        <v>241</v>
      </c>
      <c r="R3" s="377" t="s">
        <v>222</v>
      </c>
      <c r="S3" s="377" t="s">
        <v>224</v>
      </c>
      <c r="T3" s="377" t="s">
        <v>222</v>
      </c>
      <c r="U3" s="376" t="s">
        <v>228</v>
      </c>
      <c r="V3" s="377" t="s">
        <v>229</v>
      </c>
      <c r="W3" s="377" t="s">
        <v>230</v>
      </c>
      <c r="X3" s="377" t="s">
        <v>87</v>
      </c>
    </row>
    <row r="4" spans="1:24">
      <c r="A4" s="378" t="s">
        <v>231</v>
      </c>
      <c r="B4" s="378"/>
      <c r="C4" s="379" t="s">
        <v>232</v>
      </c>
      <c r="D4" s="380" t="s">
        <v>233</v>
      </c>
      <c r="E4" s="379" t="s">
        <v>234</v>
      </c>
      <c r="F4" s="379" t="s">
        <v>235</v>
      </c>
      <c r="G4" s="379"/>
      <c r="H4" s="379" t="s">
        <v>236</v>
      </c>
      <c r="I4" s="379" t="s">
        <v>237</v>
      </c>
      <c r="J4" s="379" t="s">
        <v>237</v>
      </c>
      <c r="K4" s="379"/>
      <c r="L4" s="1219" t="s">
        <v>238</v>
      </c>
      <c r="M4" s="380" t="s">
        <v>239</v>
      </c>
      <c r="N4" s="379" t="s">
        <v>240</v>
      </c>
      <c r="O4" s="379"/>
      <c r="P4" s="379"/>
      <c r="Q4" s="379"/>
      <c r="R4" s="379" t="s">
        <v>242</v>
      </c>
      <c r="S4" s="380" t="s">
        <v>243</v>
      </c>
      <c r="T4" s="379" t="s">
        <v>244</v>
      </c>
      <c r="U4" s="379" t="s">
        <v>245</v>
      </c>
      <c r="V4" s="379"/>
      <c r="W4" s="379" t="s">
        <v>246</v>
      </c>
      <c r="X4" s="379" t="s">
        <v>247</v>
      </c>
    </row>
    <row r="5" spans="1:24">
      <c r="A5" s="381"/>
      <c r="B5" s="381"/>
      <c r="C5" s="382"/>
      <c r="D5" s="382"/>
      <c r="E5" s="382"/>
      <c r="F5" s="382"/>
      <c r="G5" s="382"/>
      <c r="H5" s="382"/>
      <c r="I5" s="382"/>
      <c r="J5" s="382"/>
      <c r="K5" s="382"/>
      <c r="L5" s="1220"/>
      <c r="M5" s="382" t="s">
        <v>244</v>
      </c>
      <c r="N5" s="382"/>
      <c r="O5" s="382"/>
      <c r="P5" s="382"/>
      <c r="Q5" s="382"/>
      <c r="R5" s="382"/>
      <c r="S5" s="382"/>
      <c r="T5" s="382"/>
      <c r="U5" s="382"/>
      <c r="V5" s="382"/>
      <c r="W5" s="382"/>
      <c r="X5" s="382"/>
    </row>
    <row r="6" spans="1:24">
      <c r="A6" s="383"/>
      <c r="B6" s="383"/>
      <c r="C6" s="372"/>
      <c r="D6" s="372"/>
      <c r="E6" s="372"/>
      <c r="F6" s="372"/>
      <c r="G6" s="372"/>
      <c r="H6" s="372"/>
      <c r="I6" s="372"/>
      <c r="J6" s="372"/>
      <c r="K6" s="372"/>
      <c r="L6" s="384"/>
      <c r="M6" s="372"/>
      <c r="N6" s="372"/>
      <c r="O6" s="372"/>
      <c r="P6" s="372"/>
      <c r="Q6" s="372"/>
      <c r="R6" s="372"/>
      <c r="S6" s="372"/>
      <c r="T6" s="372"/>
      <c r="U6" s="372"/>
      <c r="V6" s="372"/>
      <c r="W6" s="372"/>
      <c r="X6" s="384"/>
    </row>
    <row r="7" spans="1:24">
      <c r="A7" s="385" t="s">
        <v>248</v>
      </c>
      <c r="B7" s="383" t="s">
        <v>249</v>
      </c>
      <c r="C7" s="1206">
        <v>31645.593076691999</v>
      </c>
      <c r="D7" s="1206">
        <v>2.7223350000000002</v>
      </c>
      <c r="E7" s="1206">
        <v>23538.252472223998</v>
      </c>
      <c r="F7" s="1206">
        <v>0</v>
      </c>
      <c r="G7" s="1206">
        <v>149.34095955000001</v>
      </c>
      <c r="H7" s="1206">
        <v>5.8149618152551019</v>
      </c>
      <c r="I7" s="1206">
        <v>0.19151999999999997</v>
      </c>
      <c r="J7" s="1206">
        <v>1.1508480000000001</v>
      </c>
      <c r="K7" s="1206">
        <v>5.4740000000000004E-2</v>
      </c>
      <c r="L7" s="1216">
        <v>0</v>
      </c>
      <c r="M7" s="1207">
        <f>SUM(C7:L7)</f>
        <v>55343.120913281244</v>
      </c>
      <c r="N7" s="1206">
        <v>153.25290558000003</v>
      </c>
      <c r="O7" s="1206">
        <v>0</v>
      </c>
      <c r="P7" s="1206">
        <v>0</v>
      </c>
      <c r="Q7" s="1206">
        <v>0</v>
      </c>
      <c r="R7" s="1206">
        <v>1.2601159999999999E-3</v>
      </c>
      <c r="S7" s="1206">
        <v>0</v>
      </c>
      <c r="T7" s="1206">
        <v>342.40352039243834</v>
      </c>
      <c r="U7" s="1206">
        <v>0</v>
      </c>
      <c r="V7" s="1206">
        <v>0</v>
      </c>
      <c r="W7" s="1206">
        <v>0</v>
      </c>
      <c r="X7" s="1208">
        <f>SUM(M7:W7)</f>
        <v>55838.778599369674</v>
      </c>
    </row>
    <row r="8" spans="1:24">
      <c r="A8" s="383"/>
      <c r="B8" s="383" t="s">
        <v>251</v>
      </c>
      <c r="C8" s="1206">
        <v>181.69631524799996</v>
      </c>
      <c r="D8" s="1206">
        <v>0</v>
      </c>
      <c r="E8" s="1206">
        <v>0</v>
      </c>
      <c r="F8" s="1206">
        <v>0</v>
      </c>
      <c r="G8" s="1206">
        <v>0</v>
      </c>
      <c r="H8" s="1206">
        <v>0</v>
      </c>
      <c r="I8" s="1206">
        <v>0</v>
      </c>
      <c r="J8" s="1206">
        <v>0</v>
      </c>
      <c r="K8" s="1206">
        <v>0</v>
      </c>
      <c r="L8" s="1216">
        <v>0</v>
      </c>
      <c r="M8" s="1207">
        <f>SUM(C8:L8)</f>
        <v>181.69631524799996</v>
      </c>
      <c r="N8" s="1206">
        <v>63.35739023999998</v>
      </c>
      <c r="O8" s="1206">
        <v>9.3340000000000006E-2</v>
      </c>
      <c r="P8" s="1206">
        <v>0</v>
      </c>
      <c r="Q8" s="1206">
        <v>0</v>
      </c>
      <c r="R8" s="1206">
        <v>0</v>
      </c>
      <c r="S8" s="1206">
        <v>0</v>
      </c>
      <c r="T8" s="1206">
        <v>0</v>
      </c>
      <c r="U8" s="1206">
        <v>0</v>
      </c>
      <c r="V8" s="1206">
        <v>0</v>
      </c>
      <c r="W8" s="1206">
        <v>0</v>
      </c>
      <c r="X8" s="1208">
        <f>SUM(M8:W8)</f>
        <v>245.14704548799995</v>
      </c>
    </row>
    <row r="9" spans="1:24">
      <c r="A9" s="383"/>
      <c r="B9" s="383" t="s">
        <v>252</v>
      </c>
      <c r="C9" s="1206">
        <v>3705.5394370679987</v>
      </c>
      <c r="D9" s="1206">
        <v>13168.641741559502</v>
      </c>
      <c r="E9" s="1206">
        <v>52.269168000000008</v>
      </c>
      <c r="F9" s="1206">
        <v>0</v>
      </c>
      <c r="G9" s="1206">
        <v>1.663335</v>
      </c>
      <c r="H9" s="1206">
        <v>0.96980773999999992</v>
      </c>
      <c r="I9" s="1206">
        <v>0</v>
      </c>
      <c r="J9" s="1206">
        <v>0</v>
      </c>
      <c r="K9" s="1206">
        <v>0</v>
      </c>
      <c r="L9" s="1216">
        <v>0</v>
      </c>
      <c r="M9" s="1207">
        <f>SUM(C9:L9)</f>
        <v>16929.083489367498</v>
      </c>
      <c r="N9" s="1206">
        <v>0</v>
      </c>
      <c r="O9" s="1206">
        <v>0</v>
      </c>
      <c r="P9" s="1206">
        <v>0</v>
      </c>
      <c r="Q9" s="1206">
        <v>0</v>
      </c>
      <c r="R9" s="1206">
        <v>0</v>
      </c>
      <c r="S9" s="1206">
        <v>0</v>
      </c>
      <c r="T9" s="1206">
        <v>0</v>
      </c>
      <c r="U9" s="1206">
        <v>0</v>
      </c>
      <c r="V9" s="1206">
        <v>0</v>
      </c>
      <c r="W9" s="1206">
        <v>0</v>
      </c>
      <c r="X9" s="1208">
        <f>SUM(M9:W9)</f>
        <v>16929.083489367498</v>
      </c>
    </row>
    <row r="10" spans="1:24">
      <c r="A10" s="383"/>
      <c r="B10" s="383" t="s">
        <v>253</v>
      </c>
      <c r="C10" s="1206">
        <v>276.07874380800001</v>
      </c>
      <c r="D10" s="1206">
        <v>22.639470000000003</v>
      </c>
      <c r="E10" s="1206">
        <v>1.8641280000000002</v>
      </c>
      <c r="F10" s="1206">
        <v>0</v>
      </c>
      <c r="G10" s="1206">
        <v>1.8521460000000003</v>
      </c>
      <c r="H10" s="1206">
        <v>0</v>
      </c>
      <c r="I10" s="1206">
        <v>46.531379999999999</v>
      </c>
      <c r="J10" s="1206">
        <v>6844.4863313310007</v>
      </c>
      <c r="K10" s="1206">
        <v>0</v>
      </c>
      <c r="L10" s="1216">
        <v>0</v>
      </c>
      <c r="M10" s="1207">
        <f>SUM(C10:L10)</f>
        <v>7193.4521991390011</v>
      </c>
      <c r="N10" s="1206">
        <v>0</v>
      </c>
      <c r="O10" s="1206">
        <v>0</v>
      </c>
      <c r="P10" s="1206">
        <v>0</v>
      </c>
      <c r="Q10" s="1206">
        <v>0</v>
      </c>
      <c r="R10" s="1206">
        <v>0</v>
      </c>
      <c r="S10" s="1206">
        <v>0</v>
      </c>
      <c r="T10" s="1206">
        <v>0</v>
      </c>
      <c r="U10" s="1206">
        <v>0</v>
      </c>
      <c r="V10" s="1206">
        <v>0</v>
      </c>
      <c r="W10" s="1206">
        <v>0</v>
      </c>
      <c r="X10" s="1208">
        <f>SUM(M10:W10)</f>
        <v>7193.4521991390011</v>
      </c>
    </row>
    <row r="11" spans="1:24">
      <c r="A11" s="383"/>
      <c r="B11" s="383"/>
      <c r="C11" s="372"/>
      <c r="D11" s="372"/>
      <c r="E11" s="372"/>
      <c r="F11" s="372"/>
      <c r="G11" s="372"/>
      <c r="H11" s="372"/>
      <c r="I11" s="372"/>
      <c r="J11" s="372"/>
      <c r="K11" s="372"/>
      <c r="L11" s="384"/>
      <c r="M11" s="384"/>
      <c r="N11" s="372"/>
      <c r="O11" s="372"/>
      <c r="P11" s="372"/>
      <c r="Q11" s="372"/>
      <c r="R11" s="372"/>
      <c r="S11" s="372"/>
      <c r="T11" s="372"/>
      <c r="U11" s="372"/>
      <c r="V11" s="372"/>
      <c r="W11" s="372"/>
      <c r="X11" s="384"/>
    </row>
    <row r="12" spans="1:24">
      <c r="A12" s="383" t="s">
        <v>254</v>
      </c>
      <c r="B12" s="383"/>
      <c r="C12" s="1209">
        <f>SUM(C7:C10)</f>
        <v>35808.907572815995</v>
      </c>
      <c r="D12" s="1209">
        <f t="shared" ref="D12:X12" si="0">SUM(D7:D10)</f>
        <v>13194.003546559503</v>
      </c>
      <c r="E12" s="1209">
        <f t="shared" si="0"/>
        <v>23592.385768223998</v>
      </c>
      <c r="F12" s="1209">
        <f t="shared" si="0"/>
        <v>0</v>
      </c>
      <c r="G12" s="1209">
        <f t="shared" si="0"/>
        <v>152.85644055</v>
      </c>
      <c r="H12" s="1209">
        <f t="shared" si="0"/>
        <v>6.7847695552551022</v>
      </c>
      <c r="I12" s="1209">
        <f t="shared" si="0"/>
        <v>46.722899999999996</v>
      </c>
      <c r="J12" s="1209">
        <f t="shared" si="0"/>
        <v>6845.6371793310009</v>
      </c>
      <c r="K12" s="1209">
        <f t="shared" si="0"/>
        <v>5.4740000000000004E-2</v>
      </c>
      <c r="L12" s="1222">
        <f t="shared" si="0"/>
        <v>0</v>
      </c>
      <c r="M12" s="1209">
        <f t="shared" si="0"/>
        <v>79647.352917035751</v>
      </c>
      <c r="N12" s="1209">
        <f t="shared" si="0"/>
        <v>216.61029582</v>
      </c>
      <c r="O12" s="1209">
        <f t="shared" si="0"/>
        <v>9.3340000000000006E-2</v>
      </c>
      <c r="P12" s="1209">
        <f t="shared" si="0"/>
        <v>0</v>
      </c>
      <c r="Q12" s="1209">
        <f>SUM(Q7:Q10)</f>
        <v>0</v>
      </c>
      <c r="R12" s="1209">
        <f t="shared" si="0"/>
        <v>1.2601159999999999E-3</v>
      </c>
      <c r="S12" s="1209">
        <f>SUM(S7:S10)</f>
        <v>0</v>
      </c>
      <c r="T12" s="1209">
        <f t="shared" si="0"/>
        <v>342.40352039243834</v>
      </c>
      <c r="U12" s="1209">
        <f t="shared" si="0"/>
        <v>0</v>
      </c>
      <c r="V12" s="1209">
        <f t="shared" si="0"/>
        <v>0</v>
      </c>
      <c r="W12" s="1209">
        <f>SUM(W7:W10)</f>
        <v>0</v>
      </c>
      <c r="X12" s="1209">
        <f t="shared" si="0"/>
        <v>80206.461333364176</v>
      </c>
    </row>
    <row r="13" spans="1:24">
      <c r="A13" s="383"/>
      <c r="B13" s="383"/>
      <c r="C13" s="372"/>
      <c r="D13" s="372"/>
      <c r="E13" s="372"/>
      <c r="F13" s="372"/>
      <c r="G13" s="372"/>
      <c r="H13" s="372"/>
      <c r="I13" s="372"/>
      <c r="J13" s="372"/>
      <c r="K13" s="372"/>
      <c r="L13" s="384"/>
      <c r="M13" s="372"/>
      <c r="N13" s="372"/>
      <c r="O13" s="372"/>
      <c r="P13" s="372"/>
      <c r="Q13" s="372"/>
      <c r="R13" s="372"/>
      <c r="S13" s="372"/>
      <c r="T13" s="372"/>
      <c r="U13" s="372"/>
      <c r="V13" s="372"/>
      <c r="W13" s="372"/>
      <c r="X13" s="372"/>
    </row>
    <row r="14" spans="1:24">
      <c r="A14" s="385" t="s">
        <v>255</v>
      </c>
      <c r="B14" s="383" t="s">
        <v>256</v>
      </c>
      <c r="C14" s="1206">
        <v>6430.301664729599</v>
      </c>
      <c r="D14" s="1206">
        <v>759.46145100000012</v>
      </c>
      <c r="E14" s="1206">
        <v>0</v>
      </c>
      <c r="F14" s="1206">
        <v>0</v>
      </c>
      <c r="G14" s="1206">
        <v>92.200807899000026</v>
      </c>
      <c r="H14" s="1206">
        <v>49.461733593799991</v>
      </c>
      <c r="I14" s="1206">
        <v>0</v>
      </c>
      <c r="J14" s="1206">
        <v>1.7982E-3</v>
      </c>
      <c r="K14" s="1206">
        <v>13.7394824</v>
      </c>
      <c r="L14" s="1216">
        <v>0</v>
      </c>
      <c r="M14" s="1207">
        <f>SUM(C14:L14)</f>
        <v>7345.1669378223996</v>
      </c>
      <c r="N14" s="1206">
        <v>13639.058910984366</v>
      </c>
      <c r="O14" s="1206">
        <v>0.19390000000000002</v>
      </c>
      <c r="P14" s="1206">
        <v>46.631060000000005</v>
      </c>
      <c r="Q14" s="1206">
        <v>0</v>
      </c>
      <c r="R14" s="1206">
        <v>1.5120000000000001E-3</v>
      </c>
      <c r="S14" s="1206">
        <v>0</v>
      </c>
      <c r="T14" s="1206">
        <v>1677.5452322931255</v>
      </c>
      <c r="U14" s="1206">
        <v>0</v>
      </c>
      <c r="V14" s="1206">
        <v>0</v>
      </c>
      <c r="W14" s="1206">
        <v>0</v>
      </c>
      <c r="X14" s="1208">
        <f>SUM(M14:W14)</f>
        <v>22708.597553099891</v>
      </c>
    </row>
    <row r="15" spans="1:24">
      <c r="A15" s="385" t="s">
        <v>257</v>
      </c>
      <c r="B15" s="383" t="s">
        <v>258</v>
      </c>
      <c r="C15" s="1206">
        <v>313.12604399999998</v>
      </c>
      <c r="D15" s="1206">
        <v>62.878882499999982</v>
      </c>
      <c r="E15" s="1206">
        <v>0</v>
      </c>
      <c r="F15" s="1206">
        <v>0</v>
      </c>
      <c r="G15" s="1206">
        <v>38.975985000000001</v>
      </c>
      <c r="H15" s="1206">
        <v>0</v>
      </c>
      <c r="I15" s="1206">
        <v>0</v>
      </c>
      <c r="J15" s="1206">
        <v>0</v>
      </c>
      <c r="K15" s="1206">
        <v>0</v>
      </c>
      <c r="L15" s="1216">
        <v>0</v>
      </c>
      <c r="M15" s="1207">
        <f t="shared" ref="M15:M24" si="1">SUM(C15:L15)</f>
        <v>414.98091149999993</v>
      </c>
      <c r="N15" s="1206">
        <v>356.16705725999986</v>
      </c>
      <c r="O15" s="1206">
        <v>0</v>
      </c>
      <c r="P15" s="1206">
        <v>0</v>
      </c>
      <c r="Q15" s="1206">
        <v>0</v>
      </c>
      <c r="R15" s="1206">
        <v>2.3400000000000001E-3</v>
      </c>
      <c r="S15" s="1206">
        <v>0</v>
      </c>
      <c r="T15" s="1206">
        <v>828.78254156800006</v>
      </c>
      <c r="U15" s="1206">
        <v>0</v>
      </c>
      <c r="V15" s="1206">
        <v>0</v>
      </c>
      <c r="W15" s="1206">
        <v>0</v>
      </c>
      <c r="X15" s="1208">
        <f t="shared" ref="X15:X24" si="2">SUM(M15:W15)</f>
        <v>1599.9328503279999</v>
      </c>
    </row>
    <row r="16" spans="1:24">
      <c r="A16" s="383"/>
      <c r="B16" s="383" t="s">
        <v>259</v>
      </c>
      <c r="C16" s="1206">
        <v>45.356095512000003</v>
      </c>
      <c r="D16" s="1206">
        <v>43.880549999999999</v>
      </c>
      <c r="E16" s="1206">
        <v>0</v>
      </c>
      <c r="F16" s="1206">
        <v>0</v>
      </c>
      <c r="G16" s="1206">
        <v>0</v>
      </c>
      <c r="H16" s="1206">
        <v>0</v>
      </c>
      <c r="I16" s="1206">
        <v>0</v>
      </c>
      <c r="J16" s="1206">
        <v>0</v>
      </c>
      <c r="K16" s="1206">
        <v>0</v>
      </c>
      <c r="L16" s="1216">
        <v>0</v>
      </c>
      <c r="M16" s="1207">
        <f t="shared" si="1"/>
        <v>89.236645511999996</v>
      </c>
      <c r="N16" s="1206">
        <v>309.76928927999995</v>
      </c>
      <c r="O16" s="1206">
        <v>594.61919999999986</v>
      </c>
      <c r="P16" s="1206">
        <v>0</v>
      </c>
      <c r="Q16" s="1206">
        <v>0</v>
      </c>
      <c r="R16" s="1206">
        <v>0</v>
      </c>
      <c r="S16" s="1206">
        <v>0</v>
      </c>
      <c r="T16" s="1206">
        <v>0</v>
      </c>
      <c r="U16" s="1206">
        <v>0</v>
      </c>
      <c r="V16" s="1206">
        <v>0</v>
      </c>
      <c r="W16" s="1206">
        <v>0</v>
      </c>
      <c r="X16" s="1208">
        <f t="shared" si="2"/>
        <v>993.62513479199981</v>
      </c>
    </row>
    <row r="17" spans="1:26">
      <c r="A17" s="383"/>
      <c r="B17" s="383" t="s">
        <v>260</v>
      </c>
      <c r="C17" s="1206">
        <v>41.781931883999995</v>
      </c>
      <c r="D17" s="1206">
        <v>1337.9521130598</v>
      </c>
      <c r="E17" s="1206">
        <v>0</v>
      </c>
      <c r="F17" s="1206">
        <v>0</v>
      </c>
      <c r="G17" s="1206">
        <v>0.11668519800000002</v>
      </c>
      <c r="H17" s="1206">
        <v>60.960695399999977</v>
      </c>
      <c r="I17" s="1206">
        <v>0</v>
      </c>
      <c r="J17" s="1206">
        <v>0</v>
      </c>
      <c r="K17" s="1206">
        <v>0</v>
      </c>
      <c r="L17" s="1216">
        <v>0</v>
      </c>
      <c r="M17" s="1207">
        <f t="shared" si="1"/>
        <v>1440.8114255418</v>
      </c>
      <c r="N17" s="1206">
        <v>3742.0461701079535</v>
      </c>
      <c r="O17" s="1206">
        <v>0</v>
      </c>
      <c r="P17" s="1206">
        <v>0</v>
      </c>
      <c r="Q17" s="1206">
        <v>0</v>
      </c>
      <c r="R17" s="1206">
        <v>3.9999999999999998E-6</v>
      </c>
      <c r="S17" s="1206">
        <v>0</v>
      </c>
      <c r="T17" s="1206">
        <v>829.90040948578428</v>
      </c>
      <c r="U17" s="1206">
        <v>0</v>
      </c>
      <c r="V17" s="1206">
        <v>0</v>
      </c>
      <c r="W17" s="1206">
        <v>7363.9672806675962</v>
      </c>
      <c r="X17" s="1208">
        <f t="shared" si="2"/>
        <v>13376.725289803135</v>
      </c>
    </row>
    <row r="18" spans="1:26">
      <c r="A18" s="383"/>
      <c r="B18" s="383" t="s">
        <v>261</v>
      </c>
      <c r="C18" s="1206">
        <v>13.608562800000001</v>
      </c>
      <c r="D18" s="1206">
        <v>179.68407826800001</v>
      </c>
      <c r="E18" s="1206">
        <v>0</v>
      </c>
      <c r="F18" s="1206">
        <v>0</v>
      </c>
      <c r="G18" s="1206">
        <v>5.9250690000000015</v>
      </c>
      <c r="H18" s="1206">
        <v>18.876000000000001</v>
      </c>
      <c r="I18" s="1206">
        <v>0</v>
      </c>
      <c r="J18" s="1206">
        <v>0</v>
      </c>
      <c r="K18" s="1206">
        <v>0</v>
      </c>
      <c r="L18" s="1216">
        <v>0</v>
      </c>
      <c r="M18" s="1207">
        <f t="shared" si="1"/>
        <v>218.09371006800004</v>
      </c>
      <c r="N18" s="1206">
        <v>493.47917742000021</v>
      </c>
      <c r="O18" s="1206">
        <v>0.46564</v>
      </c>
      <c r="P18" s="1206">
        <v>2132.5782000000008</v>
      </c>
      <c r="Q18" s="1206">
        <v>0</v>
      </c>
      <c r="R18" s="1216">
        <v>833.41799811296005</v>
      </c>
      <c r="S18" s="1206">
        <v>291.56458570000007</v>
      </c>
      <c r="T18" s="1206">
        <v>224.04213117465983</v>
      </c>
      <c r="U18" s="1206">
        <v>0</v>
      </c>
      <c r="V18" s="1206">
        <v>0</v>
      </c>
      <c r="W18" s="1206">
        <v>4.8930000000000001E-2</v>
      </c>
      <c r="X18" s="1208">
        <f t="shared" si="2"/>
        <v>4193.6903724756203</v>
      </c>
    </row>
    <row r="19" spans="1:26">
      <c r="A19" s="383"/>
      <c r="B19" s="383" t="s">
        <v>262</v>
      </c>
      <c r="C19" s="1206">
        <v>20.290153799999999</v>
      </c>
      <c r="D19" s="1206">
        <v>9.5096295000000008</v>
      </c>
      <c r="E19" s="1206">
        <v>0</v>
      </c>
      <c r="F19" s="1206">
        <v>0</v>
      </c>
      <c r="G19" s="1206">
        <v>0</v>
      </c>
      <c r="H19" s="1206">
        <v>15.824476194999999</v>
      </c>
      <c r="I19" s="1206">
        <v>0</v>
      </c>
      <c r="J19" s="1206">
        <v>0</v>
      </c>
      <c r="K19" s="1206">
        <v>0</v>
      </c>
      <c r="L19" s="1216">
        <v>3.6669999999999998</v>
      </c>
      <c r="M19" s="1207">
        <f t="shared" si="1"/>
        <v>49.291259495000006</v>
      </c>
      <c r="N19" s="1206">
        <v>552.54999484000007</v>
      </c>
      <c r="O19" s="1206">
        <v>0</v>
      </c>
      <c r="P19" s="1206">
        <v>0</v>
      </c>
      <c r="Q19" s="1206">
        <v>0</v>
      </c>
      <c r="R19" s="1206">
        <v>0</v>
      </c>
      <c r="S19" s="1206">
        <v>0</v>
      </c>
      <c r="T19" s="1206">
        <v>99.497141293823987</v>
      </c>
      <c r="U19" s="1206">
        <v>0</v>
      </c>
      <c r="V19" s="1206">
        <v>0</v>
      </c>
      <c r="W19" s="1206">
        <v>0</v>
      </c>
      <c r="X19" s="1208">
        <f t="shared" si="2"/>
        <v>701.33839562882406</v>
      </c>
    </row>
    <row r="20" spans="1:26">
      <c r="A20" s="383"/>
      <c r="B20" s="383" t="s">
        <v>263</v>
      </c>
      <c r="C20" s="1206">
        <v>68.546461754400013</v>
      </c>
      <c r="D20" s="1206">
        <v>242.91863400000003</v>
      </c>
      <c r="E20" s="1206">
        <v>0</v>
      </c>
      <c r="F20" s="1206">
        <v>0</v>
      </c>
      <c r="G20" s="1206">
        <v>0</v>
      </c>
      <c r="H20" s="1206">
        <v>2.6499000000000001</v>
      </c>
      <c r="I20" s="1206">
        <v>0</v>
      </c>
      <c r="J20" s="1206">
        <v>0</v>
      </c>
      <c r="K20" s="1206">
        <v>0</v>
      </c>
      <c r="L20" s="1216">
        <v>0</v>
      </c>
      <c r="M20" s="1207">
        <f t="shared" si="1"/>
        <v>314.11499575440007</v>
      </c>
      <c r="N20" s="1206">
        <v>422.8720310399998</v>
      </c>
      <c r="O20" s="1206">
        <v>1393.4654269874472</v>
      </c>
      <c r="P20" s="1206">
        <v>422.28899999999999</v>
      </c>
      <c r="Q20" s="1206">
        <v>0</v>
      </c>
      <c r="R20" s="1206">
        <v>0</v>
      </c>
      <c r="S20" s="1206">
        <v>0</v>
      </c>
      <c r="T20" s="1206">
        <v>292.9464531621922</v>
      </c>
      <c r="U20" s="1206">
        <v>0</v>
      </c>
      <c r="V20" s="1206">
        <v>0</v>
      </c>
      <c r="W20" s="1206">
        <v>0</v>
      </c>
      <c r="X20" s="1208">
        <f t="shared" si="2"/>
        <v>2845.6879069440388</v>
      </c>
    </row>
    <row r="21" spans="1:26">
      <c r="A21" s="383"/>
      <c r="B21" s="383" t="s">
        <v>264</v>
      </c>
      <c r="C21" s="1206">
        <v>0</v>
      </c>
      <c r="D21" s="1206">
        <v>99.056208909000006</v>
      </c>
      <c r="E21" s="1206">
        <v>0</v>
      </c>
      <c r="F21" s="1206">
        <v>0</v>
      </c>
      <c r="G21" s="1206">
        <v>0</v>
      </c>
      <c r="H21" s="1206">
        <v>2.3715999999999999</v>
      </c>
      <c r="I21" s="1206">
        <v>0</v>
      </c>
      <c r="J21" s="1206">
        <v>0</v>
      </c>
      <c r="K21" s="1206">
        <v>0</v>
      </c>
      <c r="L21" s="1216">
        <v>0</v>
      </c>
      <c r="M21" s="1207">
        <f t="shared" si="1"/>
        <v>101.42780890900001</v>
      </c>
      <c r="N21" s="1206">
        <v>87.924908927353471</v>
      </c>
      <c r="O21" s="1206">
        <v>878.91775587734628</v>
      </c>
      <c r="P21" s="1206">
        <v>38.077914000000007</v>
      </c>
      <c r="Q21" s="1206">
        <v>0</v>
      </c>
      <c r="R21" s="1206">
        <v>0</v>
      </c>
      <c r="S21" s="1206">
        <v>0</v>
      </c>
      <c r="T21" s="1206">
        <v>0</v>
      </c>
      <c r="U21" s="1206">
        <v>0</v>
      </c>
      <c r="V21" s="1206">
        <v>0</v>
      </c>
      <c r="W21" s="1206">
        <v>0</v>
      </c>
      <c r="X21" s="1208">
        <f t="shared" si="2"/>
        <v>1106.3483877136996</v>
      </c>
    </row>
    <row r="22" spans="1:26">
      <c r="A22" s="383"/>
      <c r="B22" s="383" t="s">
        <v>265</v>
      </c>
      <c r="C22" s="1206">
        <v>333.95223582</v>
      </c>
      <c r="D22" s="1206">
        <v>514.38238566749999</v>
      </c>
      <c r="E22" s="1206">
        <v>0</v>
      </c>
      <c r="F22" s="1206">
        <v>0</v>
      </c>
      <c r="G22" s="1206">
        <v>0</v>
      </c>
      <c r="H22" s="1206">
        <v>205.82741300000001</v>
      </c>
      <c r="I22" s="1206">
        <v>0</v>
      </c>
      <c r="J22" s="1206">
        <v>0</v>
      </c>
      <c r="K22" s="1206">
        <v>0</v>
      </c>
      <c r="L22" s="1216">
        <v>0</v>
      </c>
      <c r="M22" s="1207">
        <f t="shared" si="1"/>
        <v>1054.1620344875</v>
      </c>
      <c r="N22" s="1206">
        <v>107.02423595999994</v>
      </c>
      <c r="O22" s="1206">
        <v>129.86798399999998</v>
      </c>
      <c r="P22" s="1206">
        <v>0</v>
      </c>
      <c r="Q22" s="1206">
        <v>0</v>
      </c>
      <c r="R22" s="1206">
        <v>0</v>
      </c>
      <c r="S22" s="1206">
        <v>0</v>
      </c>
      <c r="T22" s="1206">
        <v>513.22589538186628</v>
      </c>
      <c r="U22" s="1206">
        <v>0</v>
      </c>
      <c r="V22" s="1206">
        <v>0</v>
      </c>
      <c r="W22" s="1206">
        <v>0</v>
      </c>
      <c r="X22" s="1208">
        <f t="shared" si="2"/>
        <v>1804.2801498293661</v>
      </c>
    </row>
    <row r="23" spans="1:26">
      <c r="A23" s="383"/>
      <c r="B23" s="383" t="s">
        <v>266</v>
      </c>
      <c r="C23" s="1206">
        <v>4646.8989538895985</v>
      </c>
      <c r="D23" s="1206">
        <v>1319.9117818635</v>
      </c>
      <c r="E23" s="1206">
        <v>0</v>
      </c>
      <c r="F23" s="1206">
        <v>0</v>
      </c>
      <c r="G23" s="1206">
        <v>21.659516802000002</v>
      </c>
      <c r="H23" s="1206">
        <v>1560.1240149093555</v>
      </c>
      <c r="I23" s="1206">
        <v>0</v>
      </c>
      <c r="J23" s="1206">
        <v>0</v>
      </c>
      <c r="K23" s="1206">
        <v>0.12558</v>
      </c>
      <c r="L23" s="1216">
        <v>0</v>
      </c>
      <c r="M23" s="1207">
        <f t="shared" si="1"/>
        <v>7548.7198474644547</v>
      </c>
      <c r="N23" s="1206">
        <v>6917.5434092587884</v>
      </c>
      <c r="O23" s="1206">
        <v>1389.0428934362797</v>
      </c>
      <c r="P23" s="1206">
        <v>9.5169159999999984</v>
      </c>
      <c r="Q23" s="1206">
        <v>0</v>
      </c>
      <c r="R23" s="1206">
        <v>2.9306480000000001E-3</v>
      </c>
      <c r="S23" s="1206">
        <v>0</v>
      </c>
      <c r="T23" s="1206">
        <v>4468.2390045453358</v>
      </c>
      <c r="U23" s="1206">
        <v>0</v>
      </c>
      <c r="V23" s="1206">
        <v>0</v>
      </c>
      <c r="W23" s="1206">
        <v>3846.1420572765401</v>
      </c>
      <c r="X23" s="1208">
        <f t="shared" si="2"/>
        <v>24179.207058629399</v>
      </c>
    </row>
    <row r="24" spans="1:26">
      <c r="A24" s="383"/>
      <c r="B24" s="383" t="s">
        <v>267</v>
      </c>
      <c r="C24" s="1206">
        <v>3056.2000317743964</v>
      </c>
      <c r="D24" s="1206">
        <v>632.19250499999976</v>
      </c>
      <c r="E24" s="1206">
        <v>0</v>
      </c>
      <c r="F24" s="1206">
        <v>0</v>
      </c>
      <c r="G24" s="1206">
        <v>92.518163226000041</v>
      </c>
      <c r="H24" s="1206">
        <v>6.3404000000000007</v>
      </c>
      <c r="I24" s="1206">
        <v>0</v>
      </c>
      <c r="J24" s="1206">
        <v>0</v>
      </c>
      <c r="K24" s="1206">
        <v>0</v>
      </c>
      <c r="L24" s="1216">
        <v>0</v>
      </c>
      <c r="M24" s="1207">
        <f t="shared" si="1"/>
        <v>3787.251100000396</v>
      </c>
      <c r="N24" s="1206">
        <v>1256.4751210875493</v>
      </c>
      <c r="O24" s="1206">
        <v>24.139743670000001</v>
      </c>
      <c r="P24" s="1206">
        <v>30.015999999999998</v>
      </c>
      <c r="Q24" s="1206">
        <v>0</v>
      </c>
      <c r="R24" s="1206">
        <v>7.1320000000000003E-3</v>
      </c>
      <c r="S24" s="1206">
        <v>0</v>
      </c>
      <c r="T24" s="1206">
        <v>26.526123432000073</v>
      </c>
      <c r="U24" s="1206">
        <v>0</v>
      </c>
      <c r="V24" s="1206">
        <v>0</v>
      </c>
      <c r="W24" s="1206">
        <v>0</v>
      </c>
      <c r="X24" s="1208">
        <f t="shared" si="2"/>
        <v>5124.4152201899442</v>
      </c>
    </row>
    <row r="25" spans="1:26">
      <c r="A25" s="383"/>
      <c r="B25" s="383"/>
      <c r="C25" s="372"/>
      <c r="D25" s="372"/>
      <c r="E25" s="372"/>
      <c r="F25" s="372"/>
      <c r="G25" s="372"/>
      <c r="H25" s="372"/>
      <c r="I25" s="372"/>
      <c r="J25" s="372"/>
      <c r="K25" s="372"/>
      <c r="L25" s="384"/>
      <c r="M25" s="372"/>
      <c r="N25" s="372"/>
      <c r="O25" s="372"/>
      <c r="P25" s="372"/>
      <c r="Q25" s="372"/>
      <c r="R25" s="372"/>
      <c r="S25" s="372"/>
      <c r="T25" s="372"/>
      <c r="U25" s="372"/>
      <c r="V25" s="372"/>
      <c r="W25" s="372"/>
      <c r="X25" s="372"/>
    </row>
    <row r="26" spans="1:26">
      <c r="A26" s="383" t="s">
        <v>268</v>
      </c>
      <c r="B26" s="383"/>
      <c r="C26" s="1209">
        <f>SUM(C14:C24)</f>
        <v>14970.062135963994</v>
      </c>
      <c r="D26" s="1209">
        <f t="shared" ref="D26:X26" si="3">SUM(D14:D24)</f>
        <v>5201.8282197678</v>
      </c>
      <c r="E26" s="1209">
        <f t="shared" si="3"/>
        <v>0</v>
      </c>
      <c r="F26" s="1209">
        <f t="shared" si="3"/>
        <v>0</v>
      </c>
      <c r="G26" s="1209">
        <f t="shared" si="3"/>
        <v>251.39622712500008</v>
      </c>
      <c r="H26" s="1209">
        <f t="shared" si="3"/>
        <v>1922.4362330981555</v>
      </c>
      <c r="I26" s="1209">
        <f t="shared" si="3"/>
        <v>0</v>
      </c>
      <c r="J26" s="1209">
        <f t="shared" si="3"/>
        <v>1.7982E-3</v>
      </c>
      <c r="K26" s="1209">
        <f t="shared" si="3"/>
        <v>13.865062399999999</v>
      </c>
      <c r="L26" s="1222">
        <f t="shared" si="3"/>
        <v>3.6669999999999998</v>
      </c>
      <c r="M26" s="1209">
        <f t="shared" si="3"/>
        <v>22363.256676554949</v>
      </c>
      <c r="N26" s="1209">
        <f t="shared" si="3"/>
        <v>27884.910306166013</v>
      </c>
      <c r="O26" s="1209">
        <f t="shared" si="3"/>
        <v>4410.7125439710726</v>
      </c>
      <c r="P26" s="1209">
        <f t="shared" si="3"/>
        <v>2679.1090900000013</v>
      </c>
      <c r="Q26" s="1209">
        <f>SUM(Q14:Q24)</f>
        <v>0</v>
      </c>
      <c r="R26" s="1209">
        <f t="shared" si="3"/>
        <v>833.43191676096001</v>
      </c>
      <c r="S26" s="1209">
        <f>SUM(S14:S24)</f>
        <v>291.56458570000007</v>
      </c>
      <c r="T26" s="1209">
        <f t="shared" si="3"/>
        <v>8960.7049323367883</v>
      </c>
      <c r="U26" s="1209">
        <f t="shared" si="3"/>
        <v>0</v>
      </c>
      <c r="V26" s="1209">
        <f t="shared" si="3"/>
        <v>0</v>
      </c>
      <c r="W26" s="1209">
        <f>SUM(W14:W24)</f>
        <v>11210.158267944136</v>
      </c>
      <c r="X26" s="1209">
        <f t="shared" si="3"/>
        <v>78633.848319433906</v>
      </c>
      <c r="Y26" s="405"/>
      <c r="Z26" s="405"/>
    </row>
    <row r="27" spans="1:26">
      <c r="A27" s="383"/>
      <c r="B27" s="383"/>
      <c r="C27" s="372"/>
      <c r="D27" s="372"/>
      <c r="E27" s="372"/>
      <c r="F27" s="372"/>
      <c r="G27" s="372"/>
      <c r="H27" s="372"/>
      <c r="I27" s="372"/>
      <c r="J27" s="372"/>
      <c r="K27" s="372"/>
      <c r="L27" s="384"/>
      <c r="M27" s="372"/>
      <c r="N27" s="372"/>
      <c r="O27" s="372"/>
      <c r="P27" s="372"/>
      <c r="Q27" s="372"/>
      <c r="R27" s="372"/>
      <c r="S27" s="372"/>
      <c r="T27" s="372"/>
      <c r="U27" s="372"/>
      <c r="V27" s="372"/>
      <c r="W27" s="372"/>
      <c r="X27" s="372"/>
    </row>
    <row r="28" spans="1:26">
      <c r="A28" s="385" t="s">
        <v>269</v>
      </c>
      <c r="B28" s="383" t="s">
        <v>270</v>
      </c>
      <c r="C28" s="1206">
        <v>0</v>
      </c>
      <c r="D28" s="1206">
        <v>0</v>
      </c>
      <c r="E28" s="1206">
        <v>0</v>
      </c>
      <c r="F28" s="1206">
        <v>0</v>
      </c>
      <c r="G28" s="1206">
        <v>0</v>
      </c>
      <c r="H28" s="1206">
        <v>0</v>
      </c>
      <c r="I28" s="1206">
        <v>0</v>
      </c>
      <c r="J28" s="1206">
        <v>0</v>
      </c>
      <c r="K28" s="1206">
        <v>0</v>
      </c>
      <c r="L28" s="1216">
        <v>0</v>
      </c>
      <c r="M28" s="1207">
        <f>SUM(C28:L28)</f>
        <v>0</v>
      </c>
      <c r="N28" s="1206">
        <v>0</v>
      </c>
      <c r="O28" s="1206">
        <v>0</v>
      </c>
      <c r="P28" s="1206">
        <v>0</v>
      </c>
      <c r="Q28" s="1206">
        <v>0</v>
      </c>
      <c r="R28" s="1206">
        <v>0</v>
      </c>
      <c r="S28" s="1206">
        <v>0</v>
      </c>
      <c r="T28" s="1206">
        <v>0</v>
      </c>
      <c r="U28" s="1206">
        <v>0</v>
      </c>
      <c r="V28" s="1206">
        <v>0</v>
      </c>
      <c r="W28" s="1206">
        <v>0</v>
      </c>
      <c r="X28" s="1207">
        <f>SUM(M28:W28)</f>
        <v>0</v>
      </c>
    </row>
    <row r="29" spans="1:26">
      <c r="A29" s="385" t="s">
        <v>271</v>
      </c>
      <c r="B29" s="383" t="s">
        <v>272</v>
      </c>
      <c r="C29" s="1206">
        <v>948.63484799999992</v>
      </c>
      <c r="D29" s="1206">
        <v>51.523499999999999</v>
      </c>
      <c r="E29" s="1206">
        <v>0</v>
      </c>
      <c r="F29" s="1206">
        <v>0</v>
      </c>
      <c r="G29" s="1206">
        <v>14.745239999999999</v>
      </c>
      <c r="H29" s="1206">
        <v>1094.5972994876608</v>
      </c>
      <c r="I29" s="1206">
        <v>0</v>
      </c>
      <c r="J29" s="1206">
        <v>0</v>
      </c>
      <c r="K29" s="1206">
        <v>0</v>
      </c>
      <c r="L29" s="1216">
        <v>0</v>
      </c>
      <c r="M29" s="1207">
        <f>SUM(C29:L29)</f>
        <v>2109.5008874876607</v>
      </c>
      <c r="N29" s="1206">
        <v>4739.8364138247425</v>
      </c>
      <c r="O29" s="1206">
        <v>0.71499999999999997</v>
      </c>
      <c r="P29" s="1206">
        <v>0</v>
      </c>
      <c r="Q29" s="1206">
        <v>0</v>
      </c>
      <c r="R29" s="1206">
        <v>104.524913352</v>
      </c>
      <c r="S29" s="1206">
        <v>0</v>
      </c>
      <c r="T29" s="1206">
        <v>699.04487872097377</v>
      </c>
      <c r="U29" s="1206">
        <v>0</v>
      </c>
      <c r="V29" s="1206">
        <v>0</v>
      </c>
      <c r="W29" s="1206">
        <v>0</v>
      </c>
      <c r="X29" s="1207">
        <f>SUM(M29:W29)</f>
        <v>7653.6220933853774</v>
      </c>
    </row>
    <row r="30" spans="1:26">
      <c r="A30" s="385"/>
      <c r="B30" s="383" t="s">
        <v>273</v>
      </c>
      <c r="C30" s="1206">
        <v>29.335823999999999</v>
      </c>
      <c r="D30" s="1206">
        <v>0</v>
      </c>
      <c r="E30" s="1206">
        <v>0</v>
      </c>
      <c r="F30" s="1206">
        <v>0</v>
      </c>
      <c r="G30" s="1206">
        <v>7.1928000000000006E-2</v>
      </c>
      <c r="H30" s="1206">
        <v>230.12681102370135</v>
      </c>
      <c r="I30" s="1206">
        <v>0</v>
      </c>
      <c r="J30" s="1206">
        <v>0</v>
      </c>
      <c r="K30" s="1206">
        <v>11.1741245</v>
      </c>
      <c r="L30" s="1216">
        <v>0</v>
      </c>
      <c r="M30" s="1207">
        <f>SUM(C30:L30)</f>
        <v>270.70868752370137</v>
      </c>
      <c r="N30" s="1206">
        <v>1352.1996366686533</v>
      </c>
      <c r="O30" s="1206">
        <v>34.469910000000013</v>
      </c>
      <c r="P30" s="1206">
        <v>0</v>
      </c>
      <c r="Q30" s="1206">
        <v>0</v>
      </c>
      <c r="R30" s="1206">
        <v>0</v>
      </c>
      <c r="S30" s="1206">
        <v>0</v>
      </c>
      <c r="T30" s="1206">
        <v>158.99697212800001</v>
      </c>
      <c r="U30" s="1206">
        <v>0</v>
      </c>
      <c r="V30" s="1206">
        <v>0</v>
      </c>
      <c r="W30" s="1206">
        <v>0</v>
      </c>
      <c r="X30" s="1207">
        <f>SUM(M30:W30)</f>
        <v>1816.3752063203547</v>
      </c>
    </row>
    <row r="31" spans="1:26">
      <c r="A31" s="385"/>
      <c r="B31" s="383" t="s">
        <v>274</v>
      </c>
      <c r="C31" s="1206">
        <v>113.46902616000003</v>
      </c>
      <c r="D31" s="1206">
        <v>1.5225</v>
      </c>
      <c r="E31" s="1206">
        <v>0</v>
      </c>
      <c r="F31" s="1206">
        <v>0</v>
      </c>
      <c r="G31" s="1206">
        <v>622.1107565100001</v>
      </c>
      <c r="H31" s="1206">
        <v>8621.9280542385277</v>
      </c>
      <c r="I31" s="1206">
        <v>0</v>
      </c>
      <c r="J31" s="1206">
        <v>0</v>
      </c>
      <c r="K31" s="1206">
        <v>0</v>
      </c>
      <c r="L31" s="1216">
        <v>0</v>
      </c>
      <c r="M31" s="1207">
        <f>SUM(C31:L31)</f>
        <v>9359.0303369085286</v>
      </c>
      <c r="N31" s="1206">
        <v>7124.322660394354</v>
      </c>
      <c r="O31" s="1206">
        <v>6.7598500000000001</v>
      </c>
      <c r="P31" s="1206">
        <v>0</v>
      </c>
      <c r="Q31" s="1206">
        <v>0</v>
      </c>
      <c r="R31" s="1206">
        <v>107.080708</v>
      </c>
      <c r="S31" s="1206">
        <v>0</v>
      </c>
      <c r="T31" s="1206">
        <v>3837.3445778116561</v>
      </c>
      <c r="U31" s="1206">
        <v>0</v>
      </c>
      <c r="V31" s="1206">
        <v>0</v>
      </c>
      <c r="W31" s="1206">
        <v>29067.4056406364</v>
      </c>
      <c r="X31" s="1207">
        <f>SUM(M31:W31)</f>
        <v>49501.943773750936</v>
      </c>
    </row>
    <row r="32" spans="1:26">
      <c r="A32" s="383"/>
      <c r="B32" s="383"/>
      <c r="C32" s="372"/>
      <c r="D32" s="372"/>
      <c r="E32" s="372"/>
      <c r="F32" s="372"/>
      <c r="G32" s="372"/>
      <c r="H32" s="372"/>
      <c r="I32" s="372"/>
      <c r="J32" s="372"/>
      <c r="K32" s="372"/>
      <c r="L32" s="384"/>
      <c r="M32" s="372"/>
      <c r="N32" s="372"/>
      <c r="O32" s="372"/>
      <c r="P32" s="372"/>
      <c r="Q32" s="372"/>
      <c r="R32" s="372"/>
      <c r="S32" s="372"/>
      <c r="T32" s="372"/>
      <c r="U32" s="372"/>
      <c r="V32" s="372"/>
      <c r="W32" s="372"/>
      <c r="X32" s="372"/>
    </row>
    <row r="33" spans="1:26">
      <c r="A33" s="383" t="s">
        <v>275</v>
      </c>
      <c r="B33" s="383"/>
      <c r="C33" s="1209">
        <f>SUM(C28:C31)</f>
        <v>1091.43969816</v>
      </c>
      <c r="D33" s="1209">
        <f t="shared" ref="D33:X33" si="4">SUM(D28:D31)</f>
        <v>53.045999999999999</v>
      </c>
      <c r="E33" s="1209">
        <f t="shared" si="4"/>
        <v>0</v>
      </c>
      <c r="F33" s="1209">
        <f t="shared" si="4"/>
        <v>0</v>
      </c>
      <c r="G33" s="1209">
        <f t="shared" si="4"/>
        <v>636.92792451000014</v>
      </c>
      <c r="H33" s="1209">
        <f t="shared" si="4"/>
        <v>9946.6521647498903</v>
      </c>
      <c r="I33" s="1209">
        <f t="shared" si="4"/>
        <v>0</v>
      </c>
      <c r="J33" s="1209">
        <f t="shared" si="4"/>
        <v>0</v>
      </c>
      <c r="K33" s="1209">
        <f t="shared" si="4"/>
        <v>11.1741245</v>
      </c>
      <c r="L33" s="1222">
        <f t="shared" si="4"/>
        <v>0</v>
      </c>
      <c r="M33" s="1209">
        <f t="shared" si="4"/>
        <v>11739.239911919891</v>
      </c>
      <c r="N33" s="1209">
        <f t="shared" si="4"/>
        <v>13216.358710887751</v>
      </c>
      <c r="O33" s="1209">
        <f t="shared" si="4"/>
        <v>41.944760000000016</v>
      </c>
      <c r="P33" s="1209">
        <f t="shared" si="4"/>
        <v>0</v>
      </c>
      <c r="Q33" s="1209">
        <f>SUM(Q28:Q31)</f>
        <v>0</v>
      </c>
      <c r="R33" s="1209">
        <f t="shared" si="4"/>
        <v>211.60562135200001</v>
      </c>
      <c r="S33" s="1209">
        <f>SUM(S28:S31)</f>
        <v>0</v>
      </c>
      <c r="T33" s="1209">
        <f t="shared" si="4"/>
        <v>4695.3864286606295</v>
      </c>
      <c r="U33" s="1209">
        <f t="shared" si="4"/>
        <v>0</v>
      </c>
      <c r="V33" s="1209">
        <f t="shared" si="4"/>
        <v>0</v>
      </c>
      <c r="W33" s="1209">
        <f>SUM(W28:W31)</f>
        <v>29067.4056406364</v>
      </c>
      <c r="X33" s="1209">
        <f t="shared" si="4"/>
        <v>58971.94107345667</v>
      </c>
    </row>
    <row r="34" spans="1:26" s="1221" customFormat="1">
      <c r="A34" s="1223"/>
      <c r="B34" s="1223"/>
      <c r="C34" s="1224"/>
      <c r="D34" s="1224"/>
      <c r="E34" s="1224"/>
      <c r="F34" s="1224"/>
      <c r="G34" s="1224"/>
      <c r="H34" s="1224"/>
      <c r="I34" s="1224"/>
      <c r="J34" s="1224"/>
      <c r="K34" s="1224"/>
      <c r="L34" s="1224"/>
      <c r="M34" s="1224"/>
      <c r="N34" s="1224"/>
      <c r="O34" s="1224"/>
      <c r="P34" s="1224"/>
      <c r="Q34" s="1224"/>
      <c r="R34" s="1224"/>
      <c r="S34" s="1224"/>
      <c r="T34" s="1224"/>
      <c r="U34" s="1224"/>
      <c r="V34" s="1224"/>
      <c r="W34" s="1224"/>
      <c r="X34" s="1224"/>
    </row>
    <row r="35" spans="1:26" s="1221" customFormat="1">
      <c r="A35" s="385" t="s">
        <v>742</v>
      </c>
      <c r="B35" s="1223"/>
      <c r="C35" s="1224"/>
      <c r="D35" s="1224"/>
      <c r="E35" s="1224"/>
      <c r="F35" s="1224"/>
      <c r="G35" s="1224"/>
      <c r="H35" s="1224"/>
      <c r="I35" s="1224"/>
      <c r="J35" s="1224"/>
      <c r="K35" s="1224"/>
      <c r="L35" s="1224"/>
      <c r="M35" s="1224"/>
      <c r="N35" s="1224"/>
      <c r="O35" s="1224"/>
      <c r="P35" s="1224"/>
      <c r="Q35" s="1224"/>
      <c r="R35" s="1224"/>
      <c r="S35" s="1224"/>
      <c r="T35" s="1224"/>
      <c r="U35" s="1224"/>
      <c r="V35" s="1224"/>
      <c r="W35" s="1224"/>
      <c r="X35" s="1224"/>
    </row>
    <row r="36" spans="1:26" s="1221" customFormat="1">
      <c r="A36" s="1223"/>
      <c r="B36" s="1223" t="s">
        <v>278</v>
      </c>
      <c r="C36" s="1216">
        <v>0</v>
      </c>
      <c r="D36" s="1216">
        <v>0</v>
      </c>
      <c r="E36" s="1216">
        <v>0</v>
      </c>
      <c r="F36" s="1216">
        <v>0</v>
      </c>
      <c r="G36" s="1216">
        <v>0</v>
      </c>
      <c r="H36" s="1216">
        <v>0</v>
      </c>
      <c r="I36" s="1216">
        <v>0</v>
      </c>
      <c r="J36" s="1216">
        <v>0</v>
      </c>
      <c r="K36" s="1216">
        <v>0</v>
      </c>
      <c r="L36" s="1216">
        <v>0</v>
      </c>
      <c r="M36" s="1207">
        <f t="shared" ref="M36:M42" si="5">SUM(C36:L36)</f>
        <v>0</v>
      </c>
      <c r="N36" s="1206">
        <v>47.832241086411997</v>
      </c>
      <c r="O36" s="1206">
        <v>0</v>
      </c>
      <c r="P36" s="1206">
        <v>0</v>
      </c>
      <c r="Q36" s="1206">
        <v>0</v>
      </c>
      <c r="R36" s="1206">
        <v>0</v>
      </c>
      <c r="S36" s="1206">
        <v>0</v>
      </c>
      <c r="T36" s="1206">
        <v>0</v>
      </c>
      <c r="U36" s="1206">
        <v>0</v>
      </c>
      <c r="V36" s="1206">
        <v>0</v>
      </c>
      <c r="W36" s="1206">
        <v>0</v>
      </c>
      <c r="X36" s="1207">
        <f t="shared" ref="X36:X42" si="6">SUM(M36:W36)</f>
        <v>47.832241086411997</v>
      </c>
    </row>
    <row r="37" spans="1:26" s="1221" customFormat="1">
      <c r="A37" s="1223"/>
      <c r="B37" s="1223" t="s">
        <v>297</v>
      </c>
      <c r="C37" s="1216">
        <v>0</v>
      </c>
      <c r="D37" s="1216">
        <v>0</v>
      </c>
      <c r="E37" s="1216">
        <v>0</v>
      </c>
      <c r="F37" s="1216">
        <v>0</v>
      </c>
      <c r="G37" s="1216">
        <v>0</v>
      </c>
      <c r="H37" s="1216">
        <v>0</v>
      </c>
      <c r="I37" s="1216">
        <v>0</v>
      </c>
      <c r="J37" s="1216">
        <v>0</v>
      </c>
      <c r="K37" s="1216">
        <v>0</v>
      </c>
      <c r="L37" s="1216">
        <v>0</v>
      </c>
      <c r="M37" s="1207">
        <f t="shared" si="5"/>
        <v>0</v>
      </c>
      <c r="N37" s="1206">
        <v>974.65577744559221</v>
      </c>
      <c r="O37" s="1206">
        <v>0</v>
      </c>
      <c r="P37" s="1206">
        <v>0</v>
      </c>
      <c r="Q37" s="1206">
        <v>0</v>
      </c>
      <c r="R37" s="1206">
        <v>0</v>
      </c>
      <c r="S37" s="1206">
        <v>0</v>
      </c>
      <c r="T37" s="1206">
        <v>0</v>
      </c>
      <c r="U37" s="1206">
        <v>0</v>
      </c>
      <c r="V37" s="1206">
        <v>0</v>
      </c>
      <c r="W37" s="1206">
        <v>0</v>
      </c>
      <c r="X37" s="1207">
        <f t="shared" si="6"/>
        <v>974.65577744559221</v>
      </c>
    </row>
    <row r="38" spans="1:26" s="1221" customFormat="1">
      <c r="A38" s="1223"/>
      <c r="B38" s="1223" t="s">
        <v>279</v>
      </c>
      <c r="C38" s="1216">
        <v>1.8214798159999996</v>
      </c>
      <c r="D38" s="1216">
        <v>0</v>
      </c>
      <c r="E38" s="1216">
        <v>0</v>
      </c>
      <c r="F38" s="1216">
        <v>0</v>
      </c>
      <c r="G38" s="1216">
        <v>0</v>
      </c>
      <c r="H38" s="1216">
        <f>H77</f>
        <v>12.301005200000004</v>
      </c>
      <c r="I38" s="1216">
        <v>0</v>
      </c>
      <c r="J38" s="1216">
        <v>0</v>
      </c>
      <c r="K38" s="1216">
        <v>5.4257E-2</v>
      </c>
      <c r="L38" s="1216">
        <v>0</v>
      </c>
      <c r="M38" s="1207">
        <f t="shared" si="5"/>
        <v>14.176742016000004</v>
      </c>
      <c r="N38" s="1206">
        <v>7.8250511072727269</v>
      </c>
      <c r="O38" s="1206">
        <v>0</v>
      </c>
      <c r="P38" s="1206">
        <v>0</v>
      </c>
      <c r="Q38" s="1216">
        <v>0</v>
      </c>
      <c r="R38" s="1216">
        <v>0</v>
      </c>
      <c r="S38" s="1206">
        <v>0</v>
      </c>
      <c r="T38" s="1206">
        <f>T78</f>
        <v>9.2967236599999996</v>
      </c>
      <c r="U38" s="1206">
        <v>0</v>
      </c>
      <c r="V38" s="1206">
        <v>0</v>
      </c>
      <c r="W38" s="1206">
        <v>0</v>
      </c>
      <c r="X38" s="1207">
        <f t="shared" si="6"/>
        <v>31.298516783272731</v>
      </c>
    </row>
    <row r="39" spans="1:26" s="1221" customFormat="1">
      <c r="A39" s="1223"/>
      <c r="B39" s="1223" t="s">
        <v>296</v>
      </c>
      <c r="C39" s="1216">
        <v>0</v>
      </c>
      <c r="D39" s="1216">
        <f>D75</f>
        <v>73.260000000000005</v>
      </c>
      <c r="E39" s="1216">
        <v>0</v>
      </c>
      <c r="F39" s="1216">
        <v>0</v>
      </c>
      <c r="G39" s="1216">
        <v>0</v>
      </c>
      <c r="H39" s="1216">
        <v>0</v>
      </c>
      <c r="I39" s="1216">
        <v>0</v>
      </c>
      <c r="J39" s="1216">
        <v>0</v>
      </c>
      <c r="K39" s="1216">
        <v>0</v>
      </c>
      <c r="L39" s="1216">
        <v>0</v>
      </c>
      <c r="M39" s="1207">
        <f t="shared" si="5"/>
        <v>73.260000000000005</v>
      </c>
      <c r="N39" s="1206">
        <v>0</v>
      </c>
      <c r="O39" s="1275">
        <v>0</v>
      </c>
      <c r="P39" s="1206">
        <v>0</v>
      </c>
      <c r="Q39" s="1206">
        <v>170.125</v>
      </c>
      <c r="R39" s="1216">
        <f>R76</f>
        <v>257.72800000000001</v>
      </c>
      <c r="S39" s="1206">
        <f>S76</f>
        <v>909.49699999999996</v>
      </c>
      <c r="T39" s="1206">
        <v>0</v>
      </c>
      <c r="U39" s="1206">
        <v>0</v>
      </c>
      <c r="V39" s="1206">
        <v>0</v>
      </c>
      <c r="W39" s="1206">
        <v>0</v>
      </c>
      <c r="X39" s="1207">
        <f t="shared" si="6"/>
        <v>1410.61</v>
      </c>
    </row>
    <row r="40" spans="1:26" s="1221" customFormat="1">
      <c r="A40" s="1223"/>
      <c r="B40" s="1223" t="s">
        <v>280</v>
      </c>
      <c r="C40" s="1216">
        <v>16.028347103999998</v>
      </c>
      <c r="D40" s="1216">
        <v>267.582042</v>
      </c>
      <c r="E40" s="1216">
        <v>0</v>
      </c>
      <c r="F40" s="1216">
        <v>0</v>
      </c>
      <c r="G40" s="1216">
        <v>2.2549428000000002</v>
      </c>
      <c r="H40" s="1216">
        <v>0.56765940000000004</v>
      </c>
      <c r="I40" s="1216">
        <v>0</v>
      </c>
      <c r="J40" s="1216">
        <v>0</v>
      </c>
      <c r="K40" s="1216">
        <v>1314.6800896999996</v>
      </c>
      <c r="L40" s="1216">
        <v>2868.3589619999998</v>
      </c>
      <c r="M40" s="1207">
        <f t="shared" si="5"/>
        <v>4469.4720430039997</v>
      </c>
      <c r="N40" s="1206">
        <v>504.195922854</v>
      </c>
      <c r="O40" s="1206">
        <v>0</v>
      </c>
      <c r="P40" s="1206">
        <v>0</v>
      </c>
      <c r="Q40" s="1206">
        <v>0</v>
      </c>
      <c r="R40" s="1206">
        <v>0</v>
      </c>
      <c r="S40" s="1206">
        <v>0</v>
      </c>
      <c r="T40" s="1206">
        <v>6040.806957818505</v>
      </c>
      <c r="U40" s="1206">
        <v>0</v>
      </c>
      <c r="V40" s="1206">
        <v>0</v>
      </c>
      <c r="W40" s="1206">
        <v>0</v>
      </c>
      <c r="X40" s="1207">
        <f t="shared" si="6"/>
        <v>11014.474923676506</v>
      </c>
    </row>
    <row r="41" spans="1:26" s="1221" customFormat="1">
      <c r="A41" s="1223"/>
      <c r="B41" s="1223" t="s">
        <v>281</v>
      </c>
      <c r="C41" s="1216">
        <v>1.7848065479999997</v>
      </c>
      <c r="D41" s="1216">
        <v>0</v>
      </c>
      <c r="E41" s="1216">
        <v>0</v>
      </c>
      <c r="F41" s="1216">
        <v>0</v>
      </c>
      <c r="G41" s="1216">
        <v>0</v>
      </c>
      <c r="H41" s="1216">
        <v>0</v>
      </c>
      <c r="I41" s="1216">
        <v>0</v>
      </c>
      <c r="J41" s="1216">
        <v>0</v>
      </c>
      <c r="K41" s="1216">
        <v>0</v>
      </c>
      <c r="L41" s="1216">
        <v>0</v>
      </c>
      <c r="M41" s="1207">
        <f t="shared" si="5"/>
        <v>1.7848065479999997</v>
      </c>
      <c r="N41" s="1206">
        <v>4.7713221400000005</v>
      </c>
      <c r="O41" s="1206">
        <v>1.2143351533071365</v>
      </c>
      <c r="P41" s="1206">
        <v>0</v>
      </c>
      <c r="Q41" s="1206">
        <v>0</v>
      </c>
      <c r="R41" s="1206">
        <v>0</v>
      </c>
      <c r="S41" s="1206">
        <v>0</v>
      </c>
      <c r="T41" s="1206">
        <v>0</v>
      </c>
      <c r="U41" s="1206">
        <v>0</v>
      </c>
      <c r="V41" s="1206">
        <v>0</v>
      </c>
      <c r="W41" s="1206">
        <v>0</v>
      </c>
      <c r="X41" s="1207">
        <f t="shared" si="6"/>
        <v>7.7704638413071372</v>
      </c>
    </row>
    <row r="42" spans="1:26" s="1221" customFormat="1">
      <c r="A42" s="1223"/>
      <c r="B42" s="1223" t="s">
        <v>282</v>
      </c>
      <c r="C42" s="1216">
        <v>0</v>
      </c>
      <c r="D42" s="1216">
        <v>0</v>
      </c>
      <c r="E42" s="1216">
        <v>0</v>
      </c>
      <c r="F42" s="1216">
        <v>0</v>
      </c>
      <c r="G42" s="1216">
        <v>0</v>
      </c>
      <c r="H42" s="1216">
        <v>0</v>
      </c>
      <c r="I42" s="1216">
        <v>0</v>
      </c>
      <c r="J42" s="1216">
        <v>0</v>
      </c>
      <c r="K42" s="1216">
        <v>0</v>
      </c>
      <c r="L42" s="1216">
        <v>0</v>
      </c>
      <c r="M42" s="1207">
        <f t="shared" si="5"/>
        <v>0</v>
      </c>
      <c r="N42" s="1206">
        <v>225.34721943</v>
      </c>
      <c r="O42" s="1206">
        <v>0</v>
      </c>
      <c r="P42" s="1206">
        <v>0</v>
      </c>
      <c r="Q42" s="1206">
        <v>0</v>
      </c>
      <c r="R42" s="1206">
        <v>0</v>
      </c>
      <c r="S42" s="1206">
        <v>0</v>
      </c>
      <c r="T42" s="1206">
        <v>0</v>
      </c>
      <c r="U42" s="1206">
        <v>508.42035540000006</v>
      </c>
      <c r="V42" s="1206">
        <v>0</v>
      </c>
      <c r="W42" s="1206">
        <v>0</v>
      </c>
      <c r="X42" s="1207">
        <f t="shared" si="6"/>
        <v>733.76757483000006</v>
      </c>
    </row>
    <row r="43" spans="1:26" s="1221" customFormat="1">
      <c r="A43" s="1223"/>
      <c r="B43" s="1223"/>
      <c r="C43" s="1224"/>
      <c r="D43" s="1224"/>
      <c r="E43" s="1224"/>
      <c r="F43" s="1224"/>
      <c r="G43" s="1224"/>
      <c r="H43" s="1224"/>
      <c r="I43" s="1224"/>
      <c r="J43" s="1224"/>
      <c r="K43" s="1224"/>
      <c r="L43" s="1224"/>
      <c r="M43" s="1224"/>
      <c r="N43" s="1224"/>
      <c r="O43" s="1224"/>
      <c r="P43" s="1224"/>
      <c r="Q43" s="1224"/>
      <c r="R43" s="1224"/>
      <c r="S43" s="1224"/>
      <c r="T43" s="1224"/>
      <c r="U43" s="1224"/>
      <c r="V43" s="1224"/>
      <c r="W43" s="1224"/>
      <c r="X43" s="1224"/>
    </row>
    <row r="44" spans="1:26" s="1221" customFormat="1">
      <c r="A44" s="1223" t="s">
        <v>743</v>
      </c>
      <c r="B44" s="1223"/>
      <c r="C44" s="1222">
        <f>SUM(C36:C42)</f>
        <v>19.634633467999997</v>
      </c>
      <c r="D44" s="1222">
        <f t="shared" ref="D44:X44" si="7">SUM(D36:D42)</f>
        <v>340.84204199999999</v>
      </c>
      <c r="E44" s="1222">
        <f t="shared" si="7"/>
        <v>0</v>
      </c>
      <c r="F44" s="1222">
        <f t="shared" si="7"/>
        <v>0</v>
      </c>
      <c r="G44" s="1222">
        <f t="shared" si="7"/>
        <v>2.2549428000000002</v>
      </c>
      <c r="H44" s="1222">
        <f t="shared" si="7"/>
        <v>12.868664600000004</v>
      </c>
      <c r="I44" s="1222">
        <f t="shared" si="7"/>
        <v>0</v>
      </c>
      <c r="J44" s="1222">
        <f t="shared" si="7"/>
        <v>0</v>
      </c>
      <c r="K44" s="1222">
        <f t="shared" si="7"/>
        <v>1314.7343466999996</v>
      </c>
      <c r="L44" s="1222">
        <f t="shared" si="7"/>
        <v>2868.3589619999998</v>
      </c>
      <c r="M44" s="1222">
        <f t="shared" si="7"/>
        <v>4558.6935915679996</v>
      </c>
      <c r="N44" s="1222">
        <f t="shared" si="7"/>
        <v>1764.6275340632767</v>
      </c>
      <c r="O44" s="1222">
        <f t="shared" si="7"/>
        <v>1.2143351533071365</v>
      </c>
      <c r="P44" s="1222">
        <f t="shared" si="7"/>
        <v>0</v>
      </c>
      <c r="Q44" s="1222">
        <f t="shared" si="7"/>
        <v>170.125</v>
      </c>
      <c r="R44" s="1222">
        <f t="shared" si="7"/>
        <v>257.72800000000001</v>
      </c>
      <c r="S44" s="1222">
        <f t="shared" si="7"/>
        <v>909.49699999999996</v>
      </c>
      <c r="T44" s="1222">
        <f t="shared" si="7"/>
        <v>6050.1036814785048</v>
      </c>
      <c r="U44" s="1222">
        <f t="shared" si="7"/>
        <v>508.42035540000006</v>
      </c>
      <c r="V44" s="1222">
        <f t="shared" si="7"/>
        <v>0</v>
      </c>
      <c r="W44" s="1222">
        <f t="shared" si="7"/>
        <v>0</v>
      </c>
      <c r="X44" s="1222">
        <f t="shared" si="7"/>
        <v>14220.409497663091</v>
      </c>
      <c r="Y44" s="1313"/>
      <c r="Z44" s="1313"/>
    </row>
    <row r="45" spans="1:26" s="1221" customFormat="1">
      <c r="A45" s="1223"/>
      <c r="B45" s="1223"/>
      <c r="C45" s="1224"/>
      <c r="D45" s="1224"/>
      <c r="E45" s="1224"/>
      <c r="F45" s="1224"/>
      <c r="G45" s="1224"/>
      <c r="H45" s="1224"/>
      <c r="I45" s="1224"/>
      <c r="J45" s="1224"/>
      <c r="K45" s="1224"/>
      <c r="L45" s="1224"/>
      <c r="M45" s="1224"/>
      <c r="N45" s="1224"/>
      <c r="O45" s="1224"/>
      <c r="P45" s="1224"/>
      <c r="Q45" s="1224"/>
      <c r="R45" s="1224"/>
      <c r="S45" s="1224"/>
      <c r="T45" s="1224"/>
      <c r="U45" s="1224"/>
      <c r="V45" s="1224"/>
      <c r="W45" s="1224"/>
      <c r="X45" s="1224"/>
    </row>
    <row r="46" spans="1:26">
      <c r="A46" s="383"/>
      <c r="B46" s="383"/>
      <c r="C46" s="372"/>
      <c r="D46" s="372"/>
      <c r="E46" s="372"/>
      <c r="F46" s="372"/>
      <c r="G46" s="372"/>
      <c r="H46" s="372"/>
      <c r="I46" s="372"/>
      <c r="J46" s="372"/>
      <c r="K46" s="372"/>
      <c r="L46" s="384"/>
      <c r="M46" s="372"/>
      <c r="N46" s="372"/>
      <c r="O46" s="372"/>
      <c r="P46" s="372"/>
      <c r="Q46" s="372"/>
      <c r="R46" s="372"/>
      <c r="S46" s="372"/>
      <c r="T46" s="372"/>
      <c r="U46" s="372"/>
      <c r="V46" s="372"/>
      <c r="W46" s="372"/>
      <c r="X46" s="372"/>
    </row>
    <row r="47" spans="1:26">
      <c r="A47" s="385" t="s">
        <v>276</v>
      </c>
      <c r="B47" s="383"/>
      <c r="C47" s="1209">
        <f>C33+C26+C12+C44</f>
        <v>51890.044040407985</v>
      </c>
      <c r="D47" s="1209">
        <f t="shared" ref="D47:X47" si="8">D33+D26+D12+D44</f>
        <v>18789.719808327303</v>
      </c>
      <c r="E47" s="1209">
        <f t="shared" si="8"/>
        <v>23592.385768223998</v>
      </c>
      <c r="F47" s="1209">
        <f t="shared" si="8"/>
        <v>0</v>
      </c>
      <c r="G47" s="1209">
        <f t="shared" si="8"/>
        <v>1043.4355349850002</v>
      </c>
      <c r="H47" s="1209">
        <f t="shared" si="8"/>
        <v>11888.741832003301</v>
      </c>
      <c r="I47" s="1209">
        <f t="shared" si="8"/>
        <v>46.722899999999996</v>
      </c>
      <c r="J47" s="1209">
        <f t="shared" si="8"/>
        <v>6845.6389775310008</v>
      </c>
      <c r="K47" s="1209">
        <f t="shared" si="8"/>
        <v>1339.8282735999996</v>
      </c>
      <c r="L47" s="1209">
        <f t="shared" si="8"/>
        <v>2872.0259619999997</v>
      </c>
      <c r="M47" s="1209">
        <f t="shared" si="8"/>
        <v>118308.54309707858</v>
      </c>
      <c r="N47" s="1209">
        <f t="shared" si="8"/>
        <v>43082.506846937045</v>
      </c>
      <c r="O47" s="1209">
        <f t="shared" si="8"/>
        <v>4453.9649791243801</v>
      </c>
      <c r="P47" s="1209">
        <f t="shared" si="8"/>
        <v>2679.1090900000013</v>
      </c>
      <c r="Q47" s="1209">
        <f t="shared" si="8"/>
        <v>170.125</v>
      </c>
      <c r="R47" s="1209">
        <f t="shared" si="8"/>
        <v>1302.7667982289599</v>
      </c>
      <c r="S47" s="1209">
        <f t="shared" si="8"/>
        <v>1201.0615857</v>
      </c>
      <c r="T47" s="1209">
        <f t="shared" si="8"/>
        <v>20048.598562868359</v>
      </c>
      <c r="U47" s="1209">
        <f t="shared" si="8"/>
        <v>508.42035540000006</v>
      </c>
      <c r="V47" s="1209">
        <f t="shared" si="8"/>
        <v>0</v>
      </c>
      <c r="W47" s="1209">
        <f t="shared" si="8"/>
        <v>40277.563908580538</v>
      </c>
      <c r="X47" s="1209">
        <f t="shared" si="8"/>
        <v>232032.66022391786</v>
      </c>
    </row>
    <row r="48" spans="1:26">
      <c r="A48" s="371"/>
      <c r="B48" s="383"/>
      <c r="C48" s="372"/>
      <c r="D48" s="372"/>
      <c r="E48" s="372"/>
      <c r="F48" s="372"/>
      <c r="G48" s="372"/>
      <c r="H48" s="372"/>
      <c r="I48" s="372"/>
      <c r="J48" s="372"/>
      <c r="K48" s="372"/>
      <c r="L48" s="384"/>
      <c r="M48" s="372"/>
      <c r="N48" s="372"/>
      <c r="O48" s="372"/>
      <c r="P48" s="372"/>
      <c r="Q48" s="372"/>
      <c r="R48" s="372"/>
      <c r="S48" s="372"/>
      <c r="T48" s="372"/>
      <c r="U48" s="372"/>
      <c r="V48" s="372"/>
      <c r="W48" s="372"/>
      <c r="X48" s="372"/>
    </row>
    <row r="49" spans="1:26">
      <c r="A49" s="385" t="s">
        <v>277</v>
      </c>
      <c r="B49" s="383" t="s">
        <v>278</v>
      </c>
      <c r="C49" s="1216">
        <v>187.51875603999997</v>
      </c>
      <c r="D49" s="1216">
        <v>764.99482450019991</v>
      </c>
      <c r="E49" s="1216">
        <v>0</v>
      </c>
      <c r="F49" s="1216">
        <v>0</v>
      </c>
      <c r="G49" s="1216">
        <v>0</v>
      </c>
      <c r="H49" s="1216">
        <v>0.376189</v>
      </c>
      <c r="I49" s="1216">
        <v>0</v>
      </c>
      <c r="J49" s="1216">
        <v>0</v>
      </c>
      <c r="K49" s="1216">
        <v>0</v>
      </c>
      <c r="L49" s="1216">
        <v>210.24722800000001</v>
      </c>
      <c r="M49" s="1207">
        <f t="shared" ref="M49:M55" si="9">SUM(C49:L49)</f>
        <v>1163.1369975401999</v>
      </c>
      <c r="N49" s="1206">
        <v>0</v>
      </c>
      <c r="O49" s="1206">
        <v>91.474114166439023</v>
      </c>
      <c r="P49" s="1206">
        <v>0</v>
      </c>
      <c r="Q49" s="1206">
        <v>0</v>
      </c>
      <c r="R49" s="1206">
        <v>0</v>
      </c>
      <c r="S49" s="1206">
        <v>0</v>
      </c>
      <c r="T49" s="1206">
        <v>4188.0372251108301</v>
      </c>
      <c r="U49" s="1206">
        <v>0</v>
      </c>
      <c r="V49" s="1206">
        <v>0</v>
      </c>
      <c r="W49" s="1206">
        <v>5507.5395755793797</v>
      </c>
      <c r="X49" s="1207">
        <f t="shared" ref="X49:X55" si="10">SUM(M49:W49)</f>
        <v>10950.187912396848</v>
      </c>
    </row>
    <row r="50" spans="1:26">
      <c r="A50" s="385" t="s">
        <v>741</v>
      </c>
      <c r="B50" s="383" t="s">
        <v>297</v>
      </c>
      <c r="C50" s="1216">
        <v>2286.4727150999984</v>
      </c>
      <c r="D50" s="1216">
        <v>483.03150000000005</v>
      </c>
      <c r="E50" s="1216">
        <v>0</v>
      </c>
      <c r="F50" s="1216">
        <v>0</v>
      </c>
      <c r="G50" s="1216">
        <v>0</v>
      </c>
      <c r="H50" s="1216">
        <v>0.18742476500000002</v>
      </c>
      <c r="I50" s="1216">
        <v>0</v>
      </c>
      <c r="J50" s="1216">
        <v>0</v>
      </c>
      <c r="K50" s="1216">
        <v>0.30113439999999997</v>
      </c>
      <c r="L50" s="1216">
        <v>0</v>
      </c>
      <c r="M50" s="1207">
        <f t="shared" si="9"/>
        <v>2769.9927742649984</v>
      </c>
      <c r="N50" s="1206">
        <v>0</v>
      </c>
      <c r="O50" s="1206">
        <v>17968.053017028706</v>
      </c>
      <c r="P50" s="1206">
        <v>5425.5394538333321</v>
      </c>
      <c r="Q50" s="1206">
        <v>0</v>
      </c>
      <c r="R50" s="1206">
        <v>0</v>
      </c>
      <c r="S50" s="1206">
        <v>0</v>
      </c>
      <c r="T50" s="1206">
        <v>25941.064121597545</v>
      </c>
      <c r="U50" s="1206">
        <v>0</v>
      </c>
      <c r="V50" s="1206">
        <v>0</v>
      </c>
      <c r="W50" s="1206">
        <v>202.4265805149692</v>
      </c>
      <c r="X50" s="1207">
        <f t="shared" si="10"/>
        <v>52307.075947239551</v>
      </c>
    </row>
    <row r="51" spans="1:26">
      <c r="A51" s="383"/>
      <c r="B51" s="383" t="s">
        <v>279</v>
      </c>
      <c r="C51" s="1216">
        <v>0</v>
      </c>
      <c r="D51" s="1216">
        <v>0</v>
      </c>
      <c r="E51" s="1216">
        <v>0</v>
      </c>
      <c r="F51" s="1216">
        <v>0</v>
      </c>
      <c r="G51" s="1216">
        <v>0</v>
      </c>
      <c r="H51" s="1216">
        <f>H76</f>
        <v>33.429516999999997</v>
      </c>
      <c r="I51" s="1216">
        <v>0</v>
      </c>
      <c r="J51" s="1216">
        <v>0</v>
      </c>
      <c r="K51" s="1216">
        <v>0</v>
      </c>
      <c r="L51" s="1216">
        <v>0</v>
      </c>
      <c r="M51" s="1207">
        <f t="shared" si="9"/>
        <v>33.429516999999997</v>
      </c>
      <c r="N51" s="1206">
        <v>0</v>
      </c>
      <c r="O51" s="1206">
        <v>0</v>
      </c>
      <c r="P51" s="1206">
        <v>1621.8689999999999</v>
      </c>
      <c r="Q51" s="1206">
        <v>0</v>
      </c>
      <c r="R51" s="1206">
        <v>0</v>
      </c>
      <c r="S51" s="1206">
        <v>0</v>
      </c>
      <c r="T51" s="1206">
        <f>T77</f>
        <v>261.99859115800001</v>
      </c>
      <c r="U51" s="1206">
        <v>0</v>
      </c>
      <c r="V51" s="1206">
        <v>0</v>
      </c>
      <c r="W51" s="1206">
        <v>0</v>
      </c>
      <c r="X51" s="1207">
        <f t="shared" si="10"/>
        <v>1917.2971081579999</v>
      </c>
    </row>
    <row r="52" spans="1:26">
      <c r="A52" s="383"/>
      <c r="B52" s="383" t="s">
        <v>296</v>
      </c>
      <c r="C52" s="1216">
        <v>0</v>
      </c>
      <c r="D52" s="1216">
        <v>0</v>
      </c>
      <c r="E52" s="1216">
        <v>0</v>
      </c>
      <c r="F52" s="1216">
        <v>0</v>
      </c>
      <c r="G52" s="1216">
        <v>0</v>
      </c>
      <c r="H52" s="1216">
        <v>0</v>
      </c>
      <c r="I52" s="1216">
        <v>0</v>
      </c>
      <c r="J52" s="1216">
        <v>0</v>
      </c>
      <c r="K52" s="1216">
        <v>0</v>
      </c>
      <c r="L52" s="1216">
        <v>0</v>
      </c>
      <c r="M52" s="1207">
        <f t="shared" si="9"/>
        <v>0</v>
      </c>
      <c r="N52" s="1206">
        <v>0</v>
      </c>
      <c r="O52" s="1206">
        <v>5061.8376000000007</v>
      </c>
      <c r="P52" s="1216">
        <v>0</v>
      </c>
      <c r="Q52" s="1206">
        <v>0</v>
      </c>
      <c r="R52" s="1206">
        <v>0</v>
      </c>
      <c r="S52" s="1206">
        <v>0</v>
      </c>
      <c r="T52" s="1206">
        <v>0</v>
      </c>
      <c r="U52" s="1206">
        <v>0</v>
      </c>
      <c r="V52" s="1206">
        <v>0</v>
      </c>
      <c r="W52" s="1206">
        <v>0</v>
      </c>
      <c r="X52" s="1207">
        <f t="shared" si="10"/>
        <v>5061.8376000000007</v>
      </c>
    </row>
    <row r="53" spans="1:26">
      <c r="A53" s="383"/>
      <c r="B53" s="383" t="s">
        <v>280</v>
      </c>
      <c r="C53" s="1216">
        <v>0</v>
      </c>
      <c r="D53" s="1216">
        <v>0</v>
      </c>
      <c r="E53" s="1216">
        <v>0</v>
      </c>
      <c r="F53" s="1216">
        <v>0</v>
      </c>
      <c r="G53" s="1216">
        <v>0</v>
      </c>
      <c r="H53" s="1216">
        <v>0</v>
      </c>
      <c r="I53" s="1216">
        <v>0</v>
      </c>
      <c r="J53" s="1216">
        <v>0</v>
      </c>
      <c r="K53" s="1216">
        <v>0</v>
      </c>
      <c r="L53" s="1216">
        <v>0</v>
      </c>
      <c r="M53" s="1207">
        <f t="shared" si="9"/>
        <v>0</v>
      </c>
      <c r="N53" s="1206">
        <v>0</v>
      </c>
      <c r="O53" s="1206">
        <v>0</v>
      </c>
      <c r="P53" s="1206">
        <v>0</v>
      </c>
      <c r="Q53" s="1206">
        <v>0</v>
      </c>
      <c r="R53" s="1206">
        <v>0</v>
      </c>
      <c r="S53" s="1206">
        <v>0</v>
      </c>
      <c r="T53" s="1206">
        <f>T76</f>
        <v>1980.1647014144305</v>
      </c>
      <c r="U53" s="1206">
        <v>0</v>
      </c>
      <c r="V53" s="1206">
        <v>0</v>
      </c>
      <c r="W53" s="1206">
        <v>0</v>
      </c>
      <c r="X53" s="1207">
        <f t="shared" si="10"/>
        <v>1980.1647014144305</v>
      </c>
    </row>
    <row r="54" spans="1:26">
      <c r="A54" s="383"/>
      <c r="B54" s="383" t="s">
        <v>281</v>
      </c>
      <c r="C54" s="1216">
        <v>0</v>
      </c>
      <c r="D54" s="1216">
        <v>0</v>
      </c>
      <c r="E54" s="1216">
        <v>0</v>
      </c>
      <c r="F54" s="1216">
        <v>0</v>
      </c>
      <c r="G54" s="1216">
        <v>0</v>
      </c>
      <c r="H54" s="1216">
        <v>0</v>
      </c>
      <c r="I54" s="1216">
        <v>0</v>
      </c>
      <c r="J54" s="1216">
        <v>0</v>
      </c>
      <c r="K54" s="1216">
        <v>0</v>
      </c>
      <c r="L54" s="1216">
        <v>0</v>
      </c>
      <c r="M54" s="1207">
        <f t="shared" si="9"/>
        <v>0</v>
      </c>
      <c r="N54" s="1206">
        <v>0</v>
      </c>
      <c r="O54" s="1206">
        <v>0</v>
      </c>
      <c r="P54" s="1206">
        <v>0</v>
      </c>
      <c r="Q54" s="1206">
        <v>0</v>
      </c>
      <c r="R54" s="1206">
        <v>0</v>
      </c>
      <c r="S54" s="1206">
        <v>0</v>
      </c>
      <c r="T54" s="1206">
        <v>0</v>
      </c>
      <c r="U54" s="1206">
        <v>0</v>
      </c>
      <c r="V54" s="1206">
        <v>0</v>
      </c>
      <c r="W54" s="1206">
        <v>0</v>
      </c>
      <c r="X54" s="1207">
        <f t="shared" si="10"/>
        <v>0</v>
      </c>
    </row>
    <row r="55" spans="1:26">
      <c r="A55" s="383"/>
      <c r="B55" s="383" t="s">
        <v>282</v>
      </c>
      <c r="C55" s="1216">
        <v>0</v>
      </c>
      <c r="D55" s="1216">
        <v>0</v>
      </c>
      <c r="E55" s="1216">
        <v>0</v>
      </c>
      <c r="F55" s="1216">
        <v>0</v>
      </c>
      <c r="G55" s="1216">
        <v>0</v>
      </c>
      <c r="H55" s="1216">
        <v>0</v>
      </c>
      <c r="I55" s="1216">
        <v>0</v>
      </c>
      <c r="J55" s="1216">
        <v>0</v>
      </c>
      <c r="K55" s="1216">
        <v>0</v>
      </c>
      <c r="L55" s="1216">
        <v>0</v>
      </c>
      <c r="M55" s="1207">
        <f t="shared" si="9"/>
        <v>0</v>
      </c>
      <c r="N55" s="1206">
        <v>0</v>
      </c>
      <c r="O55" s="1206">
        <v>0</v>
      </c>
      <c r="P55" s="1206">
        <v>0</v>
      </c>
      <c r="Q55" s="1206">
        <v>0</v>
      </c>
      <c r="R55" s="1206">
        <v>0</v>
      </c>
      <c r="S55" s="1206">
        <v>0</v>
      </c>
      <c r="T55" s="1206">
        <v>25158.834556999998</v>
      </c>
      <c r="U55" s="1206">
        <v>0</v>
      </c>
      <c r="V55" s="1206">
        <v>0</v>
      </c>
      <c r="W55" s="1206">
        <v>0</v>
      </c>
      <c r="X55" s="1207">
        <f t="shared" si="10"/>
        <v>25158.834556999998</v>
      </c>
    </row>
    <row r="56" spans="1:26">
      <c r="A56" s="383"/>
      <c r="B56" s="383"/>
      <c r="C56" s="372"/>
      <c r="D56" s="372"/>
      <c r="E56" s="372"/>
      <c r="F56" s="372"/>
      <c r="G56" s="372"/>
      <c r="H56" s="372"/>
      <c r="I56" s="372"/>
      <c r="J56" s="372"/>
      <c r="K56" s="372"/>
      <c r="L56" s="384"/>
      <c r="M56" s="372"/>
      <c r="N56" s="372"/>
      <c r="O56" s="372"/>
      <c r="P56" s="372"/>
      <c r="Q56" s="372"/>
      <c r="R56" s="372"/>
      <c r="S56" s="372"/>
      <c r="T56" s="372"/>
      <c r="U56" s="372"/>
      <c r="V56" s="372"/>
      <c r="W56" s="372"/>
      <c r="X56" s="372"/>
    </row>
    <row r="57" spans="1:26">
      <c r="A57" s="383" t="s">
        <v>283</v>
      </c>
      <c r="B57" s="383"/>
      <c r="C57" s="1209">
        <f>SUM(C49:C55)</f>
        <v>2473.9914711399983</v>
      </c>
      <c r="D57" s="1209">
        <f t="shared" ref="D57:X57" si="11">SUM(D49:D55)</f>
        <v>1248.0263245002</v>
      </c>
      <c r="E57" s="1209">
        <f t="shared" si="11"/>
        <v>0</v>
      </c>
      <c r="F57" s="1209">
        <f t="shared" si="11"/>
        <v>0</v>
      </c>
      <c r="G57" s="1209">
        <f t="shared" si="11"/>
        <v>0</v>
      </c>
      <c r="H57" s="1209">
        <f t="shared" si="11"/>
        <v>33.993130764999997</v>
      </c>
      <c r="I57" s="1209">
        <f t="shared" si="11"/>
        <v>0</v>
      </c>
      <c r="J57" s="1209">
        <f t="shared" si="11"/>
        <v>0</v>
      </c>
      <c r="K57" s="1209">
        <f t="shared" si="11"/>
        <v>0.30113439999999997</v>
      </c>
      <c r="L57" s="1209">
        <f t="shared" si="11"/>
        <v>210.24722800000001</v>
      </c>
      <c r="M57" s="1209">
        <f t="shared" si="11"/>
        <v>3966.5592888051983</v>
      </c>
      <c r="N57" s="1209">
        <f t="shared" si="11"/>
        <v>0</v>
      </c>
      <c r="O57" s="1209">
        <f t="shared" si="11"/>
        <v>23121.364731195143</v>
      </c>
      <c r="P57" s="1209">
        <f t="shared" si="11"/>
        <v>7047.4084538333318</v>
      </c>
      <c r="Q57" s="1209">
        <f t="shared" si="11"/>
        <v>0</v>
      </c>
      <c r="R57" s="1209">
        <f t="shared" si="11"/>
        <v>0</v>
      </c>
      <c r="S57" s="1209">
        <f t="shared" si="11"/>
        <v>0</v>
      </c>
      <c r="T57" s="1209">
        <f t="shared" si="11"/>
        <v>57530.099196280804</v>
      </c>
      <c r="U57" s="1209">
        <f t="shared" si="11"/>
        <v>0</v>
      </c>
      <c r="V57" s="1209">
        <f t="shared" si="11"/>
        <v>0</v>
      </c>
      <c r="W57" s="1209">
        <f t="shared" si="11"/>
        <v>5709.9661560943487</v>
      </c>
      <c r="X57" s="1209">
        <f t="shared" si="11"/>
        <v>97375.39782620882</v>
      </c>
    </row>
    <row r="58" spans="1:26">
      <c r="A58" s="383"/>
      <c r="B58" s="383"/>
      <c r="C58" s="372"/>
      <c r="D58" s="372"/>
      <c r="E58" s="372"/>
      <c r="F58" s="372"/>
      <c r="G58" s="372"/>
      <c r="H58" s="372"/>
      <c r="I58" s="372"/>
      <c r="J58" s="372"/>
      <c r="K58" s="372"/>
      <c r="L58" s="384"/>
      <c r="M58" s="372"/>
      <c r="N58" s="372"/>
      <c r="O58" s="372"/>
      <c r="P58" s="372"/>
      <c r="Q58" s="372"/>
      <c r="R58" s="372"/>
      <c r="S58" s="372"/>
      <c r="T58" s="372"/>
      <c r="U58" s="372"/>
      <c r="V58" s="372"/>
      <c r="W58" s="372"/>
      <c r="X58" s="372"/>
      <c r="Z58" s="405"/>
    </row>
    <row r="59" spans="1:26">
      <c r="A59" s="383"/>
      <c r="B59" s="383"/>
      <c r="C59" s="372"/>
      <c r="D59" s="372"/>
      <c r="E59" s="372"/>
      <c r="F59" s="372"/>
      <c r="G59" s="372"/>
      <c r="H59" s="372"/>
      <c r="I59" s="372"/>
      <c r="J59" s="372"/>
      <c r="K59" s="372"/>
      <c r="L59" s="384"/>
      <c r="M59" s="372"/>
      <c r="N59" s="372"/>
      <c r="O59" s="372"/>
      <c r="P59" s="372"/>
      <c r="Q59" s="372"/>
      <c r="R59" s="372"/>
      <c r="S59" s="372"/>
      <c r="T59" s="372"/>
      <c r="U59" s="372"/>
      <c r="V59" s="372"/>
      <c r="W59" s="372"/>
      <c r="X59" s="372"/>
    </row>
    <row r="60" spans="1:26">
      <c r="A60" s="385" t="s">
        <v>284</v>
      </c>
      <c r="B60" s="385"/>
      <c r="C60" s="1222">
        <f>C47+C57</f>
        <v>54364.035511547983</v>
      </c>
      <c r="D60" s="1222">
        <f t="shared" ref="D60:X60" si="12">D47+D57</f>
        <v>20037.746132827502</v>
      </c>
      <c r="E60" s="1222">
        <f t="shared" si="12"/>
        <v>23592.385768223998</v>
      </c>
      <c r="F60" s="1222">
        <f t="shared" si="12"/>
        <v>0</v>
      </c>
      <c r="G60" s="1222">
        <f t="shared" si="12"/>
        <v>1043.4355349850002</v>
      </c>
      <c r="H60" s="1222">
        <f t="shared" si="12"/>
        <v>11922.734962768302</v>
      </c>
      <c r="I60" s="1222">
        <f t="shared" si="12"/>
        <v>46.722899999999996</v>
      </c>
      <c r="J60" s="1222">
        <f t="shared" si="12"/>
        <v>6845.6389775310008</v>
      </c>
      <c r="K60" s="1222">
        <f t="shared" si="12"/>
        <v>1340.1294079999996</v>
      </c>
      <c r="L60" s="1222">
        <f t="shared" si="12"/>
        <v>3082.2731899999999</v>
      </c>
      <c r="M60" s="1209">
        <f t="shared" si="12"/>
        <v>122275.10238588379</v>
      </c>
      <c r="N60" s="1222">
        <f t="shared" si="12"/>
        <v>43082.506846937045</v>
      </c>
      <c r="O60" s="1222">
        <f t="shared" si="12"/>
        <v>27575.329710319522</v>
      </c>
      <c r="P60" s="1222">
        <f t="shared" si="12"/>
        <v>9726.5175438333335</v>
      </c>
      <c r="Q60" s="1222">
        <f>Q47+Q57</f>
        <v>170.125</v>
      </c>
      <c r="R60" s="1222">
        <f t="shared" si="12"/>
        <v>1302.7667982289599</v>
      </c>
      <c r="S60" s="1222">
        <f>S47+S57</f>
        <v>1201.0615857</v>
      </c>
      <c r="T60" s="1222">
        <f t="shared" si="12"/>
        <v>77578.69775914916</v>
      </c>
      <c r="U60" s="1222">
        <f t="shared" si="12"/>
        <v>508.42035540000006</v>
      </c>
      <c r="V60" s="1222">
        <f t="shared" si="12"/>
        <v>0</v>
      </c>
      <c r="W60" s="1222">
        <f>W47+W57</f>
        <v>45987.530064674887</v>
      </c>
      <c r="X60" s="1209">
        <f t="shared" si="12"/>
        <v>329408.05805012665</v>
      </c>
    </row>
    <row r="61" spans="1:26" ht="13.5" customHeight="1"/>
    <row r="75" spans="4:25" ht="13.5" customHeight="1">
      <c r="D75" s="1311">
        <v>73.260000000000005</v>
      </c>
      <c r="H75" s="1312">
        <f>H76+H77</f>
        <v>45.730522200000003</v>
      </c>
      <c r="I75" s="1301"/>
      <c r="T75" s="1300">
        <v>0.30260074225930472</v>
      </c>
      <c r="U75" s="1301"/>
    </row>
    <row r="76" spans="4:25">
      <c r="D76" s="1309" t="s">
        <v>792</v>
      </c>
      <c r="H76" s="1302">
        <v>33.429516999999997</v>
      </c>
      <c r="I76" s="1303" t="s">
        <v>786</v>
      </c>
      <c r="R76" s="1311">
        <v>257.72800000000001</v>
      </c>
      <c r="S76" s="1308">
        <v>909.49699999999996</v>
      </c>
      <c r="T76" s="1306">
        <v>1980.1647014144305</v>
      </c>
      <c r="U76" s="1303" t="s">
        <v>783</v>
      </c>
      <c r="Y76" s="405"/>
    </row>
    <row r="77" spans="4:25">
      <c r="D77" s="1310" t="s">
        <v>793</v>
      </c>
      <c r="H77" s="1304">
        <v>12.301005200000004</v>
      </c>
      <c r="I77" s="1305" t="s">
        <v>787</v>
      </c>
      <c r="R77" s="1309" t="s">
        <v>790</v>
      </c>
      <c r="S77" s="1309" t="s">
        <v>790</v>
      </c>
      <c r="T77" s="1306">
        <v>261.99859115800001</v>
      </c>
      <c r="U77" s="1303" t="s">
        <v>784</v>
      </c>
    </row>
    <row r="78" spans="4:25">
      <c r="R78" s="1309" t="s">
        <v>788</v>
      </c>
      <c r="S78" s="1309" t="s">
        <v>788</v>
      </c>
      <c r="T78" s="1307">
        <v>9.2967236599999996</v>
      </c>
      <c r="U78" s="1305" t="s">
        <v>785</v>
      </c>
    </row>
    <row r="79" spans="4:25">
      <c r="R79" s="1310" t="s">
        <v>789</v>
      </c>
      <c r="S79" s="1310" t="s">
        <v>789</v>
      </c>
    </row>
  </sheetData>
  <phoneticPr fontId="0" type="noConversion"/>
  <hyperlinks>
    <hyperlink ref="D1" location="INDICE!A60" display="VOLVER A INDICE"/>
  </hyperlinks>
  <pageMargins left="0.75" right="0.75" top="1" bottom="1" header="0" footer="0"/>
  <pageSetup orientation="portrait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9"/>
  <sheetViews>
    <sheetView zoomScale="75" workbookViewId="0">
      <pane xSplit="2" ySplit="7" topLeftCell="C8" activePane="bottomRight" state="frozen"/>
      <selection pane="topRight" activeCell="D1" sqref="D1"/>
      <selection pane="bottomLeft" activeCell="A11" sqref="A11"/>
      <selection pane="bottomRight" activeCell="N38" sqref="N38"/>
    </sheetView>
  </sheetViews>
  <sheetFormatPr baseColWidth="10" defaultRowHeight="12.75"/>
  <cols>
    <col min="1" max="1" width="4.5703125" style="22" customWidth="1"/>
    <col min="2" max="2" width="26.140625" style="22" customWidth="1"/>
    <col min="3" max="3" width="11.42578125" style="438"/>
    <col min="4" max="4" width="12.7109375" style="438" customWidth="1"/>
    <col min="5" max="12" width="11.42578125" style="438"/>
    <col min="13" max="13" width="12.5703125" style="438" bestFit="1" customWidth="1"/>
    <col min="14" max="25" width="11.42578125" style="438"/>
    <col min="26" max="16384" width="11.42578125" style="22"/>
  </cols>
  <sheetData>
    <row r="1" spans="1:26">
      <c r="A1" s="692"/>
      <c r="B1" s="693"/>
      <c r="C1" s="694"/>
      <c r="D1" s="694"/>
      <c r="E1" s="859" t="s">
        <v>681</v>
      </c>
      <c r="F1" s="694"/>
      <c r="G1" s="694"/>
      <c r="H1" s="694"/>
      <c r="I1" s="694"/>
      <c r="J1" s="694"/>
      <c r="K1" s="694"/>
      <c r="L1" s="694"/>
      <c r="M1" s="694"/>
      <c r="N1" s="694"/>
      <c r="O1" s="694"/>
      <c r="P1" s="694"/>
      <c r="Q1" s="694"/>
      <c r="R1" s="694" t="s">
        <v>298</v>
      </c>
      <c r="S1" s="694"/>
      <c r="T1" s="694"/>
      <c r="U1" s="694"/>
      <c r="V1" s="694"/>
      <c r="W1" s="694"/>
      <c r="X1" s="694"/>
      <c r="Y1" s="694"/>
    </row>
    <row r="2" spans="1:26">
      <c r="A2" s="692"/>
      <c r="B2" s="692"/>
      <c r="C2" s="694"/>
      <c r="D2" s="694"/>
      <c r="E2" s="694"/>
      <c r="F2" s="694"/>
      <c r="G2" s="694"/>
      <c r="H2" s="714"/>
      <c r="I2" s="714"/>
      <c r="J2" s="714"/>
      <c r="K2" s="694"/>
      <c r="L2" s="694"/>
      <c r="M2" s="694"/>
      <c r="N2" s="694"/>
      <c r="O2" s="694"/>
      <c r="P2" s="694"/>
      <c r="Q2" s="694"/>
      <c r="R2" s="694" t="s">
        <v>298</v>
      </c>
      <c r="S2" s="694"/>
      <c r="T2" s="694"/>
      <c r="U2" s="694"/>
      <c r="V2" s="694"/>
      <c r="W2" s="715"/>
      <c r="X2" s="694" t="s">
        <v>299</v>
      </c>
      <c r="Y2" s="694"/>
    </row>
    <row r="3" spans="1:26">
      <c r="A3" s="692"/>
      <c r="B3" s="692"/>
      <c r="C3" s="694"/>
      <c r="D3" s="694"/>
      <c r="E3" s="694"/>
      <c r="F3" s="694"/>
      <c r="G3" s="694"/>
      <c r="H3" s="714"/>
      <c r="I3" s="714" t="s">
        <v>300</v>
      </c>
      <c r="J3" s="714"/>
      <c r="K3" s="694"/>
      <c r="L3" s="694"/>
      <c r="M3" s="694"/>
      <c r="N3" s="694"/>
      <c r="O3" s="694"/>
      <c r="P3" s="694"/>
      <c r="Q3" s="694"/>
      <c r="R3" s="694" t="s">
        <v>298</v>
      </c>
      <c r="S3" s="694"/>
      <c r="T3" s="694"/>
      <c r="U3" s="694" t="s">
        <v>301</v>
      </c>
      <c r="V3" s="694"/>
      <c r="W3" s="694"/>
      <c r="X3" s="694" t="s">
        <v>302</v>
      </c>
      <c r="Y3" s="694"/>
    </row>
    <row r="4" spans="1:26" ht="13.5" thickBot="1">
      <c r="A4" s="692"/>
      <c r="B4" s="692"/>
      <c r="C4" s="1348" t="s">
        <v>303</v>
      </c>
      <c r="D4" s="1349"/>
      <c r="E4" s="1349"/>
      <c r="F4" s="1349"/>
      <c r="G4" s="1349"/>
      <c r="H4" s="1349"/>
      <c r="I4" s="1349"/>
      <c r="J4" s="1349"/>
      <c r="K4" s="1349"/>
      <c r="L4" s="1350"/>
      <c r="M4" s="1348" t="s">
        <v>304</v>
      </c>
      <c r="N4" s="1349"/>
      <c r="O4" s="1349"/>
      <c r="P4" s="1349"/>
      <c r="Q4" s="1349"/>
      <c r="R4" s="1349"/>
      <c r="S4" s="1349"/>
      <c r="T4" s="1349"/>
      <c r="U4" s="1349"/>
      <c r="V4" s="1349"/>
      <c r="W4" s="1349"/>
      <c r="X4" s="1349"/>
      <c r="Y4" s="1350"/>
    </row>
    <row r="5" spans="1:26">
      <c r="A5" s="698"/>
      <c r="B5" s="701" t="s">
        <v>305</v>
      </c>
      <c r="C5" s="730" t="s">
        <v>554</v>
      </c>
      <c r="D5" s="731" t="s">
        <v>306</v>
      </c>
      <c r="E5" s="730" t="s">
        <v>7</v>
      </c>
      <c r="F5" s="731" t="s">
        <v>307</v>
      </c>
      <c r="G5" s="731" t="s">
        <v>308</v>
      </c>
      <c r="H5" s="732"/>
      <c r="I5" s="730" t="s">
        <v>309</v>
      </c>
      <c r="J5" s="733" t="s">
        <v>310</v>
      </c>
      <c r="K5" s="730" t="s">
        <v>311</v>
      </c>
      <c r="L5" s="731" t="s">
        <v>312</v>
      </c>
      <c r="M5" s="730" t="s">
        <v>313</v>
      </c>
      <c r="N5" s="731" t="s">
        <v>306</v>
      </c>
      <c r="O5" s="730" t="s">
        <v>314</v>
      </c>
      <c r="P5" s="731" t="s">
        <v>315</v>
      </c>
      <c r="Q5" s="730" t="s">
        <v>56</v>
      </c>
      <c r="R5" s="731" t="s">
        <v>316</v>
      </c>
      <c r="S5" s="730" t="s">
        <v>317</v>
      </c>
      <c r="T5" s="731" t="s">
        <v>7</v>
      </c>
      <c r="U5" s="730" t="s">
        <v>318</v>
      </c>
      <c r="V5" s="731" t="s">
        <v>311</v>
      </c>
      <c r="W5" s="730" t="s">
        <v>319</v>
      </c>
      <c r="X5" s="731" t="s">
        <v>312</v>
      </c>
      <c r="Y5" s="708" t="s">
        <v>11</v>
      </c>
    </row>
    <row r="6" spans="1:26">
      <c r="A6" s="699"/>
      <c r="B6" s="702">
        <v>2004</v>
      </c>
      <c r="C6" s="734" t="s">
        <v>320</v>
      </c>
      <c r="D6" s="733" t="s">
        <v>555</v>
      </c>
      <c r="E6" s="734" t="s">
        <v>556</v>
      </c>
      <c r="F6" s="733" t="s">
        <v>557</v>
      </c>
      <c r="G6" s="733" t="s">
        <v>549</v>
      </c>
      <c r="H6" s="733" t="s">
        <v>550</v>
      </c>
      <c r="I6" s="734" t="s">
        <v>298</v>
      </c>
      <c r="J6" s="733" t="s">
        <v>321</v>
      </c>
      <c r="K6" s="734" t="s">
        <v>298</v>
      </c>
      <c r="L6" s="733" t="s">
        <v>558</v>
      </c>
      <c r="M6" s="734" t="s">
        <v>559</v>
      </c>
      <c r="N6" s="733" t="s">
        <v>560</v>
      </c>
      <c r="O6" s="734" t="s">
        <v>322</v>
      </c>
      <c r="P6" s="733" t="s">
        <v>323</v>
      </c>
      <c r="Q6" s="734" t="s">
        <v>324</v>
      </c>
      <c r="R6" s="733" t="s">
        <v>324</v>
      </c>
      <c r="S6" s="734"/>
      <c r="T6" s="733" t="s">
        <v>325</v>
      </c>
      <c r="U6" s="734"/>
      <c r="V6" s="733" t="s">
        <v>298</v>
      </c>
      <c r="W6" s="734" t="s">
        <v>326</v>
      </c>
      <c r="X6" s="733" t="s">
        <v>327</v>
      </c>
      <c r="Y6" s="716"/>
    </row>
    <row r="7" spans="1:26" ht="13.5" thickBot="1">
      <c r="A7" s="699"/>
      <c r="B7" s="703"/>
      <c r="C7" s="734"/>
      <c r="D7" s="733"/>
      <c r="E7" s="734"/>
      <c r="F7" s="733"/>
      <c r="G7" s="735"/>
      <c r="H7" s="733" t="s">
        <v>298</v>
      </c>
      <c r="I7" s="734"/>
      <c r="J7" s="733" t="s">
        <v>328</v>
      </c>
      <c r="K7" s="734" t="s">
        <v>298</v>
      </c>
      <c r="L7" s="733"/>
      <c r="M7" s="734"/>
      <c r="N7" s="733"/>
      <c r="O7" s="734" t="s">
        <v>329</v>
      </c>
      <c r="P7" s="733" t="s">
        <v>330</v>
      </c>
      <c r="Q7" s="734"/>
      <c r="R7" s="733" t="s">
        <v>298</v>
      </c>
      <c r="S7" s="734"/>
      <c r="T7" s="736"/>
      <c r="U7" s="734"/>
      <c r="V7" s="733" t="s">
        <v>298</v>
      </c>
      <c r="W7" s="734" t="s">
        <v>331</v>
      </c>
      <c r="X7" s="733" t="s">
        <v>772</v>
      </c>
      <c r="Y7" s="716"/>
    </row>
    <row r="8" spans="1:26">
      <c r="A8" s="1351" t="s">
        <v>551</v>
      </c>
      <c r="B8" s="695" t="s">
        <v>25</v>
      </c>
      <c r="C8" s="575">
        <f>CUADRO3!C10</f>
        <v>1751.5066005377998</v>
      </c>
      <c r="D8" s="564">
        <f>CUADRO3!C12</f>
        <v>21428.179272000005</v>
      </c>
      <c r="E8" s="575">
        <f>CUADRO3!C14</f>
        <v>2837.7984697840402</v>
      </c>
      <c r="F8" s="572">
        <f>CUADRO3!C16</f>
        <v>22924.008569869675</v>
      </c>
      <c r="G8" s="575">
        <v>0</v>
      </c>
      <c r="H8" s="572">
        <v>0</v>
      </c>
      <c r="I8" s="575">
        <f>CUADRO3!C18</f>
        <v>45987.530064674887</v>
      </c>
      <c r="J8" s="572">
        <v>0</v>
      </c>
      <c r="K8" s="575">
        <v>0</v>
      </c>
      <c r="L8" s="725">
        <f>SUM(C8:K8)</f>
        <v>94929.022976866399</v>
      </c>
      <c r="M8" s="575">
        <f>CUADRO4!C33</f>
        <v>45135.909474538974</v>
      </c>
      <c r="N8" s="572">
        <f>CUADRO4!C22</f>
        <v>6027.8228175000004</v>
      </c>
      <c r="O8" s="575">
        <f>CUADRO4!C16+CUADRO4!C18+CUADRO4!C24</f>
        <v>25343.385270000002</v>
      </c>
      <c r="P8" s="572">
        <f>CUADRO4!C20+CUADRO4!C26</f>
        <v>7356.3678684000006</v>
      </c>
      <c r="Q8" s="575">
        <f>CUADRO4!C14</f>
        <v>38516.332780800003</v>
      </c>
      <c r="R8" s="572">
        <f>CUADRO4!C12</f>
        <v>24214.993295849999</v>
      </c>
      <c r="S8" s="575">
        <f>CUADRO4!C37</f>
        <v>5227.1912000000002</v>
      </c>
      <c r="T8" s="572">
        <v>0</v>
      </c>
      <c r="U8" s="575">
        <f>CUADRO4!C30+CUADRO4!C41+CUADRO4!C43</f>
        <v>5837.8218328775929</v>
      </c>
      <c r="V8" s="572">
        <f>CUADRO4!C28+CUADRO4!C47+CUADRO4!C39</f>
        <v>19243.225762000002</v>
      </c>
      <c r="W8" s="575">
        <f>CUADRO11!C26</f>
        <v>1923.9149328399999</v>
      </c>
      <c r="X8" s="572">
        <f>SUM(M8:W8)</f>
        <v>178826.96523480656</v>
      </c>
      <c r="Y8" s="717">
        <f>X8+L8</f>
        <v>273755.98821167299</v>
      </c>
      <c r="Z8" s="73"/>
    </row>
    <row r="9" spans="1:26">
      <c r="A9" s="1352"/>
      <c r="B9" s="696"/>
      <c r="C9" s="575"/>
      <c r="D9" s="572"/>
      <c r="E9" s="575"/>
      <c r="F9" s="572"/>
      <c r="G9" s="575"/>
      <c r="H9" s="572"/>
      <c r="I9" s="575"/>
      <c r="J9" s="572"/>
      <c r="K9" s="575"/>
      <c r="L9" s="725"/>
      <c r="M9" s="575"/>
      <c r="N9" s="572"/>
      <c r="O9" s="575"/>
      <c r="P9" s="572"/>
      <c r="Q9" s="575"/>
      <c r="R9" s="572"/>
      <c r="S9" s="575"/>
      <c r="T9" s="572"/>
      <c r="U9" s="575"/>
      <c r="V9" s="572"/>
      <c r="W9" s="575"/>
      <c r="X9" s="572"/>
      <c r="Y9" s="717"/>
    </row>
    <row r="10" spans="1:26">
      <c r="A10" s="1352"/>
      <c r="B10" s="696" t="s">
        <v>26</v>
      </c>
      <c r="C10" s="575">
        <f>CUADRO3!D10</f>
        <v>110973.62479814098</v>
      </c>
      <c r="D10" s="572">
        <f>CUADRO3!D12</f>
        <v>58666.893912826003</v>
      </c>
      <c r="E10" s="575">
        <f>CUADRO3!D14</f>
        <v>25252.965282925968</v>
      </c>
      <c r="F10" s="572">
        <f>CUADRO3!D16</f>
        <v>0</v>
      </c>
      <c r="G10" s="575">
        <v>0</v>
      </c>
      <c r="H10" s="572">
        <v>0</v>
      </c>
      <c r="I10" s="575">
        <v>0</v>
      </c>
      <c r="J10" s="572">
        <v>0</v>
      </c>
      <c r="K10" s="575">
        <v>0</v>
      </c>
      <c r="L10" s="725">
        <f>SUM(C10:K10)</f>
        <v>194893.48399389294</v>
      </c>
      <c r="M10" s="575">
        <f>CUADRO4!D33</f>
        <v>1850.7113999999999</v>
      </c>
      <c r="N10" s="572">
        <f>CUADRO4!D22</f>
        <v>7389.1450545000016</v>
      </c>
      <c r="O10" s="575">
        <f>CUADRO4!D16+CUADRO4!D18+CUADRO4!D24</f>
        <v>6546.5997273600005</v>
      </c>
      <c r="P10" s="572">
        <f>CUADRO4!D20+CUADRO4!D26</f>
        <v>925.98941067300029</v>
      </c>
      <c r="Q10" s="575">
        <f>CUADRO4!D14</f>
        <v>18935.731497007997</v>
      </c>
      <c r="R10" s="572">
        <f>CUADRO4!D12</f>
        <v>1267.1585761275001</v>
      </c>
      <c r="S10" s="575">
        <f>CUADRO4!D37</f>
        <v>4795.5778</v>
      </c>
      <c r="T10" s="572">
        <v>0</v>
      </c>
      <c r="U10" s="575">
        <f>CUADRO4!D30+CUADRO4!D41+CUADRO4!D43</f>
        <v>0</v>
      </c>
      <c r="V10" s="572">
        <f>CUADRO4!D28+CUADRO4!D47+CUADRO4!D39</f>
        <v>0</v>
      </c>
      <c r="W10" s="575">
        <v>0</v>
      </c>
      <c r="X10" s="572">
        <f>SUM(M10:W10)</f>
        <v>41710.913465668498</v>
      </c>
      <c r="Y10" s="717">
        <f>X10+L10</f>
        <v>236604.39745956144</v>
      </c>
      <c r="Z10" s="73"/>
    </row>
    <row r="11" spans="1:26">
      <c r="A11" s="1352"/>
      <c r="B11" s="696"/>
      <c r="C11" s="575"/>
      <c r="D11" s="572"/>
      <c r="E11" s="575"/>
      <c r="F11" s="572"/>
      <c r="G11" s="575"/>
      <c r="H11" s="572"/>
      <c r="I11" s="575"/>
      <c r="J11" s="572"/>
      <c r="K11" s="575"/>
      <c r="L11" s="725"/>
      <c r="M11" s="575"/>
      <c r="N11" s="572"/>
      <c r="O11" s="575"/>
      <c r="P11" s="572"/>
      <c r="Q11" s="575"/>
      <c r="R11" s="572"/>
      <c r="S11" s="575"/>
      <c r="T11" s="572"/>
      <c r="U11" s="575"/>
      <c r="V11" s="572"/>
      <c r="W11" s="575"/>
      <c r="X11" s="572"/>
      <c r="Y11" s="717"/>
    </row>
    <row r="12" spans="1:26">
      <c r="A12" s="1352"/>
      <c r="B12" s="696" t="s">
        <v>27</v>
      </c>
      <c r="C12" s="575">
        <f>CUADRO3!E10</f>
        <v>0</v>
      </c>
      <c r="D12" s="572">
        <f>CUADRO3!E12</f>
        <v>0</v>
      </c>
      <c r="E12" s="575">
        <f>CUADRO3!E14</f>
        <v>0</v>
      </c>
      <c r="F12" s="572">
        <f>CUADRO3!E16</f>
        <v>0</v>
      </c>
      <c r="G12" s="575">
        <v>0</v>
      </c>
      <c r="H12" s="572">
        <v>0</v>
      </c>
      <c r="I12" s="575">
        <v>0</v>
      </c>
      <c r="J12" s="572">
        <v>0</v>
      </c>
      <c r="K12" s="575">
        <v>0</v>
      </c>
      <c r="L12" s="725">
        <f>SUM(C12:K12)</f>
        <v>0</v>
      </c>
      <c r="M12" s="575">
        <v>0</v>
      </c>
      <c r="N12" s="572">
        <f>CUADRO4!E22</f>
        <v>1403.3113998750005</v>
      </c>
      <c r="O12" s="575">
        <f>CUADRO4!E16+CUADRO4!E18+CUADRO4!E24</f>
        <v>7244.1976320000003</v>
      </c>
      <c r="P12" s="572">
        <f>CUADRO4!E20+CUADRO4!E26</f>
        <v>0</v>
      </c>
      <c r="Q12" s="575">
        <f>CUADRO4!E14</f>
        <v>2175.7937052599996</v>
      </c>
      <c r="R12" s="572">
        <f>CUADRO4!E12</f>
        <v>6207.2058051885006</v>
      </c>
      <c r="S12" s="575">
        <f>CUADRO4!E37</f>
        <v>281.2752000000001</v>
      </c>
      <c r="T12" s="572">
        <v>0</v>
      </c>
      <c r="U12" s="575">
        <f>CUADRO4!E30+CUADRO4!E41+CUADRO4!E43</f>
        <v>0</v>
      </c>
      <c r="V12" s="572">
        <f>CUADRO4!E28+CUADRO4!E47+CUADRO4!E39</f>
        <v>16457.2549449</v>
      </c>
      <c r="W12" s="575">
        <v>0</v>
      </c>
      <c r="X12" s="572">
        <f>SUM(M12:W12)</f>
        <v>33769.038687223496</v>
      </c>
      <c r="Y12" s="717">
        <f>X12+L12</f>
        <v>33769.038687223496</v>
      </c>
      <c r="Z12" s="73"/>
    </row>
    <row r="13" spans="1:26">
      <c r="A13" s="1352"/>
      <c r="B13" s="696"/>
      <c r="C13" s="575"/>
      <c r="D13" s="572"/>
      <c r="E13" s="575"/>
      <c r="F13" s="572"/>
      <c r="G13" s="575"/>
      <c r="H13" s="572"/>
      <c r="I13" s="575"/>
      <c r="J13" s="572"/>
      <c r="K13" s="575"/>
      <c r="L13" s="725"/>
      <c r="M13" s="575"/>
      <c r="N13" s="572"/>
      <c r="O13" s="575"/>
      <c r="P13" s="572"/>
      <c r="Q13" s="575"/>
      <c r="R13" s="572"/>
      <c r="S13" s="575"/>
      <c r="T13" s="572"/>
      <c r="U13" s="575"/>
      <c r="V13" s="572"/>
      <c r="W13" s="575"/>
      <c r="X13" s="572"/>
      <c r="Y13" s="717"/>
    </row>
    <row r="14" spans="1:26">
      <c r="A14" s="1352"/>
      <c r="B14" s="696" t="s">
        <v>333</v>
      </c>
      <c r="C14" s="575">
        <f>CUADRO3!F10</f>
        <v>-276.83982446204755</v>
      </c>
      <c r="D14" s="572">
        <f>CUADRO3!F12</f>
        <v>1782.4530556768493</v>
      </c>
      <c r="E14" s="575">
        <f>CUADRO3!F14</f>
        <v>515.4340423904805</v>
      </c>
      <c r="F14" s="572">
        <v>0</v>
      </c>
      <c r="G14" s="575">
        <v>0</v>
      </c>
      <c r="H14" s="572">
        <v>0</v>
      </c>
      <c r="I14" s="575">
        <v>0</v>
      </c>
      <c r="J14" s="572">
        <v>0</v>
      </c>
      <c r="K14" s="575">
        <v>0</v>
      </c>
      <c r="L14" s="725">
        <f>SUM(C14:K14)</f>
        <v>2021.0472736052823</v>
      </c>
      <c r="M14" s="575">
        <f>CUADRO4!F33</f>
        <v>3904.1140276019396</v>
      </c>
      <c r="N14" s="572">
        <f>CUADRO4!F22</f>
        <v>90.921509356702487</v>
      </c>
      <c r="O14" s="575">
        <f>CUADRO4!F16+CUADRO4!F18+CUADRO4!F24</f>
        <v>1006.678697136</v>
      </c>
      <c r="P14" s="572">
        <f>CUADRO4!F20+CUADRO4!F26</f>
        <v>393.28276655700023</v>
      </c>
      <c r="Q14" s="575">
        <f>CUADRO4!F14</f>
        <v>911.64907700000401</v>
      </c>
      <c r="R14" s="572">
        <f>CUADRO4!F12</f>
        <v>-762.80006603850256</v>
      </c>
      <c r="S14" s="575">
        <f>CUADRO4!F37</f>
        <v>14.976256166666872</v>
      </c>
      <c r="T14" s="572">
        <v>0</v>
      </c>
      <c r="U14" s="575">
        <f>CUADRO4!F30+CUADRO4!F41+CUADRO4!F43</f>
        <v>251.7202589486331</v>
      </c>
      <c r="V14" s="572">
        <f>CUADRO4!F28+CUADRO4!F39+CUADRO4!F47</f>
        <v>767.29605369999911</v>
      </c>
      <c r="W14" s="575">
        <v>0</v>
      </c>
      <c r="X14" s="572">
        <f>SUM(M14:W14)</f>
        <v>6577.8385804284426</v>
      </c>
      <c r="Y14" s="717">
        <f>X14+L14</f>
        <v>8598.8858540337242</v>
      </c>
      <c r="Z14" s="73"/>
    </row>
    <row r="15" spans="1:26">
      <c r="A15" s="1352"/>
      <c r="B15" s="696"/>
      <c r="C15" s="575"/>
      <c r="D15" s="572"/>
      <c r="E15" s="575"/>
      <c r="F15" s="572"/>
      <c r="G15" s="575"/>
      <c r="H15" s="572"/>
      <c r="I15" s="575"/>
      <c r="J15" s="572"/>
      <c r="K15" s="575"/>
      <c r="L15" s="725"/>
      <c r="M15" s="575"/>
      <c r="N15" s="572"/>
      <c r="O15" s="575"/>
      <c r="P15" s="572"/>
      <c r="Q15" s="575"/>
      <c r="R15" s="572"/>
      <c r="S15" s="575"/>
      <c r="T15" s="572"/>
      <c r="U15" s="575"/>
      <c r="V15" s="572"/>
      <c r="W15" s="575"/>
      <c r="X15" s="572"/>
      <c r="Y15" s="717"/>
    </row>
    <row r="16" spans="1:26">
      <c r="A16" s="1352"/>
      <c r="B16" s="696" t="s">
        <v>334</v>
      </c>
      <c r="C16" s="575">
        <v>0</v>
      </c>
      <c r="D16" s="574">
        <v>0</v>
      </c>
      <c r="E16" s="575">
        <v>0</v>
      </c>
      <c r="F16" s="572">
        <f>CUADRO3!F16</f>
        <v>308.02262283000005</v>
      </c>
      <c r="G16" s="575">
        <v>0</v>
      </c>
      <c r="H16" s="572">
        <v>0</v>
      </c>
      <c r="I16" s="575">
        <v>0</v>
      </c>
      <c r="J16" s="572">
        <v>0</v>
      </c>
      <c r="K16" s="575">
        <v>0</v>
      </c>
      <c r="L16" s="725">
        <f>SUM(C16:K16)</f>
        <v>308.02262283000005</v>
      </c>
      <c r="M16" s="575">
        <v>0</v>
      </c>
      <c r="N16" s="572">
        <v>0</v>
      </c>
      <c r="O16" s="575">
        <v>0</v>
      </c>
      <c r="P16" s="572">
        <v>0</v>
      </c>
      <c r="Q16" s="575">
        <v>0</v>
      </c>
      <c r="R16" s="572">
        <v>0</v>
      </c>
      <c r="S16" s="575">
        <v>0</v>
      </c>
      <c r="T16" s="572">
        <v>0</v>
      </c>
      <c r="U16" s="575">
        <v>0</v>
      </c>
      <c r="V16" s="572">
        <v>0</v>
      </c>
      <c r="W16" s="575">
        <v>0</v>
      </c>
      <c r="X16" s="572">
        <f>SUM(M16:W16)</f>
        <v>0</v>
      </c>
      <c r="Y16" s="717">
        <f>X16+L16</f>
        <v>308.02262283000005</v>
      </c>
      <c r="Z16" s="73"/>
    </row>
    <row r="17" spans="1:26" ht="13.5" thickBot="1">
      <c r="A17" s="1353"/>
      <c r="B17" s="697"/>
      <c r="C17" s="575"/>
      <c r="D17" s="572"/>
      <c r="E17" s="575"/>
      <c r="F17" s="572"/>
      <c r="G17" s="575"/>
      <c r="H17" s="572"/>
      <c r="I17" s="575"/>
      <c r="J17" s="572"/>
      <c r="K17" s="575"/>
      <c r="L17" s="720"/>
      <c r="M17" s="704"/>
      <c r="N17" s="718"/>
      <c r="O17" s="704"/>
      <c r="P17" s="718"/>
      <c r="Q17" s="704"/>
      <c r="R17" s="718"/>
      <c r="S17" s="704"/>
      <c r="T17" s="718"/>
      <c r="U17" s="704"/>
      <c r="V17" s="718"/>
      <c r="W17" s="704"/>
      <c r="X17" s="718"/>
      <c r="Y17" s="719"/>
      <c r="Z17" s="73"/>
    </row>
    <row r="18" spans="1:26" ht="13.5" thickBot="1">
      <c r="A18" s="700"/>
      <c r="B18" s="697" t="s">
        <v>335</v>
      </c>
      <c r="C18" s="1246">
        <f>CUADRO3!G10</f>
        <v>113001.97122314083</v>
      </c>
      <c r="D18" s="728">
        <f>CUADRO3!G12</f>
        <v>78312.62012914916</v>
      </c>
      <c r="E18" s="727">
        <f>CUADRO3!G14</f>
        <v>27575.329710319525</v>
      </c>
      <c r="F18" s="728">
        <f>CUADRO3!G16</f>
        <v>22615.98594703967</v>
      </c>
      <c r="G18" s="727">
        <v>0</v>
      </c>
      <c r="H18" s="728">
        <v>0</v>
      </c>
      <c r="I18" s="727">
        <f>I8</f>
        <v>45987.530064674887</v>
      </c>
      <c r="J18" s="728">
        <v>0</v>
      </c>
      <c r="K18" s="729">
        <f>K8+K10-K12-K14-K16</f>
        <v>0</v>
      </c>
      <c r="L18" s="1239">
        <f>SUM(C18:K18)</f>
        <v>287493.43707432412</v>
      </c>
      <c r="M18" s="709">
        <f>CUADRO4!I33</f>
        <v>43082.506846937045</v>
      </c>
      <c r="N18" s="720">
        <f>CUADRO4!I22</f>
        <v>11922.734962768302</v>
      </c>
      <c r="O18" s="709">
        <f>CUADRO4!I16+CUADRO4!I18+CUADRO4!I24</f>
        <v>23639.108668223998</v>
      </c>
      <c r="P18" s="720">
        <f>CUADRO4!I20+CUADRO4!I26</f>
        <v>7889.0745125160011</v>
      </c>
      <c r="Q18" s="709">
        <f>CUADRO4!I14</f>
        <v>54364.035511547983</v>
      </c>
      <c r="R18" s="720">
        <f>CUADRO4!I12</f>
        <v>20037.746132827502</v>
      </c>
      <c r="S18" s="709">
        <f>CUADRO4!I37</f>
        <v>9726.5175438333335</v>
      </c>
      <c r="T18" s="720">
        <f>T8+T10-T12-T14-T16</f>
        <v>0</v>
      </c>
      <c r="U18" s="709">
        <f>CUADRO4!I30+CUADRO4!I41+CUADRO4!I43</f>
        <v>5586.1015739289605</v>
      </c>
      <c r="V18" s="720">
        <f>CUADRO4!I28+CUADRO4!I47+CUADRO4!I39</f>
        <v>2018.6747633999996</v>
      </c>
      <c r="W18" s="709">
        <f>W8</f>
        <v>1923.9149328399999</v>
      </c>
      <c r="X18" s="720">
        <f>X8+X10-X12-X14-X16</f>
        <v>180191.00143282313</v>
      </c>
      <c r="Y18" s="719">
        <f>X18+L18</f>
        <v>467684.43850714725</v>
      </c>
      <c r="Z18" s="73"/>
    </row>
    <row r="19" spans="1:26">
      <c r="A19" s="1354" t="s">
        <v>552</v>
      </c>
      <c r="B19" s="695"/>
      <c r="C19" s="705"/>
      <c r="D19" s="721"/>
      <c r="E19" s="705"/>
      <c r="F19" s="721"/>
      <c r="G19" s="705"/>
      <c r="H19" s="721"/>
      <c r="I19" s="705"/>
      <c r="J19" s="721"/>
      <c r="K19" s="705"/>
      <c r="L19" s="723"/>
      <c r="M19" s="705"/>
      <c r="N19" s="721"/>
      <c r="O19" s="705"/>
      <c r="P19" s="721"/>
      <c r="Q19" s="705"/>
      <c r="R19" s="721"/>
      <c r="S19" s="705"/>
      <c r="T19" s="721"/>
      <c r="U19" s="705"/>
      <c r="V19" s="721"/>
      <c r="W19" s="705"/>
      <c r="X19" s="721"/>
      <c r="Y19" s="722"/>
      <c r="Z19" s="73"/>
    </row>
    <row r="20" spans="1:26">
      <c r="A20" s="1355"/>
      <c r="B20" s="696" t="s">
        <v>336</v>
      </c>
      <c r="C20" s="575">
        <v>0</v>
      </c>
      <c r="D20" s="572">
        <f>CUADRO10!E22</f>
        <v>1980.1647014144305</v>
      </c>
      <c r="E20" s="575">
        <v>0</v>
      </c>
      <c r="F20" s="572">
        <v>0</v>
      </c>
      <c r="G20" s="575">
        <v>0</v>
      </c>
      <c r="H20" s="572">
        <v>0</v>
      </c>
      <c r="I20" s="575">
        <v>0</v>
      </c>
      <c r="J20" s="572">
        <v>0</v>
      </c>
      <c r="K20" s="575">
        <v>0</v>
      </c>
      <c r="L20" s="725">
        <f>SUM(C20:K20)</f>
        <v>1980.1647014144305</v>
      </c>
      <c r="M20" s="575">
        <v>0</v>
      </c>
      <c r="N20" s="572">
        <f>CUADRO10!E14</f>
        <v>0</v>
      </c>
      <c r="O20" s="575">
        <v>0</v>
      </c>
      <c r="P20" s="572">
        <v>0</v>
      </c>
      <c r="Q20" s="575">
        <v>0</v>
      </c>
      <c r="R20" s="572">
        <f>CUADRO10!E12</f>
        <v>0</v>
      </c>
      <c r="S20" s="575">
        <v>0</v>
      </c>
      <c r="T20" s="572">
        <v>0</v>
      </c>
      <c r="U20" s="575">
        <v>0</v>
      </c>
      <c r="V20" s="572">
        <v>0</v>
      </c>
      <c r="W20" s="575">
        <v>0</v>
      </c>
      <c r="X20" s="572">
        <f>SUM(M20:W20)</f>
        <v>0</v>
      </c>
      <c r="Y20" s="717">
        <f>X20+L20</f>
        <v>1980.1647014144305</v>
      </c>
      <c r="Z20" s="73"/>
    </row>
    <row r="21" spans="1:26">
      <c r="A21" s="1355"/>
      <c r="B21" s="696"/>
      <c r="C21" s="575"/>
      <c r="D21" s="572"/>
      <c r="E21" s="575"/>
      <c r="F21" s="572"/>
      <c r="G21" s="575"/>
      <c r="H21" s="572"/>
      <c r="I21" s="575"/>
      <c r="J21" s="572"/>
      <c r="K21" s="575"/>
      <c r="L21" s="725"/>
      <c r="M21" s="575"/>
      <c r="N21" s="572"/>
      <c r="O21" s="575"/>
      <c r="P21" s="572"/>
      <c r="Q21" s="575"/>
      <c r="R21" s="572"/>
      <c r="S21" s="575"/>
      <c r="T21" s="572"/>
      <c r="U21" s="575"/>
      <c r="V21" s="572"/>
      <c r="W21" s="575"/>
      <c r="X21" s="572"/>
      <c r="Y21" s="717"/>
    </row>
    <row r="22" spans="1:26">
      <c r="A22" s="1355"/>
      <c r="B22" s="696" t="s">
        <v>337</v>
      </c>
      <c r="C22" s="575">
        <v>0</v>
      </c>
      <c r="D22" s="572">
        <f>SECT_TERAC.!T50</f>
        <v>25941.064121597545</v>
      </c>
      <c r="E22" s="575">
        <f>SECT_TERAC.!O50</f>
        <v>17968.053017028706</v>
      </c>
      <c r="F22" s="572">
        <v>0</v>
      </c>
      <c r="G22" s="575">
        <v>0</v>
      </c>
      <c r="H22" s="572">
        <v>0</v>
      </c>
      <c r="I22" s="575">
        <f>SECT_TERAC.!W50</f>
        <v>202.4265805149692</v>
      </c>
      <c r="J22" s="572">
        <v>0</v>
      </c>
      <c r="K22" s="575">
        <v>0</v>
      </c>
      <c r="L22" s="725">
        <f>SUM(C22:K22)</f>
        <v>44111.54371914122</v>
      </c>
      <c r="M22" s="575">
        <v>0</v>
      </c>
      <c r="N22" s="572">
        <f>SECT_TERAC.!H49</f>
        <v>0.376189</v>
      </c>
      <c r="O22" s="575">
        <v>0</v>
      </c>
      <c r="P22" s="572">
        <v>0</v>
      </c>
      <c r="Q22" s="575">
        <f>SECT_TERAC.!C50</f>
        <v>2286.4727150999984</v>
      </c>
      <c r="R22" s="572">
        <f>SECT_TERAC.!D50</f>
        <v>483.03150000000005</v>
      </c>
      <c r="S22" s="575">
        <f>SECT_TERAC.!P50</f>
        <v>5425.5394538333321</v>
      </c>
      <c r="T22" s="572">
        <v>0</v>
      </c>
      <c r="U22" s="575">
        <f>SECT_TERAC.!R37+SECT_TERAC.!S37+SECT_TERAC.!L50</f>
        <v>0</v>
      </c>
      <c r="V22" s="572">
        <v>0</v>
      </c>
      <c r="W22" s="575">
        <v>0</v>
      </c>
      <c r="X22" s="572">
        <f>SUM(M22:W22)</f>
        <v>8195.4198579333315</v>
      </c>
      <c r="Y22" s="717">
        <f>X22+L22</f>
        <v>52306.963577074552</v>
      </c>
      <c r="Z22" s="73"/>
    </row>
    <row r="23" spans="1:26">
      <c r="A23" s="1355"/>
      <c r="B23" s="696"/>
      <c r="C23" s="575"/>
      <c r="D23" s="572"/>
      <c r="E23" s="575"/>
      <c r="F23" s="572"/>
      <c r="G23" s="575"/>
      <c r="H23" s="572"/>
      <c r="I23" s="575"/>
      <c r="J23" s="572"/>
      <c r="K23" s="575"/>
      <c r="L23" s="725"/>
      <c r="M23" s="575"/>
      <c r="N23" s="572"/>
      <c r="O23" s="575"/>
      <c r="P23" s="572"/>
      <c r="Q23" s="575"/>
      <c r="R23" s="572"/>
      <c r="S23" s="575"/>
      <c r="T23" s="572"/>
      <c r="U23" s="575"/>
      <c r="V23" s="572"/>
      <c r="W23" s="575"/>
      <c r="X23" s="572"/>
      <c r="Y23" s="717"/>
    </row>
    <row r="24" spans="1:26">
      <c r="A24" s="1355"/>
      <c r="B24" s="696" t="s">
        <v>338</v>
      </c>
      <c r="C24" s="575">
        <v>0</v>
      </c>
      <c r="D24" s="572">
        <f>SECT_TERAC.!T49</f>
        <v>4188.0372251108301</v>
      </c>
      <c r="E24" s="575">
        <f>SECT_TERAC.!O49</f>
        <v>91.474114166439023</v>
      </c>
      <c r="F24" s="572">
        <v>0</v>
      </c>
      <c r="G24" s="575">
        <v>0</v>
      </c>
      <c r="H24" s="572">
        <v>0</v>
      </c>
      <c r="I24" s="575">
        <f>SECT_TERAC.!W49</f>
        <v>5507.5395755793797</v>
      </c>
      <c r="J24" s="572">
        <v>0</v>
      </c>
      <c r="K24" s="575">
        <v>0</v>
      </c>
      <c r="L24" s="725">
        <f>SUM(C24:K24)</f>
        <v>9787.0509148566489</v>
      </c>
      <c r="M24" s="575">
        <v>0</v>
      </c>
      <c r="N24" s="572">
        <f>SECT_TERAC.!H50</f>
        <v>0.18742476500000002</v>
      </c>
      <c r="O24" s="575">
        <v>0</v>
      </c>
      <c r="P24" s="572">
        <v>0</v>
      </c>
      <c r="Q24" s="575">
        <f>SECT_TERAC.!C49</f>
        <v>187.51875603999997</v>
      </c>
      <c r="R24" s="572">
        <f>SECT_TERAC.!D49</f>
        <v>764.99482450019991</v>
      </c>
      <c r="S24" s="575">
        <f>SECT_TERAC.!P49</f>
        <v>0</v>
      </c>
      <c r="T24" s="572">
        <v>0</v>
      </c>
      <c r="U24" s="575">
        <f>SECT_TERAC.!L49+SECT_TERAC.!R36+SECT_TERAC.!S36</f>
        <v>210.24722800000001</v>
      </c>
      <c r="V24" s="572">
        <v>0</v>
      </c>
      <c r="W24" s="575">
        <v>0</v>
      </c>
      <c r="X24" s="572">
        <f>SUM(M24:W24)</f>
        <v>1162.9482333051999</v>
      </c>
      <c r="Y24" s="717">
        <f>X24+L24</f>
        <v>10949.999148161849</v>
      </c>
      <c r="Z24" s="73"/>
    </row>
    <row r="25" spans="1:26">
      <c r="A25" s="1355"/>
      <c r="B25" s="696"/>
      <c r="C25" s="575"/>
      <c r="D25" s="572"/>
      <c r="E25" s="575"/>
      <c r="F25" s="572"/>
      <c r="G25" s="575"/>
      <c r="H25" s="572"/>
      <c r="I25" s="575"/>
      <c r="J25" s="572"/>
      <c r="K25" s="575"/>
      <c r="L25" s="725"/>
      <c r="M25" s="575"/>
      <c r="N25" s="572"/>
      <c r="O25" s="575"/>
      <c r="P25" s="572"/>
      <c r="Q25" s="575"/>
      <c r="R25" s="572"/>
      <c r="S25" s="575"/>
      <c r="T25" s="572"/>
      <c r="U25" s="575"/>
      <c r="V25" s="572"/>
      <c r="W25" s="575"/>
      <c r="X25" s="572"/>
      <c r="Y25" s="717"/>
    </row>
    <row r="26" spans="1:26">
      <c r="A26" s="1355"/>
      <c r="B26" s="696" t="s">
        <v>339</v>
      </c>
      <c r="C26" s="575">
        <v>0</v>
      </c>
      <c r="D26" s="572">
        <v>0</v>
      </c>
      <c r="E26" s="573">
        <v>0</v>
      </c>
      <c r="F26" s="572">
        <v>0</v>
      </c>
      <c r="G26" s="575">
        <v>0</v>
      </c>
      <c r="H26" s="572">
        <v>0</v>
      </c>
      <c r="I26" s="575">
        <v>0</v>
      </c>
      <c r="J26" s="572">
        <v>0</v>
      </c>
      <c r="K26" s="575">
        <v>0</v>
      </c>
      <c r="L26" s="725">
        <f>SUM(C26:K26)</f>
        <v>0</v>
      </c>
      <c r="M26" s="575">
        <v>0</v>
      </c>
      <c r="N26" s="572">
        <v>0</v>
      </c>
      <c r="O26" s="575">
        <v>0</v>
      </c>
      <c r="P26" s="572">
        <v>0</v>
      </c>
      <c r="Q26" s="575">
        <v>0</v>
      </c>
      <c r="R26" s="572">
        <v>0</v>
      </c>
      <c r="S26" s="573">
        <v>0</v>
      </c>
      <c r="T26" s="572">
        <v>0</v>
      </c>
      <c r="U26" s="575">
        <v>0</v>
      </c>
      <c r="V26" s="572">
        <v>0</v>
      </c>
      <c r="W26" s="575">
        <v>0</v>
      </c>
      <c r="X26" s="572">
        <f>SUM(M26:W26)</f>
        <v>0</v>
      </c>
      <c r="Y26" s="717">
        <f>X26+L26</f>
        <v>0</v>
      </c>
      <c r="Z26" s="73"/>
    </row>
    <row r="27" spans="1:26">
      <c r="A27" s="1355"/>
      <c r="B27" s="696"/>
      <c r="C27" s="575"/>
      <c r="D27" s="572"/>
      <c r="E27" s="575"/>
      <c r="F27" s="572"/>
      <c r="G27" s="575"/>
      <c r="H27" s="572"/>
      <c r="I27" s="575"/>
      <c r="J27" s="572"/>
      <c r="K27" s="575"/>
      <c r="L27" s="725"/>
      <c r="M27" s="575"/>
      <c r="N27" s="572"/>
      <c r="O27" s="575"/>
      <c r="P27" s="572"/>
      <c r="Q27" s="575"/>
      <c r="R27" s="572"/>
      <c r="S27" s="575"/>
      <c r="T27" s="572"/>
      <c r="U27" s="575"/>
      <c r="V27" s="572"/>
      <c r="W27" s="575"/>
      <c r="X27" s="572"/>
      <c r="Y27" s="717"/>
    </row>
    <row r="28" spans="1:26">
      <c r="A28" s="1355"/>
      <c r="B28" s="696" t="s">
        <v>340</v>
      </c>
      <c r="C28" s="575">
        <v>0</v>
      </c>
      <c r="D28" s="572">
        <v>0</v>
      </c>
      <c r="E28" s="575">
        <f>CUADRO10!F18</f>
        <v>0</v>
      </c>
      <c r="F28" s="572">
        <v>0</v>
      </c>
      <c r="G28" s="575">
        <v>0</v>
      </c>
      <c r="H28" s="572">
        <v>0</v>
      </c>
      <c r="I28" s="575">
        <v>0</v>
      </c>
      <c r="J28" s="572">
        <v>0</v>
      </c>
      <c r="K28" s="575">
        <v>0</v>
      </c>
      <c r="L28" s="725">
        <f>SUM(C28:K28)</f>
        <v>0</v>
      </c>
      <c r="M28" s="575">
        <v>0</v>
      </c>
      <c r="N28" s="572">
        <v>0</v>
      </c>
      <c r="O28" s="575">
        <v>0</v>
      </c>
      <c r="P28" s="572">
        <v>0</v>
      </c>
      <c r="Q28" s="575">
        <v>0</v>
      </c>
      <c r="R28" s="572">
        <v>0</v>
      </c>
      <c r="S28" s="575">
        <v>0</v>
      </c>
      <c r="T28" s="572">
        <v>0</v>
      </c>
      <c r="U28" s="575">
        <v>0</v>
      </c>
      <c r="V28" s="572">
        <v>0</v>
      </c>
      <c r="W28" s="575">
        <v>0</v>
      </c>
      <c r="X28" s="572">
        <f>SUM(M28:W28)</f>
        <v>0</v>
      </c>
      <c r="Y28" s="717">
        <f>X28+L28</f>
        <v>0</v>
      </c>
      <c r="Z28" s="73"/>
    </row>
    <row r="29" spans="1:26">
      <c r="A29" s="1355"/>
      <c r="B29" s="696"/>
      <c r="C29" s="575"/>
      <c r="D29" s="572"/>
      <c r="E29" s="575"/>
      <c r="F29" s="572"/>
      <c r="G29" s="575"/>
      <c r="H29" s="572"/>
      <c r="I29" s="575"/>
      <c r="J29" s="572"/>
      <c r="K29" s="575"/>
      <c r="L29" s="725"/>
      <c r="M29" s="575"/>
      <c r="N29" s="572"/>
      <c r="O29" s="575"/>
      <c r="P29" s="572"/>
      <c r="Q29" s="575"/>
      <c r="R29" s="572"/>
      <c r="S29" s="575"/>
      <c r="T29" s="572"/>
      <c r="U29" s="575"/>
      <c r="V29" s="572"/>
      <c r="W29" s="575"/>
      <c r="X29" s="572"/>
      <c r="Y29" s="717"/>
    </row>
    <row r="30" spans="1:26">
      <c r="A30" s="1355"/>
      <c r="B30" s="696" t="s">
        <v>341</v>
      </c>
      <c r="C30" s="575">
        <v>0</v>
      </c>
      <c r="D30" s="572">
        <v>0</v>
      </c>
      <c r="E30" s="575">
        <f>CUADRO10!D18</f>
        <v>5061.8376000000007</v>
      </c>
      <c r="F30" s="572">
        <v>0</v>
      </c>
      <c r="G30" s="575">
        <v>0</v>
      </c>
      <c r="H30" s="572">
        <v>0</v>
      </c>
      <c r="I30" s="575">
        <v>0</v>
      </c>
      <c r="J30" s="572">
        <v>0</v>
      </c>
      <c r="K30" s="575">
        <v>0</v>
      </c>
      <c r="L30" s="725">
        <f>SUM(C30:K30)</f>
        <v>5061.8376000000007</v>
      </c>
      <c r="M30" s="575">
        <v>0</v>
      </c>
      <c r="N30" s="572">
        <f>CUADRO10!D14</f>
        <v>33.429516999999997</v>
      </c>
      <c r="O30" s="575">
        <v>0</v>
      </c>
      <c r="P30" s="572">
        <v>0</v>
      </c>
      <c r="Q30" s="575">
        <v>0</v>
      </c>
      <c r="R30" s="572">
        <v>0</v>
      </c>
      <c r="S30" s="575">
        <f>CUADRO10!D20</f>
        <v>1621.8689999999999</v>
      </c>
      <c r="T30" s="572">
        <v>0</v>
      </c>
      <c r="U30" s="575">
        <v>0</v>
      </c>
      <c r="V30" s="572">
        <v>0</v>
      </c>
      <c r="W30" s="575">
        <v>0</v>
      </c>
      <c r="X30" s="572">
        <f>SUM(M30:W30)</f>
        <v>1655.2985169999999</v>
      </c>
      <c r="Y30" s="717">
        <f>X30+L30</f>
        <v>6717.1361170000009</v>
      </c>
      <c r="Z30" s="73"/>
    </row>
    <row r="31" spans="1:26">
      <c r="A31" s="1355"/>
      <c r="B31" s="696"/>
      <c r="C31" s="575"/>
      <c r="D31" s="572"/>
      <c r="E31" s="575"/>
      <c r="F31" s="572"/>
      <c r="G31" s="575"/>
      <c r="H31" s="572"/>
      <c r="I31" s="575"/>
      <c r="J31" s="572"/>
      <c r="K31" s="575"/>
      <c r="L31" s="725"/>
      <c r="M31" s="575"/>
      <c r="N31" s="572"/>
      <c r="O31" s="575"/>
      <c r="P31" s="572"/>
      <c r="Q31" s="575"/>
      <c r="R31" s="572"/>
      <c r="S31" s="575"/>
      <c r="T31" s="572"/>
      <c r="U31" s="575"/>
      <c r="V31" s="572"/>
      <c r="W31" s="575"/>
      <c r="X31" s="572"/>
      <c r="Y31" s="717"/>
    </row>
    <row r="32" spans="1:26">
      <c r="A32" s="1355"/>
      <c r="B32" s="696" t="s">
        <v>343</v>
      </c>
      <c r="C32" s="575">
        <v>0</v>
      </c>
      <c r="D32" s="572">
        <v>0</v>
      </c>
      <c r="E32" s="575">
        <v>0</v>
      </c>
      <c r="F32" s="572">
        <v>0</v>
      </c>
      <c r="G32" s="575">
        <v>0</v>
      </c>
      <c r="H32" s="572">
        <v>0</v>
      </c>
      <c r="I32" s="575">
        <v>0</v>
      </c>
      <c r="J32" s="572">
        <v>0</v>
      </c>
      <c r="K32" s="575">
        <v>0</v>
      </c>
      <c r="L32" s="725">
        <f>SUM(C32:K32)</f>
        <v>0</v>
      </c>
      <c r="M32" s="575">
        <v>0</v>
      </c>
      <c r="N32" s="572">
        <v>0</v>
      </c>
      <c r="O32" s="575">
        <v>0</v>
      </c>
      <c r="P32" s="572">
        <v>0</v>
      </c>
      <c r="Q32" s="575">
        <v>0</v>
      </c>
      <c r="R32" s="572">
        <v>0</v>
      </c>
      <c r="S32" s="575">
        <v>0</v>
      </c>
      <c r="T32" s="572">
        <v>0</v>
      </c>
      <c r="U32" s="575">
        <v>0</v>
      </c>
      <c r="V32" s="572">
        <v>0</v>
      </c>
      <c r="W32" s="575">
        <v>0</v>
      </c>
      <c r="X32" s="572">
        <f>SUM(M32:W32)</f>
        <v>0</v>
      </c>
      <c r="Y32" s="717">
        <f>X32+L32</f>
        <v>0</v>
      </c>
      <c r="Z32" s="73"/>
    </row>
    <row r="33" spans="1:27">
      <c r="A33" s="1355"/>
      <c r="B33" s="696"/>
      <c r="C33" s="575"/>
      <c r="D33" s="572"/>
      <c r="E33" s="575"/>
      <c r="F33" s="572"/>
      <c r="G33" s="575"/>
      <c r="H33" s="572"/>
      <c r="I33" s="575"/>
      <c r="J33" s="572"/>
      <c r="K33" s="575"/>
      <c r="L33" s="725"/>
      <c r="M33" s="575"/>
      <c r="N33" s="572"/>
      <c r="O33" s="575"/>
      <c r="P33" s="572"/>
      <c r="Q33" s="575"/>
      <c r="R33" s="572"/>
      <c r="S33" s="575"/>
      <c r="T33" s="572"/>
      <c r="U33" s="575"/>
      <c r="V33" s="572"/>
      <c r="W33" s="575"/>
      <c r="X33" s="572"/>
      <c r="Y33" s="717"/>
    </row>
    <row r="34" spans="1:27">
      <c r="A34" s="1355"/>
      <c r="B34" s="696" t="s">
        <v>344</v>
      </c>
      <c r="C34" s="575">
        <v>0</v>
      </c>
      <c r="D34" s="572">
        <f>CUADRO10!G22</f>
        <v>25158.834556999998</v>
      </c>
      <c r="E34" s="575">
        <v>0</v>
      </c>
      <c r="F34" s="572">
        <v>0</v>
      </c>
      <c r="G34" s="575">
        <v>0</v>
      </c>
      <c r="H34" s="572">
        <v>0</v>
      </c>
      <c r="I34" s="575">
        <v>0</v>
      </c>
      <c r="J34" s="572">
        <v>0</v>
      </c>
      <c r="K34" s="575">
        <v>0</v>
      </c>
      <c r="L34" s="725">
        <f>SUM(C34:K34)</f>
        <v>25158.834556999998</v>
      </c>
      <c r="M34" s="575">
        <v>0</v>
      </c>
      <c r="N34" s="572">
        <v>0</v>
      </c>
      <c r="O34" s="575">
        <v>0</v>
      </c>
      <c r="P34" s="572">
        <v>0</v>
      </c>
      <c r="Q34" s="575">
        <v>0</v>
      </c>
      <c r="R34" s="572">
        <v>0</v>
      </c>
      <c r="S34" s="575">
        <v>0</v>
      </c>
      <c r="T34" s="572">
        <v>0</v>
      </c>
      <c r="U34" s="575">
        <v>0</v>
      </c>
      <c r="V34" s="572">
        <v>0</v>
      </c>
      <c r="W34" s="575">
        <v>0</v>
      </c>
      <c r="X34" s="572">
        <f>SUM(M34:W34)</f>
        <v>0</v>
      </c>
      <c r="Y34" s="717">
        <f>X34+L34</f>
        <v>25158.834556999998</v>
      </c>
      <c r="Z34" s="73"/>
    </row>
    <row r="35" spans="1:27" ht="13.5" thickBot="1">
      <c r="A35" s="1356"/>
      <c r="B35" s="697"/>
      <c r="C35" s="704"/>
      <c r="D35" s="718"/>
      <c r="E35" s="704"/>
      <c r="F35" s="718"/>
      <c r="G35" s="704"/>
      <c r="H35" s="718"/>
      <c r="I35" s="704"/>
      <c r="J35" s="718"/>
      <c r="K35" s="704"/>
      <c r="L35" s="720"/>
      <c r="M35" s="704"/>
      <c r="N35" s="718"/>
      <c r="O35" s="704"/>
      <c r="P35" s="718"/>
      <c r="Q35" s="704"/>
      <c r="R35" s="718"/>
      <c r="S35" s="704"/>
      <c r="T35" s="718"/>
      <c r="U35" s="704"/>
      <c r="V35" s="718"/>
      <c r="W35" s="704"/>
      <c r="X35" s="718"/>
      <c r="Y35" s="719"/>
      <c r="Z35" s="73"/>
    </row>
    <row r="36" spans="1:27" ht="13.5" thickBot="1">
      <c r="A36" s="710"/>
      <c r="B36" s="697" t="s">
        <v>345</v>
      </c>
      <c r="C36" s="709">
        <f>C20</f>
        <v>0</v>
      </c>
      <c r="D36" s="720">
        <f>SUM(D20:D34)</f>
        <v>57268.100605122803</v>
      </c>
      <c r="E36" s="709">
        <f>SUM(E20:E34)</f>
        <v>23121.364731195143</v>
      </c>
      <c r="F36" s="720">
        <f>SUM(F20:F34)</f>
        <v>0</v>
      </c>
      <c r="G36" s="709">
        <v>0</v>
      </c>
      <c r="H36" s="720">
        <v>0</v>
      </c>
      <c r="I36" s="709">
        <f t="shared" ref="I36:Y36" si="0">SUM(I20:I34)</f>
        <v>5709.9661560943487</v>
      </c>
      <c r="J36" s="720">
        <f t="shared" si="0"/>
        <v>0</v>
      </c>
      <c r="K36" s="709">
        <f t="shared" si="0"/>
        <v>0</v>
      </c>
      <c r="L36" s="720">
        <f t="shared" si="0"/>
        <v>86099.431492412303</v>
      </c>
      <c r="M36" s="709">
        <f t="shared" si="0"/>
        <v>0</v>
      </c>
      <c r="N36" s="720">
        <f t="shared" si="0"/>
        <v>33.993130764999997</v>
      </c>
      <c r="O36" s="709">
        <f t="shared" si="0"/>
        <v>0</v>
      </c>
      <c r="P36" s="720">
        <f t="shared" si="0"/>
        <v>0</v>
      </c>
      <c r="Q36" s="709">
        <f t="shared" si="0"/>
        <v>2473.9914711399983</v>
      </c>
      <c r="R36" s="720">
        <f t="shared" si="0"/>
        <v>1248.0263245002</v>
      </c>
      <c r="S36" s="709">
        <f t="shared" si="0"/>
        <v>7047.4084538333318</v>
      </c>
      <c r="T36" s="720">
        <f t="shared" si="0"/>
        <v>0</v>
      </c>
      <c r="U36" s="709">
        <f t="shared" si="0"/>
        <v>210.24722800000001</v>
      </c>
      <c r="V36" s="720">
        <f t="shared" si="0"/>
        <v>0</v>
      </c>
      <c r="W36" s="709">
        <f t="shared" si="0"/>
        <v>0</v>
      </c>
      <c r="X36" s="720">
        <f t="shared" si="0"/>
        <v>11013.666608238531</v>
      </c>
      <c r="Y36" s="719">
        <f t="shared" si="0"/>
        <v>97113.098100650823</v>
      </c>
      <c r="Z36" s="73"/>
    </row>
    <row r="37" spans="1:27">
      <c r="A37" s="738"/>
      <c r="B37" s="696"/>
      <c r="C37" s="706"/>
      <c r="D37" s="721"/>
      <c r="E37" s="705"/>
      <c r="F37" s="721"/>
      <c r="G37" s="705"/>
      <c r="H37" s="721"/>
      <c r="I37" s="705"/>
      <c r="J37" s="721"/>
      <c r="K37" s="705"/>
      <c r="L37" s="723"/>
      <c r="M37" s="705"/>
      <c r="N37" s="721"/>
      <c r="O37" s="705"/>
      <c r="P37" s="721"/>
      <c r="Q37" s="705"/>
      <c r="R37" s="721"/>
      <c r="S37" s="705"/>
      <c r="T37" s="721"/>
      <c r="U37" s="705"/>
      <c r="V37" s="721"/>
      <c r="W37" s="705"/>
      <c r="X37" s="721"/>
      <c r="Y37" s="722"/>
      <c r="Z37" s="73"/>
    </row>
    <row r="38" spans="1:27">
      <c r="A38" s="738"/>
      <c r="B38" s="696" t="s">
        <v>346</v>
      </c>
      <c r="C38" s="707">
        <v>0</v>
      </c>
      <c r="D38" s="572">
        <f>SECT_TERAC.!T44</f>
        <v>6050.1036814785048</v>
      </c>
      <c r="E38" s="575">
        <f>SECT_TERAC.!O44</f>
        <v>1.2143351533071365</v>
      </c>
      <c r="F38" s="572">
        <v>0</v>
      </c>
      <c r="G38" s="575">
        <v>0</v>
      </c>
      <c r="H38" s="572">
        <v>0</v>
      </c>
      <c r="I38" s="575">
        <v>0</v>
      </c>
      <c r="J38" s="572">
        <v>0</v>
      </c>
      <c r="K38" s="575">
        <v>0</v>
      </c>
      <c r="L38" s="725">
        <f>SUM(C38:K38)</f>
        <v>6051.3180166318116</v>
      </c>
      <c r="M38" s="575">
        <f>SECT_TERAC.!N44</f>
        <v>1764.6275340632767</v>
      </c>
      <c r="N38" s="572">
        <f>SECT_TERAC.!H44</f>
        <v>12.868664600000004</v>
      </c>
      <c r="O38" s="575">
        <v>0</v>
      </c>
      <c r="P38" s="572">
        <f>SECT_TERAC.!G44+SECT_TERAC.!J44</f>
        <v>2.2549428000000002</v>
      </c>
      <c r="Q38" s="575">
        <f>SECT_TERAC.!C44</f>
        <v>19.634633467999997</v>
      </c>
      <c r="R38" s="572">
        <f>SECT_TERAC.!D44</f>
        <v>340.84204199999999</v>
      </c>
      <c r="S38" s="575">
        <v>0</v>
      </c>
      <c r="T38" s="572">
        <v>0</v>
      </c>
      <c r="U38" s="575">
        <f>SECT_TERAC.!L44+SECT_TERAC.!R44+SECT_TERAC.!S44</f>
        <v>4035.5839619999997</v>
      </c>
      <c r="V38" s="572">
        <f>SECT_TERAC.!K44+SECT_TERAC.!U44+SECT_TERAC.!Q44</f>
        <v>1993.2797020999997</v>
      </c>
      <c r="W38" s="575">
        <v>0</v>
      </c>
      <c r="X38" s="572">
        <f>SUM(M38:W38)</f>
        <v>8169.0914810312761</v>
      </c>
      <c r="Y38" s="717">
        <f>X38+L38</f>
        <v>14220.409497663088</v>
      </c>
      <c r="Z38" s="73"/>
    </row>
    <row r="39" spans="1:27">
      <c r="A39" s="738"/>
      <c r="B39" s="696" t="s">
        <v>347</v>
      </c>
      <c r="C39" s="707">
        <v>0</v>
      </c>
      <c r="D39" s="572">
        <f>CUADRO3!E32</f>
        <v>733.92237000001478</v>
      </c>
      <c r="E39" s="575">
        <v>0</v>
      </c>
      <c r="F39" s="572">
        <v>0</v>
      </c>
      <c r="G39" s="575">
        <v>0</v>
      </c>
      <c r="H39" s="572">
        <v>0</v>
      </c>
      <c r="I39" s="575">
        <v>0</v>
      </c>
      <c r="J39" s="572">
        <v>0</v>
      </c>
      <c r="K39" s="575">
        <v>0</v>
      </c>
      <c r="L39" s="725">
        <f>SUM(C39:K39)</f>
        <v>733.92237000001478</v>
      </c>
      <c r="M39" s="575">
        <v>3904.1140276019396</v>
      </c>
      <c r="N39" s="572">
        <v>0</v>
      </c>
      <c r="O39" s="575">
        <v>0</v>
      </c>
      <c r="P39" s="572">
        <v>0</v>
      </c>
      <c r="Q39" s="575">
        <v>0</v>
      </c>
      <c r="R39" s="572">
        <v>0</v>
      </c>
      <c r="S39" s="575">
        <v>0</v>
      </c>
      <c r="T39" s="572">
        <v>0</v>
      </c>
      <c r="U39" s="575">
        <v>0</v>
      </c>
      <c r="V39" s="572">
        <v>0</v>
      </c>
      <c r="W39" s="575">
        <v>0</v>
      </c>
      <c r="X39" s="572">
        <f>SUM(M39:W39)</f>
        <v>3904.1140276019396</v>
      </c>
      <c r="Y39" s="717">
        <f>X39+L39</f>
        <v>4638.0363976019544</v>
      </c>
      <c r="Z39" s="73"/>
      <c r="AA39" s="73"/>
    </row>
    <row r="40" spans="1:27" ht="13.5" thickBot="1">
      <c r="A40" s="710"/>
      <c r="B40" s="697" t="s">
        <v>348</v>
      </c>
      <c r="C40" s="718">
        <f t="shared" ref="C40:H40" si="1">C18-C36-C39-C58</f>
        <v>113001.97122314083</v>
      </c>
      <c r="D40" s="718">
        <f t="shared" si="1"/>
        <v>261.99859115798245</v>
      </c>
      <c r="E40" s="718">
        <f t="shared" si="1"/>
        <v>9.3340000003081514E-2</v>
      </c>
      <c r="F40" s="718">
        <f t="shared" si="1"/>
        <v>22615.98594703967</v>
      </c>
      <c r="G40" s="718">
        <f t="shared" si="1"/>
        <v>0</v>
      </c>
      <c r="H40" s="718">
        <f t="shared" si="1"/>
        <v>0</v>
      </c>
      <c r="I40" s="704">
        <f t="shared" ref="I40:W40" si="2">I18-I36-I39-I58</f>
        <v>0</v>
      </c>
      <c r="J40" s="718">
        <f t="shared" si="2"/>
        <v>0</v>
      </c>
      <c r="K40" s="704">
        <f t="shared" si="2"/>
        <v>0</v>
      </c>
      <c r="L40" s="725">
        <f>SUM(C40:K40)</f>
        <v>135880.04910133849</v>
      </c>
      <c r="M40" s="704">
        <f>M18+M14-M36-M39-M58</f>
        <v>0</v>
      </c>
      <c r="N40" s="718">
        <f t="shared" si="2"/>
        <v>0</v>
      </c>
      <c r="O40" s="704">
        <f t="shared" si="2"/>
        <v>0</v>
      </c>
      <c r="P40" s="718">
        <f t="shared" si="2"/>
        <v>0</v>
      </c>
      <c r="Q40" s="704">
        <f t="shared" si="2"/>
        <v>0</v>
      </c>
      <c r="R40" s="718">
        <f t="shared" si="2"/>
        <v>0</v>
      </c>
      <c r="S40" s="704">
        <f t="shared" si="2"/>
        <v>0</v>
      </c>
      <c r="T40" s="718">
        <f t="shared" si="2"/>
        <v>0</v>
      </c>
      <c r="U40" s="704">
        <f t="shared" si="2"/>
        <v>1.2601160005942802E-3</v>
      </c>
      <c r="V40" s="718">
        <f t="shared" si="2"/>
        <v>0.35587439999994785</v>
      </c>
      <c r="W40" s="704">
        <f t="shared" si="2"/>
        <v>0</v>
      </c>
      <c r="X40" s="572">
        <f>SUM(M40:W40)</f>
        <v>0.35713451600054213</v>
      </c>
      <c r="Y40" s="717">
        <f>X40+L40</f>
        <v>135880.40623585449</v>
      </c>
      <c r="Z40" s="73"/>
    </row>
    <row r="41" spans="1:27">
      <c r="A41" s="1354" t="s">
        <v>553</v>
      </c>
      <c r="B41" s="695"/>
      <c r="C41" s="705"/>
      <c r="D41" s="721"/>
      <c r="E41" s="705"/>
      <c r="F41" s="721"/>
      <c r="G41" s="705"/>
      <c r="H41" s="721"/>
      <c r="I41" s="705"/>
      <c r="J41" s="721"/>
      <c r="K41" s="705"/>
      <c r="L41" s="723"/>
      <c r="M41" s="705"/>
      <c r="N41" s="721"/>
      <c r="O41" s="705"/>
      <c r="P41" s="721"/>
      <c r="Q41" s="705"/>
      <c r="R41" s="721"/>
      <c r="S41" s="705"/>
      <c r="T41" s="721"/>
      <c r="U41" s="705"/>
      <c r="V41" s="721"/>
      <c r="W41" s="705"/>
      <c r="X41" s="721"/>
      <c r="Y41" s="722"/>
      <c r="Z41" s="73"/>
    </row>
    <row r="42" spans="1:27">
      <c r="A42" s="1355"/>
      <c r="B42" s="696" t="s">
        <v>349</v>
      </c>
      <c r="C42" s="575">
        <v>0</v>
      </c>
      <c r="D42" s="572">
        <f>CUADRO5!C42</f>
        <v>342.40352039243834</v>
      </c>
      <c r="E42" s="575">
        <v>0</v>
      </c>
      <c r="F42" s="572">
        <v>0</v>
      </c>
      <c r="G42" s="575">
        <v>0</v>
      </c>
      <c r="H42" s="572">
        <v>0</v>
      </c>
      <c r="I42" s="575">
        <v>0</v>
      </c>
      <c r="J42" s="572">
        <v>0</v>
      </c>
      <c r="K42" s="575">
        <v>0</v>
      </c>
      <c r="L42" s="725">
        <f>SUM(C42:K42)</f>
        <v>342.40352039243834</v>
      </c>
      <c r="M42" s="575">
        <f>CUADRO5!C30</f>
        <v>216.61029582</v>
      </c>
      <c r="N42" s="572">
        <f>CUADRO5!C20</f>
        <v>6.7847695552551022</v>
      </c>
      <c r="O42" s="575">
        <f>CUADRO5!C14+CUADRO5!C16+CUADRO5!C22</f>
        <v>23639.108668223998</v>
      </c>
      <c r="P42" s="572">
        <f>CUADRO5!C18+CUADRO5!C24</f>
        <v>6998.493619881001</v>
      </c>
      <c r="Q42" s="575">
        <f>CUADRO5!C12</f>
        <v>35808.907572815995</v>
      </c>
      <c r="R42" s="572">
        <f>CUADRO5!C10</f>
        <v>13194.003546559503</v>
      </c>
      <c r="S42" s="575">
        <v>0</v>
      </c>
      <c r="T42" s="572"/>
      <c r="U42" s="575">
        <v>0</v>
      </c>
      <c r="V42" s="572">
        <v>0</v>
      </c>
      <c r="W42" s="575">
        <v>0</v>
      </c>
      <c r="X42" s="572">
        <f>SUM(M42:W42)</f>
        <v>79863.90847285575</v>
      </c>
      <c r="Y42" s="717">
        <f>X42+L42</f>
        <v>80206.311993248193</v>
      </c>
      <c r="Z42" s="73"/>
    </row>
    <row r="43" spans="1:27">
      <c r="A43" s="1355"/>
      <c r="B43" s="696"/>
      <c r="C43" s="575"/>
      <c r="D43" s="572"/>
      <c r="E43" s="575"/>
      <c r="F43" s="572"/>
      <c r="G43" s="575"/>
      <c r="H43" s="572"/>
      <c r="I43" s="575"/>
      <c r="J43" s="572"/>
      <c r="K43" s="575"/>
      <c r="L43" s="725"/>
      <c r="M43" s="575"/>
      <c r="N43" s="572"/>
      <c r="O43" s="575"/>
      <c r="P43" s="572"/>
      <c r="Q43" s="575"/>
      <c r="R43" s="572"/>
      <c r="S43" s="575"/>
      <c r="T43" s="572"/>
      <c r="U43" s="575"/>
      <c r="V43" s="572"/>
      <c r="W43" s="575"/>
      <c r="X43" s="572"/>
      <c r="Y43" s="717"/>
    </row>
    <row r="44" spans="1:27">
      <c r="A44" s="1355"/>
      <c r="B44" s="696" t="s">
        <v>350</v>
      </c>
      <c r="C44" s="575">
        <v>0</v>
      </c>
      <c r="D44" s="572">
        <f>CUADRO5!D42</f>
        <v>8960.7049323367883</v>
      </c>
      <c r="E44" s="575">
        <f>CUADRO5!D32</f>
        <v>4410.7125439710726</v>
      </c>
      <c r="F44" s="572">
        <v>0</v>
      </c>
      <c r="G44" s="575">
        <v>0</v>
      </c>
      <c r="H44" s="572">
        <v>0</v>
      </c>
      <c r="I44" s="575">
        <f>CUADRO5!D46</f>
        <v>11210.158267944136</v>
      </c>
      <c r="J44" s="572">
        <v>0</v>
      </c>
      <c r="K44" s="575">
        <v>0</v>
      </c>
      <c r="L44" s="725">
        <f>SUM(C44:K44)</f>
        <v>24581.575744251997</v>
      </c>
      <c r="M44" s="575">
        <f>CUADRO5!D30</f>
        <v>27884.910306166013</v>
      </c>
      <c r="N44" s="572">
        <f>CUADRO5!D20</f>
        <v>1922.4362330981555</v>
      </c>
      <c r="O44" s="575">
        <f>CUADRO5!D14+CUADRO5!D16+CUADRO5!D22</f>
        <v>0</v>
      </c>
      <c r="P44" s="572">
        <f>CUADRO5!D18+CUADRO5!D24</f>
        <v>251.39802532500008</v>
      </c>
      <c r="Q44" s="575">
        <f>CUADRO5!D12</f>
        <v>14970.062135963994</v>
      </c>
      <c r="R44" s="572">
        <f>CUADRO5!D10</f>
        <v>5201.8282197678</v>
      </c>
      <c r="S44" s="575">
        <f>CUADRO5!D34</f>
        <v>2679.1090900000013</v>
      </c>
      <c r="T44" s="572">
        <v>0</v>
      </c>
      <c r="U44" s="575">
        <f>CUADRO5!D28+CUADRO5!D38+CUADRO5!D40</f>
        <v>1128.66350246096</v>
      </c>
      <c r="V44" s="572">
        <f>CUADRO5!D26+CUADRO5!D36</f>
        <v>13.865062399999999</v>
      </c>
      <c r="W44" s="575">
        <v>0</v>
      </c>
      <c r="X44" s="572">
        <f>SUM(M44:W44)</f>
        <v>54052.272575181916</v>
      </c>
      <c r="Y44" s="717">
        <f>X44+L44</f>
        <v>78633.848319433921</v>
      </c>
      <c r="Z44" s="73"/>
    </row>
    <row r="45" spans="1:27">
      <c r="A45" s="1355"/>
      <c r="B45" s="696"/>
      <c r="C45" s="575"/>
      <c r="D45" s="572"/>
      <c r="E45" s="575"/>
      <c r="F45" s="572"/>
      <c r="G45" s="575"/>
      <c r="H45" s="572"/>
      <c r="I45" s="575"/>
      <c r="J45" s="572"/>
      <c r="K45" s="575"/>
      <c r="L45" s="725"/>
      <c r="M45" s="575"/>
      <c r="N45" s="572"/>
      <c r="O45" s="575"/>
      <c r="P45" s="572"/>
      <c r="Q45" s="575"/>
      <c r="R45" s="572"/>
      <c r="S45" s="575"/>
      <c r="T45" s="572"/>
      <c r="U45" s="575"/>
      <c r="V45" s="572"/>
      <c r="W45" s="575"/>
      <c r="X45" s="572"/>
      <c r="Y45" s="717"/>
    </row>
    <row r="46" spans="1:27">
      <c r="A46" s="1355"/>
      <c r="B46" s="696" t="s">
        <v>123</v>
      </c>
      <c r="C46" s="575">
        <v>0</v>
      </c>
      <c r="D46" s="572">
        <f>CUADRO8!E27</f>
        <v>3837.3445778116561</v>
      </c>
      <c r="E46" s="575">
        <f>CUADRO8!E23</f>
        <v>6.7598500000000001</v>
      </c>
      <c r="F46" s="572">
        <v>0</v>
      </c>
      <c r="G46" s="575">
        <v>0</v>
      </c>
      <c r="H46" s="572">
        <v>0</v>
      </c>
      <c r="I46" s="575">
        <f>CUADRO8!E29</f>
        <v>29067.4056406364</v>
      </c>
      <c r="J46" s="572">
        <v>0</v>
      </c>
      <c r="K46" s="575">
        <v>0</v>
      </c>
      <c r="L46" s="725">
        <f>SUM(C46:K46)</f>
        <v>32911.510068448057</v>
      </c>
      <c r="M46" s="575">
        <f>CUADRO8!E21</f>
        <v>7124.322660394354</v>
      </c>
      <c r="N46" s="572">
        <f>CUADRO8!E17</f>
        <v>8621.9280542385277</v>
      </c>
      <c r="O46" s="575">
        <f>0</f>
        <v>0</v>
      </c>
      <c r="P46" s="572">
        <f>CUADRO8!E15</f>
        <v>622.1107565100001</v>
      </c>
      <c r="Q46" s="575">
        <f>CUADRO8!E13</f>
        <v>113.46902616000003</v>
      </c>
      <c r="R46" s="572">
        <f>CUADRO8!E11</f>
        <v>1.5225</v>
      </c>
      <c r="S46" s="575">
        <v>0</v>
      </c>
      <c r="T46" s="572">
        <v>0</v>
      </c>
      <c r="U46" s="575">
        <f>CUADRO8!E25</f>
        <v>107.080708</v>
      </c>
      <c r="V46" s="572">
        <v>0</v>
      </c>
      <c r="W46" s="575">
        <v>0</v>
      </c>
      <c r="X46" s="572">
        <f>SUM(M46:W46)</f>
        <v>16590.433705302883</v>
      </c>
      <c r="Y46" s="717">
        <f>X46+L46</f>
        <v>49501.943773750943</v>
      </c>
      <c r="Z46" s="73"/>
    </row>
    <row r="47" spans="1:27">
      <c r="A47" s="1355"/>
      <c r="B47" s="696" t="s">
        <v>298</v>
      </c>
      <c r="C47" s="575"/>
      <c r="D47" s="572"/>
      <c r="E47" s="575"/>
      <c r="F47" s="572"/>
      <c r="G47" s="575"/>
      <c r="H47" s="572"/>
      <c r="I47" s="575"/>
      <c r="J47" s="572"/>
      <c r="K47" s="575"/>
      <c r="L47" s="725"/>
      <c r="M47" s="575"/>
      <c r="N47" s="572"/>
      <c r="O47" s="575"/>
      <c r="P47" s="572"/>
      <c r="Q47" s="575"/>
      <c r="R47" s="572"/>
      <c r="S47" s="575"/>
      <c r="T47" s="572"/>
      <c r="U47" s="575"/>
      <c r="V47" s="572"/>
      <c r="W47" s="575"/>
      <c r="X47" s="572"/>
      <c r="Y47" s="717"/>
    </row>
    <row r="48" spans="1:27">
      <c r="A48" s="1355"/>
      <c r="B48" s="696" t="s">
        <v>351</v>
      </c>
      <c r="C48" s="575">
        <v>0</v>
      </c>
      <c r="D48" s="572">
        <f>CUADRO8!C27+CUADRO8!D27</f>
        <v>858.04185084897381</v>
      </c>
      <c r="E48" s="575">
        <f>CUADRO8!C23+CUADRO8!D23</f>
        <v>35.184910000000016</v>
      </c>
      <c r="F48" s="572">
        <v>0</v>
      </c>
      <c r="G48" s="575">
        <v>0</v>
      </c>
      <c r="H48" s="572">
        <v>0</v>
      </c>
      <c r="I48" s="575">
        <f>CUADRO8!C29+CUADRO8!D29</f>
        <v>0</v>
      </c>
      <c r="J48" s="572">
        <v>0</v>
      </c>
      <c r="K48" s="575">
        <v>0</v>
      </c>
      <c r="L48" s="725">
        <f>SUM(C48:K48)</f>
        <v>893.22676084897387</v>
      </c>
      <c r="M48" s="575">
        <f>CUADRO8!C21+CUADRO8!D21</f>
        <v>6092.036050493396</v>
      </c>
      <c r="N48" s="572">
        <f>CUADRO8!C17+CUADRO8!D17</f>
        <v>1324.7241105113621</v>
      </c>
      <c r="O48" s="575">
        <v>0</v>
      </c>
      <c r="P48" s="572">
        <f>CUADRO8!C15+CUADRO8!D15</f>
        <v>14.817167999999999</v>
      </c>
      <c r="Q48" s="575">
        <f>CUADRO8!C13+CUADRO8!D13</f>
        <v>977.97067199999992</v>
      </c>
      <c r="R48" s="572">
        <f>CUADRO8!C11+CUADRO8!D11</f>
        <v>51.523499999999999</v>
      </c>
      <c r="S48" s="575">
        <v>0</v>
      </c>
      <c r="T48" s="572">
        <v>0</v>
      </c>
      <c r="U48" s="575">
        <f>CUADRO8!C25+CUADRO8!D25</f>
        <v>104.524913352</v>
      </c>
      <c r="V48" s="572">
        <f>CUADRO8!D19</f>
        <v>11.1741245</v>
      </c>
      <c r="W48" s="575">
        <v>0</v>
      </c>
      <c r="X48" s="572">
        <f>SUM(M48:W48)</f>
        <v>8576.7705388567556</v>
      </c>
      <c r="Y48" s="717">
        <f>X48+L48</f>
        <v>9469.9972997057303</v>
      </c>
      <c r="Z48" s="73"/>
    </row>
    <row r="49" spans="1:27">
      <c r="A49" s="1355"/>
      <c r="B49" s="696" t="s">
        <v>298</v>
      </c>
      <c r="C49" s="575"/>
      <c r="D49" s="572"/>
      <c r="E49" s="575"/>
      <c r="F49" s="572"/>
      <c r="G49" s="575"/>
      <c r="H49" s="572"/>
      <c r="I49" s="575"/>
      <c r="J49" s="572"/>
      <c r="K49" s="575"/>
      <c r="L49" s="725"/>
      <c r="M49" s="575"/>
      <c r="N49" s="572"/>
      <c r="O49" s="575"/>
      <c r="P49" s="572"/>
      <c r="Q49" s="575"/>
      <c r="R49" s="572"/>
      <c r="S49" s="575"/>
      <c r="T49" s="572"/>
      <c r="U49" s="575"/>
      <c r="V49" s="572"/>
      <c r="W49" s="575"/>
      <c r="X49" s="572"/>
      <c r="Y49" s="717"/>
    </row>
    <row r="50" spans="1:27">
      <c r="A50" s="1355"/>
      <c r="B50" s="696" t="s">
        <v>352</v>
      </c>
      <c r="C50" s="575">
        <v>0</v>
      </c>
      <c r="D50" s="572">
        <v>0</v>
      </c>
      <c r="E50" s="575">
        <v>0</v>
      </c>
      <c r="F50" s="572">
        <v>0</v>
      </c>
      <c r="G50" s="575">
        <v>0</v>
      </c>
      <c r="H50" s="572">
        <v>0</v>
      </c>
      <c r="I50" s="575">
        <v>0</v>
      </c>
      <c r="J50" s="572">
        <v>0</v>
      </c>
      <c r="K50" s="575">
        <v>0</v>
      </c>
      <c r="L50" s="725">
        <f>SUM(C50:K50)</f>
        <v>0</v>
      </c>
      <c r="M50" s="575">
        <v>0</v>
      </c>
      <c r="N50" s="572">
        <v>0</v>
      </c>
      <c r="O50" s="575">
        <v>0</v>
      </c>
      <c r="P50" s="572">
        <v>0</v>
      </c>
      <c r="Q50" s="575">
        <v>0</v>
      </c>
      <c r="R50" s="572">
        <v>0</v>
      </c>
      <c r="S50" s="575">
        <v>0</v>
      </c>
      <c r="T50" s="572">
        <v>0</v>
      </c>
      <c r="U50" s="575">
        <v>0</v>
      </c>
      <c r="V50" s="572">
        <v>0</v>
      </c>
      <c r="W50" s="575">
        <v>0</v>
      </c>
      <c r="X50" s="572">
        <f>SUM(M50:W50)</f>
        <v>0</v>
      </c>
      <c r="Y50" s="717">
        <f>X50+L50</f>
        <v>0</v>
      </c>
      <c r="Z50" s="73"/>
    </row>
    <row r="51" spans="1:27">
      <c r="A51" s="1355"/>
      <c r="B51" s="696" t="s">
        <v>298</v>
      </c>
      <c r="C51" s="575"/>
      <c r="D51" s="572"/>
      <c r="E51" s="575"/>
      <c r="F51" s="572"/>
      <c r="G51" s="575"/>
      <c r="H51" s="572"/>
      <c r="I51" s="575"/>
      <c r="J51" s="572"/>
      <c r="K51" s="575"/>
      <c r="L51" s="725"/>
      <c r="M51" s="575"/>
      <c r="N51" s="572"/>
      <c r="O51" s="575"/>
      <c r="P51" s="572"/>
      <c r="Q51" s="575"/>
      <c r="R51" s="572"/>
      <c r="S51" s="575"/>
      <c r="T51" s="572"/>
      <c r="U51" s="575"/>
      <c r="V51" s="572"/>
      <c r="W51" s="575"/>
      <c r="X51" s="572"/>
      <c r="Y51" s="717"/>
    </row>
    <row r="52" spans="1:27">
      <c r="A52" s="1355"/>
      <c r="B52" s="696" t="s">
        <v>353</v>
      </c>
      <c r="C52" s="575">
        <v>0</v>
      </c>
      <c r="D52" s="572">
        <v>0</v>
      </c>
      <c r="E52" s="575">
        <v>0</v>
      </c>
      <c r="F52" s="572">
        <v>0</v>
      </c>
      <c r="G52" s="575">
        <v>0</v>
      </c>
      <c r="H52" s="572">
        <v>0</v>
      </c>
      <c r="I52" s="575">
        <v>0</v>
      </c>
      <c r="J52" s="572">
        <v>0</v>
      </c>
      <c r="K52" s="575">
        <v>0</v>
      </c>
      <c r="L52" s="725">
        <f>SUM(C52:K52)</f>
        <v>0</v>
      </c>
      <c r="M52" s="575">
        <v>0</v>
      </c>
      <c r="N52" s="572">
        <v>0</v>
      </c>
      <c r="O52" s="575">
        <v>0</v>
      </c>
      <c r="P52" s="572">
        <v>0</v>
      </c>
      <c r="Q52" s="575">
        <v>0</v>
      </c>
      <c r="R52" s="572">
        <v>0</v>
      </c>
      <c r="S52" s="575">
        <v>0</v>
      </c>
      <c r="T52" s="572">
        <v>0</v>
      </c>
      <c r="U52" s="575">
        <v>0</v>
      </c>
      <c r="V52" s="572">
        <v>0</v>
      </c>
      <c r="W52" s="575">
        <v>0</v>
      </c>
      <c r="X52" s="572">
        <f>SUM(M52:W52)</f>
        <v>0</v>
      </c>
      <c r="Y52" s="717">
        <f>X52+L52</f>
        <v>0</v>
      </c>
      <c r="Z52" s="73"/>
    </row>
    <row r="53" spans="1:27" ht="13.5" thickBot="1">
      <c r="A53" s="1355"/>
      <c r="B53" s="697" t="s">
        <v>298</v>
      </c>
      <c r="C53" s="704"/>
      <c r="D53" s="718"/>
      <c r="E53" s="704"/>
      <c r="F53" s="718"/>
      <c r="G53" s="704"/>
      <c r="H53" s="718"/>
      <c r="I53" s="704"/>
      <c r="J53" s="718"/>
      <c r="K53" s="704"/>
      <c r="L53" s="720"/>
      <c r="M53" s="704"/>
      <c r="N53" s="718"/>
      <c r="O53" s="704"/>
      <c r="P53" s="718"/>
      <c r="Q53" s="704"/>
      <c r="R53" s="718"/>
      <c r="S53" s="704"/>
      <c r="T53" s="718"/>
      <c r="U53" s="704"/>
      <c r="V53" s="718"/>
      <c r="W53" s="704"/>
      <c r="X53" s="718"/>
      <c r="Y53" s="719"/>
    </row>
    <row r="54" spans="1:27">
      <c r="A54" s="1355"/>
      <c r="B54" s="696" t="s">
        <v>354</v>
      </c>
      <c r="C54" s="711">
        <v>0</v>
      </c>
      <c r="D54" s="723">
        <f>SUM(D42:D52)+D38</f>
        <v>20048.598562868359</v>
      </c>
      <c r="E54" s="724">
        <f>SUM(E42:E52)+E38</f>
        <v>4453.8716391243797</v>
      </c>
      <c r="F54" s="723">
        <v>0</v>
      </c>
      <c r="G54" s="724">
        <v>0</v>
      </c>
      <c r="H54" s="723">
        <v>0</v>
      </c>
      <c r="I54" s="724">
        <f>SUM(I42:I52)+I38</f>
        <v>40277.563908580538</v>
      </c>
      <c r="J54" s="723">
        <v>0</v>
      </c>
      <c r="K54" s="724">
        <f>SUM(K42:K52)</f>
        <v>0</v>
      </c>
      <c r="L54" s="723">
        <f>SUM(L42:L52)+L38</f>
        <v>64780.03411057328</v>
      </c>
      <c r="M54" s="724">
        <f>SUM(M42:M52)+M38</f>
        <v>43082.506846937038</v>
      </c>
      <c r="N54" s="723">
        <f>SUM(N42:N52)+N38</f>
        <v>11888.741832003301</v>
      </c>
      <c r="O54" s="724">
        <f>SUM(O42:O52)</f>
        <v>23639.108668223998</v>
      </c>
      <c r="P54" s="723">
        <f>SUM(P42:P52)+P38</f>
        <v>7889.0745125160011</v>
      </c>
      <c r="Q54" s="724">
        <f>SUM(Q42:Q52)+Q38</f>
        <v>51890.044040407985</v>
      </c>
      <c r="R54" s="723">
        <f>SUM(R42:R52)+R38</f>
        <v>18789.719808327303</v>
      </c>
      <c r="S54" s="724">
        <f>SUM(S42:S52)+S38</f>
        <v>2679.1090900000013</v>
      </c>
      <c r="T54" s="723">
        <f>SUM(T42:T52)</f>
        <v>0</v>
      </c>
      <c r="U54" s="724">
        <f>SUM(U42:U52)+U38</f>
        <v>5375.8530858129598</v>
      </c>
      <c r="V54" s="723">
        <f>SUM(V42:V52)+V38</f>
        <v>2018.3188889999997</v>
      </c>
      <c r="W54" s="724">
        <v>0</v>
      </c>
      <c r="X54" s="723">
        <f>SUM(X42:X52)+X38</f>
        <v>167252.47677322855</v>
      </c>
      <c r="Y54" s="1234">
        <f>X54+L54</f>
        <v>232032.51088380185</v>
      </c>
      <c r="Z54" s="73"/>
    </row>
    <row r="55" spans="1:27">
      <c r="A55" s="1355"/>
      <c r="B55" s="696"/>
      <c r="C55" s="712"/>
      <c r="D55" s="725"/>
      <c r="E55" s="726"/>
      <c r="F55" s="725"/>
      <c r="G55" s="726"/>
      <c r="H55" s="725"/>
      <c r="I55" s="726"/>
      <c r="J55" s="725"/>
      <c r="K55" s="726"/>
      <c r="L55" s="725"/>
      <c r="M55" s="726"/>
      <c r="N55" s="725"/>
      <c r="O55" s="726"/>
      <c r="P55" s="725"/>
      <c r="Q55" s="726"/>
      <c r="R55" s="725"/>
      <c r="S55" s="726"/>
      <c r="T55" s="725"/>
      <c r="U55" s="726"/>
      <c r="V55" s="725"/>
      <c r="W55" s="726"/>
      <c r="X55" s="725"/>
      <c r="Y55" s="717"/>
    </row>
    <row r="56" spans="1:27">
      <c r="A56" s="1355"/>
      <c r="B56" s="696" t="s">
        <v>355</v>
      </c>
      <c r="C56" s="712">
        <v>0</v>
      </c>
      <c r="D56" s="725">
        <v>0</v>
      </c>
      <c r="E56" s="726">
        <v>0</v>
      </c>
      <c r="F56" s="725">
        <v>0</v>
      </c>
      <c r="G56" s="726">
        <v>0</v>
      </c>
      <c r="H56" s="725">
        <v>0</v>
      </c>
      <c r="I56" s="726">
        <v>0</v>
      </c>
      <c r="J56" s="725">
        <v>0</v>
      </c>
      <c r="K56" s="726">
        <v>0</v>
      </c>
      <c r="L56" s="725">
        <v>0</v>
      </c>
      <c r="M56" s="726">
        <v>0</v>
      </c>
      <c r="N56" s="725">
        <v>0</v>
      </c>
      <c r="O56" s="726">
        <v>0</v>
      </c>
      <c r="P56" s="725">
        <v>0</v>
      </c>
      <c r="Q56" s="726">
        <v>0</v>
      </c>
      <c r="R56" s="725">
        <v>0</v>
      </c>
      <c r="S56" s="726">
        <v>0</v>
      </c>
      <c r="T56" s="725">
        <v>0</v>
      </c>
      <c r="U56" s="726">
        <v>0</v>
      </c>
      <c r="V56" s="725">
        <v>0</v>
      </c>
      <c r="W56" s="726">
        <f>W18</f>
        <v>1923.9149328399999</v>
      </c>
      <c r="X56" s="725">
        <f>SUM(M56:W56)</f>
        <v>1923.9149328399999</v>
      </c>
      <c r="Y56" s="717">
        <f>X56+L56</f>
        <v>1923.9149328399999</v>
      </c>
      <c r="Z56" s="73"/>
    </row>
    <row r="57" spans="1:27" ht="13.5" thickBot="1">
      <c r="A57" s="1355"/>
      <c r="B57" s="697"/>
      <c r="C57" s="713"/>
      <c r="D57" s="720"/>
      <c r="E57" s="709"/>
      <c r="F57" s="720"/>
      <c r="G57" s="709"/>
      <c r="H57" s="720"/>
      <c r="I57" s="709"/>
      <c r="J57" s="720"/>
      <c r="K57" s="709"/>
      <c r="L57" s="720"/>
      <c r="M57" s="709"/>
      <c r="N57" s="720"/>
      <c r="O57" s="709"/>
      <c r="P57" s="720"/>
      <c r="Q57" s="709"/>
      <c r="R57" s="720"/>
      <c r="S57" s="709"/>
      <c r="T57" s="720"/>
      <c r="U57" s="709"/>
      <c r="V57" s="720"/>
      <c r="W57" s="709"/>
      <c r="X57" s="720"/>
      <c r="Y57" s="719"/>
      <c r="Z57" s="73"/>
    </row>
    <row r="58" spans="1:27" ht="13.5" thickBot="1">
      <c r="A58" s="1356"/>
      <c r="B58" s="741" t="s">
        <v>356</v>
      </c>
      <c r="C58" s="728">
        <v>0</v>
      </c>
      <c r="D58" s="727">
        <f t="shared" ref="D58:K58" si="3">D54+D56</f>
        <v>20048.598562868359</v>
      </c>
      <c r="E58" s="728">
        <f t="shared" si="3"/>
        <v>4453.8716391243797</v>
      </c>
      <c r="F58" s="728">
        <f t="shared" si="3"/>
        <v>0</v>
      </c>
      <c r="G58" s="728">
        <f t="shared" si="3"/>
        <v>0</v>
      </c>
      <c r="H58" s="728">
        <f t="shared" si="3"/>
        <v>0</v>
      </c>
      <c r="I58" s="728">
        <f t="shared" si="3"/>
        <v>40277.563908580538</v>
      </c>
      <c r="J58" s="728">
        <f t="shared" si="3"/>
        <v>0</v>
      </c>
      <c r="K58" s="728">
        <f t="shared" si="3"/>
        <v>0</v>
      </c>
      <c r="L58" s="727">
        <f t="shared" ref="L58:W58" si="4">L54+L56</f>
        <v>64780.03411057328</v>
      </c>
      <c r="M58" s="728">
        <f t="shared" si="4"/>
        <v>43082.506846937038</v>
      </c>
      <c r="N58" s="727">
        <f t="shared" si="4"/>
        <v>11888.741832003301</v>
      </c>
      <c r="O58" s="728">
        <f t="shared" si="4"/>
        <v>23639.108668223998</v>
      </c>
      <c r="P58" s="737">
        <f t="shared" si="4"/>
        <v>7889.0745125160011</v>
      </c>
      <c r="Q58" s="728">
        <f t="shared" si="4"/>
        <v>51890.044040407985</v>
      </c>
      <c r="R58" s="737">
        <f t="shared" si="4"/>
        <v>18789.719808327303</v>
      </c>
      <c r="S58" s="727">
        <f t="shared" si="4"/>
        <v>2679.1090900000013</v>
      </c>
      <c r="T58" s="728">
        <f t="shared" si="4"/>
        <v>0</v>
      </c>
      <c r="U58" s="727">
        <f t="shared" si="4"/>
        <v>5375.8530858129598</v>
      </c>
      <c r="V58" s="728">
        <f t="shared" si="4"/>
        <v>2018.3188889999997</v>
      </c>
      <c r="W58" s="727">
        <f t="shared" si="4"/>
        <v>1923.9149328399999</v>
      </c>
      <c r="X58" s="728">
        <f>X54+X56</f>
        <v>169176.39170606856</v>
      </c>
      <c r="Y58" s="729">
        <f>X58+L58</f>
        <v>233956.42581664183</v>
      </c>
      <c r="Z58" s="73"/>
    </row>
    <row r="59" spans="1:27" ht="13.5" thickBot="1">
      <c r="A59" s="740"/>
      <c r="B59" s="742" t="s">
        <v>561</v>
      </c>
      <c r="C59" s="728">
        <f>C58+C36</f>
        <v>0</v>
      </c>
      <c r="D59" s="727">
        <f t="shared" ref="D59:I59" si="5">D58+D36</f>
        <v>77316.699167991159</v>
      </c>
      <c r="E59" s="728">
        <f t="shared" si="5"/>
        <v>27575.236370319522</v>
      </c>
      <c r="F59" s="727">
        <f t="shared" si="5"/>
        <v>0</v>
      </c>
      <c r="G59" s="728">
        <f t="shared" si="5"/>
        <v>0</v>
      </c>
      <c r="H59" s="727">
        <f t="shared" si="5"/>
        <v>0</v>
      </c>
      <c r="I59" s="728">
        <f t="shared" si="5"/>
        <v>45987.530064674887</v>
      </c>
      <c r="J59" s="727">
        <f t="shared" ref="J59:Y59" si="6">J58+J36</f>
        <v>0</v>
      </c>
      <c r="K59" s="728">
        <f t="shared" si="6"/>
        <v>0</v>
      </c>
      <c r="L59" s="727">
        <f t="shared" si="6"/>
        <v>150879.46560298558</v>
      </c>
      <c r="M59" s="728">
        <f t="shared" si="6"/>
        <v>43082.506846937038</v>
      </c>
      <c r="N59" s="727">
        <f t="shared" si="6"/>
        <v>11922.734962768302</v>
      </c>
      <c r="O59" s="728">
        <f t="shared" si="6"/>
        <v>23639.108668223998</v>
      </c>
      <c r="P59" s="737">
        <f t="shared" si="6"/>
        <v>7889.0745125160011</v>
      </c>
      <c r="Q59" s="728">
        <f t="shared" si="6"/>
        <v>54364.035511547983</v>
      </c>
      <c r="R59" s="737">
        <f t="shared" si="6"/>
        <v>20037.746132827502</v>
      </c>
      <c r="S59" s="727">
        <f t="shared" si="6"/>
        <v>9726.5175438333335</v>
      </c>
      <c r="T59" s="728">
        <f t="shared" si="6"/>
        <v>0</v>
      </c>
      <c r="U59" s="727">
        <f t="shared" si="6"/>
        <v>5586.1003138129599</v>
      </c>
      <c r="V59" s="728">
        <f t="shared" si="6"/>
        <v>2018.3188889999997</v>
      </c>
      <c r="W59" s="727">
        <f t="shared" si="6"/>
        <v>1923.9149328399999</v>
      </c>
      <c r="X59" s="728">
        <f t="shared" si="6"/>
        <v>180190.0583143071</v>
      </c>
      <c r="Y59" s="1235">
        <f t="shared" si="6"/>
        <v>331069.52391729265</v>
      </c>
      <c r="Z59" s="73"/>
    </row>
    <row r="60" spans="1:27">
      <c r="X60" s="595"/>
      <c r="AA60" s="73"/>
    </row>
    <row r="61" spans="1:27">
      <c r="E61" s="595"/>
      <c r="L61" s="595"/>
      <c r="Y61" s="595"/>
    </row>
    <row r="62" spans="1:27">
      <c r="C62" s="22" t="s">
        <v>562</v>
      </c>
      <c r="M62" s="595"/>
      <c r="Y62" s="595"/>
    </row>
    <row r="63" spans="1:27">
      <c r="C63" s="22" t="s">
        <v>563</v>
      </c>
    </row>
    <row r="64" spans="1:27">
      <c r="C64" s="22" t="s">
        <v>564</v>
      </c>
    </row>
    <row r="65" spans="3:3">
      <c r="C65" s="22" t="s">
        <v>565</v>
      </c>
    </row>
    <row r="66" spans="3:3">
      <c r="C66" s="22" t="s">
        <v>566</v>
      </c>
    </row>
    <row r="67" spans="3:3">
      <c r="C67" s="739" t="s">
        <v>567</v>
      </c>
    </row>
    <row r="68" spans="3:3">
      <c r="C68" s="739" t="s">
        <v>740</v>
      </c>
    </row>
    <row r="69" spans="3:3">
      <c r="C69" s="739" t="s">
        <v>575</v>
      </c>
    </row>
  </sheetData>
  <mergeCells count="5">
    <mergeCell ref="M4:Y4"/>
    <mergeCell ref="A8:A17"/>
    <mergeCell ref="A19:A35"/>
    <mergeCell ref="A41:A58"/>
    <mergeCell ref="C4:L4"/>
  </mergeCells>
  <phoneticPr fontId="0" type="noConversion"/>
  <hyperlinks>
    <hyperlink ref="E1" location="INDICE!A60" display="VOLVER A INDICE"/>
  </hyperlinks>
  <pageMargins left="0.75" right="0.75" top="1" bottom="1" header="0" footer="0"/>
  <pageSetup orientation="portrait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8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H17" sqref="H17"/>
    </sheetView>
  </sheetViews>
  <sheetFormatPr baseColWidth="10" defaultRowHeight="12.75"/>
  <cols>
    <col min="1" max="1" width="34.28515625" style="891" customWidth="1"/>
    <col min="2" max="14" width="11.42578125" style="891"/>
    <col min="15" max="15" width="21.28515625" style="891" customWidth="1"/>
    <col min="16" max="16384" width="11.42578125" style="891"/>
  </cols>
  <sheetData>
    <row r="1" spans="1:24">
      <c r="A1" s="440"/>
      <c r="B1" s="440"/>
      <c r="C1" s="852" t="s">
        <v>681</v>
      </c>
      <c r="D1" s="440"/>
      <c r="E1" s="440"/>
      <c r="F1" s="440"/>
      <c r="G1" s="440"/>
      <c r="H1" s="440"/>
      <c r="I1" s="440"/>
      <c r="J1" s="440"/>
      <c r="K1" s="440"/>
      <c r="L1" s="440"/>
      <c r="M1" s="440"/>
      <c r="N1" s="440"/>
      <c r="O1" s="22"/>
      <c r="P1" s="22"/>
      <c r="Q1" s="22"/>
      <c r="R1" s="22"/>
      <c r="S1" s="22"/>
      <c r="T1" s="22"/>
      <c r="U1" s="22"/>
      <c r="V1" s="22"/>
      <c r="W1" s="22"/>
      <c r="X1" s="22"/>
    </row>
    <row r="2" spans="1:24">
      <c r="A2" s="439" t="s">
        <v>774</v>
      </c>
      <c r="B2" s="440"/>
      <c r="C2" s="440"/>
      <c r="D2" s="440"/>
      <c r="E2" s="439" t="s">
        <v>547</v>
      </c>
      <c r="F2" s="440"/>
      <c r="G2" s="440"/>
      <c r="H2" s="440"/>
      <c r="I2" s="440"/>
      <c r="J2" s="440"/>
      <c r="K2" s="440"/>
      <c r="L2" s="440"/>
      <c r="M2" s="440"/>
      <c r="N2" s="440"/>
      <c r="O2" s="22"/>
      <c r="P2" s="22"/>
      <c r="Q2" s="22"/>
      <c r="R2" s="22"/>
      <c r="S2" s="22"/>
      <c r="T2" s="22"/>
      <c r="U2" s="22"/>
      <c r="V2" s="22"/>
      <c r="W2" s="22"/>
      <c r="X2" s="22"/>
    </row>
    <row r="3" spans="1:24">
      <c r="A3" s="439" t="s">
        <v>302</v>
      </c>
      <c r="B3" s="440">
        <v>1</v>
      </c>
      <c r="C3" s="440">
        <v>2</v>
      </c>
      <c r="D3" s="440">
        <v>3</v>
      </c>
      <c r="E3" s="440">
        <v>4</v>
      </c>
      <c r="F3" s="440">
        <v>5</v>
      </c>
      <c r="G3" s="440">
        <v>6</v>
      </c>
      <c r="H3" s="440">
        <v>7</v>
      </c>
      <c r="I3" s="440">
        <v>8</v>
      </c>
      <c r="J3" s="440">
        <v>9</v>
      </c>
      <c r="K3" s="440">
        <v>10</v>
      </c>
      <c r="L3" s="440">
        <v>11</v>
      </c>
      <c r="M3" s="440">
        <v>12</v>
      </c>
      <c r="N3" s="440">
        <v>13</v>
      </c>
      <c r="O3" s="22"/>
      <c r="P3" s="22"/>
      <c r="Q3" s="22"/>
      <c r="R3" s="22"/>
      <c r="S3" s="22"/>
      <c r="T3" s="22"/>
      <c r="U3" s="22"/>
      <c r="V3" s="22"/>
      <c r="W3" s="22"/>
      <c r="X3" s="22"/>
    </row>
    <row r="4" spans="1:24">
      <c r="A4" s="666"/>
      <c r="B4" s="667" t="s">
        <v>502</v>
      </c>
      <c r="C4" s="668" t="s">
        <v>502</v>
      </c>
      <c r="D4" s="669" t="s">
        <v>503</v>
      </c>
      <c r="E4" s="668" t="s">
        <v>504</v>
      </c>
      <c r="F4" s="669" t="s">
        <v>222</v>
      </c>
      <c r="G4" s="668" t="s">
        <v>505</v>
      </c>
      <c r="H4" s="669" t="s">
        <v>506</v>
      </c>
      <c r="I4" s="668" t="s">
        <v>507</v>
      </c>
      <c r="J4" s="669" t="s">
        <v>508</v>
      </c>
      <c r="K4" s="668" t="s">
        <v>534</v>
      </c>
      <c r="L4" s="669" t="s">
        <v>509</v>
      </c>
      <c r="M4" s="668" t="s">
        <v>510</v>
      </c>
      <c r="N4" s="669" t="s">
        <v>87</v>
      </c>
      <c r="O4" s="668" t="s">
        <v>538</v>
      </c>
      <c r="P4" s="22"/>
      <c r="Q4" s="22"/>
      <c r="R4" s="22"/>
      <c r="S4" s="22"/>
      <c r="T4" s="22"/>
      <c r="U4" s="22"/>
      <c r="V4" s="22"/>
      <c r="W4" s="22"/>
      <c r="X4" s="22"/>
    </row>
    <row r="5" spans="1:24">
      <c r="A5" s="670"/>
      <c r="B5" s="671"/>
      <c r="C5" s="672" t="s">
        <v>511</v>
      </c>
      <c r="D5" s="673" t="s">
        <v>512</v>
      </c>
      <c r="E5" s="672" t="s">
        <v>513</v>
      </c>
      <c r="F5" s="673" t="s">
        <v>514</v>
      </c>
      <c r="G5" s="672" t="s">
        <v>222</v>
      </c>
      <c r="H5" s="673"/>
      <c r="I5" s="672"/>
      <c r="J5" s="673" t="s">
        <v>515</v>
      </c>
      <c r="K5" s="672"/>
      <c r="L5" s="673"/>
      <c r="M5" s="672"/>
      <c r="N5" s="673"/>
      <c r="O5" s="672" t="s">
        <v>546</v>
      </c>
      <c r="P5" s="22"/>
      <c r="Q5" s="22"/>
      <c r="R5" s="22"/>
      <c r="S5" s="22"/>
      <c r="T5" s="22"/>
      <c r="U5" s="22"/>
      <c r="V5" s="22"/>
      <c r="W5" s="22"/>
      <c r="X5" s="22"/>
    </row>
    <row r="6" spans="1:24">
      <c r="A6" s="674" t="s">
        <v>516</v>
      </c>
      <c r="B6" s="675">
        <f>CUADRO3!C14</f>
        <v>2837.7984697840402</v>
      </c>
      <c r="C6" s="676">
        <f>CUADRO4!C37+CUADRO4!C39</f>
        <v>5434.5362000000005</v>
      </c>
      <c r="D6" s="677">
        <f>CUADRO3!C10</f>
        <v>1751.5066005377998</v>
      </c>
      <c r="E6" s="676">
        <f>CUADRO4!C10</f>
        <v>107183.03307754998</v>
      </c>
      <c r="F6" s="677">
        <f>CUADRO3!C12</f>
        <v>21428.179272000005</v>
      </c>
      <c r="G6" s="676">
        <f>CUADRO4!C41</f>
        <v>1344.0786428775932</v>
      </c>
      <c r="H6" s="677"/>
      <c r="I6" s="678"/>
      <c r="J6" s="679"/>
      <c r="K6" s="676">
        <f>CUADRO4!C43+CUADRO4!C47</f>
        <v>17805.492907000003</v>
      </c>
      <c r="L6" s="677">
        <f>CUADRO4!C33</f>
        <v>45135.909474538974</v>
      </c>
      <c r="M6" s="676">
        <f>CUADRO4!C49</f>
        <v>45987.530064674887</v>
      </c>
      <c r="N6" s="677">
        <f>SUM(B6:M6)</f>
        <v>248908.0647089633</v>
      </c>
      <c r="O6" s="676">
        <f>N6-D6</f>
        <v>247156.5581084255</v>
      </c>
      <c r="P6" s="22"/>
      <c r="Q6" s="22"/>
      <c r="R6" s="22"/>
      <c r="S6" s="22"/>
      <c r="T6" s="22"/>
      <c r="U6" s="22"/>
      <c r="V6" s="22"/>
      <c r="W6" s="22"/>
      <c r="X6" s="22"/>
    </row>
    <row r="7" spans="1:24">
      <c r="A7" s="674" t="s">
        <v>517</v>
      </c>
      <c r="B7" s="675">
        <f>CUADRO3!D14</f>
        <v>25252.965282925968</v>
      </c>
      <c r="C7" s="676">
        <f>CUADRO4!D37</f>
        <v>4795.5778</v>
      </c>
      <c r="D7" s="677">
        <f>CUADRO3!D10</f>
        <v>110973.62479814098</v>
      </c>
      <c r="E7" s="676">
        <f>CUADRO4!D10</f>
        <v>35064.624265668499</v>
      </c>
      <c r="F7" s="677">
        <f>CUADRO3!D12</f>
        <v>58666.893912826003</v>
      </c>
      <c r="G7" s="676">
        <f>CUADRO4!D41</f>
        <v>0</v>
      </c>
      <c r="H7" s="679"/>
      <c r="I7" s="678"/>
      <c r="J7" s="679"/>
      <c r="K7" s="676">
        <f>CUADRO4!D43+CUADRO4!D47</f>
        <v>0</v>
      </c>
      <c r="L7" s="677">
        <f>CUADRO4!D33</f>
        <v>1850.7113999999999</v>
      </c>
      <c r="M7" s="676">
        <f>CUADRO4!D49</f>
        <v>0</v>
      </c>
      <c r="N7" s="677">
        <f t="shared" ref="N7:N26" si="0">SUM(B7:M7)</f>
        <v>236604.39745956144</v>
      </c>
      <c r="O7" s="676">
        <f t="shared" ref="O7:O25" si="1">N7-D7</f>
        <v>125630.77266142046</v>
      </c>
      <c r="P7" s="22"/>
      <c r="Q7" s="22"/>
      <c r="R7" s="22"/>
      <c r="S7" s="22"/>
      <c r="T7" s="22"/>
      <c r="U7" s="22"/>
      <c r="V7" s="22"/>
      <c r="W7" s="22"/>
      <c r="X7" s="22"/>
    </row>
    <row r="8" spans="1:24">
      <c r="A8" s="674" t="s">
        <v>518</v>
      </c>
      <c r="B8" s="675">
        <f>CUADRO3!E14</f>
        <v>0</v>
      </c>
      <c r="C8" s="676">
        <f>CUADRO4!E37</f>
        <v>281.2752000000001</v>
      </c>
      <c r="D8" s="677">
        <f>CUADRO3!E10</f>
        <v>0</v>
      </c>
      <c r="E8" s="676">
        <f>CUADRO4!E10</f>
        <v>18358.698054623503</v>
      </c>
      <c r="F8" s="677">
        <f>CUADRO3!E12</f>
        <v>0</v>
      </c>
      <c r="G8" s="676">
        <f>CUADRO4!E41</f>
        <v>0</v>
      </c>
      <c r="H8" s="679"/>
      <c r="I8" s="678"/>
      <c r="J8" s="679"/>
      <c r="K8" s="676">
        <f>CUADRO4!E43+CUADRO4!E47</f>
        <v>15129.0654326</v>
      </c>
      <c r="L8" s="677">
        <f>CUADRO4!E33</f>
        <v>0</v>
      </c>
      <c r="M8" s="676">
        <f>CUADRO4!E49</f>
        <v>0</v>
      </c>
      <c r="N8" s="677">
        <f t="shared" si="0"/>
        <v>33769.038687223503</v>
      </c>
      <c r="O8" s="676">
        <f t="shared" si="1"/>
        <v>33769.038687223503</v>
      </c>
      <c r="P8" s="22"/>
      <c r="Q8" s="22"/>
      <c r="R8" s="22"/>
      <c r="S8" s="22"/>
      <c r="T8" s="22"/>
      <c r="U8" s="22"/>
      <c r="V8" s="22"/>
      <c r="W8" s="22"/>
      <c r="X8" s="22"/>
    </row>
    <row r="9" spans="1:24">
      <c r="A9" s="674" t="s">
        <v>519</v>
      </c>
      <c r="B9" s="680">
        <v>0</v>
      </c>
      <c r="C9" s="678"/>
      <c r="D9" s="679"/>
      <c r="E9" s="676">
        <v>0</v>
      </c>
      <c r="F9" s="573"/>
      <c r="G9" s="678">
        <v>0</v>
      </c>
      <c r="H9" s="679"/>
      <c r="I9" s="678"/>
      <c r="J9" s="679"/>
      <c r="K9" s="678">
        <v>0</v>
      </c>
      <c r="L9" s="679">
        <v>0</v>
      </c>
      <c r="M9" s="678">
        <f>0</f>
        <v>0</v>
      </c>
      <c r="N9" s="679">
        <f t="shared" si="0"/>
        <v>0</v>
      </c>
      <c r="O9" s="676">
        <f t="shared" si="1"/>
        <v>0</v>
      </c>
      <c r="P9" s="22"/>
      <c r="Q9" s="22"/>
      <c r="R9" s="22"/>
      <c r="S9" s="22"/>
      <c r="T9" s="22"/>
      <c r="U9" s="22"/>
      <c r="V9" s="22"/>
      <c r="W9" s="22"/>
      <c r="X9" s="22"/>
    </row>
    <row r="10" spans="1:24">
      <c r="A10" s="674" t="s">
        <v>520</v>
      </c>
      <c r="B10" s="675">
        <f>CUADRO3!F14</f>
        <v>515.4340423904805</v>
      </c>
      <c r="C10" s="676">
        <f>CUADRO4!F37+CUADRO4!F39</f>
        <v>52.196256166666871</v>
      </c>
      <c r="D10" s="677">
        <f>CUADRO3!F10</f>
        <v>-276.83982446204755</v>
      </c>
      <c r="E10" s="676">
        <f>CUADRO4!F10</f>
        <v>1613.2709187112039</v>
      </c>
      <c r="F10" s="677">
        <f>CUADRO3!F12</f>
        <v>1782.4530556768493</v>
      </c>
      <c r="G10" s="676">
        <f>CUADRO4!F41</f>
        <v>41.311844648633041</v>
      </c>
      <c r="H10" s="679"/>
      <c r="I10" s="678"/>
      <c r="J10" s="679"/>
      <c r="K10" s="676">
        <f>CUADRO4!F43+CUADRO4!F47</f>
        <v>966.9455332999994</v>
      </c>
      <c r="L10" s="677">
        <f>CUADRO4!F33</f>
        <v>3904.1140276019396</v>
      </c>
      <c r="M10" s="676">
        <f>CUADRO4!F49</f>
        <v>0</v>
      </c>
      <c r="N10" s="677">
        <f t="shared" si="0"/>
        <v>8598.8858540337242</v>
      </c>
      <c r="O10" s="676">
        <f t="shared" si="1"/>
        <v>8875.7256784957717</v>
      </c>
      <c r="P10" s="22"/>
      <c r="Q10" s="22"/>
      <c r="R10" s="22"/>
      <c r="S10" s="22"/>
      <c r="T10" s="22"/>
      <c r="U10" s="22"/>
      <c r="V10" s="22"/>
      <c r="W10" s="22"/>
      <c r="X10" s="22"/>
    </row>
    <row r="11" spans="1:24">
      <c r="A11" s="681" t="s">
        <v>521</v>
      </c>
      <c r="B11" s="682">
        <f>B6+B7-B8-B9-B10</f>
        <v>27575.329710319529</v>
      </c>
      <c r="C11" s="683">
        <f t="shared" ref="C11:O11" si="2">C6+C7-C8-C9-C10</f>
        <v>9896.6425438333354</v>
      </c>
      <c r="D11" s="684">
        <f t="shared" si="2"/>
        <v>113001.97122314083</v>
      </c>
      <c r="E11" s="683">
        <f t="shared" si="2"/>
        <v>122275.68836988378</v>
      </c>
      <c r="F11" s="684">
        <f t="shared" si="2"/>
        <v>78312.62012914916</v>
      </c>
      <c r="G11" s="683">
        <f t="shared" si="2"/>
        <v>1302.7667982289602</v>
      </c>
      <c r="H11" s="684"/>
      <c r="I11" s="683"/>
      <c r="J11" s="684"/>
      <c r="K11" s="683">
        <f t="shared" si="2"/>
        <v>1709.4819411000037</v>
      </c>
      <c r="L11" s="684">
        <f t="shared" si="2"/>
        <v>43082.506846937031</v>
      </c>
      <c r="M11" s="683">
        <f t="shared" si="2"/>
        <v>45987.530064674887</v>
      </c>
      <c r="N11" s="684">
        <f t="shared" si="2"/>
        <v>443144.53762726753</v>
      </c>
      <c r="O11" s="683">
        <f t="shared" si="2"/>
        <v>330142.5664041267</v>
      </c>
      <c r="P11" s="22"/>
      <c r="Q11" s="22"/>
      <c r="R11" s="22"/>
      <c r="S11" s="22"/>
      <c r="T11" s="22"/>
      <c r="U11" s="22"/>
      <c r="V11" s="22"/>
      <c r="W11" s="22"/>
      <c r="X11" s="22"/>
    </row>
    <row r="12" spans="1:24">
      <c r="A12" s="674" t="s">
        <v>522</v>
      </c>
      <c r="B12" s="675">
        <f>SECT_TERAC.!O50</f>
        <v>17968.053017028706</v>
      </c>
      <c r="C12" s="676">
        <f>SECT_TERAC.!P50</f>
        <v>5425.5394538333321</v>
      </c>
      <c r="D12" s="679">
        <v>0</v>
      </c>
      <c r="E12" s="676">
        <f>SECT_TERAC.!M50</f>
        <v>2769.9927742649984</v>
      </c>
      <c r="F12" s="677">
        <f>SECT_TERAC.!T50</f>
        <v>25941.064121597545</v>
      </c>
      <c r="G12" s="676">
        <f>SECT_TERAC.!R37</f>
        <v>0</v>
      </c>
      <c r="H12" s="677"/>
      <c r="I12" s="678"/>
      <c r="J12" s="679"/>
      <c r="K12" s="676">
        <f>SECT_TERAC.!S37</f>
        <v>0</v>
      </c>
      <c r="L12" s="677">
        <v>0</v>
      </c>
      <c r="M12" s="676">
        <f>SECT_TERAC.!W50</f>
        <v>202.4265805149692</v>
      </c>
      <c r="N12" s="677">
        <f t="shared" si="0"/>
        <v>52307.075947239551</v>
      </c>
      <c r="O12" s="676">
        <f t="shared" si="1"/>
        <v>52307.075947239551</v>
      </c>
      <c r="P12" s="22"/>
      <c r="Q12" s="22"/>
      <c r="R12" s="22"/>
      <c r="S12" s="22"/>
      <c r="T12" s="22"/>
      <c r="U12" s="22"/>
      <c r="V12" s="22"/>
      <c r="W12" s="22"/>
      <c r="X12" s="22"/>
    </row>
    <row r="13" spans="1:24">
      <c r="A13" s="674" t="s">
        <v>523</v>
      </c>
      <c r="B13" s="675">
        <f>SECT_TERAC.!O49</f>
        <v>91.474114166439023</v>
      </c>
      <c r="C13" s="676">
        <f>SECT_TERAC.!P49</f>
        <v>0</v>
      </c>
      <c r="D13" s="679">
        <v>0</v>
      </c>
      <c r="E13" s="676">
        <f>SECT_TERAC.!M49</f>
        <v>1163.1369975401999</v>
      </c>
      <c r="F13" s="677">
        <f>SECT_TERAC.!T49</f>
        <v>4188.0372251108301</v>
      </c>
      <c r="G13" s="676">
        <f>SECT_TERAC.!R36</f>
        <v>0</v>
      </c>
      <c r="H13" s="679"/>
      <c r="I13" s="678"/>
      <c r="J13" s="679"/>
      <c r="K13" s="676">
        <f>SECT_TERAC.!S36</f>
        <v>0</v>
      </c>
      <c r="L13" s="677">
        <v>0</v>
      </c>
      <c r="M13" s="676">
        <f>SECT_TERAC.!W49</f>
        <v>5507.5395755793797</v>
      </c>
      <c r="N13" s="677">
        <f t="shared" si="0"/>
        <v>10950.187912396848</v>
      </c>
      <c r="O13" s="676">
        <f t="shared" si="1"/>
        <v>10950.187912396848</v>
      </c>
      <c r="P13" s="22"/>
      <c r="Q13" s="22"/>
      <c r="R13" s="22"/>
      <c r="S13" s="22"/>
      <c r="T13" s="22"/>
      <c r="U13" s="22"/>
      <c r="V13" s="22"/>
      <c r="W13" s="22"/>
      <c r="X13" s="22"/>
    </row>
    <row r="14" spans="1:24">
      <c r="A14" s="674" t="s">
        <v>524</v>
      </c>
      <c r="B14" s="675">
        <f>SECT_TERAC.!O38+SECT_TERAC.!O42</f>
        <v>0</v>
      </c>
      <c r="C14" s="676">
        <f>SECT_TERAC.!P51+SECT_TERAC.!P55</f>
        <v>1621.8689999999999</v>
      </c>
      <c r="D14" s="679">
        <v>0</v>
      </c>
      <c r="E14" s="676">
        <f>SECT_TERAC.!M51+SECT_TERAC.!M55</f>
        <v>33.429516999999997</v>
      </c>
      <c r="F14" s="677">
        <v>0</v>
      </c>
      <c r="G14" s="676">
        <f>SECT_TERAC.!R38+SECT_TERAC.!R42</f>
        <v>0</v>
      </c>
      <c r="H14" s="679"/>
      <c r="I14" s="678"/>
      <c r="J14" s="679"/>
      <c r="K14" s="676">
        <v>0</v>
      </c>
      <c r="L14" s="677">
        <v>0</v>
      </c>
      <c r="M14" s="676">
        <f>SECT_TERAC.!W51+SECT_TERAC.!W55</f>
        <v>0</v>
      </c>
      <c r="N14" s="677">
        <f t="shared" si="0"/>
        <v>1655.2985169999999</v>
      </c>
      <c r="O14" s="676">
        <f t="shared" si="1"/>
        <v>1655.2985169999999</v>
      </c>
      <c r="P14" s="22"/>
      <c r="Q14" s="22"/>
      <c r="R14" s="22"/>
      <c r="S14" s="22"/>
      <c r="T14" s="22"/>
      <c r="U14" s="22"/>
      <c r="V14" s="22"/>
      <c r="W14" s="22"/>
      <c r="X14" s="22"/>
    </row>
    <row r="15" spans="1:24">
      <c r="A15" s="674" t="s">
        <v>525</v>
      </c>
      <c r="B15" s="675">
        <f>SECT_TERAC.!O40</f>
        <v>0</v>
      </c>
      <c r="C15" s="676">
        <f>SECT_TERAC.!P53</f>
        <v>0</v>
      </c>
      <c r="D15" s="677">
        <f>D11</f>
        <v>113001.97122314083</v>
      </c>
      <c r="E15" s="676">
        <f>SECT_TERAC.!M53</f>
        <v>0</v>
      </c>
      <c r="F15" s="677">
        <f>SECT_TERAC.!T53</f>
        <v>1980.1647014144305</v>
      </c>
      <c r="G15" s="676">
        <f>SECT_TERAC.!R40</f>
        <v>0</v>
      </c>
      <c r="H15" s="679"/>
      <c r="I15" s="678"/>
      <c r="J15" s="679"/>
      <c r="K15" s="676">
        <v>0</v>
      </c>
      <c r="L15" s="677">
        <v>0</v>
      </c>
      <c r="M15" s="676">
        <f>SECT_TERAC.!W53</f>
        <v>0</v>
      </c>
      <c r="N15" s="677">
        <f t="shared" si="0"/>
        <v>114982.13592455526</v>
      </c>
      <c r="O15" s="676">
        <f t="shared" si="1"/>
        <v>1980.1647014144255</v>
      </c>
      <c r="P15" s="22"/>
      <c r="Q15" s="22"/>
      <c r="R15" s="22"/>
      <c r="S15" s="22"/>
      <c r="T15" s="22"/>
      <c r="U15" s="22"/>
      <c r="V15" s="22"/>
      <c r="W15" s="22"/>
      <c r="X15" s="22"/>
    </row>
    <row r="16" spans="1:24">
      <c r="A16" s="674" t="s">
        <v>526</v>
      </c>
      <c r="B16" s="675">
        <v>0</v>
      </c>
      <c r="C16" s="676">
        <f>SECT_TERAC.!P54+SECT_TERAC.!P52</f>
        <v>0</v>
      </c>
      <c r="D16" s="679">
        <v>0</v>
      </c>
      <c r="E16" s="676">
        <f>SECT_TERAC.!M54+SECT_TERAC.!M52</f>
        <v>0</v>
      </c>
      <c r="F16" s="677">
        <f>SECT_TERAC.!T41+SECT_TERAC.!T52</f>
        <v>0</v>
      </c>
      <c r="G16" s="676">
        <v>0</v>
      </c>
      <c r="H16" s="679"/>
      <c r="I16" s="678"/>
      <c r="J16" s="679"/>
      <c r="K16" s="676">
        <v>0</v>
      </c>
      <c r="L16" s="677">
        <v>0</v>
      </c>
      <c r="M16" s="676">
        <f>SECT_TERAC.!W54+SECT_TERAC.!W52</f>
        <v>0</v>
      </c>
      <c r="N16" s="677">
        <f t="shared" si="0"/>
        <v>0</v>
      </c>
      <c r="O16" s="676">
        <f t="shared" si="1"/>
        <v>0</v>
      </c>
      <c r="P16" s="22"/>
      <c r="Q16" s="22"/>
      <c r="R16" s="22"/>
      <c r="S16" s="22"/>
      <c r="T16" s="22"/>
      <c r="U16" s="22"/>
      <c r="V16" s="22"/>
      <c r="W16" s="22"/>
      <c r="X16" s="22"/>
    </row>
    <row r="17" spans="1:24">
      <c r="A17" s="674" t="s">
        <v>527</v>
      </c>
      <c r="B17" s="675">
        <v>0</v>
      </c>
      <c r="C17" s="676">
        <v>0</v>
      </c>
      <c r="D17" s="677">
        <v>0</v>
      </c>
      <c r="E17" s="676">
        <v>0</v>
      </c>
      <c r="F17" s="677">
        <v>0</v>
      </c>
      <c r="G17" s="676">
        <v>0</v>
      </c>
      <c r="H17" s="679"/>
      <c r="I17" s="678"/>
      <c r="J17" s="679"/>
      <c r="K17" s="676">
        <v>0</v>
      </c>
      <c r="L17" s="677">
        <v>0</v>
      </c>
      <c r="M17" s="676">
        <v>0</v>
      </c>
      <c r="N17" s="677">
        <f t="shared" si="0"/>
        <v>0</v>
      </c>
      <c r="O17" s="676">
        <f t="shared" si="1"/>
        <v>0</v>
      </c>
      <c r="P17" s="22"/>
      <c r="Q17" s="22"/>
      <c r="R17" s="22"/>
      <c r="S17" s="22"/>
      <c r="T17" s="22"/>
      <c r="U17" s="22"/>
      <c r="V17" s="22"/>
      <c r="W17" s="22"/>
      <c r="X17" s="22"/>
    </row>
    <row r="18" spans="1:24">
      <c r="A18" s="674" t="s">
        <v>541</v>
      </c>
      <c r="B18" s="675">
        <v>0</v>
      </c>
      <c r="C18" s="676">
        <v>0</v>
      </c>
      <c r="D18" s="677">
        <v>0</v>
      </c>
      <c r="E18" s="676">
        <v>0</v>
      </c>
      <c r="F18" s="677">
        <v>0</v>
      </c>
      <c r="G18" s="676">
        <v>0</v>
      </c>
      <c r="H18" s="679"/>
      <c r="I18" s="678"/>
      <c r="J18" s="679"/>
      <c r="K18" s="676">
        <v>0</v>
      </c>
      <c r="L18" s="677">
        <v>0</v>
      </c>
      <c r="M18" s="676">
        <v>0</v>
      </c>
      <c r="N18" s="677">
        <f t="shared" si="0"/>
        <v>0</v>
      </c>
      <c r="O18" s="676">
        <f t="shared" si="1"/>
        <v>0</v>
      </c>
      <c r="P18" s="22"/>
      <c r="Q18" s="22"/>
      <c r="R18" s="22"/>
      <c r="S18" s="22"/>
      <c r="T18" s="22"/>
      <c r="U18" s="22"/>
      <c r="V18" s="22"/>
      <c r="W18" s="22"/>
      <c r="X18" s="22"/>
    </row>
    <row r="19" spans="1:24">
      <c r="A19" s="681" t="s">
        <v>535</v>
      </c>
      <c r="B19" s="682">
        <f>SUM(B12:B18)</f>
        <v>18059.527131195144</v>
      </c>
      <c r="C19" s="683">
        <f t="shared" ref="C19:O19" si="3">SUM(C12:C18)</f>
        <v>7047.4084538333318</v>
      </c>
      <c r="D19" s="684">
        <f t="shared" si="3"/>
        <v>113001.97122314083</v>
      </c>
      <c r="E19" s="683">
        <f t="shared" si="3"/>
        <v>3966.5592888051983</v>
      </c>
      <c r="F19" s="684">
        <f t="shared" si="3"/>
        <v>32109.266048122805</v>
      </c>
      <c r="G19" s="683">
        <f t="shared" si="3"/>
        <v>0</v>
      </c>
      <c r="H19" s="684"/>
      <c r="I19" s="683"/>
      <c r="J19" s="684"/>
      <c r="K19" s="683">
        <f t="shared" si="3"/>
        <v>0</v>
      </c>
      <c r="L19" s="684">
        <f t="shared" si="3"/>
        <v>0</v>
      </c>
      <c r="M19" s="683">
        <f t="shared" si="3"/>
        <v>5709.9661560943487</v>
      </c>
      <c r="N19" s="684">
        <f t="shared" si="3"/>
        <v>179894.69830119167</v>
      </c>
      <c r="O19" s="683">
        <f t="shared" si="3"/>
        <v>66892.727078050826</v>
      </c>
      <c r="P19" s="22"/>
      <c r="Q19" s="22"/>
      <c r="R19" s="22"/>
      <c r="S19" s="22"/>
      <c r="T19" s="22"/>
      <c r="U19" s="22"/>
      <c r="V19" s="22"/>
      <c r="W19" s="22"/>
      <c r="X19" s="22"/>
    </row>
    <row r="20" spans="1:24">
      <c r="A20" s="685" t="s">
        <v>528</v>
      </c>
      <c r="B20" s="675">
        <f>SECT_TERAC.!O26-B22</f>
        <v>3791.7597003010728</v>
      </c>
      <c r="C20" s="676">
        <f>SECT_TERAC.!P26-C22+SECT_TERAC.!Q26</f>
        <v>2602.4620300000015</v>
      </c>
      <c r="D20" s="679">
        <v>0</v>
      </c>
      <c r="E20" s="676">
        <f>SECT_TERAC.!M26-E22</f>
        <v>10726.621081720154</v>
      </c>
      <c r="F20" s="677">
        <f>SECT_TERAC.!T26-F22</f>
        <v>6427.8510350436627</v>
      </c>
      <c r="G20" s="676">
        <f>SECT_TERAC.!R26-G22</f>
        <v>833.42093276096</v>
      </c>
      <c r="H20" s="679"/>
      <c r="I20" s="678"/>
      <c r="J20" s="679"/>
      <c r="K20" s="676">
        <f>SECT_TERAC.!S26-K22</f>
        <v>291.56458570000007</v>
      </c>
      <c r="L20" s="677">
        <f>SECT_TERAC.!N26-L22</f>
        <v>12323.439927554098</v>
      </c>
      <c r="M20" s="676">
        <f>SECT_TERAC.!W26-M22</f>
        <v>11210.158267944136</v>
      </c>
      <c r="N20" s="677">
        <f t="shared" si="0"/>
        <v>48207.277561024086</v>
      </c>
      <c r="O20" s="676">
        <f t="shared" si="1"/>
        <v>48207.277561024086</v>
      </c>
      <c r="P20" s="22"/>
      <c r="Q20" s="22"/>
      <c r="R20" s="22"/>
      <c r="S20" s="22"/>
      <c r="T20" s="22"/>
      <c r="U20" s="22"/>
      <c r="V20" s="22"/>
      <c r="W20" s="22"/>
      <c r="X20" s="22"/>
    </row>
    <row r="21" spans="1:24">
      <c r="A21" s="674" t="s">
        <v>529</v>
      </c>
      <c r="B21" s="675">
        <f>SECT_TERAC.!O12</f>
        <v>9.3340000000000006E-2</v>
      </c>
      <c r="C21" s="676">
        <f>SECT_TERAC.!P12</f>
        <v>0</v>
      </c>
      <c r="D21" s="679"/>
      <c r="E21" s="676">
        <f>SECT_TERAC.!M12</f>
        <v>79647.352917035751</v>
      </c>
      <c r="F21" s="677">
        <f>SECT_TERAC.!T12</f>
        <v>342.40352039243834</v>
      </c>
      <c r="G21" s="676">
        <f>SECT_TERAC.!R12</f>
        <v>1.2601159999999999E-3</v>
      </c>
      <c r="H21" s="679"/>
      <c r="I21" s="678"/>
      <c r="J21" s="679"/>
      <c r="K21" s="676">
        <f>SECT_TERAC.!S12</f>
        <v>0</v>
      </c>
      <c r="L21" s="677">
        <f>SECT_TERAC.!N12</f>
        <v>216.61029582</v>
      </c>
      <c r="M21" s="676">
        <f>SECT_TERAC.!W12</f>
        <v>0</v>
      </c>
      <c r="N21" s="677">
        <f t="shared" si="0"/>
        <v>80206.461333364205</v>
      </c>
      <c r="O21" s="676">
        <f t="shared" si="1"/>
        <v>80206.461333364205</v>
      </c>
      <c r="P21" s="22"/>
      <c r="Q21" s="22"/>
      <c r="R21" s="22"/>
      <c r="S21" s="22"/>
      <c r="T21" s="22"/>
      <c r="U21" s="22"/>
      <c r="V21" s="22"/>
      <c r="W21" s="22"/>
      <c r="X21" s="22"/>
    </row>
    <row r="22" spans="1:24">
      <c r="A22" s="685" t="s">
        <v>530</v>
      </c>
      <c r="B22" s="675">
        <f>SECT_TERAC.!O14+SECT_TERAC.!O15+SECT_TERAC.!O16+SECT_TERAC.!O24</f>
        <v>618.95284366999988</v>
      </c>
      <c r="C22" s="676">
        <f>SECT_TERAC.!P14+SECT_TERAC.!P15+SECT_TERAC.!P16+SECT_TERAC.!P24</f>
        <v>76.64706000000001</v>
      </c>
      <c r="D22" s="679">
        <v>0</v>
      </c>
      <c r="E22" s="676">
        <f>SECT_TERAC.!M14+SECT_TERAC.!M15+SECT_TERAC.!M16+SECT_TERAC.!M24</f>
        <v>11636.635594834795</v>
      </c>
      <c r="F22" s="677">
        <f>SECT_TERAC.!T14+SECT_TERAC.!T15+SECT_TERAC.!T16+SECT_TERAC.!T24</f>
        <v>2532.8538972931256</v>
      </c>
      <c r="G22" s="676">
        <f>SECT_TERAC.!R14+SECT_TERAC.!R15+SECT_TERAC.!R16+SECT_TERAC.!R24</f>
        <v>1.0984000000000001E-2</v>
      </c>
      <c r="H22" s="679"/>
      <c r="I22" s="678"/>
      <c r="J22" s="679"/>
      <c r="K22" s="676">
        <f>SECT_TERAC.!S14+SECT_TERAC.!S15+SECT_TERAC.!S16+SECT_TERAC.!S24</f>
        <v>0</v>
      </c>
      <c r="L22" s="677">
        <f>SECT_TERAC.!N14+SECT_TERAC.!N15+SECT_TERAC.!N16+SECT_TERAC.!N24</f>
        <v>15561.470378611915</v>
      </c>
      <c r="M22" s="676">
        <f>SECT_TERAC.!W14+SECT_TERAC.!W15+SECT_TERAC.!W16+SECT_TERAC.!W24</f>
        <v>0</v>
      </c>
      <c r="N22" s="677">
        <f t="shared" si="0"/>
        <v>30426.570758409835</v>
      </c>
      <c r="O22" s="676">
        <f t="shared" si="1"/>
        <v>30426.570758409835</v>
      </c>
      <c r="P22" s="22"/>
      <c r="Q22" s="22"/>
      <c r="R22" s="22"/>
      <c r="S22" s="22"/>
      <c r="T22" s="22"/>
      <c r="U22" s="22"/>
      <c r="V22" s="22"/>
      <c r="W22" s="22"/>
      <c r="X22" s="22"/>
    </row>
    <row r="23" spans="1:24">
      <c r="A23" s="685" t="s">
        <v>531</v>
      </c>
      <c r="B23" s="675">
        <v>0</v>
      </c>
      <c r="C23" s="676">
        <v>0</v>
      </c>
      <c r="D23" s="679"/>
      <c r="E23" s="676">
        <v>0</v>
      </c>
      <c r="F23" s="677">
        <v>0</v>
      </c>
      <c r="G23" s="676">
        <v>0</v>
      </c>
      <c r="H23" s="679"/>
      <c r="I23" s="678"/>
      <c r="J23" s="679"/>
      <c r="K23" s="676">
        <v>0</v>
      </c>
      <c r="L23" s="677">
        <v>0</v>
      </c>
      <c r="M23" s="676">
        <v>0</v>
      </c>
      <c r="N23" s="677">
        <f t="shared" si="0"/>
        <v>0</v>
      </c>
      <c r="O23" s="676">
        <f t="shared" si="1"/>
        <v>0</v>
      </c>
      <c r="P23" s="22"/>
      <c r="Q23" s="22"/>
      <c r="R23" s="22"/>
      <c r="S23" s="22"/>
      <c r="T23" s="22"/>
      <c r="U23" s="22"/>
      <c r="V23" s="22"/>
      <c r="W23" s="22"/>
      <c r="X23" s="22"/>
    </row>
    <row r="24" spans="1:24">
      <c r="A24" s="674" t="s">
        <v>532</v>
      </c>
      <c r="B24" s="675">
        <f>SECT_TERAC.!O33</f>
        <v>41.944760000000016</v>
      </c>
      <c r="C24" s="676">
        <f>SECT_TERAC.!P33</f>
        <v>0</v>
      </c>
      <c r="D24" s="679"/>
      <c r="E24" s="676">
        <f>SECT_TERAC.!M33</f>
        <v>11739.239911919891</v>
      </c>
      <c r="F24" s="677">
        <f>SECT_TERAC.!T33</f>
        <v>4695.3864286606295</v>
      </c>
      <c r="G24" s="676">
        <f>SECT_TERAC.!R33</f>
        <v>211.60562135200001</v>
      </c>
      <c r="H24" s="679"/>
      <c r="I24" s="678"/>
      <c r="J24" s="679"/>
      <c r="K24" s="676">
        <f>SECT_TERAC.!S33</f>
        <v>0</v>
      </c>
      <c r="L24" s="677">
        <f>SECT_TERAC.!N33</f>
        <v>13216.358710887751</v>
      </c>
      <c r="M24" s="676">
        <f>SECT_TERAC.!W33</f>
        <v>29067.4056406364</v>
      </c>
      <c r="N24" s="677">
        <f t="shared" si="0"/>
        <v>58971.94107345667</v>
      </c>
      <c r="O24" s="676">
        <f t="shared" si="1"/>
        <v>58971.94107345667</v>
      </c>
      <c r="P24" s="22"/>
      <c r="Q24" s="22"/>
      <c r="R24" s="22"/>
      <c r="S24" s="22"/>
      <c r="T24" s="22"/>
      <c r="U24" s="22"/>
      <c r="V24" s="22"/>
      <c r="W24" s="22"/>
      <c r="X24" s="22"/>
    </row>
    <row r="25" spans="1:24">
      <c r="A25" s="674" t="s">
        <v>769</v>
      </c>
      <c r="B25" s="675">
        <f>SECT_TERAC.!O41+SECT_TERAC.!O52</f>
        <v>5063.0519351533076</v>
      </c>
      <c r="C25" s="678">
        <v>0</v>
      </c>
      <c r="D25" s="679"/>
      <c r="E25" s="676">
        <f>SECT_TERAC.!M44</f>
        <v>4558.6935915679996</v>
      </c>
      <c r="F25" s="677">
        <f>SECT_TERAC.!T44</f>
        <v>6050.1036814785048</v>
      </c>
      <c r="G25" s="676">
        <f>SECT_TERAC.!R41+SECT_TERAC.!R39</f>
        <v>257.72800000000001</v>
      </c>
      <c r="H25" s="679"/>
      <c r="I25" s="678"/>
      <c r="J25" s="679"/>
      <c r="K25" s="676">
        <f>SECT_TERAC.!U44+SECT_TERAC.!S44</f>
        <v>1417.9173553999999</v>
      </c>
      <c r="L25" s="677">
        <f>SECT_TERAC.!N44</f>
        <v>1764.6275340632767</v>
      </c>
      <c r="M25" s="678">
        <v>0</v>
      </c>
      <c r="N25" s="679">
        <f t="shared" si="0"/>
        <v>19112.12209766309</v>
      </c>
      <c r="O25" s="676">
        <f t="shared" si="1"/>
        <v>19112.12209766309</v>
      </c>
      <c r="P25" s="22"/>
      <c r="Q25" s="22"/>
      <c r="R25" s="22"/>
      <c r="S25" s="22"/>
      <c r="T25" s="22"/>
      <c r="U25" s="22"/>
      <c r="V25" s="22"/>
      <c r="W25" s="22"/>
      <c r="X25" s="22"/>
    </row>
    <row r="26" spans="1:24">
      <c r="A26" s="670" t="s">
        <v>533</v>
      </c>
      <c r="B26" s="671">
        <v>0</v>
      </c>
      <c r="C26" s="672">
        <v>0</v>
      </c>
      <c r="D26" s="673"/>
      <c r="E26" s="676">
        <f>CUADRO11!C26</f>
        <v>1923.9149328399999</v>
      </c>
      <c r="F26" s="673">
        <v>0</v>
      </c>
      <c r="G26" s="672">
        <v>0</v>
      </c>
      <c r="H26" s="673"/>
      <c r="I26" s="672"/>
      <c r="J26" s="673"/>
      <c r="K26" s="672">
        <v>0</v>
      </c>
      <c r="L26" s="673">
        <v>0</v>
      </c>
      <c r="M26" s="672">
        <v>0</v>
      </c>
      <c r="N26" s="677">
        <f t="shared" si="0"/>
        <v>1923.9149328399999</v>
      </c>
      <c r="O26" s="676">
        <v>0</v>
      </c>
      <c r="P26" s="22"/>
      <c r="Q26" s="22"/>
      <c r="R26" s="22"/>
      <c r="S26" s="22"/>
      <c r="T26" s="22"/>
      <c r="U26" s="22"/>
      <c r="V26" s="22"/>
      <c r="W26" s="22"/>
      <c r="X26" s="22"/>
    </row>
    <row r="27" spans="1:24">
      <c r="A27" s="681" t="s">
        <v>536</v>
      </c>
      <c r="B27" s="682">
        <f>SUM(B20:B26)</f>
        <v>9515.8025791243817</v>
      </c>
      <c r="C27" s="683">
        <f t="shared" ref="C27:O27" si="4">SUM(C20:C26)</f>
        <v>2679.1090900000017</v>
      </c>
      <c r="D27" s="684">
        <f t="shared" si="4"/>
        <v>0</v>
      </c>
      <c r="E27" s="683">
        <f t="shared" si="4"/>
        <v>120232.45802991858</v>
      </c>
      <c r="F27" s="684">
        <f t="shared" si="4"/>
        <v>20048.598562868359</v>
      </c>
      <c r="G27" s="683">
        <f t="shared" si="4"/>
        <v>1302.7667982289602</v>
      </c>
      <c r="H27" s="684"/>
      <c r="I27" s="683"/>
      <c r="J27" s="684"/>
      <c r="K27" s="683">
        <f t="shared" si="4"/>
        <v>1709.4819410999999</v>
      </c>
      <c r="L27" s="684">
        <f t="shared" si="4"/>
        <v>43082.506846937038</v>
      </c>
      <c r="M27" s="683">
        <f t="shared" si="4"/>
        <v>40277.563908580538</v>
      </c>
      <c r="N27" s="684">
        <f t="shared" si="4"/>
        <v>238848.28775675787</v>
      </c>
      <c r="O27" s="683">
        <f t="shared" si="4"/>
        <v>236924.37282391786</v>
      </c>
      <c r="P27" s="22"/>
      <c r="Q27" s="22"/>
      <c r="R27" s="22"/>
      <c r="S27" s="22"/>
      <c r="T27" s="22"/>
      <c r="U27" s="22"/>
      <c r="V27" s="22"/>
      <c r="W27" s="22"/>
      <c r="X27" s="22"/>
    </row>
    <row r="28" spans="1:24">
      <c r="A28" s="681" t="s">
        <v>537</v>
      </c>
      <c r="B28" s="686">
        <f>B19+B27</f>
        <v>27575.329710319525</v>
      </c>
      <c r="C28" s="687">
        <f t="shared" ref="C28:O28" si="5">C19+C27</f>
        <v>9726.5175438333335</v>
      </c>
      <c r="D28" s="688">
        <f t="shared" si="5"/>
        <v>113001.97122314083</v>
      </c>
      <c r="E28" s="687">
        <f t="shared" si="5"/>
        <v>124199.01731872378</v>
      </c>
      <c r="F28" s="688">
        <f t="shared" si="5"/>
        <v>52157.864610991164</v>
      </c>
      <c r="G28" s="687">
        <f t="shared" si="5"/>
        <v>1302.7667982289602</v>
      </c>
      <c r="H28" s="688"/>
      <c r="I28" s="687"/>
      <c r="J28" s="688"/>
      <c r="K28" s="687">
        <f t="shared" si="5"/>
        <v>1709.4819410999999</v>
      </c>
      <c r="L28" s="688">
        <f t="shared" si="5"/>
        <v>43082.506846937038</v>
      </c>
      <c r="M28" s="687">
        <f t="shared" si="5"/>
        <v>45987.530064674887</v>
      </c>
      <c r="N28" s="688">
        <f t="shared" si="5"/>
        <v>418742.98605794954</v>
      </c>
      <c r="O28" s="687">
        <f t="shared" si="5"/>
        <v>303817.09990196867</v>
      </c>
      <c r="P28" s="22"/>
      <c r="Q28" s="22"/>
      <c r="R28" s="22"/>
      <c r="S28" s="22"/>
      <c r="T28" s="22"/>
      <c r="U28" s="22"/>
      <c r="V28" s="22"/>
      <c r="W28" s="22"/>
      <c r="X28" s="22"/>
    </row>
    <row r="29" spans="1:24">
      <c r="A29" s="689"/>
      <c r="B29" s="689"/>
      <c r="C29" s="689"/>
      <c r="D29" s="689"/>
      <c r="E29" s="690"/>
      <c r="F29" s="689"/>
      <c r="G29" s="689"/>
      <c r="H29" s="689"/>
      <c r="I29" s="689"/>
      <c r="J29" s="689"/>
      <c r="K29" s="689"/>
      <c r="L29" s="691"/>
      <c r="M29" s="689"/>
      <c r="N29" s="690"/>
      <c r="O29" s="22"/>
      <c r="P29" s="22"/>
      <c r="Q29" s="22"/>
      <c r="R29" s="22"/>
      <c r="S29" s="22"/>
      <c r="T29" s="22"/>
      <c r="U29" s="22"/>
      <c r="V29" s="22"/>
      <c r="W29" s="22"/>
      <c r="X29" s="22"/>
    </row>
    <row r="30" spans="1:24">
      <c r="A30" s="22"/>
      <c r="B30" s="689" t="s">
        <v>539</v>
      </c>
      <c r="C30" s="689"/>
      <c r="D30" s="689"/>
      <c r="E30" s="690"/>
      <c r="F30" s="689"/>
      <c r="G30" s="689"/>
      <c r="H30" s="689"/>
      <c r="I30" s="689"/>
      <c r="J30" s="689"/>
      <c r="K30" s="689"/>
      <c r="L30" s="691"/>
      <c r="M30" s="689"/>
      <c r="N30" s="690"/>
      <c r="O30" s="22" t="s">
        <v>545</v>
      </c>
      <c r="P30" s="22"/>
      <c r="Q30" s="22"/>
      <c r="R30" s="22"/>
      <c r="S30" s="22"/>
      <c r="T30" s="22"/>
      <c r="U30" s="22"/>
      <c r="V30" s="22"/>
      <c r="W30" s="22"/>
      <c r="X30" s="22"/>
    </row>
    <row r="31" spans="1:24">
      <c r="A31" s="22"/>
      <c r="B31" s="689" t="s">
        <v>544</v>
      </c>
      <c r="C31" s="689"/>
      <c r="D31" s="689"/>
      <c r="E31" s="690"/>
      <c r="F31" s="689"/>
      <c r="G31" s="689"/>
      <c r="H31" s="689"/>
      <c r="I31" s="689"/>
      <c r="J31" s="689"/>
      <c r="K31" s="689"/>
      <c r="L31" s="691"/>
      <c r="M31" s="689"/>
      <c r="N31" s="690"/>
      <c r="O31" s="22"/>
      <c r="P31" s="22"/>
      <c r="Q31" s="22"/>
      <c r="R31" s="22"/>
      <c r="S31" s="22"/>
      <c r="T31" s="22"/>
      <c r="U31" s="22"/>
      <c r="V31" s="22"/>
      <c r="W31" s="22"/>
      <c r="X31" s="22"/>
    </row>
    <row r="32" spans="1:24">
      <c r="A32" s="22"/>
      <c r="B32" s="689" t="s">
        <v>540</v>
      </c>
      <c r="C32" s="689"/>
      <c r="D32" s="689"/>
      <c r="E32" s="690"/>
      <c r="F32" s="689"/>
      <c r="G32" s="689"/>
      <c r="H32" s="689"/>
      <c r="I32" s="689"/>
      <c r="J32" s="689"/>
      <c r="K32" s="689"/>
      <c r="L32" s="691"/>
      <c r="M32" s="689"/>
      <c r="N32" s="690"/>
      <c r="O32" s="22"/>
      <c r="P32" s="22"/>
      <c r="Q32" s="22"/>
      <c r="R32" s="22"/>
      <c r="S32" s="22"/>
      <c r="T32" s="22"/>
      <c r="U32" s="22"/>
      <c r="V32" s="22"/>
      <c r="W32" s="22"/>
      <c r="X32" s="22"/>
    </row>
    <row r="33" spans="1:24">
      <c r="A33" s="22"/>
      <c r="B33" s="689" t="s">
        <v>542</v>
      </c>
      <c r="C33" s="689"/>
      <c r="D33" s="689"/>
      <c r="E33" s="690"/>
      <c r="F33" s="689"/>
      <c r="G33" s="689"/>
      <c r="H33" s="689"/>
      <c r="I33" s="689"/>
      <c r="J33" s="689"/>
      <c r="K33" s="689"/>
      <c r="L33" s="691"/>
      <c r="M33" s="689"/>
      <c r="N33" s="690"/>
      <c r="O33" s="22"/>
      <c r="P33" s="22"/>
      <c r="Q33" s="22"/>
      <c r="R33" s="22"/>
      <c r="S33" s="22"/>
      <c r="T33" s="22"/>
      <c r="U33" s="22"/>
      <c r="V33" s="22"/>
      <c r="W33" s="22"/>
      <c r="X33" s="22"/>
    </row>
    <row r="34" spans="1:24">
      <c r="A34" s="22"/>
      <c r="B34" s="440" t="s">
        <v>543</v>
      </c>
      <c r="C34" s="440"/>
      <c r="D34" s="440"/>
      <c r="E34" s="440"/>
      <c r="F34" s="440"/>
      <c r="G34" s="440"/>
      <c r="H34" s="440"/>
      <c r="I34" s="440"/>
      <c r="J34" s="440"/>
      <c r="K34" s="440"/>
      <c r="L34" s="440"/>
      <c r="M34" s="440"/>
      <c r="N34" s="440"/>
      <c r="O34" s="22"/>
      <c r="P34" s="22"/>
      <c r="Q34" s="22"/>
      <c r="R34" s="22"/>
      <c r="S34" s="22"/>
      <c r="T34" s="22"/>
      <c r="U34" s="22"/>
      <c r="V34" s="22"/>
      <c r="W34" s="22"/>
      <c r="X34" s="22"/>
    </row>
    <row r="35" spans="1:24">
      <c r="A35" s="22"/>
      <c r="B35" s="440" t="s">
        <v>770</v>
      </c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</row>
    <row r="36" spans="1:24">
      <c r="A36" s="22"/>
      <c r="B36" s="440" t="s">
        <v>771</v>
      </c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</row>
    <row r="37" spans="1:24">
      <c r="A37" s="689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</row>
    <row r="38" spans="1:24">
      <c r="A38" s="22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</row>
    <row r="39" spans="1:24">
      <c r="A39" s="22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</row>
    <row r="40" spans="1:24">
      <c r="A40" s="22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</row>
    <row r="41" spans="1:24">
      <c r="A41" s="22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</row>
    <row r="42" spans="1:24">
      <c r="A42" s="22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</row>
    <row r="43" spans="1:24">
      <c r="A43" s="22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</row>
    <row r="44" spans="1:24">
      <c r="A44" s="22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</row>
    <row r="45" spans="1:24">
      <c r="A45" s="22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</row>
    <row r="46" spans="1:24">
      <c r="A46" s="22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</row>
    <row r="47" spans="1:24">
      <c r="A47" s="22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</row>
    <row r="48" spans="1:24">
      <c r="A48" s="22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</row>
  </sheetData>
  <phoneticPr fontId="0" type="noConversion"/>
  <hyperlinks>
    <hyperlink ref="C1" location="INDICE!A70" display="VOLVER A INDICE"/>
  </hyperlinks>
  <pageMargins left="0.75" right="0.75" top="1" bottom="1" header="0" footer="0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78"/>
  <sheetViews>
    <sheetView topLeftCell="A6" workbookViewId="0">
      <selection activeCell="J61" sqref="J61"/>
    </sheetView>
  </sheetViews>
  <sheetFormatPr baseColWidth="10" defaultRowHeight="12.75"/>
  <cols>
    <col min="1" max="16384" width="11.42578125" style="22"/>
  </cols>
  <sheetData>
    <row r="3" spans="2:7" ht="25.5">
      <c r="D3" s="854" t="s">
        <v>680</v>
      </c>
    </row>
    <row r="4" spans="2:7" ht="14.25" customHeight="1"/>
    <row r="5" spans="2:7" ht="14.25" customHeight="1">
      <c r="B5" s="627" t="s">
        <v>683</v>
      </c>
    </row>
    <row r="6" spans="2:7" ht="14.25" customHeight="1"/>
    <row r="7" spans="2:7" ht="14.25" customHeight="1">
      <c r="B7" s="22" t="s">
        <v>720</v>
      </c>
      <c r="G7" s="852" t="s">
        <v>678</v>
      </c>
    </row>
    <row r="8" spans="2:7" ht="14.25" customHeight="1"/>
    <row r="9" spans="2:7" ht="14.25" customHeight="1">
      <c r="B9" s="22" t="s">
        <v>721</v>
      </c>
      <c r="G9" s="852" t="s">
        <v>679</v>
      </c>
    </row>
    <row r="10" spans="2:7" ht="14.25" customHeight="1"/>
    <row r="11" spans="2:7" ht="14.25" customHeight="1">
      <c r="B11" s="22" t="s">
        <v>722</v>
      </c>
      <c r="G11" s="852" t="s">
        <v>682</v>
      </c>
    </row>
    <row r="12" spans="2:7" ht="14.25" customHeight="1"/>
    <row r="13" spans="2:7" ht="14.25" customHeight="1">
      <c r="B13" s="22" t="s">
        <v>723</v>
      </c>
      <c r="G13" s="852" t="s">
        <v>684</v>
      </c>
    </row>
    <row r="14" spans="2:7" ht="14.25" customHeight="1"/>
    <row r="15" spans="2:7" ht="14.25" customHeight="1">
      <c r="B15" s="22" t="s">
        <v>724</v>
      </c>
      <c r="G15" s="852" t="s">
        <v>685</v>
      </c>
    </row>
    <row r="16" spans="2:7" ht="14.25" customHeight="1"/>
    <row r="17" spans="1:7" ht="14.25" customHeight="1">
      <c r="B17" s="22" t="s">
        <v>725</v>
      </c>
      <c r="G17" s="852" t="s">
        <v>686</v>
      </c>
    </row>
    <row r="18" spans="1:7" ht="14.25" customHeight="1"/>
    <row r="19" spans="1:7" ht="14.25" customHeight="1">
      <c r="B19" s="22" t="s">
        <v>726</v>
      </c>
      <c r="G19" s="852" t="s">
        <v>687</v>
      </c>
    </row>
    <row r="20" spans="1:7" ht="14.25" customHeight="1"/>
    <row r="21" spans="1:7" ht="14.25" customHeight="1">
      <c r="B21" s="22" t="s">
        <v>727</v>
      </c>
      <c r="G21" s="852" t="s">
        <v>688</v>
      </c>
    </row>
    <row r="22" spans="1:7" ht="14.25" customHeight="1"/>
    <row r="23" spans="1:7" ht="14.25" customHeight="1">
      <c r="B23" s="22" t="s">
        <v>728</v>
      </c>
      <c r="G23" s="852" t="s">
        <v>689</v>
      </c>
    </row>
    <row r="24" spans="1:7" ht="14.25" customHeight="1"/>
    <row r="25" spans="1:7" ht="14.25" customHeight="1">
      <c r="A25" s="1231"/>
      <c r="B25" s="22" t="s">
        <v>750</v>
      </c>
      <c r="G25" s="852" t="s">
        <v>690</v>
      </c>
    </row>
    <row r="26" spans="1:7" ht="14.25" customHeight="1"/>
    <row r="27" spans="1:7" ht="14.25" customHeight="1">
      <c r="B27" s="22" t="s">
        <v>751</v>
      </c>
      <c r="G27" s="852" t="s">
        <v>691</v>
      </c>
    </row>
    <row r="28" spans="1:7" ht="14.25" customHeight="1"/>
    <row r="29" spans="1:7" ht="14.25" customHeight="1">
      <c r="B29" s="22" t="s">
        <v>752</v>
      </c>
      <c r="G29" s="852" t="s">
        <v>693</v>
      </c>
    </row>
    <row r="30" spans="1:7" ht="14.25" customHeight="1"/>
    <row r="32" spans="1:7">
      <c r="B32" s="627" t="s">
        <v>692</v>
      </c>
    </row>
    <row r="34" spans="2:7">
      <c r="B34" s="22" t="s">
        <v>729</v>
      </c>
      <c r="G34" s="852" t="s">
        <v>694</v>
      </c>
    </row>
    <row r="36" spans="2:7">
      <c r="B36" s="22" t="s">
        <v>730</v>
      </c>
      <c r="G36" s="852" t="s">
        <v>695</v>
      </c>
    </row>
    <row r="38" spans="2:7">
      <c r="B38" s="22" t="s">
        <v>731</v>
      </c>
      <c r="G38" s="852" t="s">
        <v>696</v>
      </c>
    </row>
    <row r="40" spans="2:7">
      <c r="B40" s="22" t="s">
        <v>732</v>
      </c>
      <c r="G40" s="852" t="s">
        <v>697</v>
      </c>
    </row>
    <row r="42" spans="2:7">
      <c r="B42" s="22" t="s">
        <v>733</v>
      </c>
      <c r="G42" s="852" t="s">
        <v>698</v>
      </c>
    </row>
    <row r="44" spans="2:7">
      <c r="B44" s="22" t="s">
        <v>734</v>
      </c>
      <c r="G44" s="852" t="s">
        <v>699</v>
      </c>
    </row>
    <row r="46" spans="2:7">
      <c r="B46" s="22" t="s">
        <v>753</v>
      </c>
      <c r="G46" s="852" t="s">
        <v>700</v>
      </c>
    </row>
    <row r="48" spans="2:7">
      <c r="B48" s="22" t="s">
        <v>754</v>
      </c>
      <c r="G48" s="852" t="s">
        <v>703</v>
      </c>
    </row>
    <row r="50" spans="2:7">
      <c r="B50" s="22" t="s">
        <v>755</v>
      </c>
      <c r="G50" s="852" t="s">
        <v>704</v>
      </c>
    </row>
    <row r="53" spans="2:7">
      <c r="B53" s="627" t="s">
        <v>701</v>
      </c>
      <c r="C53" s="627"/>
    </row>
    <row r="55" spans="2:7">
      <c r="B55" s="22" t="s">
        <v>702</v>
      </c>
      <c r="G55" s="852" t="s">
        <v>756</v>
      </c>
    </row>
    <row r="57" spans="2:7">
      <c r="B57" s="22" t="s">
        <v>761</v>
      </c>
      <c r="G57" s="852" t="s">
        <v>757</v>
      </c>
    </row>
    <row r="58" spans="2:7">
      <c r="B58" s="22" t="s">
        <v>706</v>
      </c>
    </row>
    <row r="59" spans="2:7">
      <c r="B59" s="22" t="s">
        <v>705</v>
      </c>
    </row>
    <row r="61" spans="2:7">
      <c r="B61" s="627" t="s">
        <v>707</v>
      </c>
    </row>
    <row r="63" spans="2:7">
      <c r="B63" s="22" t="s">
        <v>735</v>
      </c>
      <c r="G63" s="852" t="s">
        <v>708</v>
      </c>
    </row>
    <row r="65" spans="2:7">
      <c r="B65" s="22" t="s">
        <v>736</v>
      </c>
      <c r="G65" s="852" t="s">
        <v>709</v>
      </c>
    </row>
    <row r="68" spans="2:7">
      <c r="B68" s="627" t="s">
        <v>791</v>
      </c>
    </row>
    <row r="70" spans="2:7">
      <c r="B70" s="22" t="s">
        <v>710</v>
      </c>
      <c r="G70" s="852" t="s">
        <v>711</v>
      </c>
    </row>
    <row r="72" spans="2:7">
      <c r="B72" s="22" t="s">
        <v>712</v>
      </c>
      <c r="G72" s="852" t="s">
        <v>713</v>
      </c>
    </row>
    <row r="74" spans="2:7">
      <c r="B74" s="22" t="s">
        <v>714</v>
      </c>
      <c r="G74" s="858" t="s">
        <v>715</v>
      </c>
    </row>
    <row r="76" spans="2:7">
      <c r="B76" s="22" t="s">
        <v>716</v>
      </c>
      <c r="G76" s="852" t="s">
        <v>717</v>
      </c>
    </row>
    <row r="78" spans="2:7">
      <c r="B78" s="22" t="s">
        <v>718</v>
      </c>
      <c r="G78" s="852" t="s">
        <v>719</v>
      </c>
    </row>
  </sheetData>
  <phoneticPr fontId="0" type="noConversion"/>
  <hyperlinks>
    <hyperlink ref="G7" location="CUADRO1!A1" display="CUADRO1"/>
    <hyperlink ref="G9" location="CUADRO2!A1" display="CUADRO2"/>
    <hyperlink ref="G11" location="CUADRO3!A1" display="CUADRO3"/>
    <hyperlink ref="G13" location="CUADRO3B!A1" display="CUADRO3B"/>
    <hyperlink ref="G15" location="CUADRO4!A1" display="CUADRO4"/>
    <hyperlink ref="G17" location="CUADRO5!A1" display="CUADRO5"/>
    <hyperlink ref="G19" location="CUADRO6!A1" display="CUADRO6"/>
    <hyperlink ref="G21" location="CUADRO7!A1" display="CUADRO7"/>
    <hyperlink ref="G23" location="CUADRO8!A1" display="CUADRO8"/>
    <hyperlink ref="G25" location="CUADRO9!A1" display="CUADRO9"/>
    <hyperlink ref="G29" location="CUADRO11!A1" display="CUADRO11"/>
    <hyperlink ref="G34" location="CUADRO12!A1" display="CUADRO12"/>
    <hyperlink ref="G36" location="CUADRO13!A1" display="CUADRO13"/>
    <hyperlink ref="G38" location="CUADRO14!A1" display="CUADRO14"/>
    <hyperlink ref="G40" location="CUADRO15!A1" display="CUADRO15"/>
    <hyperlink ref="G42" location="CUADRO16!A1" display="CUADRO16"/>
    <hyperlink ref="G44" location="CUADRO17!A1" display="CUADRO17"/>
    <hyperlink ref="G48" location="CUADRO19!A1" display="CUADRO19"/>
    <hyperlink ref="G50" location="CUADRO20!A1" display="CUADRO20"/>
    <hyperlink ref="G55" location="CUADRO21!A1" display="CUADRO21"/>
    <hyperlink ref="G57" location="CUADRO22!A1" display="CUADRO22"/>
    <hyperlink ref="G63" location="SECT_TERAC.!A1" display="SECT_TERAC."/>
    <hyperlink ref="G65" location="SECT_U.FIS.!A1" display="SECT_U.FIS."/>
    <hyperlink ref="G70" location="BALANCE_ELECT!A1" display="BALANCE_ELECT"/>
    <hyperlink ref="G72" location="CAPACIDADES!A1" display="CAPACIDADES"/>
    <hyperlink ref="G74" location="'GENERACION EE'!A1" display="'GENERACION EE"/>
    <hyperlink ref="G76" location="CUADROA2!A1" display="CUADROA2"/>
    <hyperlink ref="G78" location="CUADROA3!A1" display="CUADROA3"/>
    <hyperlink ref="G27" location="CUADRO10!A1" display="CUADRO10"/>
    <hyperlink ref="G46" location="CUADRO18!A1" display="CUADRO18"/>
  </hyperlinks>
  <pageMargins left="0.75" right="0.75" top="1" bottom="1" header="0" footer="0"/>
  <pageSetup orientation="portrait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60"/>
  <sheetViews>
    <sheetView zoomScale="70"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Y74" sqref="Y74"/>
    </sheetView>
  </sheetViews>
  <sheetFormatPr baseColWidth="10" defaultRowHeight="12.75"/>
  <cols>
    <col min="1" max="1" width="11.42578125" style="891"/>
    <col min="2" max="2" width="26.42578125" style="891" customWidth="1"/>
    <col min="3" max="26" width="11.42578125" style="891"/>
    <col min="27" max="27" width="12.85546875" style="22" customWidth="1"/>
    <col min="28" max="38" width="11.42578125" style="22"/>
    <col min="39" max="16384" width="11.42578125" style="891"/>
  </cols>
  <sheetData>
    <row r="1" spans="1:38">
      <c r="A1" s="692"/>
      <c r="B1" s="693"/>
      <c r="C1" s="694"/>
      <c r="D1" s="694"/>
      <c r="E1" s="859" t="s">
        <v>681</v>
      </c>
      <c r="F1" s="694"/>
      <c r="G1" s="694"/>
      <c r="H1" s="694"/>
      <c r="I1" s="694"/>
      <c r="J1" s="694"/>
      <c r="K1" s="694"/>
      <c r="L1" s="694"/>
      <c r="M1" s="694"/>
      <c r="N1" s="694"/>
      <c r="O1" s="694"/>
      <c r="P1" s="694"/>
      <c r="Q1" s="694"/>
      <c r="R1" s="694" t="s">
        <v>298</v>
      </c>
      <c r="S1" s="694"/>
      <c r="T1" s="694"/>
      <c r="U1" s="694"/>
      <c r="V1" s="694"/>
      <c r="W1" s="694"/>
      <c r="X1" s="694"/>
      <c r="Y1" s="694"/>
      <c r="Z1" s="22"/>
    </row>
    <row r="2" spans="1:38">
      <c r="A2" s="692"/>
      <c r="B2" s="692"/>
      <c r="C2" s="694"/>
      <c r="D2" s="694"/>
      <c r="E2" s="694"/>
      <c r="F2" s="694"/>
      <c r="G2" s="694"/>
      <c r="H2" s="714"/>
      <c r="I2" s="714"/>
      <c r="J2" s="714"/>
      <c r="K2" s="694"/>
      <c r="L2" s="694"/>
      <c r="M2" s="694"/>
      <c r="N2" s="694">
        <v>100</v>
      </c>
      <c r="O2" s="694"/>
      <c r="P2" s="694"/>
      <c r="Q2" s="694"/>
      <c r="R2" s="694" t="s">
        <v>298</v>
      </c>
      <c r="S2" s="694"/>
      <c r="T2" s="694"/>
      <c r="U2" s="694"/>
      <c r="V2" s="694"/>
      <c r="W2" s="715"/>
      <c r="X2" s="694" t="s">
        <v>299</v>
      </c>
      <c r="Y2" s="694"/>
      <c r="Z2" s="22"/>
    </row>
    <row r="3" spans="1:38">
      <c r="A3" s="692"/>
      <c r="B3" s="692"/>
      <c r="C3" s="694"/>
      <c r="D3" s="694"/>
      <c r="E3" s="694"/>
      <c r="F3" s="694"/>
      <c r="G3" s="694"/>
      <c r="H3" s="714"/>
      <c r="I3" s="714" t="s">
        <v>568</v>
      </c>
      <c r="J3" s="714"/>
      <c r="K3" s="694"/>
      <c r="L3" s="694"/>
      <c r="M3" s="694"/>
      <c r="N3" s="694">
        <f>N2-3.4</f>
        <v>96.6</v>
      </c>
      <c r="O3" s="694"/>
      <c r="P3" s="694"/>
      <c r="Q3" s="694"/>
      <c r="R3" s="694" t="s">
        <v>298</v>
      </c>
      <c r="S3" s="694"/>
      <c r="T3" s="694"/>
      <c r="U3" s="694" t="s">
        <v>301</v>
      </c>
      <c r="V3" s="694"/>
      <c r="W3" s="694"/>
      <c r="X3" s="694" t="s">
        <v>302</v>
      </c>
      <c r="Y3" s="694"/>
      <c r="Z3" s="22"/>
    </row>
    <row r="4" spans="1:38" ht="13.5" thickBot="1">
      <c r="A4" s="692"/>
      <c r="B4" s="692"/>
      <c r="C4" s="1348" t="s">
        <v>303</v>
      </c>
      <c r="D4" s="1349"/>
      <c r="E4" s="1349"/>
      <c r="F4" s="1349"/>
      <c r="G4" s="1349"/>
      <c r="H4" s="1349"/>
      <c r="I4" s="1349"/>
      <c r="J4" s="1349"/>
      <c r="K4" s="1349"/>
      <c r="L4" s="1350"/>
      <c r="M4" s="1348" t="s">
        <v>304</v>
      </c>
      <c r="N4" s="1349"/>
      <c r="O4" s="1349"/>
      <c r="P4" s="1349"/>
      <c r="Q4" s="1349"/>
      <c r="R4" s="1349"/>
      <c r="S4" s="1349"/>
      <c r="T4" s="1349"/>
      <c r="U4" s="1349"/>
      <c r="V4" s="1349"/>
      <c r="W4" s="1349"/>
      <c r="X4" s="1349"/>
      <c r="Y4" s="1350"/>
      <c r="Z4" s="22"/>
    </row>
    <row r="5" spans="1:38">
      <c r="A5" s="698"/>
      <c r="B5" s="701" t="s">
        <v>305</v>
      </c>
      <c r="C5" s="730" t="s">
        <v>554</v>
      </c>
      <c r="D5" s="731" t="s">
        <v>306</v>
      </c>
      <c r="E5" s="730" t="s">
        <v>7</v>
      </c>
      <c r="F5" s="731" t="s">
        <v>307</v>
      </c>
      <c r="G5" s="731" t="s">
        <v>308</v>
      </c>
      <c r="H5" s="732"/>
      <c r="I5" s="730" t="s">
        <v>309</v>
      </c>
      <c r="J5" s="733" t="s">
        <v>310</v>
      </c>
      <c r="K5" s="730" t="s">
        <v>311</v>
      </c>
      <c r="L5" s="731" t="s">
        <v>312</v>
      </c>
      <c r="M5" s="730" t="s">
        <v>313</v>
      </c>
      <c r="N5" s="731" t="s">
        <v>306</v>
      </c>
      <c r="O5" s="730" t="s">
        <v>314</v>
      </c>
      <c r="P5" s="731" t="s">
        <v>315</v>
      </c>
      <c r="Q5" s="730" t="s">
        <v>56</v>
      </c>
      <c r="R5" s="731" t="s">
        <v>316</v>
      </c>
      <c r="S5" s="730" t="s">
        <v>317</v>
      </c>
      <c r="T5" s="731" t="s">
        <v>7</v>
      </c>
      <c r="U5" s="730" t="s">
        <v>318</v>
      </c>
      <c r="V5" s="731" t="s">
        <v>311</v>
      </c>
      <c r="W5" s="730" t="s">
        <v>319</v>
      </c>
      <c r="X5" s="731" t="s">
        <v>312</v>
      </c>
      <c r="Y5" s="708" t="s">
        <v>11</v>
      </c>
      <c r="Z5" s="22"/>
    </row>
    <row r="6" spans="1:38">
      <c r="A6" s="699"/>
      <c r="B6" s="702">
        <v>2004</v>
      </c>
      <c r="C6" s="734" t="s">
        <v>320</v>
      </c>
      <c r="D6" s="733" t="s">
        <v>555</v>
      </c>
      <c r="E6" s="734" t="s">
        <v>556</v>
      </c>
      <c r="F6" s="733" t="s">
        <v>557</v>
      </c>
      <c r="G6" s="733" t="s">
        <v>549</v>
      </c>
      <c r="H6" s="733" t="s">
        <v>550</v>
      </c>
      <c r="I6" s="734" t="s">
        <v>298</v>
      </c>
      <c r="J6" s="733" t="s">
        <v>321</v>
      </c>
      <c r="K6" s="734" t="s">
        <v>298</v>
      </c>
      <c r="L6" s="733" t="s">
        <v>558</v>
      </c>
      <c r="M6" s="734" t="s">
        <v>559</v>
      </c>
      <c r="N6" s="733" t="s">
        <v>560</v>
      </c>
      <c r="O6" s="734" t="s">
        <v>322</v>
      </c>
      <c r="P6" s="733" t="s">
        <v>323</v>
      </c>
      <c r="Q6" s="734" t="s">
        <v>324</v>
      </c>
      <c r="R6" s="733" t="s">
        <v>324</v>
      </c>
      <c r="S6" s="734"/>
      <c r="T6" s="733" t="s">
        <v>325</v>
      </c>
      <c r="U6" s="734"/>
      <c r="V6" s="733" t="s">
        <v>298</v>
      </c>
      <c r="W6" s="734" t="s">
        <v>326</v>
      </c>
      <c r="X6" s="733" t="s">
        <v>327</v>
      </c>
      <c r="Y6" s="716"/>
      <c r="Z6" s="22"/>
    </row>
    <row r="7" spans="1:38" ht="13.5" thickBot="1">
      <c r="A7" s="699"/>
      <c r="B7" s="703"/>
      <c r="C7" s="734"/>
      <c r="D7" s="733"/>
      <c r="E7" s="734"/>
      <c r="F7" s="733"/>
      <c r="G7" s="735"/>
      <c r="H7" s="733" t="s">
        <v>298</v>
      </c>
      <c r="I7" s="734"/>
      <c r="J7" s="733" t="s">
        <v>328</v>
      </c>
      <c r="K7" s="734" t="s">
        <v>298</v>
      </c>
      <c r="L7" s="733"/>
      <c r="M7" s="734"/>
      <c r="N7" s="733"/>
      <c r="O7" s="734" t="s">
        <v>329</v>
      </c>
      <c r="P7" s="733" t="s">
        <v>330</v>
      </c>
      <c r="Q7" s="734"/>
      <c r="R7" s="733" t="s">
        <v>298</v>
      </c>
      <c r="S7" s="734"/>
      <c r="T7" s="736"/>
      <c r="U7" s="734"/>
      <c r="V7" s="733" t="s">
        <v>298</v>
      </c>
      <c r="W7" s="734" t="s">
        <v>331</v>
      </c>
      <c r="X7" s="733" t="s">
        <v>773</v>
      </c>
      <c r="Y7" s="716"/>
      <c r="Z7" s="22"/>
    </row>
    <row r="8" spans="1:38">
      <c r="A8" s="1351" t="s">
        <v>573</v>
      </c>
      <c r="B8" s="695" t="s">
        <v>25</v>
      </c>
      <c r="C8" s="575">
        <f>CUADRO3!C10</f>
        <v>1751.5066005377998</v>
      </c>
      <c r="D8" s="572">
        <f>CUADRO3!C12</f>
        <v>21428.179272000005</v>
      </c>
      <c r="E8" s="575">
        <f>CUADRO3!C14</f>
        <v>2837.7984697840402</v>
      </c>
      <c r="F8" s="572">
        <f>CUADRO3!C16</f>
        <v>22924.008569869675</v>
      </c>
      <c r="G8" s="575">
        <v>0</v>
      </c>
      <c r="H8" s="572">
        <v>0</v>
      </c>
      <c r="I8" s="575">
        <f>CUADRO3!C18</f>
        <v>45987.530064674887</v>
      </c>
      <c r="J8" s="572">
        <v>0</v>
      </c>
      <c r="K8" s="575">
        <v>0</v>
      </c>
      <c r="L8" s="725">
        <f>SUM(C8:K8)</f>
        <v>94929.022976866399</v>
      </c>
      <c r="M8" s="575">
        <f>CUADRO4!C33</f>
        <v>45135.909474538974</v>
      </c>
      <c r="N8" s="572">
        <f>CUADRO4!C22</f>
        <v>6027.8228175000004</v>
      </c>
      <c r="O8" s="575">
        <f>CUADRO4!C16+CUADRO4!C18+CUADRO4!C24</f>
        <v>25343.385270000002</v>
      </c>
      <c r="P8" s="572">
        <f>CUADRO4!C20+CUADRO4!C26</f>
        <v>7356.3678684000006</v>
      </c>
      <c r="Q8" s="575">
        <f>CUADRO4!C14</f>
        <v>38516.332780800003</v>
      </c>
      <c r="R8" s="572">
        <f>CUADRO4!C12</f>
        <v>24214.993295849999</v>
      </c>
      <c r="S8" s="575">
        <f>CUADRO4!C37</f>
        <v>5227.1912000000002</v>
      </c>
      <c r="T8" s="572">
        <v>0</v>
      </c>
      <c r="U8" s="575">
        <f>CUADRO4!C30+CUADRO4!C41+CUADRO4!C43</f>
        <v>5837.8218328775929</v>
      </c>
      <c r="V8" s="572">
        <f>CUADRO4!C28+CUADRO4!C47+CUADRO4!C39</f>
        <v>19243.225762000002</v>
      </c>
      <c r="W8" s="575">
        <f>CUADRO11!C26</f>
        <v>1923.9149328399999</v>
      </c>
      <c r="X8" s="572">
        <f>SUM(M8:W8)</f>
        <v>178826.96523480656</v>
      </c>
      <c r="Y8" s="717">
        <f>X8+L8</f>
        <v>273755.98821167299</v>
      </c>
      <c r="Z8" s="73"/>
    </row>
    <row r="9" spans="1:38">
      <c r="A9" s="1352"/>
      <c r="B9" s="696"/>
      <c r="C9" s="575"/>
      <c r="D9" s="572"/>
      <c r="E9" s="575"/>
      <c r="F9" s="572"/>
      <c r="G9" s="575"/>
      <c r="H9" s="850"/>
      <c r="I9" s="572"/>
      <c r="J9" s="577"/>
      <c r="K9" s="575"/>
      <c r="L9" s="725"/>
      <c r="M9" s="575"/>
      <c r="N9" s="572"/>
      <c r="O9" s="575"/>
      <c r="P9" s="572"/>
      <c r="Q9" s="575"/>
      <c r="R9" s="572"/>
      <c r="S9" s="575"/>
      <c r="T9" s="572"/>
      <c r="U9" s="575"/>
      <c r="V9" s="572"/>
      <c r="W9" s="575"/>
      <c r="X9" s="572"/>
      <c r="Y9" s="717"/>
      <c r="Z9" s="22"/>
    </row>
    <row r="10" spans="1:38">
      <c r="A10" s="1352"/>
      <c r="B10" s="696" t="s">
        <v>26</v>
      </c>
      <c r="C10" s="575">
        <f>CUADRO3!D10</f>
        <v>110973.62479814098</v>
      </c>
      <c r="D10" s="572">
        <f>CUADRO3!D12</f>
        <v>58666.893912826003</v>
      </c>
      <c r="E10" s="575">
        <f>CUADRO3!D14</f>
        <v>25252.965282925968</v>
      </c>
      <c r="F10" s="850">
        <f>CUADRO3!D16</f>
        <v>0</v>
      </c>
      <c r="G10" s="572">
        <v>0</v>
      </c>
      <c r="H10" s="575">
        <v>0</v>
      </c>
      <c r="I10" s="572">
        <v>0</v>
      </c>
      <c r="J10" s="572">
        <v>0</v>
      </c>
      <c r="K10" s="575">
        <v>0</v>
      </c>
      <c r="L10" s="725">
        <f>SUM(C10:K10)</f>
        <v>194893.48399389294</v>
      </c>
      <c r="M10" s="575">
        <f>CUADRO4!D33</f>
        <v>1850.7113999999999</v>
      </c>
      <c r="N10" s="572">
        <f>CUADRO4!D22</f>
        <v>7389.1450545000016</v>
      </c>
      <c r="O10" s="575">
        <f>CUADRO4!D16+CUADRO4!D18+CUADRO4!D24</f>
        <v>6546.5997273600005</v>
      </c>
      <c r="P10" s="572">
        <f>CUADRO4!D20+CUADRO4!D26</f>
        <v>925.98941067300029</v>
      </c>
      <c r="Q10" s="575">
        <f>CUADRO4!D14</f>
        <v>18935.731497007997</v>
      </c>
      <c r="R10" s="572">
        <f>CUADRO4!D12</f>
        <v>1267.1585761275001</v>
      </c>
      <c r="S10" s="575">
        <f>CUADRO4!D37</f>
        <v>4795.5778</v>
      </c>
      <c r="T10" s="572">
        <v>0</v>
      </c>
      <c r="U10" s="575">
        <f>CUADRO4!D30+CUADRO4!D41+CUADRO4!D43</f>
        <v>0</v>
      </c>
      <c r="V10" s="572">
        <f>CUADRO4!D28+CUADRO4!D47+CUADRO4!D39</f>
        <v>0</v>
      </c>
      <c r="W10" s="575">
        <v>0</v>
      </c>
      <c r="X10" s="572">
        <f>SUM(M10:W10)</f>
        <v>41710.913465668498</v>
      </c>
      <c r="Y10" s="717">
        <f>X10+L10</f>
        <v>236604.39745956144</v>
      </c>
      <c r="Z10" s="73"/>
    </row>
    <row r="11" spans="1:38">
      <c r="A11" s="1352"/>
      <c r="B11" s="696"/>
      <c r="C11" s="575"/>
      <c r="D11" s="850"/>
      <c r="E11" s="572"/>
      <c r="F11" s="575"/>
      <c r="G11" s="572"/>
      <c r="H11" s="575"/>
      <c r="I11" s="572"/>
      <c r="J11" s="572"/>
      <c r="K11" s="575"/>
      <c r="L11" s="725"/>
      <c r="M11" s="575"/>
      <c r="N11" s="572"/>
      <c r="O11" s="575"/>
      <c r="P11" s="572"/>
      <c r="Q11" s="575"/>
      <c r="R11" s="572"/>
      <c r="S11" s="575"/>
      <c r="T11" s="572"/>
      <c r="U11" s="575"/>
      <c r="V11" s="572"/>
      <c r="W11" s="575"/>
      <c r="X11" s="572"/>
      <c r="Y11" s="717"/>
      <c r="Z11" s="73"/>
    </row>
    <row r="12" spans="1:38" s="897" customFormat="1" ht="11.25">
      <c r="A12" s="1352"/>
      <c r="B12" s="743" t="s">
        <v>569</v>
      </c>
      <c r="C12" s="744">
        <f>0.621*C10</f>
        <v>68914.620999645544</v>
      </c>
      <c r="D12" s="851">
        <f>D10</f>
        <v>58666.893912826003</v>
      </c>
      <c r="E12" s="745">
        <f>0.147*E10</f>
        <v>3712.185896590117</v>
      </c>
      <c r="F12" s="744">
        <v>0</v>
      </c>
      <c r="G12" s="745">
        <v>0</v>
      </c>
      <c r="H12" s="744">
        <v>0</v>
      </c>
      <c r="I12" s="745">
        <v>0</v>
      </c>
      <c r="J12" s="745">
        <v>0</v>
      </c>
      <c r="K12" s="744">
        <v>0</v>
      </c>
      <c r="L12" s="746">
        <f>SUM(C12:K12)</f>
        <v>131293.70080906167</v>
      </c>
      <c r="M12" s="744">
        <f>M10</f>
        <v>1850.7113999999999</v>
      </c>
      <c r="N12" s="745">
        <f>N10-N14</f>
        <v>7137.9141226470019</v>
      </c>
      <c r="O12" s="744">
        <f>0.475*O10</f>
        <v>3109.6348704960001</v>
      </c>
      <c r="P12" s="745">
        <f>0</f>
        <v>0</v>
      </c>
      <c r="Q12" s="744">
        <f>0.33*Q10</f>
        <v>6248.7913940126391</v>
      </c>
      <c r="R12" s="745">
        <v>0</v>
      </c>
      <c r="S12" s="744">
        <v>0</v>
      </c>
      <c r="T12" s="745">
        <v>0</v>
      </c>
      <c r="U12" s="744">
        <v>0</v>
      </c>
      <c r="V12" s="745">
        <v>0</v>
      </c>
      <c r="W12" s="744">
        <v>0</v>
      </c>
      <c r="X12" s="745">
        <f>SUM(M12:W12)</f>
        <v>18347.05178715564</v>
      </c>
      <c r="Y12" s="749">
        <f>X12+L12</f>
        <v>149640.75259621732</v>
      </c>
      <c r="Z12" s="747"/>
      <c r="AA12" s="412"/>
      <c r="AB12" s="412"/>
      <c r="AC12" s="412"/>
      <c r="AD12" s="412"/>
      <c r="AE12" s="412"/>
      <c r="AF12" s="412"/>
      <c r="AG12" s="412"/>
      <c r="AH12" s="412"/>
      <c r="AI12" s="412"/>
      <c r="AJ12" s="412"/>
      <c r="AK12" s="412"/>
      <c r="AL12" s="412"/>
    </row>
    <row r="13" spans="1:38" s="897" customFormat="1" ht="11.25">
      <c r="A13" s="1352"/>
      <c r="B13" s="743"/>
      <c r="C13" s="744"/>
      <c r="D13" s="851"/>
      <c r="E13" s="745"/>
      <c r="F13" s="744"/>
      <c r="G13" s="745"/>
      <c r="H13" s="744"/>
      <c r="I13" s="745"/>
      <c r="J13" s="745"/>
      <c r="K13" s="744"/>
      <c r="L13" s="746"/>
      <c r="M13" s="744"/>
      <c r="N13" s="745"/>
      <c r="O13" s="744"/>
      <c r="P13" s="745"/>
      <c r="Q13" s="744"/>
      <c r="R13" s="745"/>
      <c r="S13" s="744"/>
      <c r="T13" s="745"/>
      <c r="U13" s="744"/>
      <c r="V13" s="745"/>
      <c r="W13" s="744"/>
      <c r="X13" s="745"/>
      <c r="Y13" s="749"/>
      <c r="Z13" s="747"/>
      <c r="AA13" s="412"/>
      <c r="AB13" s="412"/>
      <c r="AC13" s="412"/>
      <c r="AD13" s="412"/>
      <c r="AE13" s="412"/>
      <c r="AF13" s="412"/>
      <c r="AG13" s="412"/>
      <c r="AH13" s="412"/>
      <c r="AI13" s="412"/>
      <c r="AJ13" s="412"/>
      <c r="AK13" s="412"/>
      <c r="AL13" s="412"/>
    </row>
    <row r="14" spans="1:38" s="897" customFormat="1" ht="11.25">
      <c r="A14" s="1352"/>
      <c r="B14" s="743" t="s">
        <v>570</v>
      </c>
      <c r="C14" s="744">
        <f>C10-C12</f>
        <v>42059.00379849544</v>
      </c>
      <c r="D14" s="851">
        <v>0</v>
      </c>
      <c r="E14" s="745">
        <f>E10-E12</f>
        <v>21540.779386335853</v>
      </c>
      <c r="F14" s="744">
        <v>0</v>
      </c>
      <c r="G14" s="745">
        <v>0</v>
      </c>
      <c r="H14" s="744">
        <v>0</v>
      </c>
      <c r="I14" s="745">
        <v>0</v>
      </c>
      <c r="J14" s="745">
        <v>0</v>
      </c>
      <c r="K14" s="744">
        <v>0</v>
      </c>
      <c r="L14" s="746">
        <f>SUM(C14:K14)</f>
        <v>63599.783184831293</v>
      </c>
      <c r="M14" s="744">
        <v>0</v>
      </c>
      <c r="N14" s="745">
        <f>0.034*N10</f>
        <v>251.23093185300007</v>
      </c>
      <c r="O14" s="744">
        <f>O10-O12</f>
        <v>3436.9648568640005</v>
      </c>
      <c r="P14" s="745">
        <f>P10</f>
        <v>925.98941067300029</v>
      </c>
      <c r="Q14" s="744">
        <f>Q10-Q12</f>
        <v>12686.940102995359</v>
      </c>
      <c r="R14" s="745">
        <f>R10</f>
        <v>1267.1585761275001</v>
      </c>
      <c r="S14" s="744">
        <f>S10</f>
        <v>4795.5778</v>
      </c>
      <c r="T14" s="745">
        <v>0</v>
      </c>
      <c r="U14" s="744">
        <v>0</v>
      </c>
      <c r="V14" s="745">
        <v>0</v>
      </c>
      <c r="W14" s="744">
        <v>0</v>
      </c>
      <c r="X14" s="745">
        <f>SUM(M14:W14)</f>
        <v>23363.861678512862</v>
      </c>
      <c r="Y14" s="749">
        <f>X14+L14</f>
        <v>86963.644863344147</v>
      </c>
      <c r="Z14" s="747"/>
      <c r="AA14" s="412"/>
      <c r="AB14" s="412"/>
      <c r="AC14" s="412"/>
      <c r="AD14" s="412"/>
      <c r="AE14" s="412"/>
      <c r="AF14" s="412"/>
      <c r="AG14" s="412"/>
      <c r="AH14" s="412"/>
      <c r="AI14" s="412"/>
      <c r="AJ14" s="412"/>
      <c r="AK14" s="412"/>
      <c r="AL14" s="412"/>
    </row>
    <row r="15" spans="1:38">
      <c r="A15" s="1352"/>
      <c r="B15" s="696"/>
      <c r="C15" s="575"/>
      <c r="D15" s="850"/>
      <c r="E15" s="572"/>
      <c r="F15" s="575"/>
      <c r="G15" s="572"/>
      <c r="H15" s="575"/>
      <c r="I15" s="572"/>
      <c r="J15" s="572"/>
      <c r="K15" s="575"/>
      <c r="L15" s="725"/>
      <c r="M15" s="575"/>
      <c r="N15" s="572"/>
      <c r="O15" s="575"/>
      <c r="P15" s="572"/>
      <c r="Q15" s="575"/>
      <c r="R15" s="572"/>
      <c r="S15" s="575"/>
      <c r="T15" s="572"/>
      <c r="U15" s="575"/>
      <c r="V15" s="572"/>
      <c r="W15" s="575"/>
      <c r="X15" s="572"/>
      <c r="Y15" s="717"/>
      <c r="Z15" s="22"/>
    </row>
    <row r="16" spans="1:38">
      <c r="A16" s="1352"/>
      <c r="B16" s="696" t="s">
        <v>27</v>
      </c>
      <c r="C16" s="575">
        <f>CUADRO3!E10</f>
        <v>0</v>
      </c>
      <c r="D16" s="850">
        <f>CUADRO3!E12</f>
        <v>0</v>
      </c>
      <c r="E16" s="572">
        <f>CUADRO3!E14</f>
        <v>0</v>
      </c>
      <c r="F16" s="575">
        <f>CUADRO3!E16</f>
        <v>0</v>
      </c>
      <c r="G16" s="572">
        <v>0</v>
      </c>
      <c r="H16" s="575">
        <v>0</v>
      </c>
      <c r="I16" s="572">
        <v>0</v>
      </c>
      <c r="J16" s="572">
        <v>0</v>
      </c>
      <c r="K16" s="575">
        <v>0</v>
      </c>
      <c r="L16" s="725">
        <f>SUM(C16:K16)</f>
        <v>0</v>
      </c>
      <c r="M16" s="575">
        <v>0</v>
      </c>
      <c r="N16" s="1214">
        <f>CUADRO4!E22</f>
        <v>1403.3113998750005</v>
      </c>
      <c r="O16" s="1215">
        <f>CUADRO4!E16+CUADRO4!E18+CUADRO4!E24</f>
        <v>7244.1976320000003</v>
      </c>
      <c r="P16" s="1214">
        <f>CUADRO4!E20+CUADRO4!E26</f>
        <v>0</v>
      </c>
      <c r="Q16" s="1215">
        <f>CUADRO4!E14</f>
        <v>2175.7937052599996</v>
      </c>
      <c r="R16" s="1214">
        <f>CUADRO4!E12</f>
        <v>6207.2058051885006</v>
      </c>
      <c r="S16" s="1215">
        <f>CUADRO4!E37</f>
        <v>281.2752000000001</v>
      </c>
      <c r="T16" s="572">
        <v>0</v>
      </c>
      <c r="U16" s="575">
        <f>CUADRO4!E30+CUADRO4!E41+CUADRO4!E43</f>
        <v>0</v>
      </c>
      <c r="V16" s="572">
        <f>CUADRO4!E28+CUADRO4!E47+CUADRO4!E39</f>
        <v>16457.2549449</v>
      </c>
      <c r="W16" s="575">
        <v>0</v>
      </c>
      <c r="X16" s="572">
        <f>SUM(M16:W16)</f>
        <v>33769.038687223496</v>
      </c>
      <c r="Y16" s="717">
        <f>X16+L16</f>
        <v>33769.038687223496</v>
      </c>
      <c r="Z16" s="73"/>
    </row>
    <row r="17" spans="1:38">
      <c r="A17" s="1352"/>
      <c r="B17" s="696"/>
      <c r="C17" s="575"/>
      <c r="D17" s="850"/>
      <c r="E17" s="572"/>
      <c r="F17" s="575"/>
      <c r="G17" s="572"/>
      <c r="H17" s="575"/>
      <c r="I17" s="572"/>
      <c r="J17" s="572"/>
      <c r="K17" s="575"/>
      <c r="L17" s="725"/>
      <c r="M17" s="575"/>
      <c r="N17" s="572"/>
      <c r="O17" s="575"/>
      <c r="P17" s="572"/>
      <c r="Q17" s="575"/>
      <c r="R17" s="572"/>
      <c r="S17" s="575"/>
      <c r="T17" s="572"/>
      <c r="U17" s="575"/>
      <c r="V17" s="572"/>
      <c r="W17" s="575"/>
      <c r="X17" s="572"/>
      <c r="Y17" s="717"/>
      <c r="Z17" s="73"/>
    </row>
    <row r="18" spans="1:38" s="897" customFormat="1" ht="11.25">
      <c r="A18" s="1352"/>
      <c r="B18" s="743" t="s">
        <v>569</v>
      </c>
      <c r="C18" s="849">
        <v>0</v>
      </c>
      <c r="D18" s="744">
        <v>0</v>
      </c>
      <c r="E18" s="745">
        <v>0</v>
      </c>
      <c r="F18" s="744">
        <v>0</v>
      </c>
      <c r="G18" s="745">
        <v>0</v>
      </c>
      <c r="H18" s="744">
        <v>0</v>
      </c>
      <c r="I18" s="745">
        <v>0</v>
      </c>
      <c r="J18" s="745">
        <v>0</v>
      </c>
      <c r="K18" s="744">
        <v>0</v>
      </c>
      <c r="L18" s="746">
        <f>SUM(C18:K18)</f>
        <v>0</v>
      </c>
      <c r="M18" s="744">
        <v>0</v>
      </c>
      <c r="N18" s="745">
        <f>0.904*N16</f>
        <v>1268.5935054870004</v>
      </c>
      <c r="O18" s="744">
        <f>O16*0.107</f>
        <v>775.12914662399999</v>
      </c>
      <c r="P18" s="745">
        <v>0</v>
      </c>
      <c r="Q18" s="744">
        <f>Q16-Q20</f>
        <v>1962.5659221445196</v>
      </c>
      <c r="R18" s="745">
        <f>0.165*R16</f>
        <v>1024.1889578561027</v>
      </c>
      <c r="S18" s="744">
        <f>S16</f>
        <v>281.2752000000001</v>
      </c>
      <c r="T18" s="745">
        <v>0</v>
      </c>
      <c r="U18" s="744">
        <v>0</v>
      </c>
      <c r="V18" s="745">
        <f>0.1*V16</f>
        <v>1645.7254944900001</v>
      </c>
      <c r="W18" s="744">
        <v>0</v>
      </c>
      <c r="X18" s="745">
        <f>SUM(M18:W18)</f>
        <v>6957.4782266016227</v>
      </c>
      <c r="Y18" s="749">
        <f>X18+L18</f>
        <v>6957.4782266016227</v>
      </c>
      <c r="Z18" s="747"/>
      <c r="AA18" s="412"/>
      <c r="AB18" s="412"/>
      <c r="AC18" s="412"/>
      <c r="AD18" s="412"/>
      <c r="AE18" s="412"/>
      <c r="AF18" s="412"/>
      <c r="AG18" s="412"/>
      <c r="AH18" s="412"/>
      <c r="AI18" s="412"/>
      <c r="AJ18" s="412"/>
      <c r="AK18" s="412"/>
      <c r="AL18" s="412"/>
    </row>
    <row r="19" spans="1:38" s="897" customFormat="1" ht="11.25">
      <c r="A19" s="1352"/>
      <c r="B19" s="743"/>
      <c r="C19" s="849"/>
      <c r="D19" s="744"/>
      <c r="E19" s="745"/>
      <c r="F19" s="744"/>
      <c r="G19" s="745"/>
      <c r="H19" s="744"/>
      <c r="I19" s="745"/>
      <c r="J19" s="745"/>
      <c r="K19" s="744"/>
      <c r="L19" s="746"/>
      <c r="M19" s="744"/>
      <c r="N19" s="745"/>
      <c r="O19" s="744"/>
      <c r="P19" s="745"/>
      <c r="Q19" s="744"/>
      <c r="R19" s="745"/>
      <c r="S19" s="744"/>
      <c r="T19" s="745"/>
      <c r="U19" s="744"/>
      <c r="V19" s="745"/>
      <c r="W19" s="744"/>
      <c r="X19" s="745"/>
      <c r="Y19" s="749"/>
      <c r="Z19" s="747"/>
      <c r="AA19" s="412"/>
      <c r="AB19" s="412"/>
      <c r="AC19" s="412"/>
      <c r="AD19" s="412"/>
      <c r="AE19" s="412"/>
      <c r="AF19" s="412"/>
      <c r="AG19" s="412"/>
      <c r="AH19" s="412"/>
      <c r="AI19" s="412"/>
      <c r="AJ19" s="412"/>
      <c r="AK19" s="412"/>
      <c r="AL19" s="412"/>
    </row>
    <row r="20" spans="1:38" s="897" customFormat="1" ht="11.25">
      <c r="A20" s="1352"/>
      <c r="B20" s="743" t="s">
        <v>570</v>
      </c>
      <c r="C20" s="849">
        <v>0</v>
      </c>
      <c r="D20" s="744">
        <v>0</v>
      </c>
      <c r="E20" s="745">
        <v>0</v>
      </c>
      <c r="F20" s="744">
        <v>0</v>
      </c>
      <c r="G20" s="745">
        <v>0</v>
      </c>
      <c r="H20" s="744">
        <v>0</v>
      </c>
      <c r="I20" s="745">
        <v>0</v>
      </c>
      <c r="J20" s="745">
        <v>0</v>
      </c>
      <c r="K20" s="744">
        <v>0</v>
      </c>
      <c r="L20" s="746">
        <f>SUM(C20:K20)</f>
        <v>0</v>
      </c>
      <c r="M20" s="744">
        <v>0</v>
      </c>
      <c r="N20" s="745">
        <f>N16-N18</f>
        <v>134.7178943880001</v>
      </c>
      <c r="O20" s="744">
        <f>O16-O18</f>
        <v>6469.0684853760004</v>
      </c>
      <c r="P20" s="745">
        <v>0</v>
      </c>
      <c r="Q20" s="744">
        <f>0.098*Q16</f>
        <v>213.22778311547998</v>
      </c>
      <c r="R20" s="745">
        <f>R16-R18</f>
        <v>5183.0168473323974</v>
      </c>
      <c r="S20" s="744">
        <f>0</f>
        <v>0</v>
      </c>
      <c r="T20" s="745">
        <v>0</v>
      </c>
      <c r="U20" s="744">
        <v>0</v>
      </c>
      <c r="V20" s="745">
        <f>0.9*V16</f>
        <v>14811.52945041</v>
      </c>
      <c r="W20" s="744">
        <v>0</v>
      </c>
      <c r="X20" s="745">
        <f>SUM(M20:W20)</f>
        <v>26811.560460621877</v>
      </c>
      <c r="Y20" s="749">
        <f>X20+L20</f>
        <v>26811.560460621877</v>
      </c>
      <c r="Z20" s="747"/>
      <c r="AA20" s="412"/>
      <c r="AB20" s="412"/>
      <c r="AC20" s="412"/>
      <c r="AD20" s="412"/>
      <c r="AE20" s="412"/>
      <c r="AF20" s="412"/>
      <c r="AG20" s="412"/>
      <c r="AH20" s="412"/>
      <c r="AI20" s="412"/>
      <c r="AJ20" s="412"/>
      <c r="AK20" s="412"/>
      <c r="AL20" s="412"/>
    </row>
    <row r="21" spans="1:38">
      <c r="A21" s="1352"/>
      <c r="B21" s="696"/>
      <c r="C21" s="575"/>
      <c r="D21" s="850"/>
      <c r="E21" s="572"/>
      <c r="F21" s="575"/>
      <c r="G21" s="572"/>
      <c r="H21" s="577"/>
      <c r="I21" s="575"/>
      <c r="J21" s="572"/>
      <c r="K21" s="575"/>
      <c r="L21" s="725"/>
      <c r="M21" s="575"/>
      <c r="N21" s="572"/>
      <c r="O21" s="575"/>
      <c r="P21" s="572"/>
      <c r="Q21" s="575"/>
      <c r="R21" s="572"/>
      <c r="S21" s="575"/>
      <c r="T21" s="572"/>
      <c r="U21" s="575"/>
      <c r="V21" s="572"/>
      <c r="W21" s="575"/>
      <c r="X21" s="572"/>
      <c r="Y21" s="717"/>
      <c r="Z21" s="22"/>
    </row>
    <row r="22" spans="1:38">
      <c r="A22" s="1352"/>
      <c r="B22" s="696" t="s">
        <v>333</v>
      </c>
      <c r="C22" s="575">
        <f>CUADRO3!F10</f>
        <v>-276.83982446204755</v>
      </c>
      <c r="D22" s="850">
        <v>0</v>
      </c>
      <c r="E22" s="572">
        <f>CUADRO3!F14</f>
        <v>515.4340423904805</v>
      </c>
      <c r="F22" s="577">
        <v>0</v>
      </c>
      <c r="G22" s="575">
        <v>0</v>
      </c>
      <c r="H22" s="572">
        <v>0</v>
      </c>
      <c r="I22" s="575">
        <v>0</v>
      </c>
      <c r="J22" s="572">
        <v>0</v>
      </c>
      <c r="K22" s="575">
        <v>0</v>
      </c>
      <c r="L22" s="725">
        <f>SUM(C22:K22)</f>
        <v>238.59421792843295</v>
      </c>
      <c r="M22" s="575">
        <f>CUADRO4!F33</f>
        <v>3904.1140276019396</v>
      </c>
      <c r="N22" s="572">
        <f>CUADRO4!F22</f>
        <v>90.921509356702487</v>
      </c>
      <c r="O22" s="575">
        <f>CUADRO4!F16+CUADRO4!F18+CUADRO4!F24</f>
        <v>1006.678697136</v>
      </c>
      <c r="P22" s="572">
        <f>CUADRO4!F20+CUADRO4!F26</f>
        <v>393.28276655700023</v>
      </c>
      <c r="Q22" s="575">
        <f>CUADRO4!F14</f>
        <v>911.64907700000401</v>
      </c>
      <c r="R22" s="572">
        <f>CUADRO4!F12</f>
        <v>-762.80006603850256</v>
      </c>
      <c r="S22" s="575">
        <f>CUADRO4!F37</f>
        <v>14.976256166666872</v>
      </c>
      <c r="T22" s="572">
        <v>0</v>
      </c>
      <c r="U22" s="575">
        <f>CUADRO4!F30+CUADRO4!F41+CUADRO4!F43</f>
        <v>251.7202589486331</v>
      </c>
      <c r="V22" s="572">
        <f>CUADRO4!F28+CUADRO4!F39+CUADRO4!F47</f>
        <v>767.29605369999911</v>
      </c>
      <c r="W22" s="575">
        <v>0</v>
      </c>
      <c r="X22" s="572">
        <f>SUM(M22:W22)</f>
        <v>6577.8385804284426</v>
      </c>
      <c r="Y22" s="717">
        <f>X22+L22</f>
        <v>6816.4327983568755</v>
      </c>
      <c r="Z22" s="73"/>
    </row>
    <row r="23" spans="1:38">
      <c r="A23" s="1352"/>
      <c r="B23" s="696"/>
      <c r="C23" s="575"/>
      <c r="D23" s="572"/>
      <c r="E23" s="575"/>
      <c r="F23" s="572"/>
      <c r="G23" s="575"/>
      <c r="H23" s="572"/>
      <c r="I23" s="575"/>
      <c r="J23" s="572"/>
      <c r="K23" s="575"/>
      <c r="L23" s="725"/>
      <c r="M23" s="575"/>
      <c r="N23" s="572"/>
      <c r="O23" s="575"/>
      <c r="P23" s="572"/>
      <c r="Q23" s="575"/>
      <c r="R23" s="572"/>
      <c r="S23" s="575"/>
      <c r="T23" s="572"/>
      <c r="U23" s="575"/>
      <c r="V23" s="572"/>
      <c r="W23" s="575"/>
      <c r="X23" s="572"/>
      <c r="Y23" s="717"/>
      <c r="Z23" s="22"/>
    </row>
    <row r="24" spans="1:38">
      <c r="A24" s="1352"/>
      <c r="B24" s="696" t="s">
        <v>334</v>
      </c>
      <c r="C24" s="575">
        <v>0</v>
      </c>
      <c r="D24" s="572">
        <f>CUADRO3!F12</f>
        <v>1782.4530556768493</v>
      </c>
      <c r="E24" s="575">
        <v>0</v>
      </c>
      <c r="F24" s="572">
        <f>CUADRO3!F16</f>
        <v>308.02262283000005</v>
      </c>
      <c r="G24" s="575">
        <v>0</v>
      </c>
      <c r="H24" s="572">
        <v>0</v>
      </c>
      <c r="I24" s="575">
        <v>0</v>
      </c>
      <c r="J24" s="572">
        <v>0</v>
      </c>
      <c r="K24" s="575">
        <v>0</v>
      </c>
      <c r="L24" s="725">
        <f>SUM(C24:K24)</f>
        <v>2090.4756785068494</v>
      </c>
      <c r="M24" s="575">
        <v>0</v>
      </c>
      <c r="N24" s="572">
        <v>0</v>
      </c>
      <c r="O24" s="575">
        <v>0</v>
      </c>
      <c r="P24" s="572">
        <v>0</v>
      </c>
      <c r="Q24" s="575">
        <v>0</v>
      </c>
      <c r="R24" s="572">
        <v>0</v>
      </c>
      <c r="S24" s="575">
        <v>0</v>
      </c>
      <c r="T24" s="572">
        <v>0</v>
      </c>
      <c r="U24" s="575">
        <v>0</v>
      </c>
      <c r="V24" s="572">
        <v>0</v>
      </c>
      <c r="W24" s="575">
        <v>0</v>
      </c>
      <c r="X24" s="572">
        <f>SUM(M24:W24)</f>
        <v>0</v>
      </c>
      <c r="Y24" s="717">
        <f>X24+L24</f>
        <v>2090.4756785068494</v>
      </c>
      <c r="Z24" s="73"/>
    </row>
    <row r="25" spans="1:38" ht="13.5" thickBot="1">
      <c r="A25" s="1353"/>
      <c r="B25" s="697"/>
      <c r="C25" s="704"/>
      <c r="D25" s="718"/>
      <c r="E25" s="704"/>
      <c r="F25" s="718"/>
      <c r="G25" s="704"/>
      <c r="H25" s="718"/>
      <c r="I25" s="704"/>
      <c r="J25" s="718"/>
      <c r="K25" s="704"/>
      <c r="L25" s="720"/>
      <c r="M25" s="704"/>
      <c r="N25" s="718"/>
      <c r="O25" s="704"/>
      <c r="P25" s="718"/>
      <c r="Q25" s="704"/>
      <c r="R25" s="718"/>
      <c r="S25" s="704"/>
      <c r="T25" s="718"/>
      <c r="U25" s="704"/>
      <c r="V25" s="718"/>
      <c r="W25" s="704"/>
      <c r="X25" s="718"/>
      <c r="Y25" s="719"/>
      <c r="Z25" s="73"/>
    </row>
    <row r="26" spans="1:38" ht="13.5" thickBot="1">
      <c r="A26" s="700"/>
      <c r="B26" s="697" t="s">
        <v>335</v>
      </c>
      <c r="C26" s="709">
        <f>CUADRO3!G10</f>
        <v>113001.97122314083</v>
      </c>
      <c r="D26" s="720">
        <f>CUADRO3!G12</f>
        <v>78312.62012914916</v>
      </c>
      <c r="E26" s="709">
        <f>CUADRO3!G14</f>
        <v>27575.329710319525</v>
      </c>
      <c r="F26" s="720">
        <f>CUADRO3!G16</f>
        <v>22615.98594703967</v>
      </c>
      <c r="G26" s="709">
        <v>0</v>
      </c>
      <c r="H26" s="720">
        <v>0</v>
      </c>
      <c r="I26" s="709">
        <f>I8</f>
        <v>45987.530064674887</v>
      </c>
      <c r="J26" s="720">
        <v>0</v>
      </c>
      <c r="K26" s="709">
        <f>K8+K10-K16-K22-K24</f>
        <v>0</v>
      </c>
      <c r="L26" s="720">
        <f>L8+L10-L16-L22-L24</f>
        <v>287493.43707432412</v>
      </c>
      <c r="M26" s="709">
        <f>CUADRO4!I33</f>
        <v>43082.506846937045</v>
      </c>
      <c r="N26" s="720">
        <f>CUADRO4!I22</f>
        <v>11922.734962768302</v>
      </c>
      <c r="O26" s="709">
        <f>CUADRO4!I16+CUADRO4!I18+CUADRO4!I24</f>
        <v>23639.108668223998</v>
      </c>
      <c r="P26" s="720">
        <f>CUADRO4!I20+CUADRO4!I26</f>
        <v>7889.0745125160011</v>
      </c>
      <c r="Q26" s="709">
        <f>CUADRO4!I14</f>
        <v>54364.035511547983</v>
      </c>
      <c r="R26" s="720">
        <f>CUADRO4!I12</f>
        <v>20037.746132827502</v>
      </c>
      <c r="S26" s="709">
        <f>CUADRO4!I37</f>
        <v>9726.5175438333335</v>
      </c>
      <c r="T26" s="720">
        <f>T8+T10-T16-T22-T24</f>
        <v>0</v>
      </c>
      <c r="U26" s="709">
        <f>CUADRO4!I30+CUADRO4!I41+CUADRO4!I43</f>
        <v>5586.1015739289605</v>
      </c>
      <c r="V26" s="720">
        <f>CUADRO4!I28+CUADRO4!I47+CUADRO4!I39</f>
        <v>2018.6747633999996</v>
      </c>
      <c r="W26" s="709">
        <f>W8</f>
        <v>1923.9149328399999</v>
      </c>
      <c r="X26" s="720">
        <f>X8+X10-X16-X22-X24</f>
        <v>180191.00143282313</v>
      </c>
      <c r="Y26" s="719">
        <f>X26+L26</f>
        <v>467684.43850714725</v>
      </c>
      <c r="Z26" s="73"/>
    </row>
    <row r="27" spans="1:38">
      <c r="A27" s="1354" t="s">
        <v>574</v>
      </c>
      <c r="B27" s="695"/>
      <c r="C27" s="705"/>
      <c r="D27" s="721"/>
      <c r="E27" s="705"/>
      <c r="F27" s="721"/>
      <c r="G27" s="705"/>
      <c r="H27" s="721"/>
      <c r="I27" s="705"/>
      <c r="J27" s="721"/>
      <c r="K27" s="705"/>
      <c r="L27" s="723"/>
      <c r="M27" s="705"/>
      <c r="N27" s="721"/>
      <c r="O27" s="705"/>
      <c r="P27" s="721"/>
      <c r="Q27" s="705"/>
      <c r="R27" s="721"/>
      <c r="S27" s="705"/>
      <c r="T27" s="721"/>
      <c r="U27" s="705"/>
      <c r="V27" s="721"/>
      <c r="W27" s="705"/>
      <c r="X27" s="721"/>
      <c r="Y27" s="722"/>
      <c r="Z27" s="73"/>
    </row>
    <row r="28" spans="1:38">
      <c r="A28" s="1355"/>
      <c r="B28" s="696" t="s">
        <v>336</v>
      </c>
      <c r="C28" s="575">
        <v>0</v>
      </c>
      <c r="D28" s="572">
        <f>CUADRO10!E22</f>
        <v>1980.1647014144305</v>
      </c>
      <c r="E28" s="575">
        <v>0</v>
      </c>
      <c r="F28" s="572">
        <v>0</v>
      </c>
      <c r="G28" s="575">
        <v>0</v>
      </c>
      <c r="H28" s="572">
        <v>0</v>
      </c>
      <c r="I28" s="575">
        <v>0</v>
      </c>
      <c r="J28" s="572">
        <v>0</v>
      </c>
      <c r="K28" s="575">
        <v>0</v>
      </c>
      <c r="L28" s="725">
        <f>SUM(C28:K28)</f>
        <v>1980.1647014144305</v>
      </c>
      <c r="M28" s="575">
        <v>0</v>
      </c>
      <c r="N28" s="572">
        <f>CUADRO10!E14</f>
        <v>0</v>
      </c>
      <c r="O28" s="575">
        <v>0</v>
      </c>
      <c r="P28" s="572">
        <v>0</v>
      </c>
      <c r="Q28" s="575">
        <v>0</v>
      </c>
      <c r="R28" s="572">
        <f>CUADRO10!E12</f>
        <v>0</v>
      </c>
      <c r="S28" s="575">
        <v>0</v>
      </c>
      <c r="T28" s="572">
        <v>0</v>
      </c>
      <c r="U28" s="575">
        <v>0</v>
      </c>
      <c r="V28" s="572">
        <v>0</v>
      </c>
      <c r="W28" s="575">
        <v>0</v>
      </c>
      <c r="X28" s="572">
        <f>SUM(M28:W28)</f>
        <v>0</v>
      </c>
      <c r="Y28" s="717">
        <f>X28+L28</f>
        <v>1980.1647014144305</v>
      </c>
      <c r="Z28" s="73"/>
    </row>
    <row r="29" spans="1:38">
      <c r="A29" s="1355"/>
      <c r="B29" s="696"/>
      <c r="C29" s="575"/>
      <c r="D29" s="572"/>
      <c r="E29" s="575"/>
      <c r="F29" s="572"/>
      <c r="G29" s="575"/>
      <c r="H29" s="572"/>
      <c r="I29" s="575"/>
      <c r="J29" s="572"/>
      <c r="K29" s="575"/>
      <c r="L29" s="725"/>
      <c r="M29" s="575"/>
      <c r="N29" s="572"/>
      <c r="O29" s="575"/>
      <c r="P29" s="572"/>
      <c r="Q29" s="575"/>
      <c r="R29" s="572"/>
      <c r="S29" s="575"/>
      <c r="T29" s="572"/>
      <c r="U29" s="575"/>
      <c r="V29" s="572"/>
      <c r="W29" s="575"/>
      <c r="X29" s="572"/>
      <c r="Y29" s="717"/>
      <c r="Z29" s="22"/>
    </row>
    <row r="30" spans="1:38">
      <c r="A30" s="1355"/>
      <c r="B30" s="696" t="s">
        <v>337</v>
      </c>
      <c r="C30" s="575">
        <v>0</v>
      </c>
      <c r="D30" s="572">
        <f>SECT_TERAC.!T50</f>
        <v>25941.064121597545</v>
      </c>
      <c r="E30" s="575">
        <f>SECT_TERAC.!O50</f>
        <v>17968.053017028706</v>
      </c>
      <c r="F30" s="572">
        <v>0</v>
      </c>
      <c r="G30" s="575">
        <v>0</v>
      </c>
      <c r="H30" s="572">
        <v>0</v>
      </c>
      <c r="I30" s="575">
        <f>SECT_TERAC.!W50</f>
        <v>202.4265805149692</v>
      </c>
      <c r="J30" s="572">
        <v>0</v>
      </c>
      <c r="K30" s="575">
        <v>0</v>
      </c>
      <c r="L30" s="725">
        <f>SUM(C30:K30)</f>
        <v>44111.54371914122</v>
      </c>
      <c r="M30" s="575">
        <v>0</v>
      </c>
      <c r="N30" s="572">
        <f>SECT_TERAC.!H49</f>
        <v>0.376189</v>
      </c>
      <c r="O30" s="575">
        <v>0</v>
      </c>
      <c r="P30" s="572">
        <v>0</v>
      </c>
      <c r="Q30" s="575">
        <f>SECT_TERAC.!C50</f>
        <v>2286.4727150999984</v>
      </c>
      <c r="R30" s="572">
        <f>SECT_TERAC.!D50</f>
        <v>483.03150000000005</v>
      </c>
      <c r="S30" s="575">
        <f>SECT_TERAC.!P50</f>
        <v>5425.5394538333321</v>
      </c>
      <c r="T30" s="572">
        <v>0</v>
      </c>
      <c r="U30" s="575">
        <f>SECT_TERAC.!R37+SECT_TERAC.!S37+SECT_TERAC.!L50</f>
        <v>0</v>
      </c>
      <c r="V30" s="572">
        <v>0</v>
      </c>
      <c r="W30" s="575">
        <v>0</v>
      </c>
      <c r="X30" s="572">
        <f>SUM(M30:W30)</f>
        <v>8195.4198579333315</v>
      </c>
      <c r="Y30" s="717">
        <f>X30+L30</f>
        <v>52306.963577074552</v>
      </c>
      <c r="Z30" s="73"/>
    </row>
    <row r="31" spans="1:38">
      <c r="A31" s="1355"/>
      <c r="B31" s="696"/>
      <c r="C31" s="575"/>
      <c r="D31" s="572"/>
      <c r="E31" s="575"/>
      <c r="F31" s="572"/>
      <c r="G31" s="575"/>
      <c r="H31" s="572"/>
      <c r="I31" s="575"/>
      <c r="J31" s="572"/>
      <c r="K31" s="575"/>
      <c r="L31" s="725"/>
      <c r="M31" s="575"/>
      <c r="N31" s="572"/>
      <c r="O31" s="575"/>
      <c r="P31" s="572"/>
      <c r="Q31" s="575"/>
      <c r="R31" s="572"/>
      <c r="S31" s="575"/>
      <c r="T31" s="572"/>
      <c r="U31" s="575"/>
      <c r="V31" s="572"/>
      <c r="W31" s="575"/>
      <c r="X31" s="572"/>
      <c r="Y31" s="717"/>
      <c r="Z31" s="73"/>
    </row>
    <row r="32" spans="1:38" s="897" customFormat="1" ht="11.25">
      <c r="A32" s="1355"/>
      <c r="B32" s="743" t="s">
        <v>571</v>
      </c>
      <c r="C32" s="744">
        <v>0</v>
      </c>
      <c r="D32" s="745">
        <v>0</v>
      </c>
      <c r="E32" s="744">
        <v>0</v>
      </c>
      <c r="F32" s="745">
        <f>F30</f>
        <v>0</v>
      </c>
      <c r="G32" s="744">
        <v>0</v>
      </c>
      <c r="H32" s="745">
        <v>0</v>
      </c>
      <c r="I32" s="744">
        <v>0</v>
      </c>
      <c r="J32" s="745">
        <v>0</v>
      </c>
      <c r="K32" s="744">
        <v>0</v>
      </c>
      <c r="L32" s="746">
        <v>0</v>
      </c>
      <c r="M32" s="744">
        <v>352.83495944838535</v>
      </c>
      <c r="N32" s="745">
        <v>0</v>
      </c>
      <c r="O32" s="745">
        <v>0</v>
      </c>
      <c r="P32" s="745">
        <v>0</v>
      </c>
      <c r="Q32" s="745">
        <v>0</v>
      </c>
      <c r="R32" s="745">
        <v>0</v>
      </c>
      <c r="S32" s="745">
        <v>0</v>
      </c>
      <c r="T32" s="745">
        <v>0</v>
      </c>
      <c r="U32" s="745">
        <v>0</v>
      </c>
      <c r="V32" s="745">
        <v>0</v>
      </c>
      <c r="W32" s="745">
        <v>0</v>
      </c>
      <c r="X32" s="745">
        <f>SUM(M32:W32)</f>
        <v>352.83495944838535</v>
      </c>
      <c r="Y32" s="749">
        <f>X32+L32</f>
        <v>352.83495944838535</v>
      </c>
      <c r="Z32" s="747"/>
      <c r="AA32" s="412"/>
      <c r="AB32" s="412"/>
      <c r="AC32" s="412"/>
      <c r="AD32" s="412"/>
      <c r="AE32" s="412"/>
      <c r="AF32" s="412"/>
      <c r="AG32" s="412"/>
      <c r="AH32" s="412"/>
      <c r="AI32" s="412"/>
      <c r="AJ32" s="412"/>
      <c r="AK32" s="412"/>
      <c r="AL32" s="412"/>
    </row>
    <row r="33" spans="1:38" s="897" customFormat="1" ht="11.25">
      <c r="A33" s="1355"/>
      <c r="B33" s="743"/>
      <c r="C33" s="744"/>
      <c r="D33" s="745"/>
      <c r="E33" s="744"/>
      <c r="F33" s="748"/>
      <c r="G33" s="744"/>
      <c r="H33" s="745"/>
      <c r="I33" s="744"/>
      <c r="J33" s="745"/>
      <c r="K33" s="744"/>
      <c r="L33" s="746"/>
      <c r="M33" s="744"/>
      <c r="N33" s="745"/>
      <c r="O33" s="745"/>
      <c r="P33" s="745"/>
      <c r="Q33" s="745"/>
      <c r="R33" s="745"/>
      <c r="S33" s="745"/>
      <c r="T33" s="745"/>
      <c r="U33" s="745"/>
      <c r="V33" s="745"/>
      <c r="W33" s="745"/>
      <c r="X33" s="745"/>
      <c r="Y33" s="746"/>
      <c r="Z33" s="747"/>
      <c r="AA33" s="412"/>
      <c r="AB33" s="412"/>
      <c r="AC33" s="412"/>
      <c r="AD33" s="412"/>
      <c r="AE33" s="412"/>
      <c r="AF33" s="412"/>
      <c r="AG33" s="412"/>
      <c r="AH33" s="412"/>
      <c r="AI33" s="412"/>
      <c r="AJ33" s="412"/>
      <c r="AK33" s="412"/>
      <c r="AL33" s="412"/>
    </row>
    <row r="34" spans="1:38" s="897" customFormat="1" ht="11.25">
      <c r="A34" s="1355"/>
      <c r="B34" s="743" t="s">
        <v>572</v>
      </c>
      <c r="C34" s="744">
        <f>C30</f>
        <v>0</v>
      </c>
      <c r="D34" s="745">
        <f t="shared" ref="D34:L34" si="0">D30</f>
        <v>25941.064121597545</v>
      </c>
      <c r="E34" s="744">
        <f t="shared" si="0"/>
        <v>17968.053017028706</v>
      </c>
      <c r="F34" s="745">
        <v>0</v>
      </c>
      <c r="G34" s="744">
        <f t="shared" si="0"/>
        <v>0</v>
      </c>
      <c r="H34" s="745">
        <f t="shared" si="0"/>
        <v>0</v>
      </c>
      <c r="I34" s="744">
        <f t="shared" si="0"/>
        <v>202.4265805149692</v>
      </c>
      <c r="J34" s="745">
        <f t="shared" si="0"/>
        <v>0</v>
      </c>
      <c r="K34" s="744">
        <f t="shared" si="0"/>
        <v>0</v>
      </c>
      <c r="L34" s="746">
        <f t="shared" si="0"/>
        <v>44111.54371914122</v>
      </c>
      <c r="M34" s="744">
        <v>0</v>
      </c>
      <c r="N34" s="745">
        <f>N30</f>
        <v>0.376189</v>
      </c>
      <c r="O34" s="745">
        <f t="shared" ref="O34:W34" si="1">O30</f>
        <v>0</v>
      </c>
      <c r="P34" s="745">
        <f t="shared" si="1"/>
        <v>0</v>
      </c>
      <c r="Q34" s="745">
        <f t="shared" si="1"/>
        <v>2286.4727150999984</v>
      </c>
      <c r="R34" s="745">
        <f t="shared" si="1"/>
        <v>483.03150000000005</v>
      </c>
      <c r="S34" s="745">
        <f t="shared" si="1"/>
        <v>5425.5394538333321</v>
      </c>
      <c r="T34" s="745">
        <f t="shared" si="1"/>
        <v>0</v>
      </c>
      <c r="U34" s="745">
        <f t="shared" si="1"/>
        <v>0</v>
      </c>
      <c r="V34" s="745">
        <f t="shared" si="1"/>
        <v>0</v>
      </c>
      <c r="W34" s="745">
        <f t="shared" si="1"/>
        <v>0</v>
      </c>
      <c r="X34" s="745">
        <f>SUM(M34:W34)</f>
        <v>8195.4198579333315</v>
      </c>
      <c r="Y34" s="749">
        <f>X34+L34</f>
        <v>52306.963577074552</v>
      </c>
      <c r="Z34" s="747"/>
      <c r="AA34" s="412"/>
      <c r="AB34" s="412"/>
      <c r="AC34" s="412"/>
      <c r="AD34" s="412"/>
      <c r="AE34" s="412"/>
      <c r="AF34" s="412"/>
      <c r="AG34" s="412"/>
      <c r="AH34" s="412"/>
      <c r="AI34" s="412"/>
      <c r="AJ34" s="412"/>
      <c r="AK34" s="412"/>
      <c r="AL34" s="412"/>
    </row>
    <row r="35" spans="1:38">
      <c r="A35" s="1355"/>
      <c r="B35" s="696"/>
      <c r="C35" s="575"/>
      <c r="D35" s="572"/>
      <c r="E35" s="575"/>
      <c r="F35" s="572"/>
      <c r="G35" s="575"/>
      <c r="H35" s="572"/>
      <c r="I35" s="575"/>
      <c r="J35" s="572"/>
      <c r="K35" s="575"/>
      <c r="L35" s="725"/>
      <c r="M35" s="575"/>
      <c r="N35" s="572"/>
      <c r="O35" s="575"/>
      <c r="P35" s="572"/>
      <c r="Q35" s="575"/>
      <c r="R35" s="572"/>
      <c r="S35" s="575"/>
      <c r="T35" s="572"/>
      <c r="U35" s="575"/>
      <c r="V35" s="572"/>
      <c r="W35" s="575"/>
      <c r="X35" s="572"/>
      <c r="Y35" s="717"/>
      <c r="Z35" s="22"/>
    </row>
    <row r="36" spans="1:38">
      <c r="A36" s="1355"/>
      <c r="B36" s="696" t="s">
        <v>338</v>
      </c>
      <c r="C36" s="575">
        <v>0</v>
      </c>
      <c r="D36" s="572">
        <f>SECT_TERAC.!T49</f>
        <v>4188.0372251108301</v>
      </c>
      <c r="E36" s="575">
        <f>SECT_TERAC.!O49</f>
        <v>91.474114166439023</v>
      </c>
      <c r="F36" s="572">
        <v>0</v>
      </c>
      <c r="G36" s="575">
        <v>0</v>
      </c>
      <c r="H36" s="572">
        <v>0</v>
      </c>
      <c r="I36" s="575">
        <f>SECT_TERAC.!W49</f>
        <v>5507.5395755793797</v>
      </c>
      <c r="J36" s="572">
        <v>0</v>
      </c>
      <c r="K36" s="575">
        <v>0</v>
      </c>
      <c r="L36" s="725">
        <f>SUM(C36:K36)</f>
        <v>9787.0509148566489</v>
      </c>
      <c r="M36" s="575">
        <v>0</v>
      </c>
      <c r="N36" s="572">
        <f>SECT_TERAC.!H50</f>
        <v>0.18742476500000002</v>
      </c>
      <c r="O36" s="575">
        <v>0</v>
      </c>
      <c r="P36" s="572">
        <v>0</v>
      </c>
      <c r="Q36" s="575">
        <f>SECT_TERAC.!C49</f>
        <v>187.51875603999997</v>
      </c>
      <c r="R36" s="572">
        <f>SECT_TERAC.!D49</f>
        <v>764.99482450019991</v>
      </c>
      <c r="S36" s="575">
        <f>SECT_TERAC.!P49</f>
        <v>0</v>
      </c>
      <c r="T36" s="572">
        <v>0</v>
      </c>
      <c r="U36" s="575">
        <f>SECT_TERAC.!L49+SECT_TERAC.!R36+SECT_TERAC.!S36</f>
        <v>210.24722800000001</v>
      </c>
      <c r="V36" s="572">
        <v>0</v>
      </c>
      <c r="W36" s="575">
        <v>0</v>
      </c>
      <c r="X36" s="572">
        <f>SUM(M36:W36)</f>
        <v>1162.9482333051999</v>
      </c>
      <c r="Y36" s="717">
        <f>X36+L36</f>
        <v>10949.999148161849</v>
      </c>
      <c r="Z36" s="73"/>
    </row>
    <row r="37" spans="1:38">
      <c r="A37" s="1355"/>
      <c r="B37" s="696"/>
      <c r="C37" s="575"/>
      <c r="D37" s="572"/>
      <c r="E37" s="575"/>
      <c r="F37" s="572"/>
      <c r="G37" s="575"/>
      <c r="H37" s="572"/>
      <c r="I37" s="575"/>
      <c r="J37" s="572"/>
      <c r="K37" s="575"/>
      <c r="L37" s="725"/>
      <c r="M37" s="575"/>
      <c r="N37" s="572"/>
      <c r="O37" s="575"/>
      <c r="P37" s="572"/>
      <c r="Q37" s="575"/>
      <c r="R37" s="572"/>
      <c r="S37" s="575"/>
      <c r="T37" s="572"/>
      <c r="U37" s="575"/>
      <c r="V37" s="572"/>
      <c r="W37" s="575"/>
      <c r="X37" s="572"/>
      <c r="Y37" s="717"/>
      <c r="Z37" s="22"/>
    </row>
    <row r="38" spans="1:38">
      <c r="A38" s="1355"/>
      <c r="B38" s="696" t="s">
        <v>339</v>
      </c>
      <c r="C38" s="575">
        <v>0</v>
      </c>
      <c r="D38" s="572">
        <v>0</v>
      </c>
      <c r="E38" s="573">
        <v>0</v>
      </c>
      <c r="F38" s="572">
        <v>0</v>
      </c>
      <c r="G38" s="575">
        <v>0</v>
      </c>
      <c r="H38" s="572">
        <v>0</v>
      </c>
      <c r="I38" s="575">
        <v>0</v>
      </c>
      <c r="J38" s="572">
        <v>0</v>
      </c>
      <c r="K38" s="575">
        <v>0</v>
      </c>
      <c r="L38" s="725">
        <f>SUM(C38:K38)</f>
        <v>0</v>
      </c>
      <c r="M38" s="575">
        <v>0</v>
      </c>
      <c r="N38" s="572">
        <v>0</v>
      </c>
      <c r="O38" s="575">
        <v>0</v>
      </c>
      <c r="P38" s="572">
        <v>0</v>
      </c>
      <c r="Q38" s="575">
        <v>0</v>
      </c>
      <c r="R38" s="572">
        <v>0</v>
      </c>
      <c r="S38" s="573">
        <v>0</v>
      </c>
      <c r="T38" s="572">
        <v>0</v>
      </c>
      <c r="U38" s="575">
        <v>0</v>
      </c>
      <c r="V38" s="572">
        <v>0</v>
      </c>
      <c r="W38" s="575">
        <v>0</v>
      </c>
      <c r="X38" s="572">
        <f>SUM(M38:W38)</f>
        <v>0</v>
      </c>
      <c r="Y38" s="717">
        <f>X38+L38</f>
        <v>0</v>
      </c>
      <c r="Z38" s="73"/>
    </row>
    <row r="39" spans="1:38">
      <c r="A39" s="1355"/>
      <c r="B39" s="696"/>
      <c r="C39" s="575"/>
      <c r="D39" s="572"/>
      <c r="E39" s="575"/>
      <c r="F39" s="572"/>
      <c r="G39" s="575"/>
      <c r="H39" s="572"/>
      <c r="I39" s="575"/>
      <c r="J39" s="572"/>
      <c r="K39" s="575"/>
      <c r="L39" s="725"/>
      <c r="M39" s="575"/>
      <c r="N39" s="572"/>
      <c r="O39" s="575"/>
      <c r="P39" s="572"/>
      <c r="Q39" s="575"/>
      <c r="R39" s="572"/>
      <c r="S39" s="575"/>
      <c r="T39" s="572"/>
      <c r="U39" s="575"/>
      <c r="V39" s="572"/>
      <c r="W39" s="575"/>
      <c r="X39" s="572"/>
      <c r="Y39" s="717"/>
      <c r="Z39" s="22"/>
    </row>
    <row r="40" spans="1:38">
      <c r="A40" s="1355"/>
      <c r="B40" s="696" t="s">
        <v>340</v>
      </c>
      <c r="C40" s="575">
        <v>0</v>
      </c>
      <c r="D40" s="572">
        <v>0</v>
      </c>
      <c r="E40" s="575">
        <f>CUADRO10!F18</f>
        <v>0</v>
      </c>
      <c r="F40" s="572">
        <v>0</v>
      </c>
      <c r="G40" s="575">
        <v>0</v>
      </c>
      <c r="H40" s="572">
        <v>0</v>
      </c>
      <c r="I40" s="575">
        <v>0</v>
      </c>
      <c r="J40" s="572">
        <v>0</v>
      </c>
      <c r="K40" s="575">
        <v>0</v>
      </c>
      <c r="L40" s="725">
        <f>SUM(C40:K40)</f>
        <v>0</v>
      </c>
      <c r="M40" s="575">
        <v>0</v>
      </c>
      <c r="N40" s="572">
        <v>0</v>
      </c>
      <c r="O40" s="575">
        <v>0</v>
      </c>
      <c r="P40" s="572">
        <v>0</v>
      </c>
      <c r="Q40" s="575">
        <v>0</v>
      </c>
      <c r="R40" s="572">
        <v>0</v>
      </c>
      <c r="S40" s="575">
        <v>0</v>
      </c>
      <c r="T40" s="572">
        <v>0</v>
      </c>
      <c r="U40" s="575">
        <v>0</v>
      </c>
      <c r="V40" s="572">
        <v>0</v>
      </c>
      <c r="W40" s="575">
        <v>0</v>
      </c>
      <c r="X40" s="572">
        <f>SUM(M40:W40)</f>
        <v>0</v>
      </c>
      <c r="Y40" s="717">
        <f>X40+L40</f>
        <v>0</v>
      </c>
      <c r="Z40" s="73"/>
    </row>
    <row r="41" spans="1:38">
      <c r="A41" s="1355"/>
      <c r="B41" s="696"/>
      <c r="C41" s="575"/>
      <c r="D41" s="572"/>
      <c r="E41" s="575"/>
      <c r="F41" s="572"/>
      <c r="G41" s="575"/>
      <c r="H41" s="572"/>
      <c r="I41" s="575"/>
      <c r="J41" s="572"/>
      <c r="K41" s="575"/>
      <c r="L41" s="725"/>
      <c r="M41" s="575"/>
      <c r="N41" s="572"/>
      <c r="O41" s="575"/>
      <c r="P41" s="572"/>
      <c r="Q41" s="575"/>
      <c r="R41" s="572"/>
      <c r="S41" s="575"/>
      <c r="T41" s="572"/>
      <c r="U41" s="575"/>
      <c r="V41" s="572"/>
      <c r="W41" s="575"/>
      <c r="X41" s="572"/>
      <c r="Y41" s="717"/>
      <c r="Z41" s="22"/>
    </row>
    <row r="42" spans="1:38">
      <c r="A42" s="1355"/>
      <c r="B42" s="696" t="s">
        <v>341</v>
      </c>
      <c r="C42" s="575">
        <v>0</v>
      </c>
      <c r="D42" s="572">
        <v>0</v>
      </c>
      <c r="E42" s="575">
        <f>CUADRO10!D18</f>
        <v>5061.8376000000007</v>
      </c>
      <c r="F42" s="572">
        <v>0</v>
      </c>
      <c r="G42" s="575">
        <v>0</v>
      </c>
      <c r="H42" s="572">
        <v>0</v>
      </c>
      <c r="I42" s="575">
        <v>0</v>
      </c>
      <c r="J42" s="572">
        <v>0</v>
      </c>
      <c r="K42" s="575">
        <v>0</v>
      </c>
      <c r="L42" s="725">
        <f>SUM(C42:K42)</f>
        <v>5061.8376000000007</v>
      </c>
      <c r="M42" s="575">
        <v>0</v>
      </c>
      <c r="N42" s="572">
        <f>CUADRO10!D14</f>
        <v>33.429516999999997</v>
      </c>
      <c r="O42" s="575">
        <v>0</v>
      </c>
      <c r="P42" s="572">
        <v>0</v>
      </c>
      <c r="Q42" s="575">
        <v>0</v>
      </c>
      <c r="R42" s="572">
        <v>0</v>
      </c>
      <c r="S42" s="575">
        <f>CUADRO10!D20</f>
        <v>1621.8689999999999</v>
      </c>
      <c r="T42" s="572">
        <v>0</v>
      </c>
      <c r="U42" s="575">
        <v>0</v>
      </c>
      <c r="V42" s="572">
        <v>0</v>
      </c>
      <c r="W42" s="575">
        <v>0</v>
      </c>
      <c r="X42" s="572">
        <f>SUM(M42:W42)</f>
        <v>1655.2985169999999</v>
      </c>
      <c r="Y42" s="717">
        <f>X42+L42</f>
        <v>6717.1361170000009</v>
      </c>
      <c r="Z42" s="73"/>
    </row>
    <row r="43" spans="1:38">
      <c r="A43" s="1355"/>
      <c r="B43" s="696"/>
      <c r="C43" s="575"/>
      <c r="D43" s="572"/>
      <c r="E43" s="575"/>
      <c r="F43" s="572"/>
      <c r="G43" s="575"/>
      <c r="H43" s="572"/>
      <c r="I43" s="575"/>
      <c r="J43" s="572"/>
      <c r="K43" s="575"/>
      <c r="L43" s="725"/>
      <c r="M43" s="575"/>
      <c r="N43" s="572"/>
      <c r="O43" s="575"/>
      <c r="P43" s="572"/>
      <c r="Q43" s="575"/>
      <c r="R43" s="572"/>
      <c r="S43" s="575"/>
      <c r="T43" s="572"/>
      <c r="U43" s="575"/>
      <c r="V43" s="572"/>
      <c r="W43" s="575"/>
      <c r="X43" s="572"/>
      <c r="Y43" s="717"/>
      <c r="Z43" s="22"/>
    </row>
    <row r="44" spans="1:38">
      <c r="A44" s="1355"/>
      <c r="B44" s="696" t="s">
        <v>343</v>
      </c>
      <c r="C44" s="575">
        <v>0</v>
      </c>
      <c r="D44" s="572">
        <v>0</v>
      </c>
      <c r="E44" s="575">
        <v>0</v>
      </c>
      <c r="F44" s="572">
        <v>0</v>
      </c>
      <c r="G44" s="575">
        <v>0</v>
      </c>
      <c r="H44" s="572">
        <v>0</v>
      </c>
      <c r="I44" s="575">
        <v>0</v>
      </c>
      <c r="J44" s="572">
        <v>0</v>
      </c>
      <c r="K44" s="575">
        <v>0</v>
      </c>
      <c r="L44" s="725">
        <f>SUM(C44:K44)</f>
        <v>0</v>
      </c>
      <c r="M44" s="575">
        <v>0</v>
      </c>
      <c r="N44" s="572">
        <v>0</v>
      </c>
      <c r="O44" s="575">
        <v>0</v>
      </c>
      <c r="P44" s="572">
        <v>0</v>
      </c>
      <c r="Q44" s="575">
        <v>0</v>
      </c>
      <c r="R44" s="572">
        <v>0</v>
      </c>
      <c r="S44" s="575">
        <v>0</v>
      </c>
      <c r="T44" s="572">
        <v>0</v>
      </c>
      <c r="U44" s="575">
        <v>0</v>
      </c>
      <c r="V44" s="572">
        <v>0</v>
      </c>
      <c r="W44" s="575">
        <v>0</v>
      </c>
      <c r="X44" s="572">
        <f>SUM(M44:W44)</f>
        <v>0</v>
      </c>
      <c r="Y44" s="717">
        <f>X44+L44</f>
        <v>0</v>
      </c>
      <c r="Z44" s="73"/>
    </row>
    <row r="45" spans="1:38">
      <c r="A45" s="1355"/>
      <c r="B45" s="696"/>
      <c r="C45" s="575"/>
      <c r="D45" s="572"/>
      <c r="E45" s="575"/>
      <c r="F45" s="572"/>
      <c r="G45" s="575"/>
      <c r="H45" s="572"/>
      <c r="I45" s="575"/>
      <c r="J45" s="572"/>
      <c r="K45" s="575"/>
      <c r="L45" s="725"/>
      <c r="M45" s="575"/>
      <c r="N45" s="572"/>
      <c r="O45" s="575"/>
      <c r="P45" s="572"/>
      <c r="Q45" s="575"/>
      <c r="R45" s="572"/>
      <c r="S45" s="575"/>
      <c r="T45" s="572"/>
      <c r="U45" s="575"/>
      <c r="V45" s="572"/>
      <c r="W45" s="575"/>
      <c r="X45" s="572"/>
      <c r="Y45" s="717"/>
      <c r="Z45" s="22"/>
    </row>
    <row r="46" spans="1:38">
      <c r="A46" s="1355"/>
      <c r="B46" s="696" t="s">
        <v>344</v>
      </c>
      <c r="C46" s="575">
        <v>0</v>
      </c>
      <c r="D46" s="572">
        <f>CUADRO10!G22</f>
        <v>25158.834556999998</v>
      </c>
      <c r="E46" s="575">
        <v>0</v>
      </c>
      <c r="F46" s="572">
        <v>0</v>
      </c>
      <c r="G46" s="575">
        <v>0</v>
      </c>
      <c r="H46" s="572">
        <v>0</v>
      </c>
      <c r="I46" s="575">
        <v>0</v>
      </c>
      <c r="J46" s="572">
        <v>0</v>
      </c>
      <c r="K46" s="575">
        <v>0</v>
      </c>
      <c r="L46" s="725">
        <f>SUM(C46:K46)</f>
        <v>25158.834556999998</v>
      </c>
      <c r="M46" s="575">
        <v>0</v>
      </c>
      <c r="N46" s="572">
        <v>0</v>
      </c>
      <c r="O46" s="575">
        <v>0</v>
      </c>
      <c r="P46" s="572">
        <v>0</v>
      </c>
      <c r="Q46" s="575">
        <v>0</v>
      </c>
      <c r="R46" s="572">
        <v>0</v>
      </c>
      <c r="S46" s="575">
        <v>0</v>
      </c>
      <c r="T46" s="572">
        <v>0</v>
      </c>
      <c r="U46" s="575">
        <v>0</v>
      </c>
      <c r="V46" s="572">
        <v>0</v>
      </c>
      <c r="W46" s="575">
        <v>0</v>
      </c>
      <c r="X46" s="572">
        <f>SUM(M46:W46)</f>
        <v>0</v>
      </c>
      <c r="Y46" s="717">
        <f>X46+L46</f>
        <v>25158.834556999998</v>
      </c>
      <c r="Z46" s="73"/>
    </row>
    <row r="47" spans="1:38" ht="13.5" thickBot="1">
      <c r="A47" s="1356"/>
      <c r="B47" s="697"/>
      <c r="C47" s="575"/>
      <c r="D47" s="572"/>
      <c r="E47" s="575"/>
      <c r="F47" s="572"/>
      <c r="G47" s="575"/>
      <c r="H47" s="572"/>
      <c r="I47" s="575"/>
      <c r="J47" s="572"/>
      <c r="K47" s="575"/>
      <c r="L47" s="720"/>
      <c r="M47" s="704"/>
      <c r="N47" s="718"/>
      <c r="O47" s="704"/>
      <c r="P47" s="718"/>
      <c r="Q47" s="704"/>
      <c r="R47" s="718"/>
      <c r="S47" s="704"/>
      <c r="T47" s="718"/>
      <c r="U47" s="704"/>
      <c r="V47" s="718"/>
      <c r="W47" s="704"/>
      <c r="X47" s="718"/>
      <c r="Y47" s="719"/>
      <c r="Z47" s="73"/>
    </row>
    <row r="48" spans="1:38" ht="13.5" thickBot="1">
      <c r="A48" s="710"/>
      <c r="B48" s="697" t="s">
        <v>345</v>
      </c>
      <c r="C48" s="1246">
        <f>C28</f>
        <v>0</v>
      </c>
      <c r="D48" s="728">
        <f>SUM(D28:D46)-D32-D34</f>
        <v>57268.100605122803</v>
      </c>
      <c r="E48" s="728">
        <f t="shared" ref="E48:Y48" si="2">SUM(E28:E46)-E32-E34</f>
        <v>23121.364731195146</v>
      </c>
      <c r="F48" s="728">
        <f t="shared" si="2"/>
        <v>0</v>
      </c>
      <c r="G48" s="1248">
        <f t="shared" si="2"/>
        <v>0</v>
      </c>
      <c r="H48" s="728">
        <f t="shared" si="2"/>
        <v>0</v>
      </c>
      <c r="I48" s="737">
        <f t="shared" si="2"/>
        <v>5709.9661560943496</v>
      </c>
      <c r="J48" s="728">
        <f t="shared" si="2"/>
        <v>0</v>
      </c>
      <c r="K48" s="1247">
        <f t="shared" si="2"/>
        <v>0</v>
      </c>
      <c r="L48" s="1240">
        <f t="shared" si="2"/>
        <v>86099.431492412303</v>
      </c>
      <c r="M48" s="720">
        <f t="shared" si="2"/>
        <v>0</v>
      </c>
      <c r="N48" s="720">
        <f t="shared" si="2"/>
        <v>33.993130765000004</v>
      </c>
      <c r="O48" s="720">
        <f t="shared" si="2"/>
        <v>0</v>
      </c>
      <c r="P48" s="720">
        <f t="shared" si="2"/>
        <v>0</v>
      </c>
      <c r="Q48" s="720">
        <f t="shared" si="2"/>
        <v>2473.9914711399983</v>
      </c>
      <c r="R48" s="720">
        <f t="shared" si="2"/>
        <v>1248.0263245002</v>
      </c>
      <c r="S48" s="720">
        <f t="shared" si="2"/>
        <v>7047.4084538333327</v>
      </c>
      <c r="T48" s="720">
        <f t="shared" si="2"/>
        <v>0</v>
      </c>
      <c r="U48" s="720">
        <f t="shared" si="2"/>
        <v>210.24722800000001</v>
      </c>
      <c r="V48" s="720">
        <f t="shared" si="2"/>
        <v>0</v>
      </c>
      <c r="W48" s="720">
        <f t="shared" si="2"/>
        <v>0</v>
      </c>
      <c r="X48" s="720">
        <f t="shared" si="2"/>
        <v>11013.666608238535</v>
      </c>
      <c r="Y48" s="720">
        <f t="shared" si="2"/>
        <v>97113.098100650852</v>
      </c>
      <c r="Z48" s="73"/>
    </row>
    <row r="49" spans="1:27">
      <c r="A49" s="738"/>
      <c r="B49" s="1249"/>
      <c r="C49" s="1250"/>
      <c r="D49" s="721"/>
      <c r="E49" s="705"/>
      <c r="F49" s="721"/>
      <c r="G49" s="705"/>
      <c r="H49" s="721"/>
      <c r="I49" s="705"/>
      <c r="J49" s="721"/>
      <c r="K49" s="1241"/>
      <c r="L49" s="1238"/>
      <c r="M49" s="705"/>
      <c r="N49" s="721"/>
      <c r="O49" s="705"/>
      <c r="P49" s="721"/>
      <c r="Q49" s="705"/>
      <c r="R49" s="721"/>
      <c r="S49" s="705"/>
      <c r="T49" s="721"/>
      <c r="U49" s="705"/>
      <c r="V49" s="721"/>
      <c r="W49" s="705"/>
      <c r="X49" s="721"/>
      <c r="Y49" s="722"/>
      <c r="Z49" s="73"/>
    </row>
    <row r="50" spans="1:27">
      <c r="A50" s="738"/>
      <c r="B50" s="1236" t="s">
        <v>346</v>
      </c>
      <c r="C50" s="850">
        <v>0</v>
      </c>
      <c r="D50" s="572">
        <f>SECT_TERAC.!T44</f>
        <v>6050.1036814785048</v>
      </c>
      <c r="E50" s="575">
        <f>SECT_TERAC.!O44</f>
        <v>1.2143351533071365</v>
      </c>
      <c r="F50" s="572">
        <v>0</v>
      </c>
      <c r="G50" s="575">
        <v>0</v>
      </c>
      <c r="H50" s="572">
        <v>0</v>
      </c>
      <c r="I50" s="575">
        <v>0</v>
      </c>
      <c r="J50" s="572">
        <v>0</v>
      </c>
      <c r="K50" s="1242">
        <v>0</v>
      </c>
      <c r="L50" s="725">
        <f>SUM(C50:K50)</f>
        <v>6051.3180166318116</v>
      </c>
      <c r="M50" s="575">
        <f>SECT_TERAC.!N44</f>
        <v>1764.6275340632767</v>
      </c>
      <c r="N50" s="572">
        <f>SECT_TERAC.!H44</f>
        <v>12.868664600000004</v>
      </c>
      <c r="O50" s="575">
        <v>0</v>
      </c>
      <c r="P50" s="572">
        <f>SECT_TERAC.!J44+SECT_TERAC.!G44</f>
        <v>2.2549428000000002</v>
      </c>
      <c r="Q50" s="575">
        <f>SECT_TERAC.!C44</f>
        <v>19.634633467999997</v>
      </c>
      <c r="R50" s="572">
        <f>SECT_TERAC.!D44</f>
        <v>340.84204199999999</v>
      </c>
      <c r="S50" s="575">
        <v>0</v>
      </c>
      <c r="T50" s="572">
        <v>0</v>
      </c>
      <c r="U50" s="575">
        <f>SECT_TERAC.!L44+SECT_TERAC.!R44+SECT_TERAC.!S44</f>
        <v>4035.5839619999997</v>
      </c>
      <c r="V50" s="572">
        <f>SECT_TERAC.!K44+SECT_TERAC.!U44+SECT_TERAC.!Q44</f>
        <v>1993.2797020999997</v>
      </c>
      <c r="W50" s="575">
        <v>0</v>
      </c>
      <c r="X50" s="572">
        <f>SUM(M50:W50)</f>
        <v>8169.0914810312761</v>
      </c>
      <c r="Y50" s="717">
        <f>X50+L50</f>
        <v>14220.409497663088</v>
      </c>
      <c r="Z50" s="73"/>
    </row>
    <row r="51" spans="1:27">
      <c r="A51" s="738"/>
      <c r="B51" s="1236" t="s">
        <v>347</v>
      </c>
      <c r="C51" s="850">
        <v>0</v>
      </c>
      <c r="D51" s="572">
        <f>CUADRO3!E32</f>
        <v>733.92237000001478</v>
      </c>
      <c r="E51" s="575">
        <v>0</v>
      </c>
      <c r="F51" s="572">
        <v>0</v>
      </c>
      <c r="G51" s="575">
        <v>0</v>
      </c>
      <c r="H51" s="572">
        <v>0</v>
      </c>
      <c r="I51" s="575">
        <v>0</v>
      </c>
      <c r="J51" s="572">
        <v>0</v>
      </c>
      <c r="K51" s="1242">
        <v>0</v>
      </c>
      <c r="L51" s="725">
        <f>SUM(C51:K51)</f>
        <v>733.92237000001478</v>
      </c>
      <c r="M51" s="575">
        <f>CUADRO4!F33</f>
        <v>3904.1140276019396</v>
      </c>
      <c r="N51" s="572">
        <v>0</v>
      </c>
      <c r="O51" s="575">
        <v>0</v>
      </c>
      <c r="P51" s="572">
        <v>0</v>
      </c>
      <c r="Q51" s="575">
        <v>0</v>
      </c>
      <c r="R51" s="572">
        <v>0</v>
      </c>
      <c r="S51" s="575">
        <v>0</v>
      </c>
      <c r="T51" s="572">
        <v>0</v>
      </c>
      <c r="U51" s="575">
        <v>0</v>
      </c>
      <c r="V51" s="572">
        <v>0</v>
      </c>
      <c r="W51" s="575">
        <v>0</v>
      </c>
      <c r="X51" s="572">
        <f>SUM(M51:W51)</f>
        <v>3904.1140276019396</v>
      </c>
      <c r="Y51" s="717">
        <f>X51+L51</f>
        <v>4638.0363976019544</v>
      </c>
      <c r="Z51" s="73"/>
      <c r="AA51" s="73"/>
    </row>
    <row r="52" spans="1:27" ht="13.5" thickBot="1">
      <c r="A52" s="710"/>
      <c r="B52" s="1237" t="s">
        <v>348</v>
      </c>
      <c r="C52" s="1245">
        <f t="shared" ref="C52:K52" si="3">C26-C48-C51-C70</f>
        <v>113001.97122314083</v>
      </c>
      <c r="D52" s="580">
        <f t="shared" si="3"/>
        <v>261.99859115798245</v>
      </c>
      <c r="E52" s="583">
        <f t="shared" si="3"/>
        <v>9.3339999999443535E-2</v>
      </c>
      <c r="F52" s="580">
        <f t="shared" si="3"/>
        <v>22615.98594703967</v>
      </c>
      <c r="G52" s="583">
        <f t="shared" si="3"/>
        <v>0</v>
      </c>
      <c r="H52" s="580">
        <f t="shared" si="3"/>
        <v>0</v>
      </c>
      <c r="I52" s="583">
        <f t="shared" si="3"/>
        <v>0</v>
      </c>
      <c r="J52" s="580">
        <f t="shared" si="3"/>
        <v>0</v>
      </c>
      <c r="K52" s="1251">
        <f t="shared" si="3"/>
        <v>0</v>
      </c>
      <c r="L52" s="725">
        <f>SUM(C52:K52)</f>
        <v>135880.04910133849</v>
      </c>
      <c r="M52" s="704">
        <f>M26-M48-M51-M70+M22</f>
        <v>3.637978807091713E-12</v>
      </c>
      <c r="N52" s="718">
        <f>N26-N48-N51-N70</f>
        <v>0</v>
      </c>
      <c r="O52" s="704">
        <f>O26-O48-O50-O51-O70</f>
        <v>0</v>
      </c>
      <c r="P52" s="718">
        <f>P26-P48-P51-P70</f>
        <v>0</v>
      </c>
      <c r="Q52" s="704">
        <f>Q26-Q48-Q51-Q70</f>
        <v>0</v>
      </c>
      <c r="R52" s="718">
        <f>R26-R48-R51-R70</f>
        <v>0</v>
      </c>
      <c r="S52" s="704">
        <f>S26-S48-S51-S70</f>
        <v>0</v>
      </c>
      <c r="T52" s="718">
        <f>T26-T48-T50-T51-T70</f>
        <v>0</v>
      </c>
      <c r="U52" s="704">
        <f>U26-U48-U51-U70</f>
        <v>1.2601160005942802E-3</v>
      </c>
      <c r="V52" s="718">
        <f>V26-V48-V51-V70</f>
        <v>0.35587439999994785</v>
      </c>
      <c r="W52" s="704">
        <f>W26-W48-W50-W51-W70</f>
        <v>0</v>
      </c>
      <c r="X52" s="572">
        <f>SUM(M52:W52)</f>
        <v>0.35713451600418011</v>
      </c>
      <c r="Y52" s="717">
        <f>X52+L52</f>
        <v>135880.40623585449</v>
      </c>
      <c r="Z52" s="73"/>
    </row>
    <row r="53" spans="1:27">
      <c r="A53" s="1354" t="s">
        <v>553</v>
      </c>
      <c r="B53" s="1249"/>
      <c r="C53" s="1244"/>
      <c r="D53" s="564"/>
      <c r="E53" s="567"/>
      <c r="F53" s="564"/>
      <c r="G53" s="567"/>
      <c r="H53" s="564"/>
      <c r="I53" s="567"/>
      <c r="J53" s="564"/>
      <c r="K53" s="1252"/>
      <c r="L53" s="1238"/>
      <c r="M53" s="705"/>
      <c r="N53" s="721"/>
      <c r="O53" s="705"/>
      <c r="P53" s="721"/>
      <c r="Q53" s="705"/>
      <c r="R53" s="721"/>
      <c r="S53" s="705"/>
      <c r="T53" s="721"/>
      <c r="U53" s="705"/>
      <c r="V53" s="721"/>
      <c r="W53" s="705"/>
      <c r="X53" s="721"/>
      <c r="Y53" s="722"/>
      <c r="Z53" s="73"/>
    </row>
    <row r="54" spans="1:27">
      <c r="A54" s="1355"/>
      <c r="B54" s="1236" t="s">
        <v>349</v>
      </c>
      <c r="C54" s="850">
        <v>0</v>
      </c>
      <c r="D54" s="572">
        <f>CUADRO5!C42</f>
        <v>342.40352039243834</v>
      </c>
      <c r="E54" s="575">
        <v>0</v>
      </c>
      <c r="F54" s="572">
        <v>0</v>
      </c>
      <c r="G54" s="575">
        <v>0</v>
      </c>
      <c r="H54" s="572">
        <v>0</v>
      </c>
      <c r="I54" s="575">
        <v>0</v>
      </c>
      <c r="J54" s="572">
        <v>0</v>
      </c>
      <c r="K54" s="1242">
        <v>0</v>
      </c>
      <c r="L54" s="1239">
        <f>SUM(C54:K54)</f>
        <v>342.40352039243834</v>
      </c>
      <c r="M54" s="575">
        <f>CUADRO5!C30</f>
        <v>216.61029582</v>
      </c>
      <c r="N54" s="572">
        <f>CUADRO5!C20</f>
        <v>6.7847695552551022</v>
      </c>
      <c r="O54" s="575">
        <f>CUADRO5!C14+CUADRO5!C16+CUADRO5!C22</f>
        <v>23639.108668223998</v>
      </c>
      <c r="P54" s="572">
        <f>CUADRO5!C18+CUADRO5!C24</f>
        <v>6998.493619881001</v>
      </c>
      <c r="Q54" s="575">
        <f>CUADRO5!C12</f>
        <v>35808.907572815995</v>
      </c>
      <c r="R54" s="572">
        <f>CUADRO5!C10</f>
        <v>13194.003546559503</v>
      </c>
      <c r="S54" s="575">
        <v>0</v>
      </c>
      <c r="T54" s="572">
        <v>0</v>
      </c>
      <c r="U54" s="575">
        <v>0</v>
      </c>
      <c r="V54" s="572">
        <v>0</v>
      </c>
      <c r="W54" s="575">
        <v>0</v>
      </c>
      <c r="X54" s="572">
        <f>SUM(M54:W54)</f>
        <v>79863.90847285575</v>
      </c>
      <c r="Y54" s="717">
        <f>X54+L54</f>
        <v>80206.311993248193</v>
      </c>
      <c r="Z54" s="73"/>
    </row>
    <row r="55" spans="1:27">
      <c r="A55" s="1355"/>
      <c r="B55" s="1236"/>
      <c r="C55" s="850"/>
      <c r="D55" s="572"/>
      <c r="E55" s="575"/>
      <c r="F55" s="572"/>
      <c r="G55" s="575"/>
      <c r="H55" s="572"/>
      <c r="I55" s="575"/>
      <c r="J55" s="572"/>
      <c r="K55" s="1242"/>
      <c r="L55" s="1239"/>
      <c r="M55" s="575"/>
      <c r="N55" s="572"/>
      <c r="O55" s="575"/>
      <c r="P55" s="572"/>
      <c r="Q55" s="575"/>
      <c r="R55" s="572"/>
      <c r="S55" s="575"/>
      <c r="T55" s="572"/>
      <c r="U55" s="575"/>
      <c r="V55" s="572"/>
      <c r="W55" s="575"/>
      <c r="X55" s="572"/>
      <c r="Y55" s="717"/>
      <c r="Z55" s="22"/>
    </row>
    <row r="56" spans="1:27">
      <c r="A56" s="1355"/>
      <c r="B56" s="1236" t="s">
        <v>350</v>
      </c>
      <c r="C56" s="850">
        <v>0</v>
      </c>
      <c r="D56" s="572">
        <f>CUADRO5!D42</f>
        <v>8960.7049323367883</v>
      </c>
      <c r="E56" s="575">
        <f>CUADRO5!D32</f>
        <v>4410.7125439710726</v>
      </c>
      <c r="F56" s="572">
        <v>0</v>
      </c>
      <c r="G56" s="575">
        <v>0</v>
      </c>
      <c r="H56" s="572">
        <v>0</v>
      </c>
      <c r="I56" s="575">
        <f>CUADRO5!D46</f>
        <v>11210.158267944136</v>
      </c>
      <c r="J56" s="572">
        <v>0</v>
      </c>
      <c r="K56" s="1242">
        <v>0</v>
      </c>
      <c r="L56" s="1239">
        <f>SUM(C56:K56)</f>
        <v>24581.575744251997</v>
      </c>
      <c r="M56" s="575">
        <f>CUADRO5!D30</f>
        <v>27884.910306166013</v>
      </c>
      <c r="N56" s="572">
        <f>CUADRO5!D20</f>
        <v>1922.4362330981555</v>
      </c>
      <c r="O56" s="575">
        <f>CUADRO5!D14+CUADRO5!D16+CUADRO5!D22</f>
        <v>0</v>
      </c>
      <c r="P56" s="572">
        <f>CUADRO5!D18+CUADRO5!D24</f>
        <v>251.39802532500008</v>
      </c>
      <c r="Q56" s="575">
        <f>CUADRO5!D12</f>
        <v>14970.062135963994</v>
      </c>
      <c r="R56" s="572">
        <f>CUADRO5!D10</f>
        <v>5201.8282197678</v>
      </c>
      <c r="S56" s="575">
        <f>CUADRO5!D34</f>
        <v>2679.1090900000013</v>
      </c>
      <c r="T56" s="572">
        <v>0</v>
      </c>
      <c r="U56" s="575">
        <f>CUADRO5!D28+CUADRO5!D38+CUADRO5!D40</f>
        <v>1128.66350246096</v>
      </c>
      <c r="V56" s="572">
        <f>CUADRO5!D26+CUADRO5!D36</f>
        <v>13.865062399999999</v>
      </c>
      <c r="W56" s="575">
        <v>0</v>
      </c>
      <c r="X56" s="572">
        <f>SUM(M56:W56)</f>
        <v>54052.272575181916</v>
      </c>
      <c r="Y56" s="717">
        <f>X56+L56</f>
        <v>78633.848319433921</v>
      </c>
      <c r="Z56" s="73"/>
    </row>
    <row r="57" spans="1:27">
      <c r="A57" s="1355"/>
      <c r="B57" s="1236"/>
      <c r="C57" s="850"/>
      <c r="D57" s="572"/>
      <c r="E57" s="575"/>
      <c r="F57" s="572"/>
      <c r="G57" s="575"/>
      <c r="H57" s="572"/>
      <c r="I57" s="575"/>
      <c r="J57" s="572"/>
      <c r="K57" s="1242"/>
      <c r="L57" s="1239"/>
      <c r="M57" s="575"/>
      <c r="N57" s="572"/>
      <c r="O57" s="575"/>
      <c r="P57" s="572"/>
      <c r="Q57" s="575"/>
      <c r="R57" s="572"/>
      <c r="S57" s="575"/>
      <c r="T57" s="572"/>
      <c r="U57" s="575"/>
      <c r="V57" s="572"/>
      <c r="W57" s="575"/>
      <c r="X57" s="572"/>
      <c r="Y57" s="717"/>
      <c r="Z57" s="22"/>
    </row>
    <row r="58" spans="1:27">
      <c r="A58" s="1355"/>
      <c r="B58" s="1236" t="s">
        <v>123</v>
      </c>
      <c r="C58" s="850">
        <v>0</v>
      </c>
      <c r="D58" s="572">
        <f>CUADRO8!E27</f>
        <v>3837.3445778116561</v>
      </c>
      <c r="E58" s="575">
        <f>CUADRO8!E23</f>
        <v>6.7598500000000001</v>
      </c>
      <c r="F58" s="572">
        <v>0</v>
      </c>
      <c r="G58" s="575">
        <v>0</v>
      </c>
      <c r="H58" s="572">
        <v>0</v>
      </c>
      <c r="I58" s="575">
        <f>CUADRO8!E29</f>
        <v>29067.4056406364</v>
      </c>
      <c r="J58" s="572">
        <v>0</v>
      </c>
      <c r="K58" s="1242">
        <v>0</v>
      </c>
      <c r="L58" s="1239">
        <f>SUM(C58:K58)</f>
        <v>32911.510068448057</v>
      </c>
      <c r="M58" s="575">
        <f>CUADRO8!E21</f>
        <v>7124.322660394354</v>
      </c>
      <c r="N58" s="572">
        <f>CUADRO8!E17</f>
        <v>8621.9280542385277</v>
      </c>
      <c r="O58" s="575">
        <f>0</f>
        <v>0</v>
      </c>
      <c r="P58" s="572">
        <f>CUADRO8!E15</f>
        <v>622.1107565100001</v>
      </c>
      <c r="Q58" s="575">
        <f>CUADRO8!E13</f>
        <v>113.46902616000003</v>
      </c>
      <c r="R58" s="572">
        <f>CUADRO8!E11</f>
        <v>1.5225</v>
      </c>
      <c r="S58" s="575">
        <v>0</v>
      </c>
      <c r="T58" s="572">
        <v>0</v>
      </c>
      <c r="U58" s="575">
        <f>CUADRO8!E25</f>
        <v>107.080708</v>
      </c>
      <c r="V58" s="572">
        <v>0</v>
      </c>
      <c r="W58" s="575">
        <v>0</v>
      </c>
      <c r="X58" s="572">
        <f>SUM(M58:W58)</f>
        <v>16590.433705302883</v>
      </c>
      <c r="Y58" s="717">
        <f>X58+L58</f>
        <v>49501.943773750943</v>
      </c>
      <c r="Z58" s="73"/>
    </row>
    <row r="59" spans="1:27">
      <c r="A59" s="1355"/>
      <c r="B59" s="1236" t="s">
        <v>298</v>
      </c>
      <c r="C59" s="850"/>
      <c r="D59" s="572"/>
      <c r="E59" s="575"/>
      <c r="F59" s="572"/>
      <c r="G59" s="575"/>
      <c r="H59" s="572"/>
      <c r="I59" s="575"/>
      <c r="J59" s="572"/>
      <c r="K59" s="1242"/>
      <c r="L59" s="1239"/>
      <c r="M59" s="575"/>
      <c r="N59" s="572"/>
      <c r="O59" s="575"/>
      <c r="P59" s="572"/>
      <c r="Q59" s="575"/>
      <c r="R59" s="572"/>
      <c r="S59" s="575"/>
      <c r="T59" s="572"/>
      <c r="U59" s="575"/>
      <c r="V59" s="572"/>
      <c r="W59" s="575"/>
      <c r="X59" s="572"/>
      <c r="Y59" s="717"/>
      <c r="Z59" s="22"/>
    </row>
    <row r="60" spans="1:27">
      <c r="A60" s="1355"/>
      <c r="B60" s="1236" t="s">
        <v>351</v>
      </c>
      <c r="C60" s="850">
        <v>0</v>
      </c>
      <c r="D60" s="572">
        <f>CUADRO8!C27+CUADRO8!D27</f>
        <v>858.04185084897381</v>
      </c>
      <c r="E60" s="575">
        <f>CUADRO8!C23+CUADRO8!D23</f>
        <v>35.184910000000016</v>
      </c>
      <c r="F60" s="572">
        <v>0</v>
      </c>
      <c r="G60" s="575">
        <v>0</v>
      </c>
      <c r="H60" s="572">
        <v>0</v>
      </c>
      <c r="I60" s="575">
        <f>CUADRO8!C29+CUADRO8!D29</f>
        <v>0</v>
      </c>
      <c r="J60" s="572">
        <v>0</v>
      </c>
      <c r="K60" s="1242">
        <v>0</v>
      </c>
      <c r="L60" s="1239">
        <f>SUM(C60:K60)</f>
        <v>893.22676084897387</v>
      </c>
      <c r="M60" s="575">
        <f>CUADRO8!C21+CUADRO8!D21</f>
        <v>6092.036050493396</v>
      </c>
      <c r="N60" s="572">
        <f>CUADRO8!C17+CUADRO8!D17</f>
        <v>1324.7241105113621</v>
      </c>
      <c r="O60" s="575">
        <v>0</v>
      </c>
      <c r="P60" s="572">
        <f>CUADRO8!C15+CUADRO8!D15</f>
        <v>14.817167999999999</v>
      </c>
      <c r="Q60" s="575">
        <f>CUADRO8!C13+CUADRO8!D13</f>
        <v>977.97067199999992</v>
      </c>
      <c r="R60" s="572">
        <f>CUADRO8!C11+CUADRO8!D11</f>
        <v>51.523499999999999</v>
      </c>
      <c r="S60" s="575">
        <v>0</v>
      </c>
      <c r="T60" s="572">
        <v>0</v>
      </c>
      <c r="U60" s="575">
        <f>CUADRO8!C25+CUADRO8!D25</f>
        <v>104.524913352</v>
      </c>
      <c r="V60" s="572">
        <f>CUADRO8!D19</f>
        <v>11.1741245</v>
      </c>
      <c r="W60" s="575">
        <v>0</v>
      </c>
      <c r="X60" s="572">
        <f>SUM(M60:W60)</f>
        <v>8576.7705388567556</v>
      </c>
      <c r="Y60" s="717">
        <f>X60+L60</f>
        <v>9469.9972997057303</v>
      </c>
      <c r="Z60" s="73"/>
    </row>
    <row r="61" spans="1:27">
      <c r="A61" s="1355"/>
      <c r="B61" s="1236" t="s">
        <v>298</v>
      </c>
      <c r="C61" s="850"/>
      <c r="D61" s="572"/>
      <c r="E61" s="575"/>
      <c r="F61" s="572"/>
      <c r="G61" s="575"/>
      <c r="H61" s="572"/>
      <c r="I61" s="575"/>
      <c r="J61" s="572"/>
      <c r="K61" s="1242"/>
      <c r="L61" s="1239"/>
      <c r="M61" s="575"/>
      <c r="N61" s="572"/>
      <c r="O61" s="575"/>
      <c r="P61" s="572"/>
      <c r="Q61" s="575"/>
      <c r="R61" s="572"/>
      <c r="S61" s="575"/>
      <c r="T61" s="572"/>
      <c r="U61" s="575"/>
      <c r="V61" s="572"/>
      <c r="W61" s="575"/>
      <c r="X61" s="572"/>
      <c r="Y61" s="717"/>
      <c r="Z61" s="22"/>
    </row>
    <row r="62" spans="1:27">
      <c r="A62" s="1355"/>
      <c r="B62" s="1236" t="s">
        <v>352</v>
      </c>
      <c r="C62" s="850">
        <v>0</v>
      </c>
      <c r="D62" s="572">
        <v>0</v>
      </c>
      <c r="E62" s="575">
        <v>0</v>
      </c>
      <c r="F62" s="572">
        <v>0</v>
      </c>
      <c r="G62" s="575">
        <v>0</v>
      </c>
      <c r="H62" s="572">
        <v>0</v>
      </c>
      <c r="I62" s="575">
        <v>0</v>
      </c>
      <c r="J62" s="572">
        <v>0</v>
      </c>
      <c r="K62" s="1242">
        <v>0</v>
      </c>
      <c r="L62" s="1239">
        <f>SUM(C62:K62)</f>
        <v>0</v>
      </c>
      <c r="M62" s="575">
        <v>0</v>
      </c>
      <c r="N62" s="572">
        <v>0</v>
      </c>
      <c r="O62" s="575">
        <v>0</v>
      </c>
      <c r="P62" s="572">
        <v>0</v>
      </c>
      <c r="Q62" s="575">
        <v>0</v>
      </c>
      <c r="R62" s="572">
        <v>0</v>
      </c>
      <c r="S62" s="575">
        <v>0</v>
      </c>
      <c r="T62" s="572">
        <v>0</v>
      </c>
      <c r="U62" s="575">
        <v>0</v>
      </c>
      <c r="V62" s="572">
        <v>0</v>
      </c>
      <c r="W62" s="575">
        <v>0</v>
      </c>
      <c r="X62" s="572">
        <f>SUM(M62:W62)</f>
        <v>0</v>
      </c>
      <c r="Y62" s="717">
        <f>X62+L62</f>
        <v>0</v>
      </c>
      <c r="Z62" s="73"/>
    </row>
    <row r="63" spans="1:27">
      <c r="A63" s="1355"/>
      <c r="B63" s="1236" t="s">
        <v>298</v>
      </c>
      <c r="C63" s="850"/>
      <c r="D63" s="572"/>
      <c r="E63" s="575"/>
      <c r="F63" s="572"/>
      <c r="G63" s="575"/>
      <c r="H63" s="572"/>
      <c r="I63" s="575"/>
      <c r="J63" s="572"/>
      <c r="K63" s="1242"/>
      <c r="L63" s="1239"/>
      <c r="M63" s="575"/>
      <c r="N63" s="572"/>
      <c r="O63" s="575"/>
      <c r="P63" s="572"/>
      <c r="Q63" s="575"/>
      <c r="R63" s="572"/>
      <c r="S63" s="575"/>
      <c r="T63" s="572"/>
      <c r="U63" s="575"/>
      <c r="V63" s="572"/>
      <c r="W63" s="575"/>
      <c r="X63" s="572"/>
      <c r="Y63" s="717"/>
      <c r="Z63" s="22"/>
    </row>
    <row r="64" spans="1:27">
      <c r="A64" s="1355"/>
      <c r="B64" s="1236" t="s">
        <v>353</v>
      </c>
      <c r="C64" s="850">
        <v>0</v>
      </c>
      <c r="D64" s="572">
        <v>0</v>
      </c>
      <c r="E64" s="575">
        <v>0</v>
      </c>
      <c r="F64" s="572">
        <v>0</v>
      </c>
      <c r="G64" s="575">
        <v>0</v>
      </c>
      <c r="H64" s="572">
        <v>0</v>
      </c>
      <c r="I64" s="575">
        <v>0</v>
      </c>
      <c r="J64" s="572">
        <v>0</v>
      </c>
      <c r="K64" s="1242">
        <v>0</v>
      </c>
      <c r="L64" s="1239">
        <f>SUM(C64:K64)</f>
        <v>0</v>
      </c>
      <c r="M64" s="575">
        <v>0</v>
      </c>
      <c r="N64" s="572">
        <v>0</v>
      </c>
      <c r="O64" s="575">
        <v>0</v>
      </c>
      <c r="P64" s="572">
        <v>0</v>
      </c>
      <c r="Q64" s="575">
        <v>0</v>
      </c>
      <c r="R64" s="572">
        <v>0</v>
      </c>
      <c r="S64" s="575">
        <v>0</v>
      </c>
      <c r="T64" s="572">
        <v>0</v>
      </c>
      <c r="U64" s="575">
        <v>0</v>
      </c>
      <c r="V64" s="572">
        <v>0</v>
      </c>
      <c r="W64" s="575">
        <v>0</v>
      </c>
      <c r="X64" s="572">
        <f>SUM(M64:W64)</f>
        <v>0</v>
      </c>
      <c r="Y64" s="717">
        <f>X64+L64</f>
        <v>0</v>
      </c>
      <c r="Z64" s="73"/>
    </row>
    <row r="65" spans="1:27" ht="13.5" thickBot="1">
      <c r="A65" s="1355"/>
      <c r="B65" s="1237" t="s">
        <v>298</v>
      </c>
      <c r="C65" s="1253"/>
      <c r="D65" s="718"/>
      <c r="E65" s="704"/>
      <c r="F65" s="718"/>
      <c r="G65" s="704"/>
      <c r="H65" s="718"/>
      <c r="I65" s="704"/>
      <c r="J65" s="718"/>
      <c r="K65" s="1243"/>
      <c r="L65" s="1240"/>
      <c r="M65" s="704"/>
      <c r="N65" s="718"/>
      <c r="O65" s="704"/>
      <c r="P65" s="718"/>
      <c r="Q65" s="704"/>
      <c r="R65" s="718"/>
      <c r="S65" s="704"/>
      <c r="T65" s="718"/>
      <c r="U65" s="704"/>
      <c r="V65" s="718"/>
      <c r="W65" s="704"/>
      <c r="X65" s="718"/>
      <c r="Y65" s="719"/>
      <c r="Z65" s="22"/>
    </row>
    <row r="66" spans="1:27">
      <c r="A66" s="1355"/>
      <c r="B66" s="696" t="s">
        <v>354</v>
      </c>
      <c r="C66" s="712">
        <v>0</v>
      </c>
      <c r="D66" s="725">
        <f>SUM(D54:D64)+D50</f>
        <v>20048.598562868359</v>
      </c>
      <c r="E66" s="725">
        <f t="shared" ref="E66:W66" si="4">SUM(E54:E64)+E50</f>
        <v>4453.8716391243797</v>
      </c>
      <c r="F66" s="725">
        <f t="shared" si="4"/>
        <v>0</v>
      </c>
      <c r="G66" s="725">
        <f t="shared" si="4"/>
        <v>0</v>
      </c>
      <c r="H66" s="725">
        <f t="shared" si="4"/>
        <v>0</v>
      </c>
      <c r="I66" s="725">
        <f t="shared" si="4"/>
        <v>40277.563908580538</v>
      </c>
      <c r="J66" s="725">
        <f t="shared" si="4"/>
        <v>0</v>
      </c>
      <c r="K66" s="725">
        <f t="shared" si="4"/>
        <v>0</v>
      </c>
      <c r="L66" s="1239">
        <f>SUM(C66:K66)</f>
        <v>64780.03411057328</v>
      </c>
      <c r="M66" s="723">
        <f t="shared" si="4"/>
        <v>43082.506846937038</v>
      </c>
      <c r="N66" s="723">
        <f t="shared" si="4"/>
        <v>11888.741832003301</v>
      </c>
      <c r="O66" s="723">
        <f t="shared" si="4"/>
        <v>23639.108668223998</v>
      </c>
      <c r="P66" s="723">
        <f t="shared" si="4"/>
        <v>7889.0745125160011</v>
      </c>
      <c r="Q66" s="723">
        <f t="shared" si="4"/>
        <v>51890.044040407985</v>
      </c>
      <c r="R66" s="723">
        <f t="shared" si="4"/>
        <v>18789.719808327303</v>
      </c>
      <c r="S66" s="723">
        <f t="shared" si="4"/>
        <v>2679.1090900000013</v>
      </c>
      <c r="T66" s="723">
        <f t="shared" si="4"/>
        <v>0</v>
      </c>
      <c r="U66" s="723">
        <f t="shared" si="4"/>
        <v>5375.8530858129598</v>
      </c>
      <c r="V66" s="723">
        <f t="shared" si="4"/>
        <v>2018.3188889999997</v>
      </c>
      <c r="W66" s="723">
        <f t="shared" si="4"/>
        <v>0</v>
      </c>
      <c r="X66" s="723">
        <f>SUM(X54:X64)+X50</f>
        <v>167252.47677322855</v>
      </c>
      <c r="Y66" s="1234">
        <f>X66+L66</f>
        <v>232032.51088380185</v>
      </c>
      <c r="Z66" s="73"/>
    </row>
    <row r="67" spans="1:27">
      <c r="A67" s="1355"/>
      <c r="B67" s="696"/>
      <c r="C67" s="712"/>
      <c r="D67" s="725"/>
      <c r="E67" s="726"/>
      <c r="F67" s="725"/>
      <c r="G67" s="726"/>
      <c r="H67" s="725"/>
      <c r="I67" s="726"/>
      <c r="J67" s="725"/>
      <c r="K67" s="726"/>
      <c r="L67" s="725"/>
      <c r="M67" s="726"/>
      <c r="N67" s="725"/>
      <c r="O67" s="726"/>
      <c r="P67" s="725"/>
      <c r="Q67" s="726"/>
      <c r="R67" s="725"/>
      <c r="S67" s="726"/>
      <c r="T67" s="725"/>
      <c r="U67" s="726"/>
      <c r="V67" s="725"/>
      <c r="W67" s="726"/>
      <c r="X67" s="725"/>
      <c r="Y67" s="717"/>
      <c r="Z67" s="22"/>
    </row>
    <row r="68" spans="1:27">
      <c r="A68" s="1355"/>
      <c r="B68" s="696" t="s">
        <v>355</v>
      </c>
      <c r="C68" s="712">
        <v>0</v>
      </c>
      <c r="D68" s="725">
        <v>0</v>
      </c>
      <c r="E68" s="726">
        <v>0</v>
      </c>
      <c r="F68" s="725">
        <v>0</v>
      </c>
      <c r="G68" s="726">
        <v>0</v>
      </c>
      <c r="H68" s="725">
        <v>0</v>
      </c>
      <c r="I68" s="726">
        <v>0</v>
      </c>
      <c r="J68" s="725">
        <v>0</v>
      </c>
      <c r="K68" s="726">
        <v>0</v>
      </c>
      <c r="L68" s="725">
        <v>0</v>
      </c>
      <c r="M68" s="726">
        <v>0</v>
      </c>
      <c r="N68" s="725">
        <v>0</v>
      </c>
      <c r="O68" s="726">
        <v>0</v>
      </c>
      <c r="P68" s="725">
        <v>0</v>
      </c>
      <c r="Q68" s="726">
        <v>0</v>
      </c>
      <c r="R68" s="725">
        <v>0</v>
      </c>
      <c r="S68" s="726">
        <v>0</v>
      </c>
      <c r="T68" s="725">
        <v>0</v>
      </c>
      <c r="U68" s="726">
        <v>0</v>
      </c>
      <c r="V68" s="725">
        <v>0</v>
      </c>
      <c r="W68" s="726">
        <f>W26</f>
        <v>1923.9149328399999</v>
      </c>
      <c r="X68" s="725">
        <f>SUM(M68:W68)</f>
        <v>1923.9149328399999</v>
      </c>
      <c r="Y68" s="717">
        <f>X68+L68</f>
        <v>1923.9149328399999</v>
      </c>
      <c r="Z68" s="73"/>
    </row>
    <row r="69" spans="1:27" ht="13.5" thickBot="1">
      <c r="A69" s="1355"/>
      <c r="B69" s="697"/>
      <c r="C69" s="713"/>
      <c r="D69" s="720"/>
      <c r="E69" s="709"/>
      <c r="F69" s="720"/>
      <c r="G69" s="709"/>
      <c r="H69" s="720"/>
      <c r="I69" s="709"/>
      <c r="J69" s="720"/>
      <c r="K69" s="709"/>
      <c r="L69" s="720"/>
      <c r="M69" s="709"/>
      <c r="N69" s="720"/>
      <c r="O69" s="709"/>
      <c r="P69" s="720"/>
      <c r="Q69" s="709"/>
      <c r="R69" s="720"/>
      <c r="S69" s="709"/>
      <c r="T69" s="720"/>
      <c r="U69" s="709"/>
      <c r="V69" s="720"/>
      <c r="W69" s="709"/>
      <c r="X69" s="720"/>
      <c r="Y69" s="719"/>
      <c r="Z69" s="73"/>
    </row>
    <row r="70" spans="1:27" ht="13.5" thickBot="1">
      <c r="A70" s="1356"/>
      <c r="B70" s="741" t="s">
        <v>356</v>
      </c>
      <c r="C70" s="728">
        <v>0</v>
      </c>
      <c r="D70" s="727">
        <f t="shared" ref="D70:X70" si="5">D66+D68</f>
        <v>20048.598562868359</v>
      </c>
      <c r="E70" s="728">
        <f t="shared" si="5"/>
        <v>4453.8716391243797</v>
      </c>
      <c r="F70" s="727">
        <f t="shared" si="5"/>
        <v>0</v>
      </c>
      <c r="G70" s="728">
        <f t="shared" si="5"/>
        <v>0</v>
      </c>
      <c r="H70" s="727">
        <f t="shared" si="5"/>
        <v>0</v>
      </c>
      <c r="I70" s="728">
        <f t="shared" si="5"/>
        <v>40277.563908580538</v>
      </c>
      <c r="J70" s="727">
        <f t="shared" si="5"/>
        <v>0</v>
      </c>
      <c r="K70" s="728">
        <f t="shared" si="5"/>
        <v>0</v>
      </c>
      <c r="L70" s="727">
        <f>SUM(C70:K70)</f>
        <v>64780.03411057328</v>
      </c>
      <c r="M70" s="728">
        <f t="shared" si="5"/>
        <v>43082.506846937038</v>
      </c>
      <c r="N70" s="727">
        <f t="shared" si="5"/>
        <v>11888.741832003301</v>
      </c>
      <c r="O70" s="728">
        <f t="shared" si="5"/>
        <v>23639.108668223998</v>
      </c>
      <c r="P70" s="737">
        <f t="shared" si="5"/>
        <v>7889.0745125160011</v>
      </c>
      <c r="Q70" s="728">
        <f t="shared" si="5"/>
        <v>51890.044040407985</v>
      </c>
      <c r="R70" s="737">
        <f t="shared" si="5"/>
        <v>18789.719808327303</v>
      </c>
      <c r="S70" s="727">
        <f t="shared" si="5"/>
        <v>2679.1090900000013</v>
      </c>
      <c r="T70" s="728">
        <f t="shared" si="5"/>
        <v>0</v>
      </c>
      <c r="U70" s="727">
        <f t="shared" si="5"/>
        <v>5375.8530858129598</v>
      </c>
      <c r="V70" s="728">
        <f t="shared" si="5"/>
        <v>2018.3188889999997</v>
      </c>
      <c r="W70" s="727">
        <f t="shared" si="5"/>
        <v>1923.9149328399999</v>
      </c>
      <c r="X70" s="728">
        <f t="shared" si="5"/>
        <v>169176.39170606856</v>
      </c>
      <c r="Y70" s="729">
        <f>X70+L70</f>
        <v>233956.42581664183</v>
      </c>
      <c r="Z70" s="73"/>
      <c r="AA70" s="73"/>
    </row>
    <row r="71" spans="1:27" ht="13.5" thickBot="1">
      <c r="A71" s="740"/>
      <c r="B71" s="742" t="s">
        <v>561</v>
      </c>
      <c r="C71" s="728">
        <f>C70+C48</f>
        <v>0</v>
      </c>
      <c r="D71" s="727">
        <f t="shared" ref="D71:Y71" si="6">D70+D48</f>
        <v>77316.699167991159</v>
      </c>
      <c r="E71" s="728">
        <f t="shared" si="6"/>
        <v>27575.236370319526</v>
      </c>
      <c r="F71" s="727">
        <f t="shared" si="6"/>
        <v>0</v>
      </c>
      <c r="G71" s="728">
        <f t="shared" si="6"/>
        <v>0</v>
      </c>
      <c r="H71" s="727">
        <f t="shared" si="6"/>
        <v>0</v>
      </c>
      <c r="I71" s="728">
        <f t="shared" si="6"/>
        <v>45987.530064674887</v>
      </c>
      <c r="J71" s="727">
        <f t="shared" si="6"/>
        <v>0</v>
      </c>
      <c r="K71" s="728">
        <f t="shared" si="6"/>
        <v>0</v>
      </c>
      <c r="L71" s="727">
        <f>SUM(C71:K71)</f>
        <v>150879.46560298558</v>
      </c>
      <c r="M71" s="728">
        <f t="shared" si="6"/>
        <v>43082.506846937038</v>
      </c>
      <c r="N71" s="727">
        <f t="shared" si="6"/>
        <v>11922.734962768302</v>
      </c>
      <c r="O71" s="728">
        <f t="shared" si="6"/>
        <v>23639.108668223998</v>
      </c>
      <c r="P71" s="737">
        <f t="shared" si="6"/>
        <v>7889.0745125160011</v>
      </c>
      <c r="Q71" s="728">
        <f t="shared" si="6"/>
        <v>54364.035511547983</v>
      </c>
      <c r="R71" s="737">
        <f t="shared" si="6"/>
        <v>20037.746132827502</v>
      </c>
      <c r="S71" s="727">
        <f t="shared" si="6"/>
        <v>9726.5175438333335</v>
      </c>
      <c r="T71" s="728">
        <f t="shared" si="6"/>
        <v>0</v>
      </c>
      <c r="U71" s="727">
        <f t="shared" si="6"/>
        <v>5586.1003138129599</v>
      </c>
      <c r="V71" s="728">
        <f t="shared" si="6"/>
        <v>2018.3188889999997</v>
      </c>
      <c r="W71" s="727">
        <f t="shared" si="6"/>
        <v>1923.9149328399999</v>
      </c>
      <c r="X71" s="728">
        <f t="shared" si="6"/>
        <v>180190.0583143071</v>
      </c>
      <c r="Y71" s="1235">
        <f t="shared" si="6"/>
        <v>331069.52391729271</v>
      </c>
      <c r="Z71" s="22"/>
    </row>
    <row r="72" spans="1:27">
      <c r="A72" s="22"/>
      <c r="B72" s="22"/>
      <c r="C72" s="438"/>
      <c r="D72" s="438"/>
      <c r="E72" s="438"/>
      <c r="F72" s="438"/>
      <c r="G72" s="438"/>
      <c r="H72" s="438"/>
      <c r="I72" s="438"/>
      <c r="J72" s="438"/>
      <c r="K72" s="438"/>
      <c r="L72" s="438"/>
      <c r="M72" s="438"/>
      <c r="N72" s="438"/>
      <c r="O72" s="438"/>
      <c r="P72" s="438"/>
      <c r="Q72" s="438"/>
      <c r="R72" s="438"/>
      <c r="S72" s="438"/>
      <c r="T72" s="438"/>
      <c r="U72" s="438"/>
      <c r="V72" s="438"/>
      <c r="W72" s="438"/>
      <c r="X72" s="595"/>
      <c r="Y72" s="438"/>
      <c r="Z72" s="73"/>
    </row>
    <row r="73" spans="1:27">
      <c r="A73" s="22"/>
      <c r="B73" s="22"/>
      <c r="C73" s="438"/>
      <c r="D73" s="438"/>
      <c r="E73" s="595"/>
      <c r="F73" s="438"/>
      <c r="G73" s="438"/>
      <c r="H73" s="438"/>
      <c r="I73" s="438"/>
      <c r="J73" s="438"/>
      <c r="K73" s="438"/>
      <c r="L73" s="595"/>
      <c r="M73" s="438"/>
      <c r="N73" s="438"/>
      <c r="O73" s="438"/>
      <c r="P73" s="438"/>
      <c r="Q73" s="438"/>
      <c r="R73" s="438"/>
      <c r="S73" s="438"/>
      <c r="T73" s="438"/>
      <c r="U73" s="438"/>
      <c r="V73" s="438"/>
      <c r="W73" s="438"/>
      <c r="X73" s="438"/>
      <c r="Y73" s="595"/>
      <c r="Z73" s="22"/>
    </row>
    <row r="74" spans="1:27">
      <c r="A74" s="22"/>
      <c r="B74" s="22"/>
      <c r="C74" s="22" t="s">
        <v>562</v>
      </c>
      <c r="D74" s="438"/>
      <c r="E74" s="438"/>
      <c r="F74" s="438"/>
      <c r="G74" s="438"/>
      <c r="H74" s="438"/>
      <c r="I74" s="438"/>
      <c r="J74" s="438"/>
      <c r="K74" s="438"/>
      <c r="L74" s="438"/>
      <c r="M74" s="595"/>
      <c r="N74" s="438"/>
      <c r="O74" s="438"/>
      <c r="P74" s="438"/>
      <c r="Q74" s="438"/>
      <c r="R74" s="438"/>
      <c r="S74" s="438"/>
      <c r="T74" s="438"/>
      <c r="U74" s="438"/>
      <c r="V74" s="438"/>
      <c r="W74" s="438"/>
      <c r="X74" s="438"/>
      <c r="Y74" s="595"/>
      <c r="Z74" s="22"/>
    </row>
    <row r="75" spans="1:27">
      <c r="A75" s="22"/>
      <c r="B75" s="22"/>
      <c r="C75" s="22" t="s">
        <v>563</v>
      </c>
      <c r="D75" s="438"/>
      <c r="E75" s="438"/>
      <c r="F75" s="438"/>
      <c r="G75" s="438"/>
      <c r="H75" s="438"/>
      <c r="I75" s="438"/>
      <c r="J75" s="438"/>
      <c r="K75" s="438"/>
      <c r="L75" s="438"/>
      <c r="M75" s="438"/>
      <c r="N75" s="438"/>
      <c r="O75" s="438"/>
      <c r="P75" s="438"/>
      <c r="Q75" s="438"/>
      <c r="R75" s="438"/>
      <c r="S75" s="438"/>
      <c r="T75" s="438"/>
      <c r="U75" s="438"/>
      <c r="V75" s="438"/>
      <c r="W75" s="438"/>
      <c r="X75" s="438"/>
      <c r="Y75" s="438"/>
      <c r="Z75" s="22"/>
    </row>
    <row r="76" spans="1:27">
      <c r="A76" s="22"/>
      <c r="B76" s="22"/>
      <c r="C76" s="22" t="s">
        <v>564</v>
      </c>
      <c r="D76" s="438"/>
      <c r="E76" s="438"/>
      <c r="F76" s="438"/>
      <c r="G76" s="438"/>
      <c r="H76" s="438"/>
      <c r="I76" s="438"/>
      <c r="J76" s="438"/>
      <c r="K76" s="438"/>
      <c r="L76" s="438"/>
      <c r="M76" s="438"/>
      <c r="N76" s="438"/>
      <c r="O76" s="438"/>
      <c r="P76" s="438"/>
      <c r="Q76" s="438"/>
      <c r="R76" s="438"/>
      <c r="S76" s="438"/>
      <c r="T76" s="438"/>
      <c r="U76" s="438"/>
      <c r="V76" s="438"/>
      <c r="W76" s="438"/>
      <c r="X76" s="438"/>
      <c r="Y76" s="438"/>
      <c r="Z76" s="22"/>
    </row>
    <row r="77" spans="1:27">
      <c r="A77" s="22"/>
      <c r="B77" s="22"/>
      <c r="C77" s="22" t="s">
        <v>565</v>
      </c>
      <c r="D77" s="438"/>
      <c r="E77" s="438"/>
      <c r="F77" s="438"/>
      <c r="G77" s="438"/>
      <c r="H77" s="438"/>
      <c r="I77" s="438"/>
      <c r="J77" s="438"/>
      <c r="K77" s="438"/>
      <c r="L77" s="438"/>
      <c r="M77" s="438"/>
      <c r="N77" s="438"/>
      <c r="O77" s="438"/>
      <c r="P77" s="438"/>
      <c r="Q77" s="438"/>
      <c r="R77" s="438"/>
      <c r="S77" s="438"/>
      <c r="T77" s="438"/>
      <c r="U77" s="438"/>
      <c r="V77" s="438"/>
      <c r="W77" s="438"/>
      <c r="X77" s="438"/>
      <c r="Y77" s="438"/>
      <c r="Z77" s="22"/>
    </row>
    <row r="78" spans="1:27">
      <c r="A78" s="22"/>
      <c r="B78" s="22"/>
      <c r="C78" s="22" t="s">
        <v>566</v>
      </c>
      <c r="D78" s="438"/>
      <c r="E78" s="438"/>
      <c r="F78" s="438"/>
      <c r="G78" s="438"/>
      <c r="H78" s="438"/>
      <c r="I78" s="438"/>
      <c r="J78" s="438"/>
      <c r="K78" s="438"/>
      <c r="L78" s="438"/>
      <c r="M78" s="438"/>
      <c r="N78" s="438"/>
      <c r="O78" s="438"/>
      <c r="P78" s="438"/>
      <c r="Q78" s="438"/>
      <c r="R78" s="438"/>
      <c r="S78" s="438"/>
      <c r="T78" s="438"/>
      <c r="U78" s="438"/>
      <c r="V78" s="438"/>
      <c r="W78" s="438"/>
      <c r="X78" s="438"/>
      <c r="Y78" s="438"/>
      <c r="Z78" s="22"/>
    </row>
    <row r="79" spans="1:27">
      <c r="A79" s="22"/>
      <c r="B79" s="22"/>
      <c r="C79" s="739" t="s">
        <v>567</v>
      </c>
      <c r="D79" s="438"/>
      <c r="E79" s="438"/>
      <c r="F79" s="438"/>
      <c r="G79" s="438"/>
      <c r="H79" s="438"/>
      <c r="I79" s="438"/>
      <c r="J79" s="438"/>
      <c r="K79" s="438"/>
      <c r="L79" s="438"/>
      <c r="M79" s="438"/>
      <c r="N79" s="438"/>
      <c r="O79" s="438"/>
      <c r="P79" s="438"/>
      <c r="Q79" s="438"/>
      <c r="R79" s="438"/>
      <c r="S79" s="438"/>
      <c r="T79" s="438"/>
      <c r="U79" s="438"/>
      <c r="V79" s="438"/>
      <c r="W79" s="438"/>
      <c r="X79" s="438"/>
      <c r="Y79" s="438"/>
      <c r="Z79" s="22"/>
    </row>
    <row r="80" spans="1:27">
      <c r="A80" s="22"/>
      <c r="B80" s="22"/>
      <c r="C80" s="739" t="s">
        <v>576</v>
      </c>
      <c r="D80" s="438"/>
      <c r="E80" s="438"/>
      <c r="F80" s="438"/>
      <c r="G80" s="438"/>
      <c r="H80" s="438"/>
      <c r="I80" s="438"/>
      <c r="J80" s="438"/>
      <c r="K80" s="438"/>
      <c r="L80" s="438"/>
      <c r="M80" s="438"/>
      <c r="N80" s="438"/>
      <c r="O80" s="438"/>
      <c r="P80" s="438"/>
      <c r="Q80" s="438"/>
      <c r="R80" s="438"/>
      <c r="S80" s="438"/>
      <c r="T80" s="438"/>
      <c r="U80" s="438"/>
      <c r="V80" s="438"/>
      <c r="W80" s="438"/>
      <c r="X80" s="438"/>
      <c r="Y80" s="438"/>
      <c r="Z80" s="22"/>
    </row>
    <row r="81" spans="1:26">
      <c r="A81" s="22"/>
      <c r="B81" s="22"/>
      <c r="C81" s="739" t="s">
        <v>575</v>
      </c>
      <c r="D81" s="438"/>
      <c r="E81" s="438"/>
      <c r="F81" s="438"/>
      <c r="G81" s="438"/>
      <c r="H81" s="438"/>
      <c r="I81" s="438"/>
      <c r="J81" s="438"/>
      <c r="K81" s="438"/>
      <c r="L81" s="438"/>
      <c r="M81" s="438"/>
      <c r="N81" s="438"/>
      <c r="O81" s="438"/>
      <c r="P81" s="438"/>
      <c r="Q81" s="438"/>
      <c r="R81" s="438"/>
      <c r="S81" s="438"/>
      <c r="T81" s="438"/>
      <c r="U81" s="438"/>
      <c r="V81" s="438"/>
      <c r="W81" s="438"/>
      <c r="X81" s="438"/>
      <c r="Y81" s="438"/>
      <c r="Z81" s="22"/>
    </row>
    <row r="82" spans="1:26">
      <c r="A82" s="22"/>
      <c r="B82" s="22"/>
      <c r="C82" s="739" t="s">
        <v>677</v>
      </c>
      <c r="D82" s="438"/>
      <c r="E82" s="438"/>
      <c r="F82" s="438"/>
      <c r="G82" s="438"/>
      <c r="H82" s="438"/>
      <c r="I82" s="438"/>
      <c r="J82" s="438"/>
      <c r="K82" s="438"/>
      <c r="L82" s="438"/>
      <c r="M82" s="438"/>
      <c r="N82" s="438"/>
      <c r="O82" s="438"/>
      <c r="P82" s="438"/>
      <c r="Q82" s="438"/>
      <c r="R82" s="438"/>
      <c r="S82" s="438"/>
      <c r="T82" s="438"/>
      <c r="U82" s="438"/>
      <c r="V82" s="438"/>
      <c r="W82" s="438"/>
      <c r="X82" s="438"/>
      <c r="Y82" s="438"/>
      <c r="Z82" s="22"/>
    </row>
    <row r="83" spans="1:26">
      <c r="A83" s="22"/>
      <c r="B83" s="22"/>
      <c r="C83" s="22" t="s">
        <v>676</v>
      </c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</row>
    <row r="84" spans="1:26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</row>
    <row r="85" spans="1:26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</row>
    <row r="86" spans="1:26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</row>
    <row r="87" spans="1:26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</row>
    <row r="88" spans="1:26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</row>
    <row r="89" spans="1:26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</row>
    <row r="90" spans="1:26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</row>
    <row r="91" spans="1:26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</row>
    <row r="92" spans="1:26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</row>
    <row r="93" spans="1:26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</row>
    <row r="94" spans="1:26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</row>
    <row r="95" spans="1:26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</row>
    <row r="96" spans="1:26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</row>
    <row r="97" s="22" customFormat="1"/>
    <row r="98" s="22" customFormat="1"/>
    <row r="99" s="22" customFormat="1"/>
    <row r="100" s="22" customFormat="1"/>
    <row r="101" s="22" customFormat="1"/>
    <row r="102" s="22" customFormat="1"/>
    <row r="103" s="22" customFormat="1"/>
    <row r="104" s="22" customFormat="1"/>
    <row r="105" s="22" customFormat="1"/>
    <row r="106" s="22" customFormat="1"/>
    <row r="107" s="22" customFormat="1"/>
    <row r="108" s="22" customFormat="1"/>
    <row r="109" s="22" customFormat="1"/>
    <row r="110" s="22" customFormat="1"/>
    <row r="111" s="22" customFormat="1"/>
    <row r="112" s="22" customFormat="1"/>
    <row r="113" s="22" customFormat="1"/>
    <row r="114" s="22" customFormat="1"/>
    <row r="115" s="22" customFormat="1"/>
    <row r="116" s="22" customFormat="1"/>
    <row r="117" s="22" customFormat="1"/>
    <row r="118" s="22" customFormat="1"/>
    <row r="119" s="22" customFormat="1"/>
    <row r="120" s="22" customFormat="1"/>
    <row r="121" s="22" customFormat="1"/>
    <row r="122" s="22" customFormat="1"/>
    <row r="123" s="22" customFormat="1"/>
    <row r="124" s="22" customFormat="1"/>
    <row r="125" s="22" customFormat="1"/>
    <row r="126" s="22" customFormat="1"/>
    <row r="127" s="22" customFormat="1"/>
    <row r="128" s="22" customFormat="1"/>
    <row r="129" s="22" customFormat="1"/>
    <row r="130" s="22" customFormat="1"/>
    <row r="131" s="22" customFormat="1"/>
    <row r="132" s="22" customFormat="1"/>
    <row r="133" s="22" customFormat="1"/>
    <row r="134" s="22" customFormat="1"/>
    <row r="135" s="22" customFormat="1"/>
    <row r="136" s="22" customFormat="1"/>
    <row r="137" s="22" customFormat="1"/>
    <row r="138" s="22" customFormat="1"/>
    <row r="139" s="22" customFormat="1"/>
    <row r="140" s="22" customFormat="1"/>
    <row r="141" s="22" customFormat="1"/>
    <row r="142" s="22" customFormat="1"/>
    <row r="143" s="22" customFormat="1"/>
    <row r="144" s="22" customFormat="1"/>
    <row r="145" s="22" customFormat="1"/>
    <row r="146" s="22" customFormat="1"/>
    <row r="147" s="22" customFormat="1"/>
    <row r="148" s="22" customFormat="1"/>
    <row r="149" s="22" customFormat="1"/>
    <row r="150" s="22" customFormat="1"/>
    <row r="151" s="22" customFormat="1"/>
    <row r="152" s="22" customFormat="1"/>
    <row r="153" s="22" customFormat="1"/>
    <row r="154" s="22" customFormat="1"/>
    <row r="155" s="22" customFormat="1"/>
    <row r="156" s="22" customFormat="1"/>
    <row r="157" s="22" customFormat="1"/>
    <row r="158" s="22" customFormat="1"/>
    <row r="159" s="22" customFormat="1"/>
    <row r="160" s="22" customFormat="1"/>
  </sheetData>
  <mergeCells count="5">
    <mergeCell ref="A53:A70"/>
    <mergeCell ref="C4:L4"/>
    <mergeCell ref="M4:Y4"/>
    <mergeCell ref="A8:A25"/>
    <mergeCell ref="A27:A47"/>
  </mergeCells>
  <phoneticPr fontId="0" type="noConversion"/>
  <hyperlinks>
    <hyperlink ref="E1" location="INDICE!A60" display="VOLVER A INDICE"/>
  </hyperlinks>
  <pageMargins left="0.75" right="0.75" top="1" bottom="1" header="0" footer="0"/>
  <pageSetup orientation="portrait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8"/>
  <sheetViews>
    <sheetView showGridLines="0" zoomScale="70" workbookViewId="0">
      <pane xSplit="2" ySplit="5" topLeftCell="C33" activePane="bottomRight" state="frozen"/>
      <selection pane="topRight" activeCell="C1" sqref="C1"/>
      <selection pane="bottomLeft" activeCell="A6" sqref="A6"/>
      <selection pane="bottomRight" activeCell="B1" sqref="B1"/>
    </sheetView>
  </sheetViews>
  <sheetFormatPr baseColWidth="10" defaultRowHeight="12.75"/>
  <cols>
    <col min="1" max="1" width="21.28515625" customWidth="1"/>
    <col min="2" max="2" width="27.85546875" customWidth="1"/>
  </cols>
  <sheetData>
    <row r="1" spans="1:28" ht="15.75">
      <c r="A1" s="386" t="s">
        <v>824</v>
      </c>
      <c r="B1" s="387"/>
      <c r="C1" s="388"/>
      <c r="D1" s="857" t="s">
        <v>681</v>
      </c>
      <c r="E1" s="388"/>
      <c r="F1" s="388"/>
      <c r="G1" s="388"/>
      <c r="H1" s="389"/>
      <c r="I1" s="389"/>
      <c r="J1" s="390" t="s">
        <v>217</v>
      </c>
      <c r="K1" s="389"/>
      <c r="L1" s="389"/>
      <c r="M1" s="388"/>
      <c r="N1" s="388"/>
      <c r="O1" s="388"/>
      <c r="P1" s="388"/>
      <c r="Q1" s="388"/>
      <c r="R1" s="388"/>
      <c r="S1" s="388"/>
      <c r="T1" s="388"/>
      <c r="U1" s="388"/>
      <c r="V1" s="388"/>
      <c r="W1" s="391"/>
      <c r="X1" s="391"/>
      <c r="Y1" s="391"/>
      <c r="Z1" s="391"/>
      <c r="AA1" s="391"/>
      <c r="AB1" s="391"/>
    </row>
    <row r="2" spans="1:28">
      <c r="A2" s="387"/>
      <c r="B2" s="387"/>
      <c r="C2" s="388"/>
      <c r="D2" s="388"/>
      <c r="E2" s="388"/>
      <c r="F2" s="388"/>
      <c r="G2" s="388"/>
      <c r="H2" s="388"/>
      <c r="I2" s="388"/>
      <c r="J2" s="388"/>
      <c r="K2" s="388"/>
      <c r="L2" s="388"/>
      <c r="M2" s="388"/>
      <c r="N2" s="388"/>
      <c r="O2" s="388"/>
      <c r="P2" s="388"/>
      <c r="Q2" s="388"/>
      <c r="R2" s="388"/>
      <c r="S2" s="388"/>
      <c r="T2" s="388"/>
      <c r="U2" s="388"/>
      <c r="V2" s="388"/>
      <c r="W2" s="391"/>
      <c r="X2" s="391"/>
      <c r="Y2" s="391"/>
      <c r="Z2" s="391"/>
      <c r="AA2" s="391"/>
      <c r="AB2" s="391"/>
    </row>
    <row r="3" spans="1:28">
      <c r="A3" s="392"/>
      <c r="B3" s="392"/>
      <c r="C3" s="393" t="s">
        <v>218</v>
      </c>
      <c r="D3" s="393" t="s">
        <v>219</v>
      </c>
      <c r="E3" s="393" t="s">
        <v>220</v>
      </c>
      <c r="F3" s="393" t="s">
        <v>220</v>
      </c>
      <c r="G3" s="393" t="s">
        <v>221</v>
      </c>
      <c r="H3" s="393" t="s">
        <v>222</v>
      </c>
      <c r="I3" s="393" t="s">
        <v>220</v>
      </c>
      <c r="J3" s="393" t="s">
        <v>221</v>
      </c>
      <c r="K3" s="393" t="s">
        <v>223</v>
      </c>
      <c r="L3" s="393" t="s">
        <v>224</v>
      </c>
      <c r="M3" s="393" t="s">
        <v>226</v>
      </c>
      <c r="N3" s="393" t="s">
        <v>227</v>
      </c>
      <c r="O3" s="393" t="s">
        <v>285</v>
      </c>
      <c r="P3" s="393" t="s">
        <v>241</v>
      </c>
      <c r="Q3" s="393" t="s">
        <v>222</v>
      </c>
      <c r="R3" s="393" t="s">
        <v>224</v>
      </c>
      <c r="S3" s="393" t="s">
        <v>222</v>
      </c>
      <c r="T3" s="393" t="s">
        <v>286</v>
      </c>
      <c r="U3" s="393" t="s">
        <v>229</v>
      </c>
      <c r="V3" s="393" t="s">
        <v>230</v>
      </c>
      <c r="W3" s="391"/>
      <c r="X3" s="391"/>
      <c r="Y3" s="391"/>
      <c r="Z3" s="391"/>
      <c r="AA3" s="391"/>
      <c r="AB3" s="391"/>
    </row>
    <row r="4" spans="1:28">
      <c r="A4" s="394" t="s">
        <v>231</v>
      </c>
      <c r="B4" s="395"/>
      <c r="C4" s="396" t="s">
        <v>232</v>
      </c>
      <c r="D4" s="396" t="s">
        <v>233</v>
      </c>
      <c r="E4" s="396" t="s">
        <v>234</v>
      </c>
      <c r="F4" s="396" t="s">
        <v>235</v>
      </c>
      <c r="G4" s="396" t="s">
        <v>287</v>
      </c>
      <c r="H4" s="396" t="s">
        <v>236</v>
      </c>
      <c r="I4" s="396" t="s">
        <v>237</v>
      </c>
      <c r="J4" s="396" t="s">
        <v>237</v>
      </c>
      <c r="K4" s="396" t="s">
        <v>287</v>
      </c>
      <c r="L4" s="396" t="s">
        <v>238</v>
      </c>
      <c r="M4" s="396" t="s">
        <v>240</v>
      </c>
      <c r="N4" s="396" t="s">
        <v>287</v>
      </c>
      <c r="O4" s="395" t="s">
        <v>287</v>
      </c>
      <c r="P4" s="396" t="s">
        <v>287</v>
      </c>
      <c r="Q4" s="396" t="s">
        <v>242</v>
      </c>
      <c r="R4" s="397" t="s">
        <v>288</v>
      </c>
      <c r="S4" s="396" t="s">
        <v>244</v>
      </c>
      <c r="T4" s="396" t="s">
        <v>287</v>
      </c>
      <c r="U4" s="396" t="s">
        <v>289</v>
      </c>
      <c r="V4" s="396" t="s">
        <v>246</v>
      </c>
      <c r="W4" s="391"/>
      <c r="X4" s="391"/>
      <c r="Y4" s="391"/>
      <c r="Z4" s="391"/>
      <c r="AA4" s="391"/>
      <c r="AB4" s="391"/>
    </row>
    <row r="5" spans="1:28">
      <c r="A5" s="398"/>
      <c r="B5" s="398"/>
      <c r="C5" s="399" t="s">
        <v>290</v>
      </c>
      <c r="D5" s="399" t="s">
        <v>291</v>
      </c>
      <c r="E5" s="399" t="s">
        <v>290</v>
      </c>
      <c r="F5" s="399" t="s">
        <v>290</v>
      </c>
      <c r="G5" s="399" t="s">
        <v>292</v>
      </c>
      <c r="H5" s="399" t="s">
        <v>291</v>
      </c>
      <c r="I5" s="399" t="s">
        <v>290</v>
      </c>
      <c r="J5" s="399" t="s">
        <v>290</v>
      </c>
      <c r="K5" s="399" t="s">
        <v>292</v>
      </c>
      <c r="L5" s="399" t="s">
        <v>290</v>
      </c>
      <c r="M5" s="399" t="s">
        <v>196</v>
      </c>
      <c r="N5" s="399" t="s">
        <v>294</v>
      </c>
      <c r="O5" s="399" t="s">
        <v>295</v>
      </c>
      <c r="P5" s="399" t="s">
        <v>292</v>
      </c>
      <c r="Q5" s="399" t="s">
        <v>293</v>
      </c>
      <c r="R5" s="399" t="s">
        <v>291</v>
      </c>
      <c r="S5" s="399" t="s">
        <v>293</v>
      </c>
      <c r="T5" s="399" t="s">
        <v>295</v>
      </c>
      <c r="U5" s="399" t="s">
        <v>292</v>
      </c>
      <c r="V5" s="399" t="s">
        <v>291</v>
      </c>
      <c r="W5" s="391"/>
      <c r="X5" s="391"/>
      <c r="Y5" s="391"/>
      <c r="Z5" s="391"/>
      <c r="AA5" s="391"/>
      <c r="AB5" s="391"/>
    </row>
    <row r="6" spans="1:28">
      <c r="A6" s="400"/>
      <c r="B6" s="400"/>
      <c r="C6" s="388"/>
      <c r="D6" s="388"/>
      <c r="E6" s="388"/>
      <c r="F6" s="388"/>
      <c r="G6" s="388"/>
      <c r="H6" s="388"/>
      <c r="I6" s="388"/>
      <c r="J6" s="388"/>
      <c r="K6" s="388"/>
      <c r="L6" s="388"/>
      <c r="M6" s="388"/>
      <c r="N6" s="388"/>
      <c r="O6" s="388"/>
      <c r="P6" s="388"/>
      <c r="Q6" s="388"/>
      <c r="R6" s="388"/>
      <c r="S6" s="388"/>
      <c r="T6" s="388"/>
      <c r="U6" s="388"/>
      <c r="V6" s="388"/>
      <c r="W6" s="391"/>
      <c r="X6" s="391"/>
      <c r="Y6" s="391"/>
      <c r="Z6" s="391"/>
      <c r="AA6" s="391"/>
      <c r="AB6" s="391"/>
    </row>
    <row r="7" spans="1:28">
      <c r="A7" s="385" t="s">
        <v>248</v>
      </c>
      <c r="B7" s="383" t="s">
        <v>249</v>
      </c>
      <c r="C7" s="1211">
        <f>SECT_TERAC.!C7*SECT_U.FIS.!C$67</f>
        <v>3456.2683569999999</v>
      </c>
      <c r="D7" s="1211">
        <f>SECT_TERAC.!D7*SECT_U.FIS.!D$67</f>
        <v>0.25927</v>
      </c>
      <c r="E7" s="1211">
        <f>SECT_TERAC.!E7*SECT_U.FIS.!E$67</f>
        <v>2878.9447739999996</v>
      </c>
      <c r="F7" s="1211">
        <f>SECT_TERAC.!F7*SECT_U.FIS.!F$67</f>
        <v>0</v>
      </c>
      <c r="G7" s="1211">
        <f>SECT_TERAC.!G7*SECT_U.FIS.!G$67</f>
        <v>16.610050000000001</v>
      </c>
      <c r="H7" s="1211">
        <f>SECT_TERAC.!H7*SECT_U.FIS.!H$67</f>
        <v>0.48057535663265305</v>
      </c>
      <c r="I7" s="1211">
        <f>SECT_TERAC.!I7*SECT_U.FIS.!I$67</f>
        <v>2.4E-2</v>
      </c>
      <c r="J7" s="1211">
        <f>SECT_TERAC.!J7*SECT_U.FIS.!J$67</f>
        <v>0.128</v>
      </c>
      <c r="K7" s="1211">
        <f>SECT_TERAC.!K7*SECT_U.FIS.!K$67</f>
        <v>6.8000000000000014E-3</v>
      </c>
      <c r="L7" s="1211">
        <f>SECT_TERAC.!L7*SECT_U.FIS.!L$67</f>
        <v>0</v>
      </c>
      <c r="M7" s="1211">
        <f>SECT_TERAC.!N7*SECT_U.FIS.!M$67</f>
        <v>178.20105300000006</v>
      </c>
      <c r="N7" s="1211">
        <f>SECT_TERAC.!O7*SECT_U.FIS.!N$67</f>
        <v>0</v>
      </c>
      <c r="O7" s="1211">
        <f>SECT_TERAC.!P7*SECT_U.FIS.!O$67</f>
        <v>0</v>
      </c>
      <c r="P7" s="1211">
        <f>SECT_TERAC.!Q7*SECT_U.FIS.!P$67</f>
        <v>0</v>
      </c>
      <c r="Q7" s="1211">
        <f>SECT_TERAC.!R7*SECT_U.FIS.!Q$67</f>
        <v>3.1502899999999998E-4</v>
      </c>
      <c r="R7" s="1211">
        <f>SECT_TERAC.!S7*SECT_U.FIS.!R$67</f>
        <v>0</v>
      </c>
      <c r="S7" s="1211">
        <f>SECT_TERAC.!T7*SECT_U.FIS.!S$67</f>
        <v>36.65598120034668</v>
      </c>
      <c r="T7" s="1211">
        <f>SECT_TERAC.!U7*SECT_U.FIS.!T$67</f>
        <v>0</v>
      </c>
      <c r="U7" s="1206">
        <f>SECT_TERAC.!V7*SECT_U.FIS.!U$67</f>
        <v>0</v>
      </c>
      <c r="V7" s="1211">
        <f>SECT_TERAC.!W7*SECT_U.FIS.!V$67</f>
        <v>0</v>
      </c>
      <c r="W7" s="391"/>
      <c r="X7" s="391"/>
      <c r="Y7" s="391"/>
      <c r="Z7" s="391"/>
      <c r="AA7" s="391"/>
      <c r="AB7" s="391"/>
    </row>
    <row r="8" spans="1:28">
      <c r="A8" s="383"/>
      <c r="B8" s="383" t="s">
        <v>251</v>
      </c>
      <c r="C8" s="1211">
        <f>SECT_TERAC.!C8*SECT_U.FIS.!$C$67</f>
        <v>19.844507999999994</v>
      </c>
      <c r="D8" s="1211">
        <f>SECT_TERAC.!D8*SECT_U.FIS.!D$67</f>
        <v>0</v>
      </c>
      <c r="E8" s="1211">
        <f>SECT_TERAC.!E8*SECT_U.FIS.!E$67</f>
        <v>0</v>
      </c>
      <c r="F8" s="1211">
        <f>SECT_TERAC.!F8*SECT_U.FIS.!F$67</f>
        <v>0</v>
      </c>
      <c r="G8" s="1211">
        <f>SECT_TERAC.!G8*SECT_U.FIS.!G$67</f>
        <v>0</v>
      </c>
      <c r="H8" s="1211">
        <f>SECT_TERAC.!H8*SECT_U.FIS.!H$67</f>
        <v>0</v>
      </c>
      <c r="I8" s="1211">
        <f>SECT_TERAC.!I8*SECT_U.FIS.!I$67</f>
        <v>0</v>
      </c>
      <c r="J8" s="1211">
        <f>SECT_TERAC.!J8*SECT_U.FIS.!J$67</f>
        <v>0</v>
      </c>
      <c r="K8" s="1211">
        <f>SECT_TERAC.!K8*SECT_U.FIS.!K$67</f>
        <v>0</v>
      </c>
      <c r="L8" s="1211">
        <f>SECT_TERAC.!L8*SECT_U.FIS.!L$67</f>
        <v>0</v>
      </c>
      <c r="M8" s="1211">
        <f>SECT_TERAC.!N8*SECT_U.FIS.!M$67</f>
        <v>73.671383999999975</v>
      </c>
      <c r="N8" s="1212">
        <f>SECT_TERAC.!O8*SECT_U.FIS.!N$67</f>
        <v>1.3334285714285715E-2</v>
      </c>
      <c r="O8" s="1211">
        <f>SECT_TERAC.!P8*SECT_U.FIS.!O$67</f>
        <v>0</v>
      </c>
      <c r="P8" s="1211">
        <f>SECT_TERAC.!Q8*SECT_U.FIS.!P$67</f>
        <v>0</v>
      </c>
      <c r="Q8" s="1211">
        <f>SECT_TERAC.!R8*SECT_U.FIS.!Q$67</f>
        <v>0</v>
      </c>
      <c r="R8" s="1211">
        <f>SECT_TERAC.!S8*SECT_U.FIS.!R$67</f>
        <v>0</v>
      </c>
      <c r="S8" s="1211">
        <f>SECT_TERAC.!T8*SECT_U.FIS.!S$67</f>
        <v>0</v>
      </c>
      <c r="T8" s="1211">
        <f>SECT_TERAC.!U8*SECT_U.FIS.!T$67</f>
        <v>0</v>
      </c>
      <c r="U8" s="1206">
        <f>SECT_TERAC.!V8*SECT_U.FIS.!U$67</f>
        <v>0</v>
      </c>
      <c r="V8" s="1211">
        <f>SECT_TERAC.!W8*SECT_U.FIS.!V$67</f>
        <v>0</v>
      </c>
      <c r="W8" s="391"/>
      <c r="X8" s="391"/>
      <c r="Y8" s="391"/>
      <c r="Z8" s="391"/>
      <c r="AA8" s="391"/>
      <c r="AB8" s="391"/>
    </row>
    <row r="9" spans="1:28">
      <c r="A9" s="383"/>
      <c r="B9" s="383" t="s">
        <v>252</v>
      </c>
      <c r="C9" s="1211">
        <f>SECT_TERAC.!C9*SECT_U.FIS.!$C$67</f>
        <v>404.71160299999985</v>
      </c>
      <c r="D9" s="1211">
        <f>SECT_TERAC.!D9*SECT_U.FIS.!D$67</f>
        <v>1254.1563563390002</v>
      </c>
      <c r="E9" s="1211">
        <f>SECT_TERAC.!E9*SECT_U.FIS.!E$67</f>
        <v>6.3930000000000007</v>
      </c>
      <c r="F9" s="1211">
        <f>SECT_TERAC.!F9*SECT_U.FIS.!F$67</f>
        <v>0</v>
      </c>
      <c r="G9" s="1211">
        <f>SECT_TERAC.!G9*SECT_U.FIS.!G$67</f>
        <v>0.185</v>
      </c>
      <c r="H9" s="1211">
        <f>SECT_TERAC.!H9*SECT_U.FIS.!H$67</f>
        <v>8.0149399999999996E-2</v>
      </c>
      <c r="I9" s="1211">
        <f>SECT_TERAC.!I9*SECT_U.FIS.!I$67</f>
        <v>0</v>
      </c>
      <c r="J9" s="1211">
        <f>SECT_TERAC.!J9*SECT_U.FIS.!J$67</f>
        <v>0</v>
      </c>
      <c r="K9" s="1211">
        <f>SECT_TERAC.!K9*SECT_U.FIS.!K$67</f>
        <v>0</v>
      </c>
      <c r="L9" s="1211">
        <f>SECT_TERAC.!L9*SECT_U.FIS.!L$67</f>
        <v>0</v>
      </c>
      <c r="M9" s="1211">
        <f>SECT_TERAC.!N9*SECT_U.FIS.!M$67</f>
        <v>0</v>
      </c>
      <c r="N9" s="1211">
        <f>SECT_TERAC.!O9*SECT_U.FIS.!N$67</f>
        <v>0</v>
      </c>
      <c r="O9" s="1211">
        <f>SECT_TERAC.!P9*SECT_U.FIS.!O$67</f>
        <v>0</v>
      </c>
      <c r="P9" s="1211">
        <f>SECT_TERAC.!Q9*SECT_U.FIS.!P$67</f>
        <v>0</v>
      </c>
      <c r="Q9" s="1211">
        <f>SECT_TERAC.!R9*SECT_U.FIS.!Q$67</f>
        <v>0</v>
      </c>
      <c r="R9" s="1211">
        <f>SECT_TERAC.!S9*SECT_U.FIS.!R$67</f>
        <v>0</v>
      </c>
      <c r="S9" s="1211">
        <f>SECT_TERAC.!T9*SECT_U.FIS.!S$67</f>
        <v>0</v>
      </c>
      <c r="T9" s="1211">
        <f>SECT_TERAC.!U9*SECT_U.FIS.!T$67</f>
        <v>0</v>
      </c>
      <c r="U9" s="1206">
        <f>SECT_TERAC.!V9*SECT_U.FIS.!U$67</f>
        <v>0</v>
      </c>
      <c r="V9" s="1211">
        <f>SECT_TERAC.!W9*SECT_U.FIS.!V$67</f>
        <v>0</v>
      </c>
      <c r="W9" s="391"/>
      <c r="X9" s="391"/>
      <c r="Y9" s="391"/>
      <c r="Z9" s="391"/>
      <c r="AA9" s="391"/>
      <c r="AB9" s="391"/>
    </row>
    <row r="10" spans="1:28">
      <c r="A10" s="383"/>
      <c r="B10" s="383" t="s">
        <v>253</v>
      </c>
      <c r="C10" s="1211">
        <f>SECT_TERAC.!C10*SECT_U.FIS.!$C$67</f>
        <v>30.152767999999998</v>
      </c>
      <c r="D10" s="1211">
        <f>SECT_TERAC.!D10*SECT_U.FIS.!D$67</f>
        <v>2.1561400000000002</v>
      </c>
      <c r="E10" s="1211">
        <f>SECT_TERAC.!E10*SECT_U.FIS.!E$67</f>
        <v>0.22800000000000001</v>
      </c>
      <c r="F10" s="1211">
        <f>SECT_TERAC.!F10*SECT_U.FIS.!F$67</f>
        <v>0</v>
      </c>
      <c r="G10" s="1211">
        <f>SECT_TERAC.!G10*SECT_U.FIS.!G$67</f>
        <v>0.20600000000000002</v>
      </c>
      <c r="H10" s="1211">
        <f>SECT_TERAC.!H10*SECT_U.FIS.!H$67</f>
        <v>0</v>
      </c>
      <c r="I10" s="1211">
        <f>SECT_TERAC.!I10*SECT_U.FIS.!I$67</f>
        <v>5.8310000000000004</v>
      </c>
      <c r="J10" s="1211">
        <f>SECT_TERAC.!J10*SECT_U.FIS.!J$67</f>
        <v>761.25974100000008</v>
      </c>
      <c r="K10" s="1211">
        <f>SECT_TERAC.!K10*SECT_U.FIS.!K$67</f>
        <v>0</v>
      </c>
      <c r="L10" s="1211">
        <f>SECT_TERAC.!L10*SECT_U.FIS.!L$67</f>
        <v>0</v>
      </c>
      <c r="M10" s="1211">
        <f>SECT_TERAC.!N10*SECT_U.FIS.!M$67</f>
        <v>0</v>
      </c>
      <c r="N10" s="1211">
        <f>SECT_TERAC.!O10*SECT_U.FIS.!N$67</f>
        <v>0</v>
      </c>
      <c r="O10" s="1211">
        <f>SECT_TERAC.!P10*SECT_U.FIS.!O$67</f>
        <v>0</v>
      </c>
      <c r="P10" s="1211">
        <f>SECT_TERAC.!Q10*SECT_U.FIS.!P$67</f>
        <v>0</v>
      </c>
      <c r="Q10" s="1211">
        <f>SECT_TERAC.!R10*SECT_U.FIS.!Q$67</f>
        <v>0</v>
      </c>
      <c r="R10" s="1211">
        <f>SECT_TERAC.!S10*SECT_U.FIS.!R$67</f>
        <v>0</v>
      </c>
      <c r="S10" s="1211">
        <f>SECT_TERAC.!T10*SECT_U.FIS.!S$67</f>
        <v>0</v>
      </c>
      <c r="T10" s="1211">
        <f>SECT_TERAC.!U10*SECT_U.FIS.!T$67</f>
        <v>0</v>
      </c>
      <c r="U10" s="1206">
        <f>SECT_TERAC.!V10*SECT_U.FIS.!U$67</f>
        <v>0</v>
      </c>
      <c r="V10" s="1211">
        <f>SECT_TERAC.!W10*SECT_U.FIS.!V$67</f>
        <v>0</v>
      </c>
      <c r="W10" s="391"/>
      <c r="X10" s="391"/>
      <c r="Y10" s="391"/>
      <c r="Z10" s="391"/>
      <c r="AA10" s="391"/>
      <c r="AB10" s="391"/>
    </row>
    <row r="11" spans="1:28">
      <c r="A11" s="383"/>
      <c r="B11" s="383"/>
      <c r="C11" s="388"/>
      <c r="D11" s="388"/>
      <c r="E11" s="388"/>
      <c r="F11" s="388"/>
      <c r="G11" s="388"/>
      <c r="H11" s="388"/>
      <c r="I11" s="388"/>
      <c r="J11" s="388"/>
      <c r="K11" s="388"/>
      <c r="L11" s="388"/>
      <c r="M11" s="388"/>
      <c r="N11" s="388"/>
      <c r="O11" s="388"/>
      <c r="P11" s="388"/>
      <c r="Q11" s="388"/>
      <c r="R11" s="388"/>
      <c r="S11" s="388"/>
      <c r="T11" s="388"/>
      <c r="U11" s="388"/>
      <c r="V11" s="388"/>
      <c r="W11" s="391"/>
      <c r="X11" s="391"/>
      <c r="Y11" s="391"/>
      <c r="Z11" s="391"/>
      <c r="AA11" s="391"/>
      <c r="AB11" s="391"/>
    </row>
    <row r="12" spans="1:28">
      <c r="A12" s="383" t="s">
        <v>254</v>
      </c>
      <c r="B12" s="383"/>
      <c r="C12" s="1213">
        <f>SECT_TERAC.!C12*SECT_U.FIS.!$C$67</f>
        <v>3910.9772359999993</v>
      </c>
      <c r="D12" s="1213">
        <f>SECT_TERAC.!D12*SECT_U.FIS.!D$67</f>
        <v>1256.5717663390003</v>
      </c>
      <c r="E12" s="1213">
        <f>SECT_TERAC.!E12*SECT_U.FIS.!E$67</f>
        <v>2885.5657739999997</v>
      </c>
      <c r="F12" s="1213">
        <f>SECT_TERAC.!F12*SECT_U.FIS.!F$67</f>
        <v>0</v>
      </c>
      <c r="G12" s="1213">
        <f>SECT_TERAC.!G12*SECT_U.FIS.!G$67</f>
        <v>17.001049999999999</v>
      </c>
      <c r="H12" s="1213">
        <f>SECT_TERAC.!H12*SECT_U.FIS.!H$67</f>
        <v>0.56072475663265309</v>
      </c>
      <c r="I12" s="1213">
        <f>SECT_TERAC.!I12*SECT_U.FIS.!I$67</f>
        <v>5.8550000000000004</v>
      </c>
      <c r="J12" s="1213">
        <f>SECT_TERAC.!J12*SECT_U.FIS.!J$67</f>
        <v>761.38774100000012</v>
      </c>
      <c r="K12" s="1213">
        <f>SECT_TERAC.!K12*SECT_U.FIS.!K$67</f>
        <v>6.8000000000000014E-3</v>
      </c>
      <c r="L12" s="1213">
        <f>SECT_TERAC.!L12*SECT_U.FIS.!L$67</f>
        <v>0</v>
      </c>
      <c r="M12" s="1213">
        <f>SECT_TERAC.!N12*SECT_U.FIS.!M$67</f>
        <v>251.87243700000002</v>
      </c>
      <c r="N12" s="1213">
        <f>SECT_TERAC.!O12*SECT_U.FIS.!N$67</f>
        <v>1.3334285714285715E-2</v>
      </c>
      <c r="O12" s="1213">
        <f>SECT_TERAC.!P12*SECT_U.FIS.!O$67</f>
        <v>0</v>
      </c>
      <c r="P12" s="1213">
        <f>SECT_TERAC.!Q12*SECT_U.FIS.!P$67</f>
        <v>0</v>
      </c>
      <c r="Q12" s="1213">
        <f>SECT_TERAC.!R12*SECT_U.FIS.!Q$67</f>
        <v>3.1502899999999998E-4</v>
      </c>
      <c r="R12" s="1213">
        <f>SECT_TERAC.!S12*SECT_U.FIS.!R$67</f>
        <v>0</v>
      </c>
      <c r="S12" s="1213">
        <f>SECT_TERAC.!T12*SECT_U.FIS.!S$67</f>
        <v>36.65598120034668</v>
      </c>
      <c r="T12" s="1213">
        <f>SECT_TERAC.!U12*SECT_U.FIS.!T$67</f>
        <v>0</v>
      </c>
      <c r="U12" s="1213">
        <f>SECT_TERAC.!V12*SECT_U.FIS.!U$67</f>
        <v>0</v>
      </c>
      <c r="V12" s="1213">
        <f>SECT_TERAC.!W12*SECT_U.FIS.!V$67</f>
        <v>0</v>
      </c>
      <c r="W12" s="391"/>
      <c r="X12" s="391"/>
      <c r="Y12" s="391"/>
      <c r="Z12" s="391"/>
      <c r="AA12" s="391"/>
      <c r="AB12" s="391"/>
    </row>
    <row r="13" spans="1:28">
      <c r="A13" s="383"/>
      <c r="B13" s="383"/>
      <c r="C13" s="388"/>
      <c r="D13" s="388"/>
      <c r="E13" s="388"/>
      <c r="F13" s="388"/>
      <c r="G13" s="388"/>
      <c r="H13" s="388"/>
      <c r="I13" s="388"/>
      <c r="J13" s="388"/>
      <c r="K13" s="388"/>
      <c r="L13" s="388"/>
      <c r="M13" s="388"/>
      <c r="N13" s="388"/>
      <c r="O13" s="388"/>
      <c r="P13" s="388"/>
      <c r="Q13" s="388"/>
      <c r="R13" s="388"/>
      <c r="S13" s="388"/>
      <c r="T13" s="388"/>
      <c r="U13" s="388"/>
      <c r="V13" s="388"/>
      <c r="W13" s="391"/>
      <c r="X13" s="391"/>
      <c r="Y13" s="391"/>
      <c r="Z13" s="391"/>
      <c r="AA13" s="391"/>
      <c r="AB13" s="391"/>
    </row>
    <row r="14" spans="1:28">
      <c r="A14" s="385" t="s">
        <v>255</v>
      </c>
      <c r="B14" s="383" t="s">
        <v>256</v>
      </c>
      <c r="C14" s="1211">
        <f>SECT_TERAC.!C14*SECT_U.FIS.!$C$67</f>
        <v>702.30468159999987</v>
      </c>
      <c r="D14" s="1211">
        <f>SECT_TERAC.!D14*SECT_U.FIS.!D$67</f>
        <v>72.329662000000013</v>
      </c>
      <c r="E14" s="1211">
        <f>SECT_TERAC.!E14*SECT_U.FIS.!E$67</f>
        <v>0</v>
      </c>
      <c r="F14" s="1211">
        <f>SECT_TERAC.!F14*SECT_U.FIS.!F$67</f>
        <v>0</v>
      </c>
      <c r="G14" s="1211">
        <f>SECT_TERAC.!G14*SECT_U.FIS.!G$67</f>
        <v>10.254789000000002</v>
      </c>
      <c r="H14" s="1211">
        <f>SECT_TERAC.!H14*SECT_U.FIS.!H$67</f>
        <v>4.0877465779999991</v>
      </c>
      <c r="I14" s="1211">
        <f>SECT_TERAC.!I14*SECT_U.FIS.!I$67</f>
        <v>0</v>
      </c>
      <c r="J14" s="1211">
        <f>SECT_TERAC.!J14*SECT_U.FIS.!J$67</f>
        <v>1.9999999999999998E-4</v>
      </c>
      <c r="K14" s="1211">
        <f>SECT_TERAC.!K14*SECT_U.FIS.!K$67</f>
        <v>1.7067680000000001</v>
      </c>
      <c r="L14" s="1211">
        <f>SECT_TERAC.!L14*SECT_U.FIS.!L$67</f>
        <v>0</v>
      </c>
      <c r="M14" s="1211">
        <f>SECT_TERAC.!N14*SECT_U.FIS.!M$67</f>
        <v>15859.370826726008</v>
      </c>
      <c r="N14" s="1211">
        <f>SECT_TERAC.!O14*SECT_U.FIS.!N$67</f>
        <v>2.7700000000000002E-2</v>
      </c>
      <c r="O14" s="1211">
        <f>SECT_TERAC.!P14*SECT_U.FIS.!O$67</f>
        <v>6.6615800000000007</v>
      </c>
      <c r="P14" s="1211">
        <f>SECT_TERAC.!Q14*SECT_U.FIS.!P$67</f>
        <v>0</v>
      </c>
      <c r="Q14" s="1211">
        <f>SECT_TERAC.!R14*SECT_U.FIS.!Q$67</f>
        <v>3.7800000000000003E-4</v>
      </c>
      <c r="R14" s="1211">
        <f>SECT_TERAC.!S14*SECT_U.FIS.!R$67</f>
        <v>0</v>
      </c>
      <c r="S14" s="1211">
        <f>SECT_TERAC.!T14*SECT_U.FIS.!S$67</f>
        <v>179.58946925309127</v>
      </c>
      <c r="T14" s="1211">
        <f>SECT_TERAC.!U14*SECT_U.FIS.!T$67</f>
        <v>0</v>
      </c>
      <c r="U14" s="1206">
        <f>SECT_TERAC.!V14*SECT_U.FIS.!U$67</f>
        <v>0</v>
      </c>
      <c r="V14" s="1211">
        <f>SECT_TERAC.!W14*SECT_U.FIS.!V$67</f>
        <v>0</v>
      </c>
      <c r="W14" s="391"/>
      <c r="X14" s="391"/>
      <c r="Y14" s="391"/>
      <c r="Z14" s="391"/>
      <c r="AA14" s="391"/>
      <c r="AB14" s="391"/>
    </row>
    <row r="15" spans="1:28">
      <c r="A15" s="385" t="s">
        <v>257</v>
      </c>
      <c r="B15" s="383" t="s">
        <v>258</v>
      </c>
      <c r="C15" s="1211">
        <f>SECT_TERAC.!C15*SECT_U.FIS.!$C$67</f>
        <v>34.198999999999998</v>
      </c>
      <c r="D15" s="1211">
        <f>SECT_TERAC.!D15*SECT_U.FIS.!D$67</f>
        <v>5.9884649999999979</v>
      </c>
      <c r="E15" s="1211">
        <f>SECT_TERAC.!E15*SECT_U.FIS.!E$67</f>
        <v>0</v>
      </c>
      <c r="F15" s="1211">
        <f>SECT_TERAC.!F15*SECT_U.FIS.!F$67</f>
        <v>0</v>
      </c>
      <c r="G15" s="1211">
        <f>SECT_TERAC.!G15*SECT_U.FIS.!G$67</f>
        <v>4.335</v>
      </c>
      <c r="H15" s="1211">
        <f>SECT_TERAC.!H15*SECT_U.FIS.!H$67</f>
        <v>0</v>
      </c>
      <c r="I15" s="1211">
        <f>SECT_TERAC.!I15*SECT_U.FIS.!I$67</f>
        <v>0</v>
      </c>
      <c r="J15" s="1211">
        <f>SECT_TERAC.!J15*SECT_U.FIS.!J$67</f>
        <v>0</v>
      </c>
      <c r="K15" s="1211">
        <f>SECT_TERAC.!K15*SECT_U.FIS.!K$67</f>
        <v>0</v>
      </c>
      <c r="L15" s="1211">
        <f>SECT_TERAC.!L15*SECT_U.FIS.!L$67</f>
        <v>0</v>
      </c>
      <c r="M15" s="1211">
        <f>SECT_TERAC.!N15*SECT_U.FIS.!M$67</f>
        <v>414.14774099999988</v>
      </c>
      <c r="N15" s="1211">
        <f>SECT_TERAC.!O15*SECT_U.FIS.!N$67</f>
        <v>0</v>
      </c>
      <c r="O15" s="1211">
        <f>SECT_TERAC.!P15*SECT_U.FIS.!O$67</f>
        <v>0</v>
      </c>
      <c r="P15" s="1211">
        <f>SECT_TERAC.!Q15*SECT_U.FIS.!P$67</f>
        <v>0</v>
      </c>
      <c r="Q15" s="1211">
        <f>SECT_TERAC.!R15*SECT_U.FIS.!Q$67</f>
        <v>5.8500000000000002E-4</v>
      </c>
      <c r="R15" s="1211">
        <f>SECT_TERAC.!S15*SECT_U.FIS.!R$67</f>
        <v>0</v>
      </c>
      <c r="S15" s="1211">
        <f>SECT_TERAC.!T15*SECT_U.FIS.!S$67</f>
        <v>88.725247999999993</v>
      </c>
      <c r="T15" s="1211">
        <f>SECT_TERAC.!U15*SECT_U.FIS.!T$67</f>
        <v>0</v>
      </c>
      <c r="U15" s="1206">
        <f>SECT_TERAC.!V15*SECT_U.FIS.!U$67</f>
        <v>0</v>
      </c>
      <c r="V15" s="1211">
        <f>SECT_TERAC.!W15*SECT_U.FIS.!V$67</f>
        <v>0</v>
      </c>
      <c r="W15" s="391"/>
      <c r="X15" s="391"/>
      <c r="Y15" s="391"/>
      <c r="Z15" s="391"/>
      <c r="AA15" s="391"/>
      <c r="AB15" s="391"/>
    </row>
    <row r="16" spans="1:28">
      <c r="A16" s="383"/>
      <c r="B16" s="383" t="s">
        <v>259</v>
      </c>
      <c r="C16" s="1211">
        <f>SECT_TERAC.!C16*SECT_U.FIS.!$C$67</f>
        <v>4.9537019999999998</v>
      </c>
      <c r="D16" s="1211">
        <f>SECT_TERAC.!D16*SECT_U.FIS.!D$67</f>
        <v>4.1791</v>
      </c>
      <c r="E16" s="1211">
        <f>SECT_TERAC.!E16*SECT_U.FIS.!E$67</f>
        <v>0</v>
      </c>
      <c r="F16" s="1211">
        <f>SECT_TERAC.!F16*SECT_U.FIS.!F$67</f>
        <v>0</v>
      </c>
      <c r="G16" s="1211">
        <f>SECT_TERAC.!G16*SECT_U.FIS.!G$67</f>
        <v>0</v>
      </c>
      <c r="H16" s="1211">
        <f>SECT_TERAC.!H16*SECT_U.FIS.!H$67</f>
        <v>0</v>
      </c>
      <c r="I16" s="1211">
        <f>SECT_TERAC.!I16*SECT_U.FIS.!I$67</f>
        <v>0</v>
      </c>
      <c r="J16" s="1211">
        <f>SECT_TERAC.!J16*SECT_U.FIS.!J$67</f>
        <v>0</v>
      </c>
      <c r="K16" s="1211">
        <f>SECT_TERAC.!K16*SECT_U.FIS.!K$67</f>
        <v>0</v>
      </c>
      <c r="L16" s="1211">
        <f>SECT_TERAC.!L16*SECT_U.FIS.!L$67</f>
        <v>0</v>
      </c>
      <c r="M16" s="1211">
        <f>SECT_TERAC.!N16*SECT_U.FIS.!M$67</f>
        <v>360.19684799999999</v>
      </c>
      <c r="N16" s="1211">
        <f>SECT_TERAC.!O16*SECT_U.FIS.!N$67</f>
        <v>84.94559999999997</v>
      </c>
      <c r="O16" s="1211">
        <f>SECT_TERAC.!P16*SECT_U.FIS.!O$67</f>
        <v>0</v>
      </c>
      <c r="P16" s="1211">
        <f>SECT_TERAC.!Q16*SECT_U.FIS.!P$67</f>
        <v>0</v>
      </c>
      <c r="Q16" s="1211">
        <f>SECT_TERAC.!R16*SECT_U.FIS.!Q$67</f>
        <v>0</v>
      </c>
      <c r="R16" s="1211">
        <f>SECT_TERAC.!S16*SECT_U.FIS.!R$67</f>
        <v>0</v>
      </c>
      <c r="S16" s="1211">
        <f>SECT_TERAC.!T16*SECT_U.FIS.!S$67</f>
        <v>0</v>
      </c>
      <c r="T16" s="1211">
        <f>SECT_TERAC.!U16*SECT_U.FIS.!T$67</f>
        <v>0</v>
      </c>
      <c r="U16" s="1206">
        <f>SECT_TERAC.!V16*SECT_U.FIS.!U$67</f>
        <v>0</v>
      </c>
      <c r="V16" s="1211">
        <f>SECT_TERAC.!W16*SECT_U.FIS.!V$67</f>
        <v>0</v>
      </c>
      <c r="W16" s="391"/>
      <c r="X16" s="391"/>
      <c r="Y16" s="391"/>
      <c r="Z16" s="391"/>
      <c r="AA16" s="391"/>
      <c r="AB16" s="391"/>
    </row>
    <row r="17" spans="1:28">
      <c r="A17" s="383"/>
      <c r="B17" s="383" t="s">
        <v>260</v>
      </c>
      <c r="C17" s="1211">
        <f>SECT_TERAC.!C17*SECT_U.FIS.!$C$67</f>
        <v>4.5633389999999991</v>
      </c>
      <c r="D17" s="1211">
        <f>SECT_TERAC.!D17*SECT_U.FIS.!D$67</f>
        <v>127.4240107676</v>
      </c>
      <c r="E17" s="1211">
        <f>SECT_TERAC.!E17*SECT_U.FIS.!E$67</f>
        <v>0</v>
      </c>
      <c r="F17" s="1211">
        <f>SECT_TERAC.!F17*SECT_U.FIS.!F$67</f>
        <v>0</v>
      </c>
      <c r="G17" s="1211">
        <f>SECT_TERAC.!G17*SECT_U.FIS.!G$67</f>
        <v>1.2978000000000002E-2</v>
      </c>
      <c r="H17" s="1211">
        <f>SECT_TERAC.!H17*SECT_U.FIS.!H$67</f>
        <v>5.0380739999999982</v>
      </c>
      <c r="I17" s="1211">
        <f>SECT_TERAC.!I17*SECT_U.FIS.!I$67</f>
        <v>0</v>
      </c>
      <c r="J17" s="1211">
        <f>SECT_TERAC.!J17*SECT_U.FIS.!J$67</f>
        <v>0</v>
      </c>
      <c r="K17" s="1211">
        <f>SECT_TERAC.!K17*SECT_U.FIS.!K$67</f>
        <v>0</v>
      </c>
      <c r="L17" s="1211">
        <f>SECT_TERAC.!L17*SECT_U.FIS.!L$67</f>
        <v>0</v>
      </c>
      <c r="M17" s="1211">
        <f>SECT_TERAC.!N17*SECT_U.FIS.!M$67</f>
        <v>4351.2164768697139</v>
      </c>
      <c r="N17" s="1211">
        <f>SECT_TERAC.!O17*SECT_U.FIS.!N$67</f>
        <v>0</v>
      </c>
      <c r="O17" s="1211">
        <f>SECT_TERAC.!P17*SECT_U.FIS.!O$67</f>
        <v>0</v>
      </c>
      <c r="P17" s="1211">
        <f>SECT_TERAC.!Q17*SECT_U.FIS.!P$67</f>
        <v>0</v>
      </c>
      <c r="Q17" s="1211">
        <f>SECT_TERAC.!R17*SECT_U.FIS.!Q$67</f>
        <v>9.9999999999999995E-7</v>
      </c>
      <c r="R17" s="1211">
        <f>SECT_TERAC.!S17*SECT_U.FIS.!R$67</f>
        <v>0</v>
      </c>
      <c r="S17" s="1211">
        <f>SECT_TERAC.!T17*SECT_U.FIS.!S$67</f>
        <v>88.844921259585078</v>
      </c>
      <c r="T17" s="1211">
        <f>SECT_TERAC.!U17*SECT_U.FIS.!T$67</f>
        <v>0</v>
      </c>
      <c r="U17" s="1206">
        <f>SECT_TERAC.!V17*SECT_U.FIS.!U$67</f>
        <v>0</v>
      </c>
      <c r="V17" s="1211">
        <f>SECT_TERAC.!W17*SECT_U.FIS.!V$67</f>
        <v>2103.9906516193132</v>
      </c>
      <c r="W17" s="391"/>
      <c r="X17" s="391"/>
      <c r="Y17" s="391"/>
      <c r="Z17" s="391"/>
      <c r="AA17" s="391"/>
      <c r="AB17" s="391"/>
    </row>
    <row r="18" spans="1:28">
      <c r="A18" s="383"/>
      <c r="B18" s="383" t="s">
        <v>261</v>
      </c>
      <c r="C18" s="1211">
        <f>SECT_TERAC.!C18*SECT_U.FIS.!$C$67</f>
        <v>1.4863000000000002</v>
      </c>
      <c r="D18" s="1211">
        <f>SECT_TERAC.!D18*SECT_U.FIS.!D$67</f>
        <v>17.112769358857143</v>
      </c>
      <c r="E18" s="1211">
        <f>SECT_TERAC.!E18*SECT_U.FIS.!E$67</f>
        <v>0</v>
      </c>
      <c r="F18" s="1211">
        <f>SECT_TERAC.!F18*SECT_U.FIS.!F$67</f>
        <v>0</v>
      </c>
      <c r="G18" s="1211">
        <f>SECT_TERAC.!G18*SECT_U.FIS.!G$67</f>
        <v>0.65900000000000014</v>
      </c>
      <c r="H18" s="1211">
        <f>SECT_TERAC.!H18*SECT_U.FIS.!H$67</f>
        <v>1.56</v>
      </c>
      <c r="I18" s="1211">
        <f>SECT_TERAC.!I18*SECT_U.FIS.!I$67</f>
        <v>0</v>
      </c>
      <c r="J18" s="1211">
        <f>SECT_TERAC.!J18*SECT_U.FIS.!J$67</f>
        <v>0</v>
      </c>
      <c r="K18" s="1211">
        <f>SECT_TERAC.!K18*SECT_U.FIS.!K$67</f>
        <v>0</v>
      </c>
      <c r="L18" s="1211">
        <f>SECT_TERAC.!L18*SECT_U.FIS.!L$67</f>
        <v>0</v>
      </c>
      <c r="M18" s="1211">
        <f>SECT_TERAC.!N18*SECT_U.FIS.!M$67</f>
        <v>573.81299700000034</v>
      </c>
      <c r="N18" s="1211">
        <f>SECT_TERAC.!O18*SECT_U.FIS.!N$67</f>
        <v>6.6519999999999996E-2</v>
      </c>
      <c r="O18" s="1211">
        <f>SECT_TERAC.!P18*SECT_U.FIS.!O$67</f>
        <v>304.65402857142868</v>
      </c>
      <c r="P18" s="1211">
        <f>SECT_TERAC.!Q18*SECT_U.FIS.!P$67</f>
        <v>0</v>
      </c>
      <c r="Q18" s="1211">
        <f>SECT_TERAC.!R18*SECT_U.FIS.!Q$67</f>
        <v>208.35449952824001</v>
      </c>
      <c r="R18" s="1211">
        <f>SECT_TERAC.!S18*SECT_U.FIS.!R$67</f>
        <v>323.96065077777786</v>
      </c>
      <c r="S18" s="1211">
        <f>SECT_TERAC.!T18*SECT_U.FIS.!S$67</f>
        <v>23.984812244369962</v>
      </c>
      <c r="T18" s="1211">
        <f>SECT_TERAC.!U18*SECT_U.FIS.!T$67</f>
        <v>0</v>
      </c>
      <c r="U18" s="1206">
        <f>SECT_TERAC.!V18*SECT_U.FIS.!U$67</f>
        <v>0</v>
      </c>
      <c r="V18" s="1211">
        <f>SECT_TERAC.!W18*SECT_U.FIS.!V$67</f>
        <v>1.3979999999999999E-2</v>
      </c>
      <c r="W18" s="391"/>
      <c r="X18" s="391"/>
      <c r="Y18" s="391"/>
      <c r="Z18" s="391"/>
      <c r="AA18" s="391"/>
      <c r="AB18" s="391"/>
    </row>
    <row r="19" spans="1:28">
      <c r="A19" s="383"/>
      <c r="B19" s="383" t="s">
        <v>262</v>
      </c>
      <c r="C19" s="1211">
        <f>SECT_TERAC.!C19*SECT_U.FIS.!$C$67</f>
        <v>2.2160499999999996</v>
      </c>
      <c r="D19" s="1211">
        <f>SECT_TERAC.!D19*SECT_U.FIS.!D$67</f>
        <v>0.90567900000000001</v>
      </c>
      <c r="E19" s="1211">
        <f>SECT_TERAC.!E19*SECT_U.FIS.!E$67</f>
        <v>0</v>
      </c>
      <c r="F19" s="1211">
        <f>SECT_TERAC.!F19*SECT_U.FIS.!F$67</f>
        <v>0</v>
      </c>
      <c r="G19" s="1211">
        <f>SECT_TERAC.!G19*SECT_U.FIS.!G$67</f>
        <v>0</v>
      </c>
      <c r="H19" s="1211">
        <f>SECT_TERAC.!H19*SECT_U.FIS.!H$67</f>
        <v>1.3078079499999999</v>
      </c>
      <c r="I19" s="1211">
        <f>SECT_TERAC.!I19*SECT_U.FIS.!I$67</f>
        <v>0</v>
      </c>
      <c r="J19" s="1211">
        <f>SECT_TERAC.!J19*SECT_U.FIS.!J$67</f>
        <v>0</v>
      </c>
      <c r="K19" s="1211">
        <f>SECT_TERAC.!K19*SECT_U.FIS.!K$67</f>
        <v>0</v>
      </c>
      <c r="L19" s="1211">
        <f>SECT_TERAC.!L19*SECT_U.FIS.!L$67</f>
        <v>0.8607981220657277</v>
      </c>
      <c r="M19" s="1211">
        <f>SECT_TERAC.!N19*SECT_U.FIS.!M$67</f>
        <v>642.49999400000013</v>
      </c>
      <c r="N19" s="1211">
        <f>SECT_TERAC.!O19*SECT_U.FIS.!N$67</f>
        <v>0</v>
      </c>
      <c r="O19" s="1211">
        <f>SECT_TERAC.!P19*SECT_U.FIS.!O$67</f>
        <v>0</v>
      </c>
      <c r="P19" s="1211">
        <f>SECT_TERAC.!Q19*SECT_U.FIS.!P$67</f>
        <v>0</v>
      </c>
      <c r="Q19" s="1211">
        <f>SECT_TERAC.!R19*SECT_U.FIS.!Q$67</f>
        <v>0</v>
      </c>
      <c r="R19" s="1211">
        <f>SECT_TERAC.!S19*SECT_U.FIS.!R$67</f>
        <v>0</v>
      </c>
      <c r="S19" s="1211">
        <f>SECT_TERAC.!T19*SECT_U.FIS.!S$67</f>
        <v>10.65165841920822</v>
      </c>
      <c r="T19" s="1211">
        <f>SECT_TERAC.!U19*SECT_U.FIS.!T$67</f>
        <v>0</v>
      </c>
      <c r="U19" s="1206">
        <f>SECT_TERAC.!V19*SECT_U.FIS.!U$67</f>
        <v>0</v>
      </c>
      <c r="V19" s="1211">
        <f>SECT_TERAC.!W19*SECT_U.FIS.!V$67</f>
        <v>0</v>
      </c>
      <c r="W19" s="391"/>
      <c r="X19" s="391"/>
      <c r="Y19" s="391"/>
      <c r="Z19" s="391"/>
      <c r="AA19" s="391"/>
      <c r="AB19" s="391"/>
    </row>
    <row r="20" spans="1:28">
      <c r="A20" s="383"/>
      <c r="B20" s="383" t="s">
        <v>263</v>
      </c>
      <c r="C20" s="1211">
        <f>SECT_TERAC.!C20*SECT_U.FIS.!$C$67</f>
        <v>7.4865074000000007</v>
      </c>
      <c r="D20" s="1211">
        <f>SECT_TERAC.!D20*SECT_U.FIS.!D$67</f>
        <v>23.135108000000002</v>
      </c>
      <c r="E20" s="1211">
        <f>SECT_TERAC.!E20*SECT_U.FIS.!E$67</f>
        <v>0</v>
      </c>
      <c r="F20" s="1211">
        <f>SECT_TERAC.!F20*SECT_U.FIS.!F$67</f>
        <v>0</v>
      </c>
      <c r="G20" s="1211">
        <f>SECT_TERAC.!G20*SECT_U.FIS.!G$67</f>
        <v>0</v>
      </c>
      <c r="H20" s="1211">
        <f>SECT_TERAC.!H20*SECT_U.FIS.!H$67</f>
        <v>0.21900000000000003</v>
      </c>
      <c r="I20" s="1211">
        <f>SECT_TERAC.!I20*SECT_U.FIS.!I$67</f>
        <v>0</v>
      </c>
      <c r="J20" s="1211">
        <f>SECT_TERAC.!J20*SECT_U.FIS.!J$67</f>
        <v>0</v>
      </c>
      <c r="K20" s="1211">
        <f>SECT_TERAC.!K20*SECT_U.FIS.!K$67</f>
        <v>0</v>
      </c>
      <c r="L20" s="1211">
        <f>SECT_TERAC.!L20*SECT_U.FIS.!L$67</f>
        <v>0</v>
      </c>
      <c r="M20" s="1211">
        <f>SECT_TERAC.!N20*SECT_U.FIS.!M$67</f>
        <v>491.71166399999981</v>
      </c>
      <c r="N20" s="1211">
        <f>SECT_TERAC.!O20*SECT_U.FIS.!N$67</f>
        <v>199.06648956963531</v>
      </c>
      <c r="O20" s="1211">
        <f>SECT_TERAC.!P20*SECT_U.FIS.!O$67</f>
        <v>60.326999999999998</v>
      </c>
      <c r="P20" s="1211">
        <f>SECT_TERAC.!Q20*SECT_U.FIS.!P$67</f>
        <v>0</v>
      </c>
      <c r="Q20" s="1211">
        <f>SECT_TERAC.!R20*SECT_U.FIS.!Q$67</f>
        <v>0</v>
      </c>
      <c r="R20" s="1211">
        <f>SECT_TERAC.!S20*SECT_U.FIS.!R$67</f>
        <v>0</v>
      </c>
      <c r="S20" s="1211">
        <f>SECT_TERAC.!T20*SECT_U.FIS.!S$67</f>
        <v>31.361358865452541</v>
      </c>
      <c r="T20" s="1211">
        <f>SECT_TERAC.!U20*SECT_U.FIS.!T$67</f>
        <v>0</v>
      </c>
      <c r="U20" s="1206">
        <f>SECT_TERAC.!V20*SECT_U.FIS.!U$67</f>
        <v>0</v>
      </c>
      <c r="V20" s="1211">
        <f>SECT_TERAC.!W20*SECT_U.FIS.!V$67</f>
        <v>0</v>
      </c>
      <c r="W20" s="391"/>
      <c r="X20" s="391"/>
      <c r="Y20" s="391"/>
      <c r="Z20" s="391"/>
      <c r="AA20" s="391"/>
      <c r="AB20" s="391"/>
    </row>
    <row r="21" spans="1:28">
      <c r="A21" s="383"/>
      <c r="B21" s="383" t="s">
        <v>264</v>
      </c>
      <c r="C21" s="1211">
        <f>SECT_TERAC.!C21*SECT_U.FIS.!$C$67</f>
        <v>0</v>
      </c>
      <c r="D21" s="1211">
        <f>SECT_TERAC.!D21*SECT_U.FIS.!D$67</f>
        <v>9.4339246580000005</v>
      </c>
      <c r="E21" s="1211">
        <f>SECT_TERAC.!E21*SECT_U.FIS.!E$67</f>
        <v>0</v>
      </c>
      <c r="F21" s="1211">
        <f>SECT_TERAC.!F21*SECT_U.FIS.!F$67</f>
        <v>0</v>
      </c>
      <c r="G21" s="1211">
        <f>SECT_TERAC.!G21*SECT_U.FIS.!G$67</f>
        <v>0</v>
      </c>
      <c r="H21" s="1211">
        <f>SECT_TERAC.!H21*SECT_U.FIS.!H$67</f>
        <v>0.19600000000000001</v>
      </c>
      <c r="I21" s="1211">
        <f>SECT_TERAC.!I21*SECT_U.FIS.!I$67</f>
        <v>0</v>
      </c>
      <c r="J21" s="1211">
        <f>SECT_TERAC.!J21*SECT_U.FIS.!J$67</f>
        <v>0</v>
      </c>
      <c r="K21" s="1211">
        <f>SECT_TERAC.!K21*SECT_U.FIS.!K$67</f>
        <v>0</v>
      </c>
      <c r="L21" s="1211">
        <f>SECT_TERAC.!L21*SECT_U.FIS.!L$67</f>
        <v>0</v>
      </c>
      <c r="M21" s="1211">
        <f>SECT_TERAC.!N21*SECT_U.FIS.!M$67</f>
        <v>102.23826619459706</v>
      </c>
      <c r="N21" s="1211">
        <f>SECT_TERAC.!O21*SECT_U.FIS.!N$67</f>
        <v>125.55967941104946</v>
      </c>
      <c r="O21" s="1211">
        <f>SECT_TERAC.!P21*SECT_U.FIS.!O$67</f>
        <v>5.4397020000000005</v>
      </c>
      <c r="P21" s="1211">
        <f>SECT_TERAC.!Q21*SECT_U.FIS.!P$67</f>
        <v>0</v>
      </c>
      <c r="Q21" s="1211">
        <f>SECT_TERAC.!R21*SECT_U.FIS.!Q$67</f>
        <v>0</v>
      </c>
      <c r="R21" s="1211">
        <f>SECT_TERAC.!S21*SECT_U.FIS.!R$67</f>
        <v>0</v>
      </c>
      <c r="S21" s="1211">
        <f>SECT_TERAC.!T21*SECT_U.FIS.!S$67</f>
        <v>0</v>
      </c>
      <c r="T21" s="1211">
        <f>SECT_TERAC.!U21*SECT_U.FIS.!T$67</f>
        <v>0</v>
      </c>
      <c r="U21" s="1206">
        <f>SECT_TERAC.!V21*SECT_U.FIS.!U$67</f>
        <v>0</v>
      </c>
      <c r="V21" s="1211">
        <f>SECT_TERAC.!W21*SECT_U.FIS.!V$67</f>
        <v>0</v>
      </c>
      <c r="W21" s="391"/>
      <c r="X21" s="391"/>
      <c r="Y21" s="391"/>
      <c r="Z21" s="391"/>
      <c r="AA21" s="391"/>
      <c r="AB21" s="391"/>
    </row>
    <row r="22" spans="1:28">
      <c r="A22" s="383"/>
      <c r="B22" s="383" t="s">
        <v>265</v>
      </c>
      <c r="C22" s="1211">
        <f>SECT_TERAC.!C22*SECT_U.FIS.!$C$67</f>
        <v>36.473594999999996</v>
      </c>
      <c r="D22" s="1211">
        <f>SECT_TERAC.!D22*SECT_U.FIS.!D$67</f>
        <v>48.988798634999995</v>
      </c>
      <c r="E22" s="1211">
        <f>SECT_TERAC.!E22*SECT_U.FIS.!E$67</f>
        <v>0</v>
      </c>
      <c r="F22" s="1211">
        <f>SECT_TERAC.!F22*SECT_U.FIS.!F$67</f>
        <v>0</v>
      </c>
      <c r="G22" s="1211">
        <f>SECT_TERAC.!G22*SECT_U.FIS.!G$67</f>
        <v>0</v>
      </c>
      <c r="H22" s="1211">
        <f>SECT_TERAC.!H22*SECT_U.FIS.!H$67</f>
        <v>17.010530000000003</v>
      </c>
      <c r="I22" s="1211">
        <f>SECT_TERAC.!I22*SECT_U.FIS.!I$67</f>
        <v>0</v>
      </c>
      <c r="J22" s="1211">
        <f>SECT_TERAC.!J22*SECT_U.FIS.!J$67</f>
        <v>0</v>
      </c>
      <c r="K22" s="1211">
        <f>SECT_TERAC.!K22*SECT_U.FIS.!K$67</f>
        <v>0</v>
      </c>
      <c r="L22" s="1211">
        <f>SECT_TERAC.!L22*SECT_U.FIS.!L$67</f>
        <v>0</v>
      </c>
      <c r="M22" s="1211">
        <f>SECT_TERAC.!N22*SECT_U.FIS.!M$67</f>
        <v>124.44678599999995</v>
      </c>
      <c r="N22" s="1211">
        <f>SECT_TERAC.!O22*SECT_U.FIS.!N$67</f>
        <v>18.552569142857138</v>
      </c>
      <c r="O22" s="1211">
        <f>SECT_TERAC.!P22*SECT_U.FIS.!O$67</f>
        <v>0</v>
      </c>
      <c r="P22" s="1211">
        <f>SECT_TERAC.!Q22*SECT_U.FIS.!P$67</f>
        <v>0</v>
      </c>
      <c r="Q22" s="1211">
        <f>SECT_TERAC.!R22*SECT_U.FIS.!Q$67</f>
        <v>0</v>
      </c>
      <c r="R22" s="1211">
        <f>SECT_TERAC.!S22*SECT_U.FIS.!R$67</f>
        <v>0</v>
      </c>
      <c r="S22" s="1211">
        <f>SECT_TERAC.!T22*SECT_U.FIS.!S$67</f>
        <v>54.943356747871348</v>
      </c>
      <c r="T22" s="1211">
        <f>SECT_TERAC.!U22*SECT_U.FIS.!T$67</f>
        <v>0</v>
      </c>
      <c r="U22" s="1206">
        <f>SECT_TERAC.!V22*SECT_U.FIS.!U$67</f>
        <v>0</v>
      </c>
      <c r="V22" s="1211">
        <f>SECT_TERAC.!W22*SECT_U.FIS.!V$67</f>
        <v>0</v>
      </c>
      <c r="W22" s="391"/>
      <c r="X22" s="391"/>
      <c r="Y22" s="391"/>
      <c r="Z22" s="391"/>
      <c r="AA22" s="391"/>
      <c r="AB22" s="391"/>
    </row>
    <row r="23" spans="1:28">
      <c r="A23" s="383"/>
      <c r="B23" s="383" t="s">
        <v>266</v>
      </c>
      <c r="C23" s="1211">
        <f>SECT_TERAC.!C23*SECT_U.FIS.!$C$67</f>
        <v>507.52500588571411</v>
      </c>
      <c r="D23" s="1211">
        <f>SECT_TERAC.!D23*SECT_U.FIS.!D$67</f>
        <v>125.70588398699999</v>
      </c>
      <c r="E23" s="1211">
        <f>SECT_TERAC.!E23*SECT_U.FIS.!E$67</f>
        <v>0</v>
      </c>
      <c r="F23" s="1211">
        <f>SECT_TERAC.!F23*SECT_U.FIS.!F$67</f>
        <v>0</v>
      </c>
      <c r="G23" s="1211">
        <f>SECT_TERAC.!G23*SECT_U.FIS.!G$67</f>
        <v>2.4090220000000002</v>
      </c>
      <c r="H23" s="1211">
        <f>SECT_TERAC.!H23*SECT_U.FIS.!H$67</f>
        <v>128.93586900077318</v>
      </c>
      <c r="I23" s="1211">
        <f>SECT_TERAC.!I23*SECT_U.FIS.!I$67</f>
        <v>0</v>
      </c>
      <c r="J23" s="1211">
        <f>SECT_TERAC.!J23*SECT_U.FIS.!J$67</f>
        <v>0</v>
      </c>
      <c r="K23" s="1211">
        <f>SECT_TERAC.!K23*SECT_U.FIS.!K$67</f>
        <v>1.5600000000000001E-2</v>
      </c>
      <c r="L23" s="1211">
        <f>SECT_TERAC.!L23*SECT_U.FIS.!L$67</f>
        <v>0</v>
      </c>
      <c r="M23" s="1211">
        <f>SECT_TERAC.!N23*SECT_U.FIS.!M$67</f>
        <v>8043.6551270451037</v>
      </c>
      <c r="N23" s="1211">
        <f>SECT_TERAC.!O23*SECT_U.FIS.!N$67</f>
        <v>198.43469906232565</v>
      </c>
      <c r="O23" s="1211">
        <f>SECT_TERAC.!P23*SECT_U.FIS.!O$67</f>
        <v>1.3595594285714283</v>
      </c>
      <c r="P23" s="1211">
        <f>SECT_TERAC.!Q23*SECT_U.FIS.!P$67</f>
        <v>0</v>
      </c>
      <c r="Q23" s="1211">
        <f>SECT_TERAC.!R23*SECT_U.FIS.!Q$67</f>
        <v>7.3266200000000003E-4</v>
      </c>
      <c r="R23" s="1211">
        <f>SECT_TERAC.!S23*SECT_U.FIS.!R$67</f>
        <v>0</v>
      </c>
      <c r="S23" s="1211">
        <f>SECT_TERAC.!T23*SECT_U.FIS.!S$67</f>
        <v>478.34696547964194</v>
      </c>
      <c r="T23" s="1211">
        <f>SECT_TERAC.!U23*SECT_U.FIS.!T$67</f>
        <v>0</v>
      </c>
      <c r="U23" s="1206">
        <f>SECT_TERAC.!V23*SECT_U.FIS.!U$67</f>
        <v>0</v>
      </c>
      <c r="V23" s="1211">
        <f>SECT_TERAC.!W23*SECT_U.FIS.!V$67</f>
        <v>1098.8977306504401</v>
      </c>
      <c r="W23" s="391"/>
      <c r="X23" s="391"/>
      <c r="Y23" s="391"/>
      <c r="Z23" s="391"/>
      <c r="AA23" s="391"/>
      <c r="AB23" s="391"/>
    </row>
    <row r="24" spans="1:28">
      <c r="A24" s="383"/>
      <c r="B24" s="383" t="s">
        <v>267</v>
      </c>
      <c r="C24" s="1211">
        <f>SECT_TERAC.!C24*SECT_U.FIS.!$C$67</f>
        <v>333.79205239999959</v>
      </c>
      <c r="D24" s="1211">
        <f>SECT_TERAC.!D24*SECT_U.FIS.!D$67</f>
        <v>60.208809999999971</v>
      </c>
      <c r="E24" s="1211">
        <f>SECT_TERAC.!E24*SECT_U.FIS.!E$67</f>
        <v>0</v>
      </c>
      <c r="F24" s="1211">
        <f>SECT_TERAC.!F24*SECT_U.FIS.!F$67</f>
        <v>0</v>
      </c>
      <c r="G24" s="1211">
        <f>SECT_TERAC.!G24*SECT_U.FIS.!G$67</f>
        <v>10.290086000000004</v>
      </c>
      <c r="H24" s="1211">
        <f>SECT_TERAC.!H24*SECT_U.FIS.!H$67</f>
        <v>0.52400000000000002</v>
      </c>
      <c r="I24" s="1211">
        <f>SECT_TERAC.!I24*SECT_U.FIS.!I$67</f>
        <v>0</v>
      </c>
      <c r="J24" s="1211">
        <f>SECT_TERAC.!J24*SECT_U.FIS.!J$67</f>
        <v>0</v>
      </c>
      <c r="K24" s="1211">
        <f>SECT_TERAC.!K24*SECT_U.FIS.!K$67</f>
        <v>0</v>
      </c>
      <c r="L24" s="1211">
        <f>SECT_TERAC.!L24*SECT_U.FIS.!L$67</f>
        <v>0</v>
      </c>
      <c r="M24" s="1211">
        <f>SECT_TERAC.!N24*SECT_U.FIS.!M$67</f>
        <v>1461.0175826599411</v>
      </c>
      <c r="N24" s="1211">
        <f>SECT_TERAC.!O24*SECT_U.FIS.!N$67</f>
        <v>3.44853481</v>
      </c>
      <c r="O24" s="1211">
        <f>SECT_TERAC.!P24*SECT_U.FIS.!O$67</f>
        <v>4.2879999999999994</v>
      </c>
      <c r="P24" s="1211">
        <f>SECT_TERAC.!Q24*SECT_U.FIS.!P$67</f>
        <v>0</v>
      </c>
      <c r="Q24" s="1211">
        <f>SECT_TERAC.!R24*SECT_U.FIS.!Q$67</f>
        <v>1.7830000000000001E-3</v>
      </c>
      <c r="R24" s="1211">
        <f>SECT_TERAC.!S24*SECT_U.FIS.!R$67</f>
        <v>0</v>
      </c>
      <c r="S24" s="1211">
        <f>SECT_TERAC.!T24*SECT_U.FIS.!S$67</f>
        <v>2.8397520000000078</v>
      </c>
      <c r="T24" s="1211">
        <f>SECT_TERAC.!U24*SECT_U.FIS.!T$67</f>
        <v>0</v>
      </c>
      <c r="U24" s="1206">
        <f>SECT_TERAC.!V24*SECT_U.FIS.!U$67</f>
        <v>0</v>
      </c>
      <c r="V24" s="1211">
        <f>SECT_TERAC.!W24*SECT_U.FIS.!V$67</f>
        <v>0</v>
      </c>
      <c r="W24" s="391"/>
      <c r="X24" s="391"/>
      <c r="Y24" s="391"/>
      <c r="Z24" s="391"/>
      <c r="AA24" s="391"/>
      <c r="AB24" s="391"/>
    </row>
    <row r="25" spans="1:28">
      <c r="A25" s="383"/>
      <c r="B25" s="383"/>
      <c r="C25" s="388"/>
      <c r="D25" s="388"/>
      <c r="E25" s="388"/>
      <c r="F25" s="388"/>
      <c r="G25" s="388"/>
      <c r="H25" s="388"/>
      <c r="I25" s="388"/>
      <c r="J25" s="388"/>
      <c r="K25" s="388"/>
      <c r="L25" s="388"/>
      <c r="M25" s="388"/>
      <c r="N25" s="388"/>
      <c r="O25" s="388"/>
      <c r="P25" s="388"/>
      <c r="Q25" s="388"/>
      <c r="R25" s="388"/>
      <c r="S25" s="388"/>
      <c r="T25" s="388"/>
      <c r="U25" s="388"/>
      <c r="V25" s="388"/>
      <c r="W25" s="391"/>
      <c r="X25" s="391"/>
      <c r="Y25" s="391"/>
      <c r="Z25" s="391"/>
      <c r="AA25" s="391"/>
      <c r="AB25" s="391"/>
    </row>
    <row r="26" spans="1:28">
      <c r="A26" s="383" t="s">
        <v>268</v>
      </c>
      <c r="B26" s="383"/>
      <c r="C26" s="1213">
        <f>SECT_TERAC.!C26*SECT_U.FIS.!$C$67</f>
        <v>1635.0002332857134</v>
      </c>
      <c r="D26" s="1213">
        <f>SECT_TERAC.!D26*SECT_U.FIS.!D$67</f>
        <v>495.41221140645712</v>
      </c>
      <c r="E26" s="1213">
        <f>SECT_TERAC.!E26*SECT_U.FIS.!E$67</f>
        <v>0</v>
      </c>
      <c r="F26" s="1213">
        <f>SECT_TERAC.!F26*SECT_U.FIS.!F$67</f>
        <v>0</v>
      </c>
      <c r="G26" s="1213">
        <f>SECT_TERAC.!G26*SECT_U.FIS.!G$67</f>
        <v>27.960875000000009</v>
      </c>
      <c r="H26" s="1213">
        <f>SECT_TERAC.!H26*SECT_U.FIS.!H$67</f>
        <v>158.87902752877318</v>
      </c>
      <c r="I26" s="1213">
        <f>SECT_TERAC.!I26*SECT_U.FIS.!I$67</f>
        <v>0</v>
      </c>
      <c r="J26" s="1213">
        <f>SECT_TERAC.!J26*SECT_U.FIS.!J$67</f>
        <v>1.9999999999999998E-4</v>
      </c>
      <c r="K26" s="1213">
        <f>SECT_TERAC.!K26*SECT_U.FIS.!K$67</f>
        <v>1.7223680000000001</v>
      </c>
      <c r="L26" s="1213">
        <f>SECT_TERAC.!L26*SECT_U.FIS.!L$67</f>
        <v>0.8607981220657277</v>
      </c>
      <c r="M26" s="1213">
        <f>SECT_TERAC.!N26*SECT_U.FIS.!M$67</f>
        <v>32424.314309495367</v>
      </c>
      <c r="N26" s="1213">
        <f>SECT_TERAC.!O26*SECT_U.FIS.!N$67</f>
        <v>630.10179199586753</v>
      </c>
      <c r="O26" s="1213">
        <f>SECT_TERAC.!P26*SECT_U.FIS.!O$67</f>
        <v>382.72987000000018</v>
      </c>
      <c r="P26" s="1213">
        <f>SECT_TERAC.!Q26*SECT_U.FIS.!P$67</f>
        <v>0</v>
      </c>
      <c r="Q26" s="1213">
        <f>SECT_TERAC.!R26*SECT_U.FIS.!Q$67</f>
        <v>208.35797919024</v>
      </c>
      <c r="R26" s="1213">
        <f>SECT_TERAC.!S26*SECT_U.FIS.!R$67</f>
        <v>323.96065077777786</v>
      </c>
      <c r="S26" s="1213">
        <f>SECT_TERAC.!T26*SECT_U.FIS.!S$67</f>
        <v>959.28754226922035</v>
      </c>
      <c r="T26" s="1213">
        <f>SECT_TERAC.!U26*SECT_U.FIS.!T$67</f>
        <v>0</v>
      </c>
      <c r="U26" s="1213">
        <f>SECT_TERAC.!V26*SECT_U.FIS.!U$67</f>
        <v>0</v>
      </c>
      <c r="V26" s="1213">
        <f>SECT_TERAC.!W26*SECT_U.FIS.!V$67</f>
        <v>3202.9023622697532</v>
      </c>
      <c r="W26" s="391"/>
      <c r="X26" s="391"/>
      <c r="Y26" s="391"/>
      <c r="Z26" s="391"/>
      <c r="AA26" s="391"/>
      <c r="AB26" s="391"/>
    </row>
    <row r="27" spans="1:28">
      <c r="A27" s="383"/>
      <c r="B27" s="383"/>
      <c r="C27" s="388"/>
      <c r="D27" s="388"/>
      <c r="E27" s="388"/>
      <c r="F27" s="388"/>
      <c r="G27" s="388"/>
      <c r="H27" s="388"/>
      <c r="I27" s="388"/>
      <c r="J27" s="388"/>
      <c r="K27" s="388"/>
      <c r="L27" s="388"/>
      <c r="M27" s="388"/>
      <c r="N27" s="388"/>
      <c r="O27" s="388"/>
      <c r="P27" s="388"/>
      <c r="Q27" s="388"/>
      <c r="R27" s="388"/>
      <c r="S27" s="388"/>
      <c r="T27" s="388"/>
      <c r="U27" s="388"/>
      <c r="V27" s="388"/>
      <c r="W27" s="388"/>
      <c r="X27" s="388"/>
      <c r="Y27" s="388"/>
      <c r="Z27" s="388"/>
      <c r="AA27" s="388"/>
      <c r="AB27" s="388"/>
    </row>
    <row r="28" spans="1:28">
      <c r="A28" s="385" t="s">
        <v>269</v>
      </c>
      <c r="B28" s="383" t="s">
        <v>270</v>
      </c>
      <c r="C28" s="1211">
        <f>SECT_TERAC.!C28*SECT_U.FIS.!$C$67</f>
        <v>0</v>
      </c>
      <c r="D28" s="1211">
        <f>SECT_TERAC.!D28*SECT_U.FIS.!D$67</f>
        <v>0</v>
      </c>
      <c r="E28" s="1211">
        <f>SECT_TERAC.!E28*SECT_U.FIS.!E$67</f>
        <v>0</v>
      </c>
      <c r="F28" s="1211">
        <f>SECT_TERAC.!F28*SECT_U.FIS.!F$67</f>
        <v>0</v>
      </c>
      <c r="G28" s="1211">
        <f>SECT_TERAC.!G28*SECT_U.FIS.!G$67</f>
        <v>0</v>
      </c>
      <c r="H28" s="1211">
        <f>SECT_TERAC.!H28*SECT_U.FIS.!H$67</f>
        <v>0</v>
      </c>
      <c r="I28" s="1211">
        <f>SECT_TERAC.!I28*SECT_U.FIS.!I$67</f>
        <v>0</v>
      </c>
      <c r="J28" s="1211">
        <f>SECT_TERAC.!J28*SECT_U.FIS.!J$67</f>
        <v>0</v>
      </c>
      <c r="K28" s="1211">
        <f>SECT_TERAC.!K28*SECT_U.FIS.!K$67</f>
        <v>0</v>
      </c>
      <c r="L28" s="1211">
        <f>SECT_TERAC.!L28*SECT_U.FIS.!L$67</f>
        <v>0</v>
      </c>
      <c r="M28" s="1211">
        <f>SECT_TERAC.!N28*SECT_U.FIS.!M$67</f>
        <v>0</v>
      </c>
      <c r="N28" s="1211">
        <f>SECT_TERAC.!O28*SECT_U.FIS.!N$67</f>
        <v>0</v>
      </c>
      <c r="O28" s="1211">
        <f>SECT_TERAC.!P28*SECT_U.FIS.!O$67</f>
        <v>0</v>
      </c>
      <c r="P28" s="1211">
        <f>SECT_TERAC.!Q28*SECT_U.FIS.!P$67</f>
        <v>0</v>
      </c>
      <c r="Q28" s="1211">
        <f>SECT_TERAC.!R28*SECT_U.FIS.!Q$67</f>
        <v>0</v>
      </c>
      <c r="R28" s="1211">
        <f>SECT_TERAC.!S28*SECT_U.FIS.!R$67</f>
        <v>0</v>
      </c>
      <c r="S28" s="1211">
        <f>SECT_TERAC.!T28*SECT_U.FIS.!S$67</f>
        <v>0</v>
      </c>
      <c r="T28" s="1211">
        <f>SECT_TERAC.!U28*SECT_U.FIS.!T$67</f>
        <v>0</v>
      </c>
      <c r="U28" s="1206">
        <f>SECT_TERAC.!V28*SECT_U.FIS.!U$67</f>
        <v>0</v>
      </c>
      <c r="V28" s="1211">
        <f>SECT_TERAC.!W28*SECT_U.FIS.!V$67</f>
        <v>0</v>
      </c>
      <c r="W28" s="391"/>
      <c r="X28" s="391"/>
      <c r="Y28" s="391"/>
      <c r="Z28" s="391"/>
      <c r="AA28" s="391"/>
      <c r="AB28" s="391"/>
    </row>
    <row r="29" spans="1:28">
      <c r="A29" s="385" t="s">
        <v>271</v>
      </c>
      <c r="B29" s="383" t="s">
        <v>272</v>
      </c>
      <c r="C29" s="1211">
        <f>SECT_TERAC.!C29*SECT_U.FIS.!$C$67</f>
        <v>103.60799999999999</v>
      </c>
      <c r="D29" s="1211">
        <f>SECT_TERAC.!D29*SECT_U.FIS.!D$67</f>
        <v>4.907</v>
      </c>
      <c r="E29" s="1211">
        <f>SECT_TERAC.!E29*SECT_U.FIS.!E$67</f>
        <v>0</v>
      </c>
      <c r="F29" s="1211">
        <f>SECT_TERAC.!F29*SECT_U.FIS.!F$67</f>
        <v>0</v>
      </c>
      <c r="G29" s="1211">
        <f>SECT_TERAC.!G29*SECT_U.FIS.!G$67</f>
        <v>1.64</v>
      </c>
      <c r="H29" s="1211">
        <f>SECT_TERAC.!H29*SECT_U.FIS.!H$67</f>
        <v>90.46258673451743</v>
      </c>
      <c r="I29" s="1211">
        <f>SECT_TERAC.!I29*SECT_U.FIS.!I$67</f>
        <v>0</v>
      </c>
      <c r="J29" s="1211">
        <f>SECT_TERAC.!J29*SECT_U.FIS.!J$67</f>
        <v>0</v>
      </c>
      <c r="K29" s="1211">
        <f>SECT_TERAC.!K29*SECT_U.FIS.!K$67</f>
        <v>0</v>
      </c>
      <c r="L29" s="1211">
        <f>SECT_TERAC.!L29*SECT_U.FIS.!L$67</f>
        <v>0</v>
      </c>
      <c r="M29" s="1211">
        <f>SECT_TERAC.!N29*SECT_U.FIS.!M$67</f>
        <v>5511.4376904938872</v>
      </c>
      <c r="N29" s="1211">
        <f>SECT_TERAC.!O29*SECT_U.FIS.!N$67</f>
        <v>0.10214285714285713</v>
      </c>
      <c r="O29" s="1211">
        <f>SECT_TERAC.!P29*SECT_U.FIS.!O$67</f>
        <v>0</v>
      </c>
      <c r="P29" s="1211">
        <f>SECT_TERAC.!Q29*SECT_U.FIS.!P$67</f>
        <v>0</v>
      </c>
      <c r="Q29" s="1211">
        <f>SECT_TERAC.!R29*SECT_U.FIS.!Q$67</f>
        <v>26.131228338</v>
      </c>
      <c r="R29" s="1211">
        <f>SECT_TERAC.!S29*SECT_U.FIS.!R$67</f>
        <v>0</v>
      </c>
      <c r="S29" s="1211">
        <f>SECT_TERAC.!T29*SECT_U.FIS.!S$67</f>
        <v>74.836192990148135</v>
      </c>
      <c r="T29" s="1211">
        <f>SECT_TERAC.!U29*SECT_U.FIS.!T$67</f>
        <v>0</v>
      </c>
      <c r="U29" s="1206">
        <f>SECT_TERAC.!V29*SECT_U.FIS.!U$67</f>
        <v>0</v>
      </c>
      <c r="V29" s="1211">
        <f>SECT_TERAC.!W29*SECT_U.FIS.!V$67</f>
        <v>0</v>
      </c>
      <c r="W29" s="391"/>
      <c r="X29" s="391"/>
      <c r="Y29" s="391"/>
      <c r="Z29" s="391"/>
      <c r="AA29" s="391"/>
      <c r="AB29" s="391"/>
    </row>
    <row r="30" spans="1:28">
      <c r="A30" s="385"/>
      <c r="B30" s="383" t="s">
        <v>273</v>
      </c>
      <c r="C30" s="1211">
        <f>SECT_TERAC.!C30*SECT_U.FIS.!$C$67</f>
        <v>3.2039999999999997</v>
      </c>
      <c r="D30" s="1211">
        <f>SECT_TERAC.!D30*SECT_U.FIS.!D$67</f>
        <v>0</v>
      </c>
      <c r="E30" s="1211">
        <f>SECT_TERAC.!E30*SECT_U.FIS.!E$67</f>
        <v>0</v>
      </c>
      <c r="F30" s="1211">
        <f>SECT_TERAC.!F30*SECT_U.FIS.!F$67</f>
        <v>0</v>
      </c>
      <c r="G30" s="1211">
        <f>SECT_TERAC.!G30*SECT_U.FIS.!G$67</f>
        <v>8.0000000000000002E-3</v>
      </c>
      <c r="H30" s="1211">
        <f>SECT_TERAC.!H30*SECT_U.FIS.!H$67</f>
        <v>19.018744712702592</v>
      </c>
      <c r="I30" s="1211">
        <f>SECT_TERAC.!I30*SECT_U.FIS.!I$67</f>
        <v>0</v>
      </c>
      <c r="J30" s="1211">
        <f>SECT_TERAC.!J30*SECT_U.FIS.!J$67</f>
        <v>0</v>
      </c>
      <c r="K30" s="1211">
        <f>SECT_TERAC.!K30*SECT_U.FIS.!K$67</f>
        <v>1.38809</v>
      </c>
      <c r="L30" s="1211">
        <f>SECT_TERAC.!L30*SECT_U.FIS.!L$67</f>
        <v>0</v>
      </c>
      <c r="M30" s="1211">
        <f>SECT_TERAC.!N30*SECT_U.FIS.!M$67</f>
        <v>1572.3251589170388</v>
      </c>
      <c r="N30" s="1211">
        <f>SECT_TERAC.!O30*SECT_U.FIS.!N$67</f>
        <v>4.9242728571428591</v>
      </c>
      <c r="O30" s="1211">
        <f>SECT_TERAC.!P30*SECT_U.FIS.!O$67</f>
        <v>0</v>
      </c>
      <c r="P30" s="1211">
        <f>SECT_TERAC.!Q30*SECT_U.FIS.!P$67</f>
        <v>0</v>
      </c>
      <c r="Q30" s="1211">
        <f>SECT_TERAC.!R30*SECT_U.FIS.!Q$67</f>
        <v>0</v>
      </c>
      <c r="R30" s="1211">
        <f>SECT_TERAC.!S30*SECT_U.FIS.!R$67</f>
        <v>0</v>
      </c>
      <c r="S30" s="1211">
        <f>SECT_TERAC.!T30*SECT_U.FIS.!S$67</f>
        <v>17.021408000000001</v>
      </c>
      <c r="T30" s="1211">
        <f>SECT_TERAC.!U30*SECT_U.FIS.!T$67</f>
        <v>0</v>
      </c>
      <c r="U30" s="1206">
        <f>SECT_TERAC.!V30*SECT_U.FIS.!U$67</f>
        <v>0</v>
      </c>
      <c r="V30" s="1211">
        <f>SECT_TERAC.!W30*SECT_U.FIS.!V$67</f>
        <v>0</v>
      </c>
      <c r="W30" s="391"/>
      <c r="X30" s="391"/>
      <c r="Y30" s="391"/>
      <c r="Z30" s="391"/>
      <c r="AA30" s="391"/>
      <c r="AB30" s="391"/>
    </row>
    <row r="31" spans="1:28">
      <c r="A31" s="385"/>
      <c r="B31" s="383" t="s">
        <v>274</v>
      </c>
      <c r="C31" s="1211">
        <f>SECT_TERAC.!C31*SECT_U.FIS.!$C$67</f>
        <v>12.392860000000002</v>
      </c>
      <c r="D31" s="1211">
        <f>SECT_TERAC.!D31*SECT_U.FIS.!D$67</f>
        <v>0.14499999999999999</v>
      </c>
      <c r="E31" s="1211">
        <f>SECT_TERAC.!E31*SECT_U.FIS.!E$67</f>
        <v>0</v>
      </c>
      <c r="F31" s="1211">
        <f>SECT_TERAC.!F31*SECT_U.FIS.!F$67</f>
        <v>0</v>
      </c>
      <c r="G31" s="1211">
        <f>SECT_TERAC.!G31*SECT_U.FIS.!G$67</f>
        <v>69.192610000000002</v>
      </c>
      <c r="H31" s="1211">
        <f>SECT_TERAC.!H31*SECT_U.FIS.!H$67</f>
        <v>712.55603754037418</v>
      </c>
      <c r="I31" s="1211">
        <f>SECT_TERAC.!I31*SECT_U.FIS.!I$67</f>
        <v>0</v>
      </c>
      <c r="J31" s="1211">
        <f>SECT_TERAC.!J31*SECT_U.FIS.!J$67</f>
        <v>0</v>
      </c>
      <c r="K31" s="1211">
        <f>SECT_TERAC.!K31*SECT_U.FIS.!K$67</f>
        <v>0</v>
      </c>
      <c r="L31" s="1211">
        <f>SECT_TERAC.!L31*SECT_U.FIS.!L$67</f>
        <v>0</v>
      </c>
      <c r="M31" s="1211">
        <f>SECT_TERAC.!N31*SECT_U.FIS.!M$67</f>
        <v>8284.0961167376208</v>
      </c>
      <c r="N31" s="1211">
        <f>SECT_TERAC.!O31*SECT_U.FIS.!N$67</f>
        <v>0.96569285714285713</v>
      </c>
      <c r="O31" s="1211">
        <f>SECT_TERAC.!P31*SECT_U.FIS.!O$67</f>
        <v>0</v>
      </c>
      <c r="P31" s="1211">
        <f>SECT_TERAC.!Q31*SECT_U.FIS.!P$67</f>
        <v>0</v>
      </c>
      <c r="Q31" s="1211">
        <f>SECT_TERAC.!R31*SECT_U.FIS.!Q$67</f>
        <v>26.770177</v>
      </c>
      <c r="R31" s="1211">
        <f>SECT_TERAC.!S31*SECT_U.FIS.!R$67</f>
        <v>0</v>
      </c>
      <c r="S31" s="1211">
        <f>SECT_TERAC.!T31*SECT_U.FIS.!S$67</f>
        <v>410.80661361863355</v>
      </c>
      <c r="T31" s="1211">
        <f>SECT_TERAC.!U31*SECT_U.FIS.!T$67</f>
        <v>0</v>
      </c>
      <c r="U31" s="1206">
        <f>SECT_TERAC.!V31*SECT_U.FIS.!U$67</f>
        <v>0</v>
      </c>
      <c r="V31" s="1211">
        <f>SECT_TERAC.!W31*SECT_U.FIS.!V$67</f>
        <v>8304.9730401818288</v>
      </c>
      <c r="W31" s="391"/>
      <c r="X31" s="391"/>
      <c r="Y31" s="391"/>
      <c r="Z31" s="391"/>
      <c r="AA31" s="391"/>
      <c r="AB31" s="391"/>
    </row>
    <row r="32" spans="1:28">
      <c r="A32" s="383"/>
      <c r="B32" s="383"/>
      <c r="C32" s="388"/>
      <c r="D32" s="388"/>
      <c r="E32" s="388"/>
      <c r="F32" s="388"/>
      <c r="G32" s="388"/>
      <c r="H32" s="388"/>
      <c r="I32" s="388"/>
      <c r="J32" s="388"/>
      <c r="K32" s="388"/>
      <c r="L32" s="388"/>
      <c r="M32" s="388"/>
      <c r="N32" s="388"/>
      <c r="O32" s="388"/>
      <c r="P32" s="388"/>
      <c r="Q32" s="388"/>
      <c r="R32" s="388"/>
      <c r="S32" s="388"/>
      <c r="T32" s="388"/>
      <c r="U32" s="388"/>
      <c r="V32" s="388"/>
      <c r="W32" s="391"/>
      <c r="X32" s="391"/>
      <c r="Y32" s="391"/>
      <c r="Z32" s="391"/>
      <c r="AA32" s="391"/>
      <c r="AB32" s="391"/>
    </row>
    <row r="33" spans="1:28">
      <c r="A33" s="383" t="s">
        <v>275</v>
      </c>
      <c r="B33" s="383"/>
      <c r="C33" s="1213">
        <f>SECT_TERAC.!C33*SECT_U.FIS.!$C$67</f>
        <v>119.20486</v>
      </c>
      <c r="D33" s="1213">
        <f>SECT_TERAC.!D33*SECT_U.FIS.!D$67</f>
        <v>5.0519999999999996</v>
      </c>
      <c r="E33" s="1213">
        <f>SECT_TERAC.!E33*SECT_U.FIS.!E$67</f>
        <v>0</v>
      </c>
      <c r="F33" s="1213">
        <f>SECT_TERAC.!F33*SECT_U.FIS.!F$67</f>
        <v>0</v>
      </c>
      <c r="G33" s="1213">
        <f>SECT_TERAC.!G33*SECT_U.FIS.!G$67</f>
        <v>70.840610000000012</v>
      </c>
      <c r="H33" s="1213">
        <f>SECT_TERAC.!H33*SECT_U.FIS.!H$67</f>
        <v>822.03736898759428</v>
      </c>
      <c r="I33" s="1213">
        <f>SECT_TERAC.!I33*SECT_U.FIS.!I$67</f>
        <v>0</v>
      </c>
      <c r="J33" s="1213">
        <f>SECT_TERAC.!J33*SECT_U.FIS.!J$67</f>
        <v>0</v>
      </c>
      <c r="K33" s="1213">
        <f>SECT_TERAC.!K33*SECT_U.FIS.!K$67</f>
        <v>1.38809</v>
      </c>
      <c r="L33" s="1213">
        <f>SECT_TERAC.!L33*SECT_U.FIS.!L$67</f>
        <v>0</v>
      </c>
      <c r="M33" s="1213">
        <f>SECT_TERAC.!N33*SECT_U.FIS.!M$67</f>
        <v>15367.858966148549</v>
      </c>
      <c r="N33" s="1213">
        <f>SECT_TERAC.!O33*SECT_U.FIS.!N$67</f>
        <v>5.9921085714285738</v>
      </c>
      <c r="O33" s="1213">
        <f>SECT_TERAC.!P33*SECT_U.FIS.!O$67</f>
        <v>0</v>
      </c>
      <c r="P33" s="1213">
        <f>SECT_TERAC.!Q33*SECT_U.FIS.!P$67</f>
        <v>0</v>
      </c>
      <c r="Q33" s="1213">
        <f>SECT_TERAC.!R33*SECT_U.FIS.!Q$67</f>
        <v>52.901405338000004</v>
      </c>
      <c r="R33" s="1213">
        <f>SECT_TERAC.!S33*SECT_U.FIS.!R$67</f>
        <v>0</v>
      </c>
      <c r="S33" s="1213">
        <f>SECT_TERAC.!T33*SECT_U.FIS.!S$67</f>
        <v>502.66421460878161</v>
      </c>
      <c r="T33" s="1213">
        <f>SECT_TERAC.!U33*SECT_U.FIS.!T$67</f>
        <v>0</v>
      </c>
      <c r="U33" s="1213">
        <f>SECT_TERAC.!V33*SECT_U.FIS.!U$67</f>
        <v>0</v>
      </c>
      <c r="V33" s="1213">
        <f>SECT_TERAC.!W33*SECT_U.FIS.!V$67</f>
        <v>8304.9730401818288</v>
      </c>
      <c r="W33" s="391"/>
      <c r="X33" s="391"/>
      <c r="Y33" s="391"/>
      <c r="Z33" s="391"/>
      <c r="AA33" s="391"/>
      <c r="AB33" s="391"/>
    </row>
    <row r="34" spans="1:28" s="1221" customFormat="1">
      <c r="A34" s="1223"/>
      <c r="B34" s="1223"/>
      <c r="C34" s="1225"/>
      <c r="D34" s="1225"/>
      <c r="E34" s="1225"/>
      <c r="F34" s="1225"/>
      <c r="G34" s="1225"/>
      <c r="H34" s="1225"/>
      <c r="I34" s="1225"/>
      <c r="J34" s="1225"/>
      <c r="K34" s="1225"/>
      <c r="L34" s="1225"/>
      <c r="M34" s="1225"/>
      <c r="N34" s="1225"/>
      <c r="O34" s="1225"/>
      <c r="P34" s="1225"/>
      <c r="Q34" s="1225"/>
      <c r="R34" s="1225"/>
      <c r="S34" s="1225"/>
      <c r="T34" s="1225"/>
      <c r="U34" s="1225"/>
      <c r="V34" s="1225"/>
      <c r="W34" s="1226"/>
      <c r="X34" s="1226"/>
      <c r="Y34" s="1226"/>
      <c r="Z34" s="1226"/>
      <c r="AA34" s="1226"/>
      <c r="AB34" s="1226"/>
    </row>
    <row r="35" spans="1:28" s="1221" customFormat="1">
      <c r="A35" s="385" t="s">
        <v>742</v>
      </c>
      <c r="B35" s="1223"/>
      <c r="C35" s="1225"/>
      <c r="D35" s="1225"/>
      <c r="E35" s="1225"/>
      <c r="F35" s="1225"/>
      <c r="G35" s="1225"/>
      <c r="H35" s="1225"/>
      <c r="I35" s="1225"/>
      <c r="J35" s="1225"/>
      <c r="K35" s="1225"/>
      <c r="L35" s="1225"/>
      <c r="M35" s="1225"/>
      <c r="N35" s="1225"/>
      <c r="O35" s="1225"/>
      <c r="P35" s="1225"/>
      <c r="Q35" s="1225"/>
      <c r="R35" s="1225"/>
      <c r="S35" s="1225"/>
      <c r="T35" s="1225"/>
      <c r="U35" s="1225"/>
      <c r="V35" s="1225"/>
      <c r="W35" s="1226"/>
      <c r="X35" s="1226"/>
      <c r="Y35" s="1226"/>
      <c r="Z35" s="1226"/>
      <c r="AA35" s="1226"/>
      <c r="AB35" s="1226"/>
    </row>
    <row r="36" spans="1:28" s="1221" customFormat="1">
      <c r="A36" s="1223"/>
      <c r="B36" s="1223" t="s">
        <v>278</v>
      </c>
      <c r="C36" s="1230">
        <f>SECT_TERAC.!C36*SECT_U.FIS.!$C$67</f>
        <v>0</v>
      </c>
      <c r="D36" s="1230">
        <f>SECT_TERAC.!D36*SECT_U.FIS.!D$67</f>
        <v>0</v>
      </c>
      <c r="E36" s="1230">
        <f>SECT_TERAC.!E36*SECT_U.FIS.!E$67</f>
        <v>0</v>
      </c>
      <c r="F36" s="1230">
        <f>SECT_TERAC.!F36*SECT_U.FIS.!F$67</f>
        <v>0</v>
      </c>
      <c r="G36" s="1230">
        <f>SECT_TERAC.!G36*SECT_U.FIS.!G$67</f>
        <v>0</v>
      </c>
      <c r="H36" s="1230">
        <f>SECT_TERAC.!H36*SECT_U.FIS.!H$67</f>
        <v>0</v>
      </c>
      <c r="I36" s="1230">
        <f>SECT_TERAC.!I36*SECT_U.FIS.!I$67</f>
        <v>0</v>
      </c>
      <c r="J36" s="1230">
        <f>SECT_TERAC.!J36*SECT_U.FIS.!J$67</f>
        <v>0</v>
      </c>
      <c r="K36" s="1230">
        <f>SECT_TERAC.!K36*SECT_U.FIS.!K$67</f>
        <v>0</v>
      </c>
      <c r="L36" s="1230">
        <f>SECT_TERAC.!L36*SECT_U.FIS.!L$67</f>
        <v>0</v>
      </c>
      <c r="M36" s="1230">
        <f>SECT_TERAC.!N36*SECT_U.FIS.!M$67</f>
        <v>55.618884984200001</v>
      </c>
      <c r="N36" s="1230">
        <f>SECT_TERAC.!O36*SECT_U.FIS.!N$67</f>
        <v>0</v>
      </c>
      <c r="O36" s="1230">
        <f>SECT_TERAC.!P36*SECT_U.FIS.!O$67</f>
        <v>0</v>
      </c>
      <c r="P36" s="1230">
        <f>SECT_TERAC.!Q36*SECT_U.FIS.!P$67</f>
        <v>0</v>
      </c>
      <c r="Q36" s="1230">
        <f>SECT_TERAC.!R36*SECT_U.FIS.!Q$67</f>
        <v>0</v>
      </c>
      <c r="R36" s="1230">
        <f>SECT_TERAC.!S36*SECT_U.FIS.!R$67</f>
        <v>0</v>
      </c>
      <c r="S36" s="1230">
        <f>SECT_TERAC.!T36*SECT_U.FIS.!S$67</f>
        <v>0</v>
      </c>
      <c r="T36" s="1230">
        <f>SECT_TERAC.!U36*SECT_U.FIS.!T$67</f>
        <v>0</v>
      </c>
      <c r="U36" s="1216">
        <f>SECT_TERAC.!V36*SECT_U.FIS.!U$67</f>
        <v>0</v>
      </c>
      <c r="V36" s="1216">
        <f>SECT_TERAC.!W36*SECT_U.FIS.!V$67</f>
        <v>0</v>
      </c>
      <c r="W36" s="1226"/>
      <c r="X36" s="1226"/>
      <c r="Y36" s="1226"/>
      <c r="Z36" s="1226"/>
      <c r="AA36" s="1226"/>
      <c r="AB36" s="1226"/>
    </row>
    <row r="37" spans="1:28" s="1221" customFormat="1">
      <c r="A37" s="1223"/>
      <c r="B37" s="1223" t="s">
        <v>297</v>
      </c>
      <c r="C37" s="1230">
        <f>SECT_TERAC.!C37*SECT_U.FIS.!$C$67</f>
        <v>0</v>
      </c>
      <c r="D37" s="1230">
        <f>SECT_TERAC.!D37*SECT_U.FIS.!D$67</f>
        <v>0</v>
      </c>
      <c r="E37" s="1230">
        <f>SECT_TERAC.!E37*SECT_U.FIS.!E$67</f>
        <v>0</v>
      </c>
      <c r="F37" s="1230">
        <f>SECT_TERAC.!F37*SECT_U.FIS.!F$67</f>
        <v>0</v>
      </c>
      <c r="G37" s="1230">
        <f>SECT_TERAC.!G37*SECT_U.FIS.!G$67</f>
        <v>0</v>
      </c>
      <c r="H37" s="1230">
        <f>SECT_TERAC.!H37*SECT_U.FIS.!H$67</f>
        <v>0</v>
      </c>
      <c r="I37" s="1230">
        <f>SECT_TERAC.!I37*SECT_U.FIS.!I$67</f>
        <v>0</v>
      </c>
      <c r="J37" s="1230">
        <f>SECT_TERAC.!J37*SECT_U.FIS.!J$67</f>
        <v>0</v>
      </c>
      <c r="K37" s="1230">
        <f>SECT_TERAC.!K37*SECT_U.FIS.!K$67</f>
        <v>0</v>
      </c>
      <c r="L37" s="1230">
        <f>SECT_TERAC.!L37*SECT_U.FIS.!L$67</f>
        <v>0</v>
      </c>
      <c r="M37" s="1230">
        <f>SECT_TERAC.!N37*SECT_U.FIS.!M$67</f>
        <v>1133.3206714483631</v>
      </c>
      <c r="N37" s="1230">
        <f>SECT_TERAC.!O37*SECT_U.FIS.!N$67</f>
        <v>0</v>
      </c>
      <c r="O37" s="1230">
        <f>SECT_TERAC.!P37*SECT_U.FIS.!O$67</f>
        <v>0</v>
      </c>
      <c r="P37" s="1230">
        <f>SECT_TERAC.!Q37*SECT_U.FIS.!P$67</f>
        <v>0</v>
      </c>
      <c r="Q37" s="1230">
        <f>SECT_TERAC.!R37*SECT_U.FIS.!Q$67</f>
        <v>0</v>
      </c>
      <c r="R37" s="1230">
        <f>SECT_TERAC.!S37*SECT_U.FIS.!R$67</f>
        <v>0</v>
      </c>
      <c r="S37" s="1230">
        <f>SECT_TERAC.!T37*SECT_U.FIS.!S$67</f>
        <v>0</v>
      </c>
      <c r="T37" s="1230">
        <f>SECT_TERAC.!U37*SECT_U.FIS.!T$67</f>
        <v>0</v>
      </c>
      <c r="U37" s="1216">
        <f>SECT_TERAC.!V37*SECT_U.FIS.!U$67</f>
        <v>0</v>
      </c>
      <c r="V37" s="1216">
        <f>SECT_TERAC.!W37*SECT_U.FIS.!V$67</f>
        <v>0</v>
      </c>
      <c r="W37" s="1226"/>
      <c r="X37" s="1226"/>
      <c r="Y37" s="1226"/>
      <c r="Z37" s="1226"/>
      <c r="AA37" s="1226"/>
      <c r="AB37" s="1226"/>
    </row>
    <row r="38" spans="1:28" s="1221" customFormat="1">
      <c r="A38" s="1223"/>
      <c r="B38" s="1223" t="s">
        <v>279</v>
      </c>
      <c r="C38" s="1230">
        <f>SECT_TERAC.!C38*SECT_U.FIS.!$C$67</f>
        <v>0.19893838095238089</v>
      </c>
      <c r="D38" s="1230">
        <f>SECT_TERAC.!D38*SECT_U.FIS.!D$67</f>
        <v>0</v>
      </c>
      <c r="E38" s="1230">
        <f>SECT_TERAC.!E38*SECT_U.FIS.!E$67</f>
        <v>0</v>
      </c>
      <c r="F38" s="1230">
        <f>SECT_TERAC.!F38*SECT_U.FIS.!F$67</f>
        <v>0</v>
      </c>
      <c r="G38" s="1230">
        <f>SECT_TERAC.!G38*SECT_U.FIS.!G$67</f>
        <v>0</v>
      </c>
      <c r="H38" s="1230">
        <f>SECT_TERAC.!H38*SECT_U.FIS.!H$67</f>
        <v>1.0166120000000003</v>
      </c>
      <c r="I38" s="1230">
        <f>SECT_TERAC.!I38*SECT_U.FIS.!I$67</f>
        <v>0</v>
      </c>
      <c r="J38" s="1230">
        <f>SECT_TERAC.!J38*SECT_U.FIS.!J$67</f>
        <v>0</v>
      </c>
      <c r="K38" s="1230">
        <f>SECT_TERAC.!K38*SECT_U.FIS.!K$67</f>
        <v>6.7400000000000003E-3</v>
      </c>
      <c r="L38" s="1230">
        <f>SECT_TERAC.!L38*SECT_U.FIS.!L$67</f>
        <v>0</v>
      </c>
      <c r="M38" s="1230">
        <f>SECT_TERAC.!N38*SECT_U.FIS.!M$67</f>
        <v>9.0988966363636372</v>
      </c>
      <c r="N38" s="1230">
        <f>SECT_TERAC.!O38*SECT_U.FIS.!N$67</f>
        <v>0</v>
      </c>
      <c r="O38" s="1230">
        <f>SECT_TERAC.!P38*SECT_U.FIS.!O$67</f>
        <v>0</v>
      </c>
      <c r="P38" s="1230">
        <f>SECT_TERAC.!Q38*SECT_U.FIS.!P$67</f>
        <v>0</v>
      </c>
      <c r="Q38" s="1230">
        <f>SECT_TERAC.!R38*SECT_U.FIS.!Q$67</f>
        <v>0</v>
      </c>
      <c r="R38" s="1230">
        <f>SECT_TERAC.!S38*SECT_U.FIS.!R$67</f>
        <v>0</v>
      </c>
      <c r="S38" s="1230">
        <f>SECT_TERAC.!T38*SECT_U.FIS.!S$67</f>
        <v>0.99525999999999992</v>
      </c>
      <c r="T38" s="1230">
        <f>SECT_TERAC.!U38*SECT_U.FIS.!T$67</f>
        <v>0</v>
      </c>
      <c r="U38" s="1216">
        <f>SECT_TERAC.!V38*SECT_U.FIS.!U$67</f>
        <v>0</v>
      </c>
      <c r="V38" s="1230">
        <f>SECT_TERAC.!W38*SECT_U.FIS.!V$67</f>
        <v>0</v>
      </c>
      <c r="W38" s="1226"/>
      <c r="X38" s="1226"/>
      <c r="Y38" s="1226"/>
      <c r="Z38" s="1226"/>
      <c r="AA38" s="1226"/>
      <c r="AB38" s="1226"/>
    </row>
    <row r="39" spans="1:28" s="1221" customFormat="1">
      <c r="A39" s="1223"/>
      <c r="B39" s="1223" t="s">
        <v>296</v>
      </c>
      <c r="C39" s="1230">
        <f>SECT_TERAC.!C39*SECT_U.FIS.!$C$67</f>
        <v>0</v>
      </c>
      <c r="D39" s="1230">
        <f>SECT_TERAC.!D39*SECT_U.FIS.!D$67</f>
        <v>6.9771428571428569</v>
      </c>
      <c r="E39" s="1230">
        <f>SECT_TERAC.!E39*SECT_U.FIS.!E$67</f>
        <v>0</v>
      </c>
      <c r="F39" s="1230">
        <f>SECT_TERAC.!F39*SECT_U.FIS.!F$67</f>
        <v>0</v>
      </c>
      <c r="G39" s="1230">
        <f>SECT_TERAC.!G39*SECT_U.FIS.!G$67</f>
        <v>0</v>
      </c>
      <c r="H39" s="1230">
        <f>SECT_TERAC.!H39*SECT_U.FIS.!H$67</f>
        <v>0</v>
      </c>
      <c r="I39" s="1230">
        <f>SECT_TERAC.!I39*SECT_U.FIS.!I$67</f>
        <v>0</v>
      </c>
      <c r="J39" s="1230">
        <f>SECT_TERAC.!J39*SECT_U.FIS.!J$67</f>
        <v>0</v>
      </c>
      <c r="K39" s="1230">
        <f>SECT_TERAC.!K39*SECT_U.FIS.!K$67</f>
        <v>0</v>
      </c>
      <c r="L39" s="1230">
        <f>SECT_TERAC.!L39*SECT_U.FIS.!L$67</f>
        <v>0</v>
      </c>
      <c r="M39" s="1230">
        <f>SECT_TERAC.!N39*SECT_U.FIS.!M$67</f>
        <v>0</v>
      </c>
      <c r="N39" s="1230">
        <f>SECT_TERAC.!O39*SECT_U.FIS.!N$67</f>
        <v>0</v>
      </c>
      <c r="O39" s="1230">
        <f>SECT_TERAC.!P39*SECT_U.FIS.!O$67</f>
        <v>0</v>
      </c>
      <c r="P39" s="1230">
        <f>SECT_TERAC.!Q39*SECT_U.FIS.!P$67</f>
        <v>16358.173076923078</v>
      </c>
      <c r="Q39" s="1230">
        <f>SECT_TERAC.!R39*SECT_U.FIS.!Q$67</f>
        <v>64.432000000000002</v>
      </c>
      <c r="R39" s="1230">
        <f>SECT_TERAC.!S39*SECT_U.FIS.!R$67</f>
        <v>1010.5522222222222</v>
      </c>
      <c r="S39" s="1230">
        <f>SECT_TERAC.!T39*SECT_U.FIS.!S$67</f>
        <v>0</v>
      </c>
      <c r="T39" s="1230">
        <f>SECT_TERAC.!U39*SECT_U.FIS.!T$67</f>
        <v>0</v>
      </c>
      <c r="U39" s="1216">
        <f>SECT_TERAC.!V39*SECT_U.FIS.!U$67</f>
        <v>0</v>
      </c>
      <c r="V39" s="1230">
        <f>SECT_TERAC.!W39*SECT_U.FIS.!V$67</f>
        <v>0</v>
      </c>
      <c r="W39" s="1226"/>
      <c r="X39" s="1226"/>
      <c r="Y39" s="1226"/>
      <c r="Z39" s="1226"/>
      <c r="AA39" s="1226"/>
      <c r="AB39" s="1226"/>
    </row>
    <row r="40" spans="1:28" s="1221" customFormat="1">
      <c r="A40" s="1223"/>
      <c r="B40" s="1223" t="s">
        <v>280</v>
      </c>
      <c r="C40" s="1230">
        <f>SECT_TERAC.!C40*SECT_U.FIS.!$C$67</f>
        <v>1.7505839999999997</v>
      </c>
      <c r="D40" s="1230">
        <f>SECT_TERAC.!D40*SECT_U.FIS.!D$67</f>
        <v>25.484003999999999</v>
      </c>
      <c r="E40" s="1230">
        <f>SECT_TERAC.!E40*SECT_U.FIS.!E$67</f>
        <v>0</v>
      </c>
      <c r="F40" s="1230">
        <f>SECT_TERAC.!F40*SECT_U.FIS.!F$67</f>
        <v>0</v>
      </c>
      <c r="G40" s="1230">
        <f>SECT_TERAC.!G40*SECT_U.FIS.!G$67</f>
        <v>0.25080000000000002</v>
      </c>
      <c r="H40" s="1230">
        <f>SECT_TERAC.!H40*SECT_U.FIS.!H$67</f>
        <v>4.6914000000000004E-2</v>
      </c>
      <c r="I40" s="1230">
        <f>SECT_TERAC.!I40*SECT_U.FIS.!I$67</f>
        <v>0</v>
      </c>
      <c r="J40" s="1230">
        <f>SECT_TERAC.!J40*SECT_U.FIS.!J$67</f>
        <v>0</v>
      </c>
      <c r="K40" s="1230">
        <f>SECT_TERAC.!K40*SECT_U.FIS.!K$67</f>
        <v>163.31429685714284</v>
      </c>
      <c r="L40" s="1230">
        <f>SECT_TERAC.!L40*SECT_U.FIS.!L$67</f>
        <v>673.32369999999992</v>
      </c>
      <c r="M40" s="1230">
        <f>SECT_TERAC.!N40*SECT_U.FIS.!M$67</f>
        <v>586.2743289</v>
      </c>
      <c r="N40" s="1230">
        <f>SECT_TERAC.!O40*SECT_U.FIS.!N$67</f>
        <v>0</v>
      </c>
      <c r="O40" s="1230">
        <f>SECT_TERAC.!P40*SECT_U.FIS.!O$67</f>
        <v>0</v>
      </c>
      <c r="P40" s="1230">
        <f>SECT_TERAC.!Q40*SECT_U.FIS.!P$67</f>
        <v>0</v>
      </c>
      <c r="Q40" s="1230">
        <f>SECT_TERAC.!R40*SECT_U.FIS.!Q$67</f>
        <v>0</v>
      </c>
      <c r="R40" s="1230">
        <f>SECT_TERAC.!S40*SECT_U.FIS.!R$67</f>
        <v>0</v>
      </c>
      <c r="S40" s="1230">
        <f>SECT_TERAC.!T40*SECT_U.FIS.!S$67</f>
        <v>646.69810061219403</v>
      </c>
      <c r="T40" s="1230">
        <f>SECT_TERAC.!U40*SECT_U.FIS.!T$67</f>
        <v>0</v>
      </c>
      <c r="U40" s="1216">
        <f>SECT_TERAC.!V40*SECT_U.FIS.!U$67</f>
        <v>0</v>
      </c>
      <c r="V40" s="1230">
        <f>SECT_TERAC.!W40*SECT_U.FIS.!V$67</f>
        <v>0</v>
      </c>
      <c r="W40" s="1226"/>
      <c r="X40" s="1226"/>
      <c r="Y40" s="1226"/>
      <c r="Z40" s="1226"/>
      <c r="AA40" s="1226"/>
      <c r="AB40" s="1226"/>
    </row>
    <row r="41" spans="1:28" s="1221" customFormat="1">
      <c r="A41" s="1223"/>
      <c r="B41" s="1223" t="s">
        <v>281</v>
      </c>
      <c r="C41" s="1230">
        <f>SECT_TERAC.!C41*SECT_U.FIS.!$C$67</f>
        <v>0.19493299999999997</v>
      </c>
      <c r="D41" s="1230">
        <f>SECT_TERAC.!D41*SECT_U.FIS.!D$67</f>
        <v>0</v>
      </c>
      <c r="E41" s="1230">
        <f>SECT_TERAC.!E41*SECT_U.FIS.!E$67</f>
        <v>0</v>
      </c>
      <c r="F41" s="1230">
        <f>SECT_TERAC.!F41*SECT_U.FIS.!F$67</f>
        <v>0</v>
      </c>
      <c r="G41" s="1230">
        <f>SECT_TERAC.!G41*SECT_U.FIS.!G$67</f>
        <v>0</v>
      </c>
      <c r="H41" s="1230">
        <f>SECT_TERAC.!H41*SECT_U.FIS.!H$67</f>
        <v>0</v>
      </c>
      <c r="I41" s="1230">
        <f>SECT_TERAC.!I41*SECT_U.FIS.!I$67</f>
        <v>0</v>
      </c>
      <c r="J41" s="1230">
        <f>SECT_TERAC.!J41*SECT_U.FIS.!J$67</f>
        <v>0</v>
      </c>
      <c r="K41" s="1230">
        <f>SECT_TERAC.!K41*SECT_U.FIS.!K$67</f>
        <v>0</v>
      </c>
      <c r="L41" s="1230">
        <f>SECT_TERAC.!L41*SECT_U.FIS.!L$67</f>
        <v>0</v>
      </c>
      <c r="M41" s="1230">
        <f>SECT_TERAC.!N41*SECT_U.FIS.!M$67</f>
        <v>5.5480490000000007</v>
      </c>
      <c r="N41" s="1230">
        <f>SECT_TERAC.!O41*SECT_U.FIS.!N$67</f>
        <v>0.17347645047244806</v>
      </c>
      <c r="O41" s="1230">
        <f>SECT_TERAC.!P41*SECT_U.FIS.!O$67</f>
        <v>0</v>
      </c>
      <c r="P41" s="1230">
        <f>SECT_TERAC.!Q41*SECT_U.FIS.!P$67</f>
        <v>0</v>
      </c>
      <c r="Q41" s="1230">
        <f>SECT_TERAC.!R41*SECT_U.FIS.!Q$67</f>
        <v>0</v>
      </c>
      <c r="R41" s="1230">
        <f>SECT_TERAC.!S41*SECT_U.FIS.!R$67</f>
        <v>0</v>
      </c>
      <c r="S41" s="1230">
        <f>SECT_TERAC.!T41*SECT_U.FIS.!S$67</f>
        <v>0</v>
      </c>
      <c r="T41" s="1230">
        <f>SECT_TERAC.!U41*SECT_U.FIS.!T$67</f>
        <v>0</v>
      </c>
      <c r="U41" s="1216">
        <f>SECT_TERAC.!V41*SECT_U.FIS.!U$67</f>
        <v>0</v>
      </c>
      <c r="V41" s="1230">
        <f>SECT_TERAC.!W41*SECT_U.FIS.!V$67</f>
        <v>0</v>
      </c>
      <c r="W41" s="1226"/>
      <c r="X41" s="1226"/>
      <c r="Y41" s="1226"/>
      <c r="Z41" s="1226"/>
      <c r="AA41" s="1226"/>
      <c r="AB41" s="1226"/>
    </row>
    <row r="42" spans="1:28" s="1221" customFormat="1">
      <c r="A42" s="1223"/>
      <c r="B42" s="1223" t="s">
        <v>282</v>
      </c>
      <c r="C42" s="1230">
        <f>SECT_TERAC.!C42*SECT_U.FIS.!$C$67</f>
        <v>0</v>
      </c>
      <c r="D42" s="1230">
        <f>SECT_TERAC.!D42*SECT_U.FIS.!D$67</f>
        <v>0</v>
      </c>
      <c r="E42" s="1230">
        <f>SECT_TERAC.!E42*SECT_U.FIS.!E$67</f>
        <v>0</v>
      </c>
      <c r="F42" s="1230">
        <f>SECT_TERAC.!F42*SECT_U.FIS.!F$67</f>
        <v>0</v>
      </c>
      <c r="G42" s="1230">
        <f>SECT_TERAC.!G42*SECT_U.FIS.!G$67</f>
        <v>0</v>
      </c>
      <c r="H42" s="1230">
        <f>SECT_TERAC.!H42*SECT_U.FIS.!H$67</f>
        <v>0</v>
      </c>
      <c r="I42" s="1230">
        <f>SECT_TERAC.!I42*SECT_U.FIS.!I$67</f>
        <v>0</v>
      </c>
      <c r="J42" s="1230">
        <f>SECT_TERAC.!J42*SECT_U.FIS.!J$67</f>
        <v>0</v>
      </c>
      <c r="K42" s="1230">
        <f>SECT_TERAC.!K42*SECT_U.FIS.!K$67</f>
        <v>0</v>
      </c>
      <c r="L42" s="1230">
        <f>SECT_TERAC.!L42*SECT_U.FIS.!L$67</f>
        <v>0</v>
      </c>
      <c r="M42" s="1230">
        <f>SECT_TERAC.!N42*SECT_U.FIS.!M$67</f>
        <v>262.03165050000001</v>
      </c>
      <c r="N42" s="1230">
        <f>SECT_TERAC.!O42*SECT_U.FIS.!N$67</f>
        <v>0</v>
      </c>
      <c r="O42" s="1230">
        <f>SECT_TERAC.!P42*SECT_U.FIS.!O$67</f>
        <v>0</v>
      </c>
      <c r="P42" s="1230">
        <f>SECT_TERAC.!Q42*SECT_U.FIS.!P$67</f>
        <v>0</v>
      </c>
      <c r="Q42" s="1230">
        <f>SECT_TERAC.!R42*SECT_U.FIS.!Q$67</f>
        <v>0</v>
      </c>
      <c r="R42" s="1230">
        <f>SECT_TERAC.!S42*SECT_U.FIS.!R$67</f>
        <v>0</v>
      </c>
      <c r="S42" s="1230">
        <f>SECT_TERAC.!T42*SECT_U.FIS.!S$67</f>
        <v>0</v>
      </c>
      <c r="T42" s="1230">
        <f>SECT_TERAC.!U42*SECT_U.FIS.!T$67</f>
        <v>93.92580000000001</v>
      </c>
      <c r="U42" s="1216">
        <f>SECT_TERAC.!V42*SECT_U.FIS.!U$67</f>
        <v>0</v>
      </c>
      <c r="V42" s="1230">
        <f>SECT_TERAC.!W42*SECT_U.FIS.!V$67</f>
        <v>0</v>
      </c>
      <c r="W42" s="1226"/>
      <c r="X42" s="1226"/>
      <c r="Y42" s="1226"/>
      <c r="Z42" s="1226"/>
      <c r="AA42" s="1226"/>
      <c r="AB42" s="1226"/>
    </row>
    <row r="43" spans="1:28" s="1221" customFormat="1">
      <c r="A43" s="1223"/>
      <c r="B43" s="1223"/>
      <c r="C43" s="1225"/>
      <c r="D43" s="1225"/>
      <c r="E43" s="1225"/>
      <c r="F43" s="1225"/>
      <c r="G43" s="1225"/>
      <c r="H43" s="1225"/>
      <c r="I43" s="1225"/>
      <c r="J43" s="1225"/>
      <c r="K43" s="1225"/>
      <c r="L43" s="1225"/>
      <c r="M43" s="1225"/>
      <c r="N43" s="1225"/>
      <c r="O43" s="1225"/>
      <c r="P43" s="1225"/>
      <c r="Q43" s="1225"/>
      <c r="R43" s="1225"/>
      <c r="S43" s="1225"/>
      <c r="T43" s="1225"/>
      <c r="U43" s="1225"/>
      <c r="V43" s="1225"/>
      <c r="W43" s="1226"/>
      <c r="X43" s="1226"/>
      <c r="Y43" s="1226"/>
      <c r="Z43" s="1226"/>
      <c r="AA43" s="1226"/>
      <c r="AB43" s="1226"/>
    </row>
    <row r="44" spans="1:28" s="1221" customFormat="1">
      <c r="A44" s="1223" t="s">
        <v>743</v>
      </c>
      <c r="B44" s="1223"/>
      <c r="C44" s="1227">
        <f>SECT_TERAC.!C44*SECT_U.FIS.!$C$67</f>
        <v>2.1444553809523805</v>
      </c>
      <c r="D44" s="1227">
        <f>SECT_TERAC.!D44*SECT_U.FIS.!D$67</f>
        <v>32.461146857142857</v>
      </c>
      <c r="E44" s="1227">
        <f>SECT_TERAC.!E44*SECT_U.FIS.!E$67</f>
        <v>0</v>
      </c>
      <c r="F44" s="1227">
        <f>SECT_TERAC.!F44*SECT_U.FIS.!F$67</f>
        <v>0</v>
      </c>
      <c r="G44" s="1227">
        <f>SECT_TERAC.!G44*SECT_U.FIS.!G$67</f>
        <v>0.25080000000000002</v>
      </c>
      <c r="H44" s="1227">
        <f>SECT_TERAC.!H44*SECT_U.FIS.!H$67</f>
        <v>1.0635260000000004</v>
      </c>
      <c r="I44" s="1227">
        <f>SECT_TERAC.!I44*SECT_U.FIS.!I$67</f>
        <v>0</v>
      </c>
      <c r="J44" s="1227">
        <f>SECT_TERAC.!J44*SECT_U.FIS.!J$67</f>
        <v>0</v>
      </c>
      <c r="K44" s="1227">
        <f>SECT_TERAC.!K44*SECT_U.FIS.!K$67</f>
        <v>163.32103685714281</v>
      </c>
      <c r="L44" s="1227">
        <f>SECT_TERAC.!L44*SECT_U.FIS.!L$67</f>
        <v>673.32369999999992</v>
      </c>
      <c r="M44" s="1227">
        <f>SECT_TERAC.!N44*SECT_U.FIS.!M$67</f>
        <v>2051.8924814689267</v>
      </c>
      <c r="N44" s="1227">
        <f>SECT_TERAC.!O44*SECT_U.FIS.!N$67</f>
        <v>0.17347645047244806</v>
      </c>
      <c r="O44" s="1227">
        <f>SECT_TERAC.!P44*SECT_U.FIS.!O$67</f>
        <v>0</v>
      </c>
      <c r="P44" s="1227">
        <f>SECT_TERAC.!Q44*SECT_U.FIS.!P$67</f>
        <v>16358.173076923078</v>
      </c>
      <c r="Q44" s="1227">
        <f>SECT_TERAC.!R44*SECT_U.FIS.!Q$67</f>
        <v>64.432000000000002</v>
      </c>
      <c r="R44" s="1227">
        <f>SECT_TERAC.!S44*SECT_U.FIS.!R$67</f>
        <v>1010.5522222222222</v>
      </c>
      <c r="S44" s="1227">
        <f>SECT_TERAC.!T44*SECT_U.FIS.!S$67</f>
        <v>647.69336061219406</v>
      </c>
      <c r="T44" s="1227">
        <f>SECT_TERAC.!U44*SECT_U.FIS.!T$67</f>
        <v>93.92580000000001</v>
      </c>
      <c r="U44" s="1227">
        <f>SECT_TERAC.!V44*SECT_U.FIS.!U$67</f>
        <v>0</v>
      </c>
      <c r="V44" s="1227">
        <f>SECT_TERAC.!W44*SECT_U.FIS.!V$67</f>
        <v>0</v>
      </c>
      <c r="W44" s="1226"/>
      <c r="X44" s="1226"/>
      <c r="Y44" s="1226"/>
      <c r="Z44" s="1226"/>
      <c r="AA44" s="1226"/>
      <c r="AB44" s="1226"/>
    </row>
    <row r="45" spans="1:28" s="1221" customFormat="1">
      <c r="A45" s="1223"/>
      <c r="B45" s="1223"/>
      <c r="C45" s="1225"/>
      <c r="D45" s="1225"/>
      <c r="E45" s="1225"/>
      <c r="F45" s="1225"/>
      <c r="G45" s="1225"/>
      <c r="H45" s="1225"/>
      <c r="I45" s="1225"/>
      <c r="J45" s="1225"/>
      <c r="K45" s="1225"/>
      <c r="L45" s="1225"/>
      <c r="M45" s="1225"/>
      <c r="N45" s="1225"/>
      <c r="O45" s="1225"/>
      <c r="P45" s="1225"/>
      <c r="Q45" s="1225"/>
      <c r="R45" s="1225"/>
      <c r="S45" s="1225"/>
      <c r="T45" s="1225"/>
      <c r="U45" s="1225"/>
      <c r="V45" s="1225"/>
      <c r="W45" s="1226"/>
      <c r="X45" s="1226"/>
      <c r="Y45" s="1226"/>
      <c r="Z45" s="1226"/>
      <c r="AA45" s="1226"/>
      <c r="AB45" s="1226"/>
    </row>
    <row r="46" spans="1:28">
      <c r="A46" s="383"/>
      <c r="B46" s="383"/>
      <c r="C46" s="388"/>
      <c r="D46" s="388"/>
      <c r="E46" s="388"/>
      <c r="F46" s="388"/>
      <c r="G46" s="388"/>
      <c r="H46" s="388"/>
      <c r="I46" s="388"/>
      <c r="J46" s="388"/>
      <c r="K46" s="388"/>
      <c r="L46" s="388"/>
      <c r="M46" s="388"/>
      <c r="N46" s="388"/>
      <c r="O46" s="388"/>
      <c r="P46" s="388"/>
      <c r="Q46" s="388"/>
      <c r="R46" s="388"/>
      <c r="S46" s="388"/>
      <c r="T46" s="388"/>
      <c r="U46" s="388"/>
      <c r="V46" s="388"/>
      <c r="W46" s="388"/>
      <c r="X46" s="388"/>
      <c r="Y46" s="388"/>
      <c r="Z46" s="388"/>
      <c r="AA46" s="388"/>
      <c r="AB46" s="388"/>
    </row>
    <row r="47" spans="1:28">
      <c r="A47" s="385" t="s">
        <v>276</v>
      </c>
      <c r="B47" s="383"/>
      <c r="C47" s="1213">
        <f>SECT_TERAC.!C47*SECT_U.FIS.!$C$67</f>
        <v>5667.3267846666649</v>
      </c>
      <c r="D47" s="1213">
        <f>SECT_TERAC.!D47*SECT_U.FIS.!D$67</f>
        <v>1789.4971246026003</v>
      </c>
      <c r="E47" s="1213">
        <f>SECT_TERAC.!E47*SECT_U.FIS.!E$67</f>
        <v>2885.5657739999997</v>
      </c>
      <c r="F47" s="1213">
        <f>SECT_TERAC.!F47*SECT_U.FIS.!F$67</f>
        <v>0</v>
      </c>
      <c r="G47" s="1213">
        <f>SECT_TERAC.!G47*SECT_U.FIS.!G$67</f>
        <v>116.05333500000002</v>
      </c>
      <c r="H47" s="1213">
        <f>SECT_TERAC.!H47*SECT_U.FIS.!H$67</f>
        <v>982.5406472730001</v>
      </c>
      <c r="I47" s="1213">
        <f>SECT_TERAC.!I47*SECT_U.FIS.!I$67</f>
        <v>5.8550000000000004</v>
      </c>
      <c r="J47" s="1213">
        <f>SECT_TERAC.!J47*SECT_U.FIS.!J$67</f>
        <v>761.38794100000007</v>
      </c>
      <c r="K47" s="1213">
        <f>SECT_TERAC.!K47*SECT_U.FIS.!K$67</f>
        <v>166.43829485714284</v>
      </c>
      <c r="L47" s="1213">
        <f>SECT_TERAC.!L47*SECT_U.FIS.!L$67</f>
        <v>674.18449812206563</v>
      </c>
      <c r="M47" s="1213">
        <f>SECT_TERAC.!N47*SECT_U.FIS.!M$67</f>
        <v>50095.938194112845</v>
      </c>
      <c r="N47" s="1213">
        <f>SECT_TERAC.!O47*SECT_U.FIS.!N$67</f>
        <v>636.2807113034828</v>
      </c>
      <c r="O47" s="1213">
        <f>SECT_TERAC.!P47*SECT_U.FIS.!O$67</f>
        <v>382.72987000000018</v>
      </c>
      <c r="P47" s="1213">
        <f>SECT_TERAC.!Q47*SECT_U.FIS.!P$67</f>
        <v>16358.173076923078</v>
      </c>
      <c r="Q47" s="1213">
        <f>SECT_TERAC.!R47*SECT_U.FIS.!Q$67</f>
        <v>325.69169955723999</v>
      </c>
      <c r="R47" s="1213">
        <f>SECT_TERAC.!S47*SECT_U.FIS.!R$67</f>
        <v>1334.5128730000001</v>
      </c>
      <c r="S47" s="1213">
        <f>SECT_TERAC.!T47*SECT_U.FIS.!S$67</f>
        <v>2146.3010986905424</v>
      </c>
      <c r="T47" s="1213">
        <f>SECT_TERAC.!U47*SECT_U.FIS.!T$67</f>
        <v>93.92580000000001</v>
      </c>
      <c r="U47" s="1213">
        <f>SECT_TERAC.!V47*SECT_U.FIS.!U$67</f>
        <v>0</v>
      </c>
      <c r="V47" s="1213">
        <f>SECT_TERAC.!W47*SECT_U.FIS.!V$67</f>
        <v>11507.875402451582</v>
      </c>
      <c r="W47" s="391"/>
      <c r="X47" s="391"/>
      <c r="Y47" s="391"/>
      <c r="Z47" s="391"/>
      <c r="AA47" s="391"/>
      <c r="AB47" s="391"/>
    </row>
    <row r="48" spans="1:28" s="1221" customFormat="1">
      <c r="A48" s="371"/>
      <c r="B48" s="383"/>
      <c r="C48" s="1225"/>
      <c r="D48" s="1225"/>
      <c r="E48" s="1225"/>
      <c r="F48" s="1225"/>
      <c r="G48" s="1225"/>
      <c r="H48" s="1225"/>
      <c r="I48" s="1225"/>
      <c r="J48" s="1225"/>
      <c r="K48" s="1225"/>
      <c r="L48" s="1225"/>
      <c r="M48" s="1225"/>
      <c r="N48" s="1225"/>
      <c r="O48" s="1225"/>
      <c r="P48" s="1225"/>
      <c r="Q48" s="1225"/>
      <c r="R48" s="1225"/>
      <c r="S48" s="1225"/>
      <c r="T48" s="1225"/>
      <c r="U48" s="1225"/>
      <c r="V48" s="1225"/>
      <c r="W48" s="1226"/>
      <c r="X48" s="1226"/>
      <c r="Y48" s="1226"/>
      <c r="Z48" s="1226"/>
      <c r="AA48" s="1226"/>
      <c r="AB48" s="1226"/>
    </row>
    <row r="49" spans="1:28">
      <c r="A49" s="385" t="s">
        <v>277</v>
      </c>
      <c r="B49" s="383" t="s">
        <v>278</v>
      </c>
      <c r="C49" s="1230">
        <f>SECT_TERAC.!C49*SECT_U.FIS.!$C$67</f>
        <v>20.480423333333331</v>
      </c>
      <c r="D49" s="1230">
        <f>SECT_TERAC.!D49*SECT_U.FIS.!D$67</f>
        <v>72.856649952399991</v>
      </c>
      <c r="E49" s="1230">
        <f>SECT_TERAC.!E49*SECT_U.FIS.!E$67</f>
        <v>0</v>
      </c>
      <c r="F49" s="1230">
        <f>SECT_TERAC.!F49*SECT_U.FIS.!F$67</f>
        <v>0</v>
      </c>
      <c r="G49" s="1230">
        <f>SECT_TERAC.!G49*SECT_U.FIS.!G$67</f>
        <v>0</v>
      </c>
      <c r="H49" s="1230">
        <f>SECT_TERAC.!H49*SECT_U.FIS.!H$67</f>
        <v>3.109E-2</v>
      </c>
      <c r="I49" s="1230">
        <f>SECT_TERAC.!I49*SECT_U.FIS.!I$67</f>
        <v>0</v>
      </c>
      <c r="J49" s="1230">
        <f>SECT_TERAC.!J49*SECT_U.FIS.!J$67</f>
        <v>0</v>
      </c>
      <c r="K49" s="1230">
        <f>SECT_TERAC.!K49*SECT_U.FIS.!K$67</f>
        <v>0</v>
      </c>
      <c r="L49" s="1230">
        <f>SECT_TERAC.!L49*SECT_U.FIS.!L$67</f>
        <v>49.353809389671362</v>
      </c>
      <c r="M49" s="1230">
        <f>SECT_TERAC.!N49*SECT_U.FIS.!M$67</f>
        <v>0</v>
      </c>
      <c r="N49" s="1230">
        <f>SECT_TERAC.!O49*SECT_U.FIS.!N$67</f>
        <v>13.067730595205575</v>
      </c>
      <c r="O49" s="1230">
        <f>SECT_TERAC.!P49*SECT_U.FIS.!O$67</f>
        <v>0</v>
      </c>
      <c r="P49" s="1230">
        <f>SECT_TERAC.!Q49*SECT_U.FIS.!P$67</f>
        <v>0</v>
      </c>
      <c r="Q49" s="1230">
        <f>SECT_TERAC.!R49*SECT_U.FIS.!Q$67</f>
        <v>0</v>
      </c>
      <c r="R49" s="1230">
        <f>SECT_TERAC.!S49*SECT_U.FIS.!R$67</f>
        <v>0</v>
      </c>
      <c r="S49" s="1230">
        <f>SECT_TERAC.!T49*SECT_U.FIS.!S$67</f>
        <v>448.34998662999999</v>
      </c>
      <c r="T49" s="1230">
        <f>SECT_TERAC.!U49*SECT_U.FIS.!T$67</f>
        <v>0</v>
      </c>
      <c r="U49" s="1216">
        <f>SECT_TERAC.!V49*SECT_U.FIS.!U$67</f>
        <v>0</v>
      </c>
      <c r="V49" s="1230">
        <f>SECT_TERAC.!W49*SECT_U.FIS.!V$67</f>
        <v>1573.5827358798226</v>
      </c>
      <c r="W49" s="391"/>
      <c r="X49" s="391"/>
      <c r="Y49" s="391"/>
      <c r="Z49" s="391"/>
      <c r="AA49" s="391"/>
      <c r="AB49" s="391"/>
    </row>
    <row r="50" spans="1:28">
      <c r="A50" s="385" t="s">
        <v>741</v>
      </c>
      <c r="B50" s="383" t="s">
        <v>297</v>
      </c>
      <c r="C50" s="1230">
        <f>SECT_TERAC.!C50*SECT_U.FIS.!$C$67</f>
        <v>249.7239749999998</v>
      </c>
      <c r="D50" s="1230">
        <f>SECT_TERAC.!D50*SECT_U.FIS.!D$67</f>
        <v>46.003</v>
      </c>
      <c r="E50" s="1230">
        <f>SECT_TERAC.!E50*SECT_U.FIS.!E$67</f>
        <v>0</v>
      </c>
      <c r="F50" s="1230">
        <f>SECT_TERAC.!F50*SECT_U.FIS.!F$67</f>
        <v>0</v>
      </c>
      <c r="G50" s="1230">
        <f>SECT_TERAC.!G50*SECT_U.FIS.!G$67</f>
        <v>0</v>
      </c>
      <c r="H50" s="1230">
        <f>SECT_TERAC.!H50*SECT_U.FIS.!H$67</f>
        <v>1.5489650000000002E-2</v>
      </c>
      <c r="I50" s="1230">
        <f>SECT_TERAC.!I50*SECT_U.FIS.!I$67</f>
        <v>0</v>
      </c>
      <c r="J50" s="1230">
        <f>SECT_TERAC.!J50*SECT_U.FIS.!J$67</f>
        <v>0</v>
      </c>
      <c r="K50" s="1230">
        <f>SECT_TERAC.!K50*SECT_U.FIS.!K$67</f>
        <v>3.7407999999999997E-2</v>
      </c>
      <c r="L50" s="1230">
        <f>SECT_TERAC.!L50*SECT_U.FIS.!L$67</f>
        <v>0</v>
      </c>
      <c r="M50" s="1230">
        <f>SECT_TERAC.!N50*SECT_U.FIS.!M$67</f>
        <v>0</v>
      </c>
      <c r="N50" s="1230">
        <f>SECT_TERAC.!O50*SECT_U.FIS.!N$67</f>
        <v>2566.8647167183863</v>
      </c>
      <c r="O50" s="1230">
        <f>SECT_TERAC.!P50*SECT_U.FIS.!O$67</f>
        <v>775.07706483333311</v>
      </c>
      <c r="P50" s="1230">
        <f>SECT_TERAC.!Q50*SECT_U.FIS.!P$67</f>
        <v>0</v>
      </c>
      <c r="Q50" s="1230">
        <f>SECT_TERAC.!R50*SECT_U.FIS.!Q$67</f>
        <v>0</v>
      </c>
      <c r="R50" s="1230">
        <f>SECT_TERAC.!S50*SECT_U.FIS.!R$67</f>
        <v>0</v>
      </c>
      <c r="S50" s="1230">
        <f>SECT_TERAC.!T50*SECT_U.FIS.!S$67</f>
        <v>2777.1185228131403</v>
      </c>
      <c r="T50" s="1230">
        <f>SECT_TERAC.!U50*SECT_U.FIS.!T$67</f>
        <v>0</v>
      </c>
      <c r="U50" s="1216">
        <f>SECT_TERAC.!V50*SECT_U.FIS.!U$67</f>
        <v>0</v>
      </c>
      <c r="V50" s="1230">
        <f>SECT_TERAC.!W50*SECT_U.FIS.!V$67</f>
        <v>57.836165861419772</v>
      </c>
      <c r="W50" s="391"/>
      <c r="X50" s="391"/>
      <c r="Y50" s="391"/>
      <c r="Z50" s="391"/>
      <c r="AA50" s="391"/>
      <c r="AB50" s="391"/>
    </row>
    <row r="51" spans="1:28">
      <c r="A51" s="383"/>
      <c r="B51" s="383" t="s">
        <v>279</v>
      </c>
      <c r="C51" s="1230">
        <f>SECT_TERAC.!C51*SECT_U.FIS.!$C$67</f>
        <v>0</v>
      </c>
      <c r="D51" s="1230">
        <f>SECT_TERAC.!D51*SECT_U.FIS.!D$67</f>
        <v>0</v>
      </c>
      <c r="E51" s="1230">
        <f>SECT_TERAC.!E51*SECT_U.FIS.!E$67</f>
        <v>0</v>
      </c>
      <c r="F51" s="1230">
        <f>SECT_TERAC.!F51*SECT_U.FIS.!F$67</f>
        <v>0</v>
      </c>
      <c r="G51" s="1230">
        <f>SECT_TERAC.!G51*SECT_U.FIS.!G$67</f>
        <v>0</v>
      </c>
      <c r="H51" s="1230">
        <f>SECT_TERAC.!H51*SECT_U.FIS.!H$67</f>
        <v>2.7627699999999997</v>
      </c>
      <c r="I51" s="1230">
        <f>SECT_TERAC.!I51*SECT_U.FIS.!I$67</f>
        <v>0</v>
      </c>
      <c r="J51" s="1230">
        <f>SECT_TERAC.!J51*SECT_U.FIS.!J$67</f>
        <v>0</v>
      </c>
      <c r="K51" s="1230">
        <f>SECT_TERAC.!K51*SECT_U.FIS.!K$67</f>
        <v>0</v>
      </c>
      <c r="L51" s="1230">
        <f>SECT_TERAC.!L51*SECT_U.FIS.!L$67</f>
        <v>0</v>
      </c>
      <c r="M51" s="1230">
        <f>SECT_TERAC.!N51*SECT_U.FIS.!M$67</f>
        <v>0</v>
      </c>
      <c r="N51" s="1230">
        <f>SECT_TERAC.!O51*SECT_U.FIS.!N$67</f>
        <v>0</v>
      </c>
      <c r="O51" s="1230">
        <f>SECT_TERAC.!P51*SECT_U.FIS.!O$67</f>
        <v>231.69557142857141</v>
      </c>
      <c r="P51" s="1230">
        <f>SECT_TERAC.!Q51*SECT_U.FIS.!P$67</f>
        <v>0</v>
      </c>
      <c r="Q51" s="1230">
        <f>SECT_TERAC.!R51*SECT_U.FIS.!Q$67</f>
        <v>0</v>
      </c>
      <c r="R51" s="1230">
        <f>SECT_TERAC.!S51*SECT_U.FIS.!R$67</f>
        <v>0</v>
      </c>
      <c r="S51" s="1230">
        <f>SECT_TERAC.!T51*SECT_U.FIS.!S$67</f>
        <v>28.048237999999998</v>
      </c>
      <c r="T51" s="1230">
        <f>SECT_TERAC.!U51*SECT_U.FIS.!T$67</f>
        <v>0</v>
      </c>
      <c r="U51" s="1216">
        <f>SECT_TERAC.!V51*SECT_U.FIS.!U$67</f>
        <v>0</v>
      </c>
      <c r="V51" s="1216">
        <f>SECT_TERAC.!W51*SECT_U.FIS.!V$67</f>
        <v>0</v>
      </c>
      <c r="W51" s="391"/>
      <c r="X51" s="391"/>
      <c r="Y51" s="391"/>
      <c r="Z51" s="391"/>
      <c r="AA51" s="391"/>
      <c r="AB51" s="391"/>
    </row>
    <row r="52" spans="1:28">
      <c r="A52" s="383"/>
      <c r="B52" s="383" t="s">
        <v>296</v>
      </c>
      <c r="C52" s="1230">
        <f>SECT_TERAC.!C52*SECT_U.FIS.!$C$67</f>
        <v>0</v>
      </c>
      <c r="D52" s="1230">
        <f>SECT_TERAC.!D52*SECT_U.FIS.!D$67</f>
        <v>0</v>
      </c>
      <c r="E52" s="1230">
        <f>SECT_TERAC.!E52*SECT_U.FIS.!E$67</f>
        <v>0</v>
      </c>
      <c r="F52" s="1230">
        <f>SECT_TERAC.!F52*SECT_U.FIS.!F$67</f>
        <v>0</v>
      </c>
      <c r="G52" s="1230">
        <f>SECT_TERAC.!G52*SECT_U.FIS.!G$67</f>
        <v>0</v>
      </c>
      <c r="H52" s="1230">
        <f>SECT_TERAC.!H52*SECT_U.FIS.!H$67</f>
        <v>0</v>
      </c>
      <c r="I52" s="1230">
        <f>SECT_TERAC.!I52*SECT_U.FIS.!I$67</f>
        <v>0</v>
      </c>
      <c r="J52" s="1230">
        <f>SECT_TERAC.!J52*SECT_U.FIS.!J$67</f>
        <v>0</v>
      </c>
      <c r="K52" s="1230">
        <f>SECT_TERAC.!K52*SECT_U.FIS.!K$67</f>
        <v>0</v>
      </c>
      <c r="L52" s="1230">
        <f>SECT_TERAC.!L52*SECT_U.FIS.!L$67</f>
        <v>0</v>
      </c>
      <c r="M52" s="1230">
        <f>SECT_TERAC.!N52*SECT_U.FIS.!M$67</f>
        <v>0</v>
      </c>
      <c r="N52" s="1230">
        <f>SECT_TERAC.!O52*SECT_U.FIS.!N$67</f>
        <v>723.11965714285725</v>
      </c>
      <c r="O52" s="1230">
        <f>SECT_TERAC.!P52*SECT_U.FIS.!O$67</f>
        <v>0</v>
      </c>
      <c r="P52" s="1230">
        <f>SECT_TERAC.!Q52*SECT_U.FIS.!P$67</f>
        <v>0</v>
      </c>
      <c r="Q52" s="1230">
        <f>SECT_TERAC.!R52*SECT_U.FIS.!Q$67</f>
        <v>0</v>
      </c>
      <c r="R52" s="1230">
        <f>SECT_TERAC.!S52*SECT_U.FIS.!R$67</f>
        <v>0</v>
      </c>
      <c r="S52" s="1230">
        <f>SECT_TERAC.!T52*SECT_U.FIS.!S$67</f>
        <v>0</v>
      </c>
      <c r="T52" s="1230">
        <f>SECT_TERAC.!U52*SECT_U.FIS.!T$67</f>
        <v>0</v>
      </c>
      <c r="U52" s="1216">
        <f>SECT_TERAC.!V52*SECT_U.FIS.!U$67</f>
        <v>0</v>
      </c>
      <c r="V52" s="1216">
        <f>SECT_TERAC.!W52*SECT_U.FIS.!V$67</f>
        <v>0</v>
      </c>
      <c r="W52" s="391"/>
      <c r="X52" s="391"/>
      <c r="Y52" s="391"/>
      <c r="Z52" s="391"/>
      <c r="AA52" s="391"/>
      <c r="AB52" s="391"/>
    </row>
    <row r="53" spans="1:28">
      <c r="A53" s="383"/>
      <c r="B53" s="383" t="s">
        <v>280</v>
      </c>
      <c r="C53" s="1230">
        <f>SECT_TERAC.!C53*SECT_U.FIS.!$C$67</f>
        <v>0</v>
      </c>
      <c r="D53" s="1230">
        <f>SECT_TERAC.!D53*SECT_U.FIS.!D$67</f>
        <v>0</v>
      </c>
      <c r="E53" s="1230">
        <f>SECT_TERAC.!E53*SECT_U.FIS.!E$67</f>
        <v>0</v>
      </c>
      <c r="F53" s="1230">
        <f>SECT_TERAC.!F53*SECT_U.FIS.!F$67</f>
        <v>0</v>
      </c>
      <c r="G53" s="1230">
        <f>SECT_TERAC.!G53*SECT_U.FIS.!G$67</f>
        <v>0</v>
      </c>
      <c r="H53" s="1230">
        <f>SECT_TERAC.!H53*SECT_U.FIS.!H$67</f>
        <v>0</v>
      </c>
      <c r="I53" s="1230">
        <f>SECT_TERAC.!I53*SECT_U.FIS.!I$67</f>
        <v>0</v>
      </c>
      <c r="J53" s="1230">
        <f>SECT_TERAC.!J53*SECT_U.FIS.!J$67</f>
        <v>0</v>
      </c>
      <c r="K53" s="1230">
        <f>SECT_TERAC.!K53*SECT_U.FIS.!K$67</f>
        <v>0</v>
      </c>
      <c r="L53" s="1230">
        <f>SECT_TERAC.!L53*SECT_U.FIS.!L$67</f>
        <v>0</v>
      </c>
      <c r="M53" s="1230">
        <f>SECT_TERAC.!N53*SECT_U.FIS.!M$67</f>
        <v>0</v>
      </c>
      <c r="N53" s="1230">
        <f>SECT_TERAC.!O53*SECT_U.FIS.!N$67</f>
        <v>0</v>
      </c>
      <c r="O53" s="1230">
        <f>SECT_TERAC.!P53*SECT_U.FIS.!O$67</f>
        <v>0</v>
      </c>
      <c r="P53" s="1230">
        <f>SECT_TERAC.!Q53*SECT_U.FIS.!P$67</f>
        <v>0</v>
      </c>
      <c r="Q53" s="1230">
        <f>SECT_TERAC.!R53*SECT_U.FIS.!Q$67</f>
        <v>0</v>
      </c>
      <c r="R53" s="1230">
        <f>SECT_TERAC.!S53*SECT_U.FIS.!R$67</f>
        <v>0</v>
      </c>
      <c r="S53" s="1230">
        <f>SECT_TERAC.!T53*SECT_U.FIS.!S$67</f>
        <v>211.98637206021093</v>
      </c>
      <c r="T53" s="1230">
        <f>SECT_TERAC.!U53*SECT_U.FIS.!T$67</f>
        <v>0</v>
      </c>
      <c r="U53" s="1216">
        <f>SECT_TERAC.!V53*SECT_U.FIS.!U$67</f>
        <v>0</v>
      </c>
      <c r="V53" s="1216">
        <f>SECT_TERAC.!W53*SECT_U.FIS.!V$67</f>
        <v>0</v>
      </c>
      <c r="W53" s="391"/>
      <c r="X53" s="391"/>
      <c r="Y53" s="391"/>
      <c r="Z53" s="391"/>
      <c r="AA53" s="391"/>
      <c r="AB53" s="391"/>
    </row>
    <row r="54" spans="1:28">
      <c r="A54" s="383"/>
      <c r="B54" s="383" t="s">
        <v>281</v>
      </c>
      <c r="C54" s="1230">
        <f>SECT_TERAC.!C54*SECT_U.FIS.!$C$67</f>
        <v>0</v>
      </c>
      <c r="D54" s="1230">
        <f>SECT_TERAC.!D54*SECT_U.FIS.!D$67</f>
        <v>0</v>
      </c>
      <c r="E54" s="1230">
        <f>SECT_TERAC.!E54*SECT_U.FIS.!E$67</f>
        <v>0</v>
      </c>
      <c r="F54" s="1230">
        <f>SECT_TERAC.!F54*SECT_U.FIS.!F$67</f>
        <v>0</v>
      </c>
      <c r="G54" s="1230">
        <f>SECT_TERAC.!G54*SECT_U.FIS.!G$67</f>
        <v>0</v>
      </c>
      <c r="H54" s="1230">
        <f>SECT_TERAC.!H54*SECT_U.FIS.!H$67</f>
        <v>0</v>
      </c>
      <c r="I54" s="1230">
        <f>SECT_TERAC.!I54*SECT_U.FIS.!I$67</f>
        <v>0</v>
      </c>
      <c r="J54" s="1230">
        <f>SECT_TERAC.!J54*SECT_U.FIS.!J$67</f>
        <v>0</v>
      </c>
      <c r="K54" s="1230">
        <f>SECT_TERAC.!K54*SECT_U.FIS.!K$67</f>
        <v>0</v>
      </c>
      <c r="L54" s="1230">
        <f>SECT_TERAC.!L54*SECT_U.FIS.!L$67</f>
        <v>0</v>
      </c>
      <c r="M54" s="1230">
        <f>SECT_TERAC.!N54*SECT_U.FIS.!M$67</f>
        <v>0</v>
      </c>
      <c r="N54" s="1230">
        <f>SECT_TERAC.!O54*SECT_U.FIS.!N$67</f>
        <v>0</v>
      </c>
      <c r="O54" s="1230">
        <f>SECT_TERAC.!P54*SECT_U.FIS.!O$67</f>
        <v>0</v>
      </c>
      <c r="P54" s="1230">
        <f>SECT_TERAC.!Q54*SECT_U.FIS.!P$67</f>
        <v>0</v>
      </c>
      <c r="Q54" s="1230">
        <f>SECT_TERAC.!R54*SECT_U.FIS.!Q$67</f>
        <v>0</v>
      </c>
      <c r="R54" s="1230">
        <f>SECT_TERAC.!S54*SECT_U.FIS.!R$67</f>
        <v>0</v>
      </c>
      <c r="S54" s="1230">
        <f>SECT_TERAC.!T54*SECT_U.FIS.!S$67</f>
        <v>0</v>
      </c>
      <c r="T54" s="1230">
        <f>SECT_TERAC.!U54*SECT_U.FIS.!T$67</f>
        <v>0</v>
      </c>
      <c r="U54" s="1216">
        <f>SECT_TERAC.!V54*SECT_U.FIS.!U$67</f>
        <v>0</v>
      </c>
      <c r="V54" s="1216">
        <f>SECT_TERAC.!W54*SECT_U.FIS.!V$67</f>
        <v>0</v>
      </c>
      <c r="W54" s="391"/>
      <c r="X54" s="391"/>
      <c r="Y54" s="391"/>
      <c r="Z54" s="391"/>
      <c r="AA54" s="391"/>
      <c r="AB54" s="391"/>
    </row>
    <row r="55" spans="1:28">
      <c r="A55" s="383"/>
      <c r="B55" s="383" t="s">
        <v>282</v>
      </c>
      <c r="C55" s="1230">
        <f>SECT_TERAC.!C55*SECT_U.FIS.!$C$67</f>
        <v>0</v>
      </c>
      <c r="D55" s="1230">
        <f>SECT_TERAC.!D55*SECT_U.FIS.!D$67</f>
        <v>0</v>
      </c>
      <c r="E55" s="1230">
        <f>SECT_TERAC.!E55*SECT_U.FIS.!E$67</f>
        <v>0</v>
      </c>
      <c r="F55" s="1230">
        <f>SECT_TERAC.!F55*SECT_U.FIS.!F$67</f>
        <v>0</v>
      </c>
      <c r="G55" s="1230">
        <f>SECT_TERAC.!G55*SECT_U.FIS.!G$67</f>
        <v>0</v>
      </c>
      <c r="H55" s="1230">
        <f>SECT_TERAC.!H55*SECT_U.FIS.!H$67</f>
        <v>0</v>
      </c>
      <c r="I55" s="1230">
        <f>SECT_TERAC.!I55*SECT_U.FIS.!I$67</f>
        <v>0</v>
      </c>
      <c r="J55" s="1230">
        <f>SECT_TERAC.!J55*SECT_U.FIS.!J$67</f>
        <v>0</v>
      </c>
      <c r="K55" s="1230">
        <f>SECT_TERAC.!K55*SECT_U.FIS.!K$67</f>
        <v>0</v>
      </c>
      <c r="L55" s="1230">
        <f>SECT_TERAC.!L55*SECT_U.FIS.!L$67</f>
        <v>0</v>
      </c>
      <c r="M55" s="1230">
        <f>SECT_TERAC.!N55*SECT_U.FIS.!M$67</f>
        <v>0</v>
      </c>
      <c r="N55" s="1230">
        <f>SECT_TERAC.!O55*SECT_U.FIS.!N$67</f>
        <v>0</v>
      </c>
      <c r="O55" s="1230">
        <f>SECT_TERAC.!P55*SECT_U.FIS.!O$67</f>
        <v>0</v>
      </c>
      <c r="P55" s="1230">
        <f>SECT_TERAC.!Q55*SECT_U.FIS.!P$67</f>
        <v>0</v>
      </c>
      <c r="Q55" s="1230">
        <f>SECT_TERAC.!R55*SECT_U.FIS.!Q$67</f>
        <v>0</v>
      </c>
      <c r="R55" s="1230">
        <f>SECT_TERAC.!S55*SECT_U.FIS.!R$67</f>
        <v>0</v>
      </c>
      <c r="S55" s="1230">
        <f>SECT_TERAC.!T55*SECT_U.FIS.!S$67</f>
        <v>2693.3769999999995</v>
      </c>
      <c r="T55" s="1230">
        <f>SECT_TERAC.!U55*SECT_U.FIS.!T$67</f>
        <v>0</v>
      </c>
      <c r="U55" s="1216">
        <f>SECT_TERAC.!V55*SECT_U.FIS.!U$67</f>
        <v>0</v>
      </c>
      <c r="V55" s="1216">
        <f>SECT_TERAC.!W55*SECT_U.FIS.!V$67</f>
        <v>0</v>
      </c>
      <c r="W55" s="391"/>
      <c r="X55" s="391"/>
      <c r="Y55" s="391"/>
      <c r="Z55" s="391"/>
      <c r="AA55" s="391"/>
      <c r="AB55" s="391"/>
    </row>
    <row r="56" spans="1:28">
      <c r="A56" s="383"/>
      <c r="B56" s="383"/>
      <c r="C56" s="388"/>
      <c r="D56" s="388"/>
      <c r="E56" s="388"/>
      <c r="F56" s="388"/>
      <c r="G56" s="388"/>
      <c r="H56" s="388"/>
      <c r="I56" s="388"/>
      <c r="J56" s="388"/>
      <c r="K56" s="388"/>
      <c r="L56" s="388"/>
      <c r="M56" s="388"/>
      <c r="N56" s="388"/>
      <c r="O56" s="388"/>
      <c r="P56" s="388"/>
      <c r="Q56" s="388"/>
      <c r="R56" s="388"/>
      <c r="S56" s="388"/>
      <c r="T56" s="388"/>
      <c r="U56" s="388"/>
      <c r="V56" s="388"/>
      <c r="W56" s="391"/>
      <c r="X56" s="391"/>
      <c r="Y56" s="391"/>
      <c r="Z56" s="391"/>
      <c r="AA56" s="391"/>
      <c r="AB56" s="391"/>
    </row>
    <row r="57" spans="1:28">
      <c r="A57" s="383" t="s">
        <v>283</v>
      </c>
      <c r="B57" s="383"/>
      <c r="C57" s="1213">
        <f>SECT_TERAC.!C57*SECT_U.FIS.!$C$67</f>
        <v>270.20439833333313</v>
      </c>
      <c r="D57" s="1213">
        <f>SECT_TERAC.!D57*SECT_U.FIS.!D$67</f>
        <v>118.85964995239999</v>
      </c>
      <c r="E57" s="1213">
        <f>SECT_TERAC.!E57*SECT_U.FIS.!E$67</f>
        <v>0</v>
      </c>
      <c r="F57" s="1213">
        <f>SECT_TERAC.!F57*SECT_U.FIS.!F$67</f>
        <v>0</v>
      </c>
      <c r="G57" s="1213">
        <f>SECT_TERAC.!G57*SECT_U.FIS.!G$67</f>
        <v>0</v>
      </c>
      <c r="H57" s="1213">
        <f>SECT_TERAC.!H57*SECT_U.FIS.!H$67</f>
        <v>2.8093496499999997</v>
      </c>
      <c r="I57" s="1213">
        <f>SECT_TERAC.!I57*SECT_U.FIS.!I$67</f>
        <v>0</v>
      </c>
      <c r="J57" s="1213">
        <f>SECT_TERAC.!J57*SECT_U.FIS.!J$67</f>
        <v>0</v>
      </c>
      <c r="K57" s="1213">
        <f>SECT_TERAC.!K57*SECT_U.FIS.!K$67</f>
        <v>3.7407999999999997E-2</v>
      </c>
      <c r="L57" s="1213">
        <f>SECT_TERAC.!L57*SECT_U.FIS.!L$67</f>
        <v>49.353809389671362</v>
      </c>
      <c r="M57" s="1213">
        <f>SECT_TERAC.!N57*SECT_U.FIS.!M$67</f>
        <v>0</v>
      </c>
      <c r="N57" s="1213">
        <f>SECT_TERAC.!O57*SECT_U.FIS.!N$67</f>
        <v>3303.0521044564489</v>
      </c>
      <c r="O57" s="1213">
        <f>SECT_TERAC.!P57*SECT_U.FIS.!O$67</f>
        <v>1006.7726362619045</v>
      </c>
      <c r="P57" s="1213">
        <f>SECT_TERAC.!Q57*SECT_U.FIS.!P$67</f>
        <v>0</v>
      </c>
      <c r="Q57" s="1213">
        <f>SECT_TERAC.!R57*SECT_U.FIS.!Q$67</f>
        <v>0</v>
      </c>
      <c r="R57" s="1213">
        <f>SECT_TERAC.!S57*SECT_U.FIS.!R$67</f>
        <v>0</v>
      </c>
      <c r="S57" s="1213">
        <f>SECT_TERAC.!T57*SECT_U.FIS.!S$67</f>
        <v>6158.8801195033511</v>
      </c>
      <c r="T57" s="1213">
        <f>SECT_TERAC.!U57*SECT_U.FIS.!T$67</f>
        <v>0</v>
      </c>
      <c r="U57" s="1213">
        <f>SECT_TERAC.!V57*SECT_U.FIS.!U$67</f>
        <v>0</v>
      </c>
      <c r="V57" s="1213">
        <f>SECT_TERAC.!W57*SECT_U.FIS.!V$67</f>
        <v>1631.4189017412423</v>
      </c>
      <c r="W57" s="391"/>
      <c r="X57" s="391"/>
      <c r="Y57" s="391"/>
      <c r="Z57" s="391"/>
      <c r="AA57" s="391"/>
      <c r="AB57" s="391"/>
    </row>
    <row r="58" spans="1:28">
      <c r="A58" s="383"/>
      <c r="B58" s="383"/>
      <c r="C58" s="388"/>
      <c r="D58" s="388"/>
      <c r="E58" s="388"/>
      <c r="F58" s="388"/>
      <c r="G58" s="388"/>
      <c r="H58" s="388"/>
      <c r="I58" s="388"/>
      <c r="J58" s="388"/>
      <c r="K58" s="388"/>
      <c r="L58" s="388"/>
      <c r="M58" s="388"/>
      <c r="N58" s="388"/>
      <c r="O58" s="388"/>
      <c r="P58" s="388"/>
      <c r="Q58" s="388"/>
      <c r="R58" s="388"/>
      <c r="S58" s="388"/>
      <c r="T58" s="388"/>
      <c r="U58" s="388"/>
      <c r="V58" s="388"/>
      <c r="W58" s="391"/>
      <c r="X58" s="391"/>
      <c r="Y58" s="391"/>
      <c r="Z58" s="391"/>
      <c r="AA58" s="391"/>
      <c r="AB58" s="391"/>
    </row>
    <row r="59" spans="1:28">
      <c r="A59" s="383"/>
      <c r="B59" s="383"/>
      <c r="C59" s="388"/>
      <c r="D59" s="388"/>
      <c r="E59" s="388"/>
      <c r="F59" s="388"/>
      <c r="G59" s="388"/>
      <c r="H59" s="388"/>
      <c r="I59" s="388"/>
      <c r="J59" s="388"/>
      <c r="K59" s="388"/>
      <c r="L59" s="388"/>
      <c r="M59" s="388"/>
      <c r="N59" s="388"/>
      <c r="O59" s="388"/>
      <c r="P59" s="388"/>
      <c r="Q59" s="388"/>
      <c r="R59" s="388"/>
      <c r="S59" s="388"/>
      <c r="T59" s="388"/>
      <c r="U59" s="388"/>
      <c r="V59" s="388"/>
      <c r="W59" s="391"/>
      <c r="X59" s="391"/>
      <c r="Y59" s="391"/>
      <c r="Z59" s="391"/>
      <c r="AA59" s="391"/>
      <c r="AB59" s="391"/>
    </row>
    <row r="60" spans="1:28">
      <c r="A60" s="385" t="s">
        <v>284</v>
      </c>
      <c r="B60" s="385"/>
      <c r="C60" s="1213">
        <f>SECT_TERAC.!C60*SECT_U.FIS.!$C$67</f>
        <v>5937.5311829999982</v>
      </c>
      <c r="D60" s="1213">
        <f>SECT_TERAC.!D60*SECT_U.FIS.!D$67</f>
        <v>1908.3567745550001</v>
      </c>
      <c r="E60" s="1213">
        <f>SECT_TERAC.!E60*SECT_U.FIS.!E$67</f>
        <v>2885.5657739999997</v>
      </c>
      <c r="F60" s="1213">
        <f>SECT_TERAC.!F60*SECT_U.FIS.!F$67</f>
        <v>0</v>
      </c>
      <c r="G60" s="1213">
        <f>SECT_TERAC.!G60*SECT_U.FIS.!G$67</f>
        <v>116.05333500000002</v>
      </c>
      <c r="H60" s="1213">
        <f>SECT_TERAC.!H60*SECT_U.FIS.!H$67</f>
        <v>985.34999692300016</v>
      </c>
      <c r="I60" s="1213">
        <f>SECT_TERAC.!I60*SECT_U.FIS.!I$67</f>
        <v>5.8550000000000004</v>
      </c>
      <c r="J60" s="1213">
        <f>SECT_TERAC.!J60*SECT_U.FIS.!J$67</f>
        <v>761.38794100000007</v>
      </c>
      <c r="K60" s="1213">
        <f>SECT_TERAC.!K60*SECT_U.FIS.!K$67</f>
        <v>166.47570285714281</v>
      </c>
      <c r="L60" s="1213">
        <f>SECT_TERAC.!L60*SECT_U.FIS.!L$67</f>
        <v>723.53830751173712</v>
      </c>
      <c r="M60" s="1213">
        <f>SECT_TERAC.!N60*SECT_U.FIS.!M$67</f>
        <v>50095.938194112845</v>
      </c>
      <c r="N60" s="1213">
        <f>SECT_TERAC.!O60*SECT_U.FIS.!N$67</f>
        <v>3939.3328157599317</v>
      </c>
      <c r="O60" s="1213">
        <f>SECT_TERAC.!P60*SECT_U.FIS.!O$67</f>
        <v>1389.5025062619047</v>
      </c>
      <c r="P60" s="1213">
        <f>SECT_TERAC.!Q60*SECT_U.FIS.!P$67</f>
        <v>16358.173076923078</v>
      </c>
      <c r="Q60" s="1213">
        <f>SECT_TERAC.!R60*SECT_U.FIS.!Q$67</f>
        <v>325.69169955723999</v>
      </c>
      <c r="R60" s="1213">
        <f>SECT_TERAC.!S60*SECT_U.FIS.!R$67</f>
        <v>1334.5128730000001</v>
      </c>
      <c r="S60" s="1213">
        <f>SECT_TERAC.!T60*SECT_U.FIS.!S$67</f>
        <v>8305.1812181938931</v>
      </c>
      <c r="T60" s="1213">
        <f>SECT_TERAC.!U60*SECT_U.FIS.!T$67</f>
        <v>93.92580000000001</v>
      </c>
      <c r="U60" s="1213">
        <f>SECT_TERAC.!V60*SECT_U.FIS.!U$67</f>
        <v>0</v>
      </c>
      <c r="V60" s="1213">
        <f>SECT_TERAC.!W60*SECT_U.FIS.!V$67</f>
        <v>13139.294304192825</v>
      </c>
      <c r="W60" s="391"/>
      <c r="X60" s="391"/>
      <c r="Y60" s="391"/>
      <c r="Z60" s="391"/>
      <c r="AA60" s="391"/>
      <c r="AB60" s="391"/>
    </row>
    <row r="61" spans="1:28">
      <c r="A61" s="385"/>
      <c r="B61" s="385"/>
      <c r="C61" s="401"/>
      <c r="D61" s="402"/>
      <c r="E61" s="401"/>
      <c r="F61" s="401"/>
      <c r="G61" s="401"/>
      <c r="H61" s="401"/>
      <c r="I61" s="401"/>
      <c r="J61" s="401"/>
      <c r="K61" s="401"/>
      <c r="L61" s="402"/>
      <c r="M61" s="401"/>
      <c r="N61" s="402"/>
      <c r="O61" s="401"/>
      <c r="P61" s="401"/>
      <c r="Q61" s="401"/>
      <c r="R61" s="401"/>
      <c r="S61" s="401"/>
      <c r="T61" s="401"/>
      <c r="U61" s="401"/>
      <c r="V61" s="401"/>
      <c r="W61" s="391"/>
      <c r="X61" s="403"/>
      <c r="Y61" s="403"/>
      <c r="Z61" s="404"/>
      <c r="AA61" s="404"/>
      <c r="AB61" s="404"/>
    </row>
    <row r="62" spans="1:28">
      <c r="A62" s="391"/>
      <c r="B62" s="391"/>
      <c r="C62" s="401"/>
      <c r="D62" s="402"/>
      <c r="E62" s="401"/>
      <c r="F62" s="401"/>
      <c r="G62" s="401"/>
      <c r="H62" s="401"/>
      <c r="I62" s="401"/>
      <c r="J62" s="401"/>
      <c r="K62" s="401"/>
      <c r="L62" s="402"/>
      <c r="M62" s="401"/>
      <c r="N62" s="402"/>
      <c r="O62" s="401"/>
      <c r="P62" s="401"/>
      <c r="Q62" s="401"/>
      <c r="R62" s="401"/>
      <c r="S62" s="401"/>
      <c r="T62" s="401"/>
      <c r="U62" s="401"/>
      <c r="V62" s="401"/>
      <c r="W62" s="391"/>
      <c r="X62" s="403"/>
      <c r="Y62" s="403"/>
      <c r="Z62" s="404"/>
      <c r="AA62" s="404"/>
      <c r="AB62" s="404"/>
    </row>
    <row r="63" spans="1:28">
      <c r="A63" s="391"/>
      <c r="B63" s="391"/>
      <c r="C63" s="401"/>
      <c r="D63" s="402"/>
      <c r="E63" s="401"/>
      <c r="F63" s="401"/>
      <c r="G63" s="401"/>
      <c r="H63" s="401"/>
      <c r="I63" s="401"/>
      <c r="J63" s="401"/>
      <c r="K63" s="401"/>
      <c r="L63" s="402"/>
      <c r="M63" s="401"/>
      <c r="N63" s="402"/>
      <c r="O63" s="401"/>
      <c r="P63" s="401"/>
      <c r="Q63" s="401"/>
      <c r="R63" s="401"/>
      <c r="S63" s="401"/>
      <c r="T63" s="401"/>
      <c r="U63" s="401"/>
      <c r="V63" s="401"/>
      <c r="W63" s="391"/>
      <c r="X63" s="403"/>
      <c r="Y63" s="403"/>
      <c r="Z63" s="404"/>
      <c r="AA63" s="404"/>
      <c r="AB63" s="404"/>
    </row>
    <row r="64" spans="1:28" hidden="1">
      <c r="A64" s="391"/>
      <c r="B64" s="391"/>
      <c r="C64" s="401"/>
      <c r="D64" s="402"/>
      <c r="E64" s="401"/>
      <c r="F64" s="401"/>
      <c r="G64" s="401"/>
      <c r="H64" s="401"/>
      <c r="I64" s="401"/>
      <c r="J64" s="401"/>
      <c r="K64" s="401"/>
      <c r="L64" s="402"/>
      <c r="M64" s="401"/>
      <c r="N64" s="402"/>
      <c r="O64" s="401"/>
      <c r="P64" s="401"/>
      <c r="Q64" s="401"/>
      <c r="R64" s="401"/>
      <c r="S64" s="401"/>
      <c r="T64" s="401"/>
      <c r="U64" s="401"/>
      <c r="V64" s="401"/>
      <c r="W64" s="391"/>
      <c r="X64" s="403"/>
      <c r="Y64" s="403"/>
      <c r="Z64" s="404"/>
      <c r="AA64" s="404"/>
      <c r="AB64" s="404"/>
    </row>
    <row r="65" spans="1:28" hidden="1">
      <c r="A65" s="391"/>
      <c r="B65" s="391"/>
      <c r="C65" s="401"/>
      <c r="D65" s="401"/>
      <c r="E65" s="401"/>
      <c r="F65" s="401"/>
      <c r="G65" s="401"/>
      <c r="H65" s="401"/>
      <c r="I65" s="401"/>
      <c r="J65" s="401"/>
      <c r="K65" s="401"/>
      <c r="L65" s="401"/>
      <c r="M65" s="401"/>
      <c r="N65" s="401"/>
      <c r="O65" s="401"/>
      <c r="P65" s="401"/>
      <c r="Q65" s="401"/>
      <c r="R65" s="401"/>
      <c r="S65" s="401"/>
      <c r="T65" s="401"/>
      <c r="U65" s="401"/>
      <c r="V65" s="401"/>
      <c r="W65" s="391"/>
      <c r="X65" s="391"/>
      <c r="Y65" s="391"/>
      <c r="Z65" s="391"/>
      <c r="AA65" s="391"/>
      <c r="AB65" s="391"/>
    </row>
    <row r="66" spans="1:28" hidden="1">
      <c r="A66" s="391"/>
      <c r="B66" s="391"/>
      <c r="C66" s="401"/>
      <c r="D66" s="401"/>
      <c r="E66" s="401"/>
      <c r="F66" s="401"/>
      <c r="G66" s="401"/>
      <c r="H66" s="401"/>
      <c r="I66" s="401"/>
      <c r="J66" s="401"/>
      <c r="K66" s="401"/>
      <c r="L66" s="401"/>
      <c r="M66" s="401"/>
      <c r="N66" s="401"/>
      <c r="O66" s="401"/>
      <c r="P66" s="401"/>
      <c r="Q66" s="401"/>
      <c r="R66" s="401"/>
      <c r="S66" s="401"/>
      <c r="T66" s="401"/>
      <c r="U66" s="401"/>
      <c r="V66" s="401"/>
      <c r="W66" s="391"/>
      <c r="X66" s="391"/>
      <c r="Y66" s="391"/>
      <c r="Z66" s="391"/>
      <c r="AA66" s="391"/>
      <c r="AB66" s="391"/>
    </row>
    <row r="67" spans="1:28" hidden="1">
      <c r="C67" s="1279">
        <v>0.109217999126256</v>
      </c>
      <c r="D67" s="1280">
        <v>9.5238095238095233E-2</v>
      </c>
      <c r="E67" s="1279">
        <v>0.1223091976516634</v>
      </c>
      <c r="F67" s="1281"/>
      <c r="G67" s="1279">
        <v>0.11122233344455566</v>
      </c>
      <c r="H67" s="1279">
        <v>8.2644628099173556E-2</v>
      </c>
      <c r="I67" s="1279">
        <v>0.12531328320802007</v>
      </c>
      <c r="J67" s="1279">
        <v>0.11122233344455566</v>
      </c>
      <c r="K67" s="1279">
        <v>0.12422360248447206</v>
      </c>
      <c r="L67" s="1279">
        <v>0.23474178403755869</v>
      </c>
      <c r="M67" s="1281">
        <v>1.1627906976744187</v>
      </c>
      <c r="N67" s="1281">
        <v>0.14285714285714285</v>
      </c>
      <c r="O67" s="1284">
        <v>0.14285714285714285</v>
      </c>
      <c r="P67" s="1281">
        <v>96.15384615384616</v>
      </c>
      <c r="Q67" s="1281">
        <v>0.25</v>
      </c>
      <c r="R67" s="1281">
        <v>1.1111111111111112</v>
      </c>
      <c r="S67" s="1281">
        <v>0.10705491917353602</v>
      </c>
      <c r="T67" s="1285">
        <v>0.18474043968224643</v>
      </c>
      <c r="U67" s="1281"/>
      <c r="V67" s="1281">
        <v>0.2857142857142857</v>
      </c>
    </row>
    <row r="68" spans="1:28">
      <c r="C68" s="1282"/>
      <c r="D68" s="1282"/>
      <c r="E68" s="1282"/>
      <c r="F68" s="1282"/>
      <c r="G68" s="1282"/>
      <c r="H68" s="1282"/>
      <c r="I68" s="1282"/>
      <c r="J68" s="1282"/>
      <c r="K68" s="1282"/>
      <c r="L68" s="1283"/>
    </row>
  </sheetData>
  <phoneticPr fontId="0" type="noConversion"/>
  <hyperlinks>
    <hyperlink ref="D1" location="INDICE!A60" display="VOLVER A INDICE"/>
  </hyperlinks>
  <pageMargins left="0.75" right="0.75" top="1" bottom="1" header="0" footer="0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65"/>
  <sheetViews>
    <sheetView showGridLines="0" workbookViewId="0">
      <selection activeCell="H16" sqref="H16"/>
    </sheetView>
  </sheetViews>
  <sheetFormatPr baseColWidth="10" defaultRowHeight="12.75"/>
  <cols>
    <col min="1" max="1" width="3" customWidth="1"/>
    <col min="2" max="2" width="41.5703125" customWidth="1"/>
  </cols>
  <sheetData>
    <row r="1" spans="2:8" ht="13.5" thickBot="1">
      <c r="B1" s="1314"/>
      <c r="C1" s="1333"/>
      <c r="D1" s="1333"/>
      <c r="E1" s="1333"/>
      <c r="F1" s="1315"/>
      <c r="G1" s="1315"/>
      <c r="H1" s="1315"/>
    </row>
    <row r="2" spans="2:8">
      <c r="B2" s="1317"/>
      <c r="C2" s="1334"/>
      <c r="D2" s="1334"/>
      <c r="E2" s="1334"/>
      <c r="F2" s="808"/>
      <c r="G2" s="407"/>
      <c r="H2" s="852" t="s">
        <v>681</v>
      </c>
    </row>
    <row r="3" spans="2:8">
      <c r="B3" s="809"/>
      <c r="C3" s="796" t="s">
        <v>357</v>
      </c>
      <c r="D3" s="802"/>
      <c r="E3" s="802"/>
      <c r="F3" s="810"/>
      <c r="G3" s="407"/>
      <c r="H3" s="407"/>
    </row>
    <row r="4" spans="2:8">
      <c r="B4" s="406"/>
      <c r="C4" s="795" t="s">
        <v>737</v>
      </c>
      <c r="D4" s="802"/>
      <c r="E4" s="802"/>
      <c r="F4" s="810"/>
      <c r="G4" s="407"/>
      <c r="H4" s="407"/>
    </row>
    <row r="5" spans="2:8">
      <c r="B5" s="406"/>
      <c r="C5" s="796"/>
      <c r="D5" s="803" t="s">
        <v>358</v>
      </c>
      <c r="E5" s="803"/>
      <c r="F5" s="810"/>
      <c r="G5" s="407"/>
      <c r="H5" s="407"/>
    </row>
    <row r="6" spans="2:8" ht="13.5" thickBot="1">
      <c r="B6" s="406"/>
      <c r="C6" s="796"/>
      <c r="D6" s="802" t="s">
        <v>359</v>
      </c>
      <c r="E6" s="802" t="s">
        <v>360</v>
      </c>
      <c r="F6" s="810"/>
      <c r="G6" s="407"/>
      <c r="H6" s="407"/>
    </row>
    <row r="7" spans="2:8">
      <c r="B7" s="1118" t="s">
        <v>361</v>
      </c>
      <c r="C7" s="797">
        <f>C10+C15</f>
        <v>13006.124</v>
      </c>
      <c r="D7" s="804">
        <v>1</v>
      </c>
      <c r="E7" s="804"/>
      <c r="F7" s="817"/>
      <c r="G7" s="407"/>
      <c r="H7" s="407"/>
    </row>
    <row r="8" spans="2:8">
      <c r="B8" s="1119" t="s">
        <v>362</v>
      </c>
      <c r="C8" s="798"/>
      <c r="D8" s="805"/>
      <c r="E8" s="805"/>
      <c r="F8" s="811"/>
      <c r="G8" s="407"/>
      <c r="H8" s="407"/>
    </row>
    <row r="9" spans="2:8">
      <c r="B9" s="1119"/>
      <c r="C9" s="798"/>
      <c r="D9" s="805"/>
      <c r="E9" s="805"/>
      <c r="F9" s="811"/>
      <c r="G9" s="408"/>
      <c r="H9" s="407"/>
    </row>
    <row r="10" spans="2:8">
      <c r="B10" s="1119" t="s">
        <v>363</v>
      </c>
      <c r="C10" s="799">
        <f>C11+C12+C13</f>
        <v>8192.0679999999993</v>
      </c>
      <c r="D10" s="805">
        <f>C10/C7</f>
        <v>0.62986236329901202</v>
      </c>
      <c r="E10" s="805"/>
      <c r="F10" s="811"/>
      <c r="G10" s="409"/>
      <c r="H10" s="407"/>
    </row>
    <row r="11" spans="2:8">
      <c r="B11" s="1120" t="s">
        <v>364</v>
      </c>
      <c r="C11" s="798">
        <v>491.59800000000001</v>
      </c>
      <c r="D11" s="805"/>
      <c r="E11" s="805">
        <f>C11/C10</f>
        <v>6.000902336259905E-2</v>
      </c>
      <c r="F11" s="811"/>
      <c r="G11" s="407"/>
      <c r="H11" s="407"/>
    </row>
    <row r="12" spans="2:8">
      <c r="B12" s="1120" t="s">
        <v>365</v>
      </c>
      <c r="C12" s="798">
        <v>445.85899999999998</v>
      </c>
      <c r="D12" s="805"/>
      <c r="E12" s="805">
        <f>C12/C10</f>
        <v>5.4425695685143244E-2</v>
      </c>
      <c r="F12" s="811"/>
      <c r="G12" s="409"/>
      <c r="H12" s="407"/>
    </row>
    <row r="13" spans="2:8">
      <c r="B13" s="1120" t="s">
        <v>366</v>
      </c>
      <c r="C13" s="798">
        <v>7254.6109999999999</v>
      </c>
      <c r="D13" s="805"/>
      <c r="E13" s="805">
        <f>C13/C10</f>
        <v>0.88556528095225773</v>
      </c>
      <c r="F13" s="811"/>
      <c r="G13" s="409"/>
      <c r="H13" s="407"/>
    </row>
    <row r="14" spans="2:8">
      <c r="B14" s="1119"/>
      <c r="C14" s="798"/>
      <c r="D14" s="805"/>
      <c r="E14" s="805"/>
      <c r="F14" s="811"/>
      <c r="G14" s="407"/>
      <c r="H14" s="407"/>
    </row>
    <row r="15" spans="2:8">
      <c r="B15" s="1119" t="s">
        <v>367</v>
      </c>
      <c r="C15" s="799">
        <f>C16+C17</f>
        <v>4814.0560000000005</v>
      </c>
      <c r="D15" s="805">
        <f>1-D10</f>
        <v>0.37013763670098798</v>
      </c>
      <c r="E15" s="805"/>
      <c r="F15" s="811"/>
      <c r="G15" s="407"/>
      <c r="H15" s="407"/>
    </row>
    <row r="16" spans="2:8">
      <c r="B16" s="1120" t="s">
        <v>364</v>
      </c>
      <c r="C16" s="798">
        <v>86.403999999999996</v>
      </c>
      <c r="D16" s="805"/>
      <c r="E16" s="805">
        <f>C16/C15</f>
        <v>1.794827480195494E-2</v>
      </c>
      <c r="F16" s="811"/>
      <c r="G16" s="407"/>
      <c r="H16" s="408"/>
    </row>
    <row r="17" spans="2:8">
      <c r="B17" s="1120" t="s">
        <v>366</v>
      </c>
      <c r="C17" s="798">
        <v>4727.652</v>
      </c>
      <c r="D17" s="805"/>
      <c r="E17" s="805">
        <v>0.98036776756890898</v>
      </c>
      <c r="F17" s="811"/>
      <c r="G17" s="409"/>
      <c r="H17" s="407"/>
    </row>
    <row r="18" spans="2:8">
      <c r="B18" s="1121"/>
      <c r="C18" s="798"/>
      <c r="D18" s="805"/>
      <c r="E18" s="805"/>
      <c r="F18" s="811"/>
      <c r="G18" s="407"/>
      <c r="H18" s="407"/>
    </row>
    <row r="19" spans="2:8">
      <c r="B19" s="1121" t="s">
        <v>368</v>
      </c>
      <c r="C19" s="798"/>
      <c r="D19" s="805"/>
      <c r="E19" s="805"/>
      <c r="F19" s="811"/>
      <c r="G19" s="407"/>
      <c r="H19" s="407"/>
    </row>
    <row r="20" spans="2:8">
      <c r="B20" s="1119" t="s">
        <v>369</v>
      </c>
      <c r="C20" s="799">
        <f>C21+C26</f>
        <v>54483.130919563868</v>
      </c>
      <c r="D20" s="805">
        <v>1</v>
      </c>
      <c r="E20" s="805"/>
      <c r="F20" s="811"/>
      <c r="G20" s="409"/>
      <c r="H20" s="407"/>
    </row>
    <row r="21" spans="2:8">
      <c r="B21" s="1119" t="s">
        <v>363</v>
      </c>
      <c r="C21" s="799">
        <f>C22+C23+C24</f>
        <v>28339.251919563867</v>
      </c>
      <c r="D21" s="805">
        <f>C21/C20</f>
        <v>0.52014727203182398</v>
      </c>
      <c r="E21" s="805"/>
      <c r="F21" s="811"/>
      <c r="G21" s="410"/>
      <c r="H21" s="407"/>
    </row>
    <row r="22" spans="2:8">
      <c r="B22" s="1120" t="s">
        <v>364</v>
      </c>
      <c r="C22" s="798">
        <v>957.89695944838536</v>
      </c>
      <c r="D22" s="805"/>
      <c r="E22" s="805">
        <f>C22/C21</f>
        <v>3.3801067232374818E-2</v>
      </c>
      <c r="F22" s="811"/>
      <c r="G22" s="407"/>
      <c r="H22" s="407"/>
    </row>
    <row r="23" spans="2:8">
      <c r="B23" s="1120" t="s">
        <v>365</v>
      </c>
      <c r="C23" s="798">
        <v>2026.3549601154812</v>
      </c>
      <c r="D23" s="805"/>
      <c r="E23" s="805">
        <f>C23/C21</f>
        <v>7.150347390491972E-2</v>
      </c>
      <c r="F23" s="811"/>
      <c r="G23" s="407"/>
      <c r="H23" s="407"/>
    </row>
    <row r="24" spans="2:8">
      <c r="B24" s="1120" t="s">
        <v>366</v>
      </c>
      <c r="C24" s="798">
        <v>25355</v>
      </c>
      <c r="D24" s="805"/>
      <c r="E24" s="805">
        <f>C24/C21</f>
        <v>0.89469545886270541</v>
      </c>
      <c r="F24" s="811"/>
      <c r="G24" s="409"/>
      <c r="H24" s="407"/>
    </row>
    <row r="25" spans="2:8">
      <c r="B25" s="1119"/>
      <c r="C25" s="798"/>
      <c r="D25" s="805"/>
      <c r="E25" s="805"/>
      <c r="F25" s="811"/>
      <c r="G25" s="407"/>
      <c r="H25" s="407"/>
    </row>
    <row r="26" spans="2:8">
      <c r="B26" s="1119" t="s">
        <v>367</v>
      </c>
      <c r="C26" s="799">
        <f>C27+C28</f>
        <v>26143.879000000001</v>
      </c>
      <c r="D26" s="805">
        <f>1-D21</f>
        <v>0.47985272796817602</v>
      </c>
      <c r="E26" s="805"/>
      <c r="F26" s="811"/>
      <c r="G26" s="407"/>
      <c r="H26" s="407"/>
    </row>
    <row r="27" spans="2:8">
      <c r="B27" s="1120" t="s">
        <v>364</v>
      </c>
      <c r="C27" s="798">
        <v>561.57899999999995</v>
      </c>
      <c r="D27" s="805"/>
      <c r="E27" s="805">
        <f>C27/C26</f>
        <v>2.1480324323716458E-2</v>
      </c>
      <c r="F27" s="811"/>
      <c r="G27" s="407"/>
      <c r="H27" s="407"/>
    </row>
    <row r="28" spans="2:8">
      <c r="B28" s="1120" t="s">
        <v>366</v>
      </c>
      <c r="C28" s="798">
        <v>25582.3</v>
      </c>
      <c r="D28" s="805"/>
      <c r="E28" s="805">
        <f>C28/C26</f>
        <v>0.97851967567628351</v>
      </c>
      <c r="F28" s="811"/>
      <c r="G28" s="409"/>
      <c r="H28" s="407"/>
    </row>
    <row r="29" spans="2:8">
      <c r="B29" s="1122"/>
      <c r="C29" s="798"/>
      <c r="D29" s="805"/>
      <c r="E29" s="805"/>
      <c r="F29" s="811"/>
      <c r="G29" s="407"/>
      <c r="H29" s="407"/>
    </row>
    <row r="30" spans="2:8">
      <c r="B30" s="1122" t="s">
        <v>812</v>
      </c>
      <c r="C30" s="798"/>
      <c r="D30" s="805"/>
      <c r="E30" s="805"/>
      <c r="F30" s="811"/>
      <c r="G30" s="407"/>
      <c r="H30" s="407"/>
    </row>
    <row r="31" spans="2:8">
      <c r="B31" s="1122" t="s">
        <v>370</v>
      </c>
      <c r="C31" s="798"/>
      <c r="D31" s="806"/>
      <c r="E31" s="805"/>
      <c r="F31" s="811"/>
      <c r="G31" s="407"/>
      <c r="H31" s="407"/>
    </row>
    <row r="32" spans="2:8">
      <c r="B32" s="1119" t="s">
        <v>371</v>
      </c>
      <c r="C32" s="799">
        <f>SUM(C33:C37)</f>
        <v>329408.64403412666</v>
      </c>
      <c r="D32" s="805">
        <v>1</v>
      </c>
      <c r="E32" s="805"/>
      <c r="F32" s="811"/>
      <c r="G32" s="407"/>
      <c r="H32" s="407"/>
    </row>
    <row r="33" spans="2:8">
      <c r="B33" s="1119" t="s">
        <v>372</v>
      </c>
      <c r="C33" s="798">
        <v>43082.506846937031</v>
      </c>
      <c r="D33" s="805">
        <f>C33/$C$32</f>
        <v>0.13078742051005102</v>
      </c>
      <c r="E33" s="805"/>
      <c r="F33" s="811"/>
      <c r="G33" s="407"/>
      <c r="H33" s="407"/>
    </row>
    <row r="34" spans="2:8">
      <c r="B34" s="1119" t="s">
        <v>373</v>
      </c>
      <c r="C34" s="798">
        <v>37471.972254152861</v>
      </c>
      <c r="D34" s="805">
        <f>C34/$C$32</f>
        <v>0.11375527914279861</v>
      </c>
      <c r="E34" s="805"/>
      <c r="F34" s="811"/>
      <c r="G34" s="407"/>
      <c r="H34" s="407"/>
    </row>
    <row r="35" spans="2:8">
      <c r="B35" s="1123" t="s">
        <v>374</v>
      </c>
      <c r="C35" s="798">
        <v>122275.68836988376</v>
      </c>
      <c r="D35" s="805">
        <f>C35/$C$32</f>
        <v>0.37119757050824698</v>
      </c>
      <c r="E35" s="805"/>
      <c r="F35" s="811"/>
      <c r="G35" s="407"/>
      <c r="H35" s="407"/>
    </row>
    <row r="36" spans="2:8">
      <c r="B36" s="1123" t="s">
        <v>375</v>
      </c>
      <c r="C36" s="798">
        <v>80590.946498478093</v>
      </c>
      <c r="D36" s="805">
        <f>C36/$C$32</f>
        <v>0.24465340530083021</v>
      </c>
      <c r="E36" s="805"/>
      <c r="F36" s="811"/>
      <c r="G36" s="407"/>
      <c r="H36" s="407"/>
    </row>
    <row r="37" spans="2:8">
      <c r="B37" s="1119" t="s">
        <v>376</v>
      </c>
      <c r="C37" s="798">
        <v>45987.530064674887</v>
      </c>
      <c r="D37" s="805">
        <f>C37/$C$32</f>
        <v>0.13960632453807312</v>
      </c>
      <c r="E37" s="805"/>
      <c r="F37" s="811"/>
      <c r="G37" s="407"/>
      <c r="H37" s="407"/>
    </row>
    <row r="38" spans="2:8">
      <c r="B38" s="1121"/>
      <c r="C38" s="798"/>
      <c r="D38" s="805"/>
      <c r="E38" s="805"/>
      <c r="F38" s="812"/>
      <c r="G38" s="407"/>
      <c r="H38" s="407"/>
    </row>
    <row r="39" spans="2:8">
      <c r="B39" s="1121" t="s">
        <v>377</v>
      </c>
      <c r="C39" s="798"/>
      <c r="D39" s="805"/>
      <c r="E39" s="805"/>
      <c r="F39" s="811"/>
      <c r="G39" s="407"/>
      <c r="H39" s="407"/>
    </row>
    <row r="40" spans="2:8">
      <c r="B40" s="1121" t="s">
        <v>378</v>
      </c>
      <c r="C40" s="798"/>
      <c r="D40" s="805"/>
      <c r="E40" s="805"/>
      <c r="F40" s="811"/>
      <c r="G40" s="407"/>
      <c r="H40" s="407"/>
    </row>
    <row r="41" spans="2:8">
      <c r="B41" s="1121" t="s">
        <v>369</v>
      </c>
      <c r="C41" s="799">
        <f>SUM(C42:C52)</f>
        <v>32424.314309495363</v>
      </c>
      <c r="D41" s="806">
        <v>1</v>
      </c>
      <c r="E41" s="805"/>
      <c r="F41" s="811"/>
      <c r="G41" s="407"/>
      <c r="H41" s="407"/>
    </row>
    <row r="42" spans="2:8">
      <c r="B42" s="1119" t="s">
        <v>263</v>
      </c>
      <c r="C42" s="798">
        <v>491.71166399999976</v>
      </c>
      <c r="D42" s="807">
        <f>C42/$C$41</f>
        <v>1.5164905549166956E-2</v>
      </c>
      <c r="E42" s="805"/>
      <c r="F42" s="813"/>
      <c r="G42" s="410"/>
      <c r="H42" s="407"/>
    </row>
    <row r="43" spans="2:8">
      <c r="B43" s="1119" t="s">
        <v>256</v>
      </c>
      <c r="C43" s="798">
        <v>15859.370826726006</v>
      </c>
      <c r="D43" s="807">
        <f t="shared" ref="D43:D52" si="0">C43/$C$41</f>
        <v>0.48911969811745987</v>
      </c>
      <c r="E43" s="805"/>
      <c r="F43" s="813"/>
      <c r="G43" s="410"/>
      <c r="H43" s="407"/>
    </row>
    <row r="44" spans="2:8">
      <c r="B44" s="1119" t="s">
        <v>260</v>
      </c>
      <c r="C44" s="798">
        <v>4351.216476869713</v>
      </c>
      <c r="D44" s="807">
        <f t="shared" si="0"/>
        <v>0.1341960984999295</v>
      </c>
      <c r="E44" s="805"/>
      <c r="F44" s="813"/>
      <c r="G44" s="410"/>
      <c r="H44" s="407"/>
    </row>
    <row r="45" spans="2:8">
      <c r="B45" s="1119" t="s">
        <v>262</v>
      </c>
      <c r="C45" s="798">
        <v>642.49999400000002</v>
      </c>
      <c r="D45" s="807">
        <f t="shared" si="0"/>
        <v>1.9815376444578994E-2</v>
      </c>
      <c r="E45" s="805"/>
      <c r="F45" s="813"/>
      <c r="G45" s="410"/>
      <c r="H45" s="407"/>
    </row>
    <row r="46" spans="2:8">
      <c r="B46" s="1119" t="s">
        <v>261</v>
      </c>
      <c r="C46" s="798">
        <v>573.81299700000022</v>
      </c>
      <c r="D46" s="807">
        <f t="shared" si="0"/>
        <v>1.7696997121446012E-2</v>
      </c>
      <c r="E46" s="805"/>
      <c r="F46" s="813"/>
      <c r="G46" s="410"/>
      <c r="H46" s="407"/>
    </row>
    <row r="47" spans="2:8">
      <c r="B47" s="1119" t="s">
        <v>379</v>
      </c>
      <c r="C47" s="798">
        <v>102.23826619459707</v>
      </c>
      <c r="D47" s="807">
        <f t="shared" si="0"/>
        <v>3.1531357986082963E-3</v>
      </c>
      <c r="E47" s="805"/>
      <c r="F47" s="813"/>
      <c r="G47" s="410"/>
      <c r="H47" s="407"/>
    </row>
    <row r="48" spans="2:8">
      <c r="B48" s="1119" t="s">
        <v>259</v>
      </c>
      <c r="C48" s="798">
        <v>360.19684799999999</v>
      </c>
      <c r="D48" s="807">
        <f t="shared" si="0"/>
        <v>1.1108850122838757E-2</v>
      </c>
      <c r="E48" s="805"/>
      <c r="F48" s="813"/>
      <c r="G48" s="410"/>
      <c r="H48" s="407"/>
    </row>
    <row r="49" spans="2:8">
      <c r="B49" s="1119" t="s">
        <v>265</v>
      </c>
      <c r="C49" s="798">
        <v>124.44678599999995</v>
      </c>
      <c r="D49" s="807">
        <f t="shared" si="0"/>
        <v>3.8380699376441732E-3</v>
      </c>
      <c r="E49" s="805"/>
      <c r="F49" s="813"/>
      <c r="G49" s="410"/>
      <c r="H49" s="407"/>
    </row>
    <row r="50" spans="2:8">
      <c r="B50" s="1119" t="s">
        <v>258</v>
      </c>
      <c r="C50" s="798">
        <v>414.14774099999983</v>
      </c>
      <c r="D50" s="807">
        <f t="shared" si="0"/>
        <v>1.2772752479725312E-2</v>
      </c>
      <c r="E50" s="805"/>
      <c r="F50" s="813"/>
      <c r="G50" s="410"/>
      <c r="H50" s="407"/>
    </row>
    <row r="51" spans="2:8">
      <c r="B51" s="1119" t="s">
        <v>266</v>
      </c>
      <c r="C51" s="798">
        <v>8043.6551270451027</v>
      </c>
      <c r="D51" s="807">
        <f t="shared" si="0"/>
        <v>0.24807479505247526</v>
      </c>
      <c r="E51" s="805"/>
      <c r="F51" s="813"/>
      <c r="G51" s="410"/>
      <c r="H51" s="407"/>
    </row>
    <row r="52" spans="2:8">
      <c r="B52" s="1119" t="s">
        <v>267</v>
      </c>
      <c r="C52" s="798">
        <v>1461.0175826599411</v>
      </c>
      <c r="D52" s="807">
        <f t="shared" si="0"/>
        <v>4.5059320876126796E-2</v>
      </c>
      <c r="E52" s="805"/>
      <c r="F52" s="813"/>
      <c r="G52" s="410"/>
      <c r="H52" s="407"/>
    </row>
    <row r="53" spans="2:8">
      <c r="B53" s="1121"/>
      <c r="C53" s="798"/>
      <c r="D53" s="805"/>
      <c r="E53" s="805"/>
      <c r="F53" s="814"/>
      <c r="G53" s="410"/>
      <c r="H53" s="407"/>
    </row>
    <row r="54" spans="2:8">
      <c r="B54" s="1121" t="s">
        <v>380</v>
      </c>
      <c r="C54" s="798"/>
      <c r="D54" s="805"/>
      <c r="E54" s="805"/>
      <c r="F54" s="811"/>
      <c r="G54" s="407"/>
      <c r="H54" s="407"/>
    </row>
    <row r="55" spans="2:8">
      <c r="B55" s="1124" t="s">
        <v>386</v>
      </c>
      <c r="C55" s="798"/>
      <c r="D55" s="805"/>
      <c r="E55" s="805"/>
      <c r="F55" s="811"/>
      <c r="G55" s="407"/>
      <c r="H55" s="407"/>
    </row>
    <row r="56" spans="2:8" ht="13.5" thickBot="1">
      <c r="B56" s="1125" t="s">
        <v>381</v>
      </c>
      <c r="C56" s="800">
        <f>(1000000000*C33/860)/16267278</f>
        <v>3079.5525959606039</v>
      </c>
      <c r="D56" s="794"/>
      <c r="E56" s="815"/>
      <c r="F56" s="816"/>
      <c r="G56" s="407"/>
      <c r="H56" s="407"/>
    </row>
    <row r="57" spans="2:8">
      <c r="B57" s="408" t="s">
        <v>382</v>
      </c>
      <c r="C57" s="801"/>
      <c r="D57" s="801"/>
      <c r="E57" s="801"/>
      <c r="F57" s="1315"/>
      <c r="G57" s="1315"/>
      <c r="H57" s="1315"/>
    </row>
    <row r="58" spans="2:8">
      <c r="B58" s="1315" t="s">
        <v>813</v>
      </c>
      <c r="C58" s="1335"/>
      <c r="D58" s="1335"/>
      <c r="E58" s="1335"/>
      <c r="F58" s="1315"/>
      <c r="G58" s="1315"/>
      <c r="H58" s="1315"/>
    </row>
    <row r="59" spans="2:8">
      <c r="B59" s="1315" t="s">
        <v>383</v>
      </c>
      <c r="C59" s="1335"/>
      <c r="D59" s="1335"/>
      <c r="E59" s="1335"/>
      <c r="F59" s="1315"/>
      <c r="G59" s="1315"/>
      <c r="H59" s="1315"/>
    </row>
    <row r="60" spans="2:8">
      <c r="B60" s="1315" t="s">
        <v>814</v>
      </c>
      <c r="C60" s="1335"/>
      <c r="D60" s="1335"/>
      <c r="E60" s="1335"/>
      <c r="F60" s="1315"/>
      <c r="G60" s="1315"/>
      <c r="H60" s="1315"/>
    </row>
    <row r="61" spans="2:8">
      <c r="B61" s="1315" t="s">
        <v>815</v>
      </c>
      <c r="C61" s="1335"/>
      <c r="D61" s="1335"/>
      <c r="E61" s="1335"/>
      <c r="F61" s="1315"/>
      <c r="G61" s="1315"/>
      <c r="H61" s="1315"/>
    </row>
    <row r="62" spans="2:8">
      <c r="B62" s="411" t="s">
        <v>384</v>
      </c>
      <c r="C62" s="1335"/>
      <c r="D62" s="1335"/>
      <c r="E62" s="1335"/>
      <c r="F62" s="1315"/>
      <c r="G62" s="1315"/>
      <c r="H62" s="1315"/>
    </row>
    <row r="63" spans="2:8">
      <c r="B63" s="412" t="s">
        <v>816</v>
      </c>
      <c r="C63" s="1335"/>
      <c r="D63" s="1335"/>
      <c r="E63" s="1335"/>
      <c r="F63" s="1315"/>
      <c r="G63" s="1315"/>
      <c r="H63" s="1315"/>
    </row>
    <row r="64" spans="2:8">
      <c r="B64" s="412" t="s">
        <v>817</v>
      </c>
      <c r="C64" s="1335"/>
      <c r="D64" s="1335"/>
      <c r="E64" s="1335"/>
      <c r="F64" s="1315"/>
      <c r="G64" s="1315"/>
      <c r="H64" s="1315"/>
    </row>
    <row r="65" spans="2:8">
      <c r="B65" s="412" t="s">
        <v>385</v>
      </c>
      <c r="C65" s="801"/>
      <c r="D65" s="801"/>
      <c r="E65" s="801"/>
      <c r="F65" s="407"/>
      <c r="G65" s="407"/>
      <c r="H65" s="407"/>
    </row>
  </sheetData>
  <phoneticPr fontId="92" type="noConversion"/>
  <hyperlinks>
    <hyperlink ref="H2" location="INDICE!A80" display="VOLVER A INDICE"/>
  </hyperlinks>
  <pageMargins left="0.75" right="0.75" top="1" bottom="1" header="0" footer="0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81"/>
  <sheetViews>
    <sheetView showGridLines="0" topLeftCell="A49" workbookViewId="0">
      <selection activeCell="J11" sqref="J11"/>
    </sheetView>
  </sheetViews>
  <sheetFormatPr baseColWidth="10" defaultRowHeight="12.75"/>
  <cols>
    <col min="1" max="1" width="2.85546875" customWidth="1"/>
    <col min="2" max="2" width="12.85546875" customWidth="1"/>
    <col min="7" max="7" width="14.85546875" customWidth="1"/>
    <col min="8" max="8" width="16.5703125" customWidth="1"/>
  </cols>
  <sheetData>
    <row r="1" spans="2:10" ht="15.75">
      <c r="B1" s="437"/>
      <c r="C1" s="1335"/>
      <c r="D1" s="1335"/>
      <c r="E1" s="1315"/>
      <c r="F1" s="1335"/>
      <c r="G1" s="860" t="s">
        <v>681</v>
      </c>
      <c r="H1" s="1335"/>
      <c r="I1" s="1335"/>
      <c r="J1" s="1315"/>
    </row>
    <row r="2" spans="2:10">
      <c r="B2" s="1315"/>
      <c r="C2" s="1335"/>
      <c r="D2" s="1335"/>
      <c r="E2" s="1315"/>
      <c r="F2" s="1335"/>
      <c r="G2" s="1335"/>
      <c r="H2" s="1335"/>
      <c r="I2" s="1335"/>
      <c r="J2" s="1315"/>
    </row>
    <row r="3" spans="2:10">
      <c r="B3" s="439" t="s">
        <v>387</v>
      </c>
      <c r="C3" s="823"/>
      <c r="D3" s="823"/>
      <c r="E3" s="439"/>
      <c r="F3" s="441"/>
      <c r="G3" s="441"/>
      <c r="H3" s="441"/>
      <c r="I3" s="1335"/>
      <c r="J3" s="1315"/>
    </row>
    <row r="4" spans="2:10">
      <c r="B4" s="439" t="s">
        <v>388</v>
      </c>
      <c r="C4" s="823"/>
      <c r="D4" s="823"/>
      <c r="E4" s="439"/>
      <c r="F4" s="441"/>
      <c r="G4" s="441"/>
      <c r="H4" s="441"/>
      <c r="I4" s="1335"/>
      <c r="J4" s="1315"/>
    </row>
    <row r="5" spans="2:10">
      <c r="B5" s="440"/>
      <c r="C5" s="441"/>
      <c r="D5" s="441"/>
      <c r="E5" s="440"/>
      <c r="F5" s="441"/>
      <c r="G5" s="441"/>
      <c r="H5" s="441"/>
      <c r="I5" s="441"/>
      <c r="J5" s="1315"/>
    </row>
    <row r="6" spans="2:10" ht="13.5" thickBot="1">
      <c r="B6" s="413"/>
      <c r="C6" s="430"/>
      <c r="D6" s="430"/>
      <c r="E6" s="413"/>
      <c r="F6" s="430"/>
      <c r="G6" s="430"/>
      <c r="H6" s="430"/>
      <c r="I6" s="430"/>
      <c r="J6" s="1315"/>
    </row>
    <row r="7" spans="2:10">
      <c r="B7" s="414"/>
      <c r="C7" s="415" t="s">
        <v>389</v>
      </c>
      <c r="D7" s="416" t="s">
        <v>390</v>
      </c>
      <c r="E7" s="427" t="s">
        <v>391</v>
      </c>
      <c r="F7" s="415" t="s">
        <v>391</v>
      </c>
      <c r="G7" s="417" t="s">
        <v>11</v>
      </c>
      <c r="H7" s="415" t="s">
        <v>338</v>
      </c>
      <c r="I7" s="417" t="s">
        <v>392</v>
      </c>
      <c r="J7" s="1315"/>
    </row>
    <row r="8" spans="2:10" ht="13.5" thickBot="1">
      <c r="B8" s="425"/>
      <c r="C8" s="431"/>
      <c r="D8" s="824"/>
      <c r="E8" s="428" t="s">
        <v>393</v>
      </c>
      <c r="F8" s="419" t="s">
        <v>394</v>
      </c>
      <c r="G8" s="429" t="s">
        <v>395</v>
      </c>
      <c r="H8" s="431"/>
      <c r="I8" s="822"/>
      <c r="J8" s="1315"/>
    </row>
    <row r="9" spans="2:10">
      <c r="B9" s="1199" t="s">
        <v>396</v>
      </c>
      <c r="C9" s="1201" t="s">
        <v>397</v>
      </c>
      <c r="D9" s="818">
        <v>3195.1</v>
      </c>
      <c r="E9" s="1201" t="s">
        <v>397</v>
      </c>
      <c r="F9" s="818">
        <v>45.5</v>
      </c>
      <c r="G9" s="432">
        <v>3240.6</v>
      </c>
      <c r="H9" s="818">
        <v>1185.4000000000001</v>
      </c>
      <c r="I9" s="432">
        <v>4426</v>
      </c>
      <c r="J9" s="1315"/>
    </row>
    <row r="10" spans="2:10">
      <c r="B10" s="1200" t="s">
        <v>398</v>
      </c>
      <c r="C10" s="433"/>
      <c r="D10" s="819">
        <v>0.27400000000000002</v>
      </c>
      <c r="E10" s="1202"/>
      <c r="F10" s="819">
        <v>1</v>
      </c>
      <c r="G10" s="433">
        <v>0.302587567244471</v>
      </c>
      <c r="H10" s="819">
        <v>0.91900000000000004</v>
      </c>
      <c r="I10" s="433">
        <v>0.45300000000000001</v>
      </c>
      <c r="J10" s="1315"/>
    </row>
    <row r="11" spans="2:10">
      <c r="B11" s="1200" t="s">
        <v>399</v>
      </c>
      <c r="C11" s="433"/>
      <c r="D11" s="819">
        <v>0.72599999999999998</v>
      </c>
      <c r="E11" s="1203"/>
      <c r="F11" s="819" t="s">
        <v>400</v>
      </c>
      <c r="G11" s="433">
        <v>0.697412432755529</v>
      </c>
      <c r="H11" s="819">
        <v>8.1000000000000003E-2</v>
      </c>
      <c r="I11" s="433">
        <v>0.54700000000000004</v>
      </c>
      <c r="J11" s="1315"/>
    </row>
    <row r="12" spans="2:10">
      <c r="B12" s="1200"/>
      <c r="C12" s="422"/>
      <c r="D12" s="426"/>
      <c r="E12" s="421"/>
      <c r="F12" s="426"/>
      <c r="G12" s="422"/>
      <c r="H12" s="426"/>
      <c r="I12" s="422"/>
      <c r="J12" s="1315"/>
    </row>
    <row r="13" spans="2:10">
      <c r="B13" s="1200" t="s">
        <v>401</v>
      </c>
      <c r="C13" s="422" t="s">
        <v>397</v>
      </c>
      <c r="D13" s="820">
        <v>3831.1</v>
      </c>
      <c r="E13" s="422" t="s">
        <v>397</v>
      </c>
      <c r="F13" s="820">
        <v>45.5</v>
      </c>
      <c r="G13" s="434">
        <v>3876.6</v>
      </c>
      <c r="H13" s="820">
        <v>1208.4000000000001</v>
      </c>
      <c r="I13" s="434">
        <v>5085</v>
      </c>
      <c r="J13" s="1315"/>
    </row>
    <row r="14" spans="2:10">
      <c r="B14" s="1200" t="s">
        <v>402</v>
      </c>
      <c r="C14" s="433"/>
      <c r="D14" s="819">
        <v>0.223</v>
      </c>
      <c r="E14" s="1202"/>
      <c r="F14" s="819">
        <v>1</v>
      </c>
      <c r="G14" s="433">
        <v>0.24829984932194876</v>
      </c>
      <c r="H14" s="819">
        <v>0.92</v>
      </c>
      <c r="I14" s="433">
        <v>0.39400000000000002</v>
      </c>
      <c r="J14" s="1315"/>
    </row>
    <row r="15" spans="2:10">
      <c r="B15" s="1200" t="s">
        <v>403</v>
      </c>
      <c r="C15" s="433"/>
      <c r="D15" s="819">
        <v>0.77700000000000002</v>
      </c>
      <c r="E15" s="1202"/>
      <c r="F15" s="819" t="s">
        <v>400</v>
      </c>
      <c r="G15" s="433">
        <v>0.75170015067805129</v>
      </c>
      <c r="H15" s="819">
        <v>0.08</v>
      </c>
      <c r="I15" s="433">
        <v>0.60599999999999998</v>
      </c>
      <c r="J15" s="1315"/>
    </row>
    <row r="16" spans="2:10">
      <c r="B16" s="1200"/>
      <c r="C16" s="422"/>
      <c r="D16" s="426"/>
      <c r="E16" s="421"/>
      <c r="F16" s="426"/>
      <c r="G16" s="422"/>
      <c r="H16" s="426"/>
      <c r="I16" s="422"/>
      <c r="J16" s="1315"/>
    </row>
    <row r="17" spans="2:10">
      <c r="B17" s="1197" t="s">
        <v>404</v>
      </c>
      <c r="C17" s="422" t="s">
        <v>397</v>
      </c>
      <c r="D17" s="820">
        <v>3831.1</v>
      </c>
      <c r="E17" s="422" t="s">
        <v>397</v>
      </c>
      <c r="F17" s="820">
        <v>46.4</v>
      </c>
      <c r="G17" s="434">
        <v>3877.5</v>
      </c>
      <c r="H17" s="820">
        <v>1317.5</v>
      </c>
      <c r="I17" s="434">
        <v>5195</v>
      </c>
      <c r="J17" s="1315"/>
    </row>
    <row r="18" spans="2:10">
      <c r="B18" s="1197" t="s">
        <v>402</v>
      </c>
      <c r="C18" s="433"/>
      <c r="D18" s="819">
        <v>0.218</v>
      </c>
      <c r="E18" s="1202"/>
      <c r="F18" s="819">
        <v>1</v>
      </c>
      <c r="G18" s="433">
        <v>0.2451202913108991</v>
      </c>
      <c r="H18" s="819">
        <v>0.91700000000000004</v>
      </c>
      <c r="I18" s="433">
        <v>0.40200000000000002</v>
      </c>
      <c r="J18" s="1315"/>
    </row>
    <row r="19" spans="2:10">
      <c r="B19" s="1197" t="s">
        <v>403</v>
      </c>
      <c r="C19" s="433"/>
      <c r="D19" s="819">
        <v>0.78200000000000003</v>
      </c>
      <c r="E19" s="1202"/>
      <c r="F19" s="819" t="s">
        <v>400</v>
      </c>
      <c r="G19" s="433">
        <v>0.75487970868910081</v>
      </c>
      <c r="H19" s="819">
        <v>8.3000000000000004E-2</v>
      </c>
      <c r="I19" s="433">
        <v>0.59799999999999998</v>
      </c>
      <c r="J19" s="1315"/>
    </row>
    <row r="20" spans="2:10">
      <c r="B20" s="1197"/>
      <c r="C20" s="422"/>
      <c r="D20" s="426"/>
      <c r="E20" s="421"/>
      <c r="F20" s="426"/>
      <c r="G20" s="422"/>
      <c r="H20" s="426"/>
      <c r="I20" s="422"/>
      <c r="J20" s="1315"/>
    </row>
    <row r="21" spans="2:10">
      <c r="B21" s="1197">
        <v>1993</v>
      </c>
      <c r="C21" s="434">
        <v>799.1</v>
      </c>
      <c r="D21" s="820">
        <v>3889.9</v>
      </c>
      <c r="E21" s="422" t="s">
        <v>397</v>
      </c>
      <c r="F21" s="820">
        <v>46.4</v>
      </c>
      <c r="G21" s="434">
        <v>4735.3999999999996</v>
      </c>
      <c r="H21" s="820">
        <v>668.6</v>
      </c>
      <c r="I21" s="434">
        <v>5404</v>
      </c>
      <c r="J21" s="1315"/>
    </row>
    <row r="22" spans="2:10">
      <c r="B22" s="1197" t="s">
        <v>402</v>
      </c>
      <c r="C22" s="433">
        <v>0.94399999999999995</v>
      </c>
      <c r="D22" s="819">
        <v>0.19600000000000001</v>
      </c>
      <c r="E22" s="1202"/>
      <c r="F22" s="819">
        <v>1</v>
      </c>
      <c r="G22" s="433">
        <v>0.32762831858407077</v>
      </c>
      <c r="H22" s="819">
        <v>0.92200000000000004</v>
      </c>
      <c r="I22" s="433">
        <v>0.4</v>
      </c>
      <c r="J22" s="1315"/>
    </row>
    <row r="23" spans="2:10">
      <c r="B23" s="1197" t="s">
        <v>403</v>
      </c>
      <c r="C23" s="433">
        <v>5.6000000000000001E-2</v>
      </c>
      <c r="D23" s="819">
        <v>0.80400000000000005</v>
      </c>
      <c r="E23" s="1202"/>
      <c r="F23" s="819" t="s">
        <v>400</v>
      </c>
      <c r="G23" s="433">
        <v>0.67237168141592918</v>
      </c>
      <c r="H23" s="819">
        <v>7.8E-2</v>
      </c>
      <c r="I23" s="433">
        <v>0.6</v>
      </c>
      <c r="J23" s="1315"/>
    </row>
    <row r="24" spans="2:10">
      <c r="B24" s="1197"/>
      <c r="C24" s="422"/>
      <c r="D24" s="426"/>
      <c r="E24" s="421"/>
      <c r="F24" s="426"/>
      <c r="G24" s="422"/>
      <c r="H24" s="426"/>
      <c r="I24" s="422"/>
      <c r="J24" s="1315"/>
    </row>
    <row r="25" spans="2:10">
      <c r="B25" s="1197">
        <v>1994</v>
      </c>
      <c r="C25" s="434">
        <v>799.1</v>
      </c>
      <c r="D25" s="820">
        <v>3893.4</v>
      </c>
      <c r="E25" s="422" t="s">
        <v>397</v>
      </c>
      <c r="F25" s="820">
        <v>49.3</v>
      </c>
      <c r="G25" s="434">
        <v>4741.8</v>
      </c>
      <c r="H25" s="820">
        <v>693.2</v>
      </c>
      <c r="I25" s="434">
        <v>5435</v>
      </c>
      <c r="J25" s="1315"/>
    </row>
    <row r="26" spans="2:10">
      <c r="B26" s="1197" t="s">
        <v>402</v>
      </c>
      <c r="C26" s="433">
        <v>0.98699999999999999</v>
      </c>
      <c r="D26" s="819">
        <v>0.19</v>
      </c>
      <c r="E26" s="1202"/>
      <c r="F26" s="819">
        <v>1</v>
      </c>
      <c r="G26" s="433">
        <v>0.33217213804713802</v>
      </c>
      <c r="H26" s="819">
        <v>0.85599999999999998</v>
      </c>
      <c r="I26" s="433">
        <v>0.39800000000000002</v>
      </c>
      <c r="J26" s="1315"/>
    </row>
    <row r="27" spans="2:10">
      <c r="B27" s="1197" t="s">
        <v>403</v>
      </c>
      <c r="C27" s="433">
        <v>1.2999999999999999E-2</v>
      </c>
      <c r="D27" s="819">
        <v>0.81</v>
      </c>
      <c r="E27" s="1202"/>
      <c r="F27" s="819" t="s">
        <v>400</v>
      </c>
      <c r="G27" s="433">
        <v>0.66782786195286192</v>
      </c>
      <c r="H27" s="819">
        <v>0.14399999999999999</v>
      </c>
      <c r="I27" s="433">
        <v>0.60199999999999998</v>
      </c>
      <c r="J27" s="1315"/>
    </row>
    <row r="28" spans="2:10">
      <c r="B28" s="1197"/>
      <c r="C28" s="422"/>
      <c r="D28" s="426"/>
      <c r="E28" s="421"/>
      <c r="F28" s="426"/>
      <c r="G28" s="422"/>
      <c r="H28" s="426"/>
      <c r="I28" s="422"/>
      <c r="J28" s="1315"/>
    </row>
    <row r="29" spans="2:10">
      <c r="B29" s="1197">
        <v>1995</v>
      </c>
      <c r="C29" s="434">
        <v>1156.9000000000001</v>
      </c>
      <c r="D29" s="820">
        <v>4083.6</v>
      </c>
      <c r="E29" s="422" t="s">
        <v>397</v>
      </c>
      <c r="F29" s="820">
        <v>49.3</v>
      </c>
      <c r="G29" s="434">
        <v>5289.8</v>
      </c>
      <c r="H29" s="820">
        <v>659.2</v>
      </c>
      <c r="I29" s="434">
        <v>5949</v>
      </c>
      <c r="J29" s="1315"/>
    </row>
    <row r="30" spans="2:10">
      <c r="B30" s="1197" t="s">
        <v>402</v>
      </c>
      <c r="C30" s="433">
        <v>0.98799999999999999</v>
      </c>
      <c r="D30" s="819">
        <v>0.224</v>
      </c>
      <c r="E30" s="1202"/>
      <c r="F30" s="819">
        <v>1</v>
      </c>
      <c r="G30" s="433">
        <v>0.39807548594074355</v>
      </c>
      <c r="H30" s="819">
        <v>0.85499999999999998</v>
      </c>
      <c r="I30" s="433">
        <v>0.44800000000000001</v>
      </c>
      <c r="J30" s="1315"/>
    </row>
    <row r="31" spans="2:10">
      <c r="B31" s="1197" t="s">
        <v>403</v>
      </c>
      <c r="C31" s="433">
        <v>1.2E-2</v>
      </c>
      <c r="D31" s="819">
        <v>0.77600000000000002</v>
      </c>
      <c r="E31" s="1202"/>
      <c r="F31" s="819" t="s">
        <v>400</v>
      </c>
      <c r="G31" s="433">
        <v>0.60192451405925651</v>
      </c>
      <c r="H31" s="819">
        <v>0.14499999999999999</v>
      </c>
      <c r="I31" s="433">
        <v>0.55200000000000005</v>
      </c>
      <c r="J31" s="1315"/>
    </row>
    <row r="32" spans="2:10">
      <c r="B32" s="1197"/>
      <c r="C32" s="422"/>
      <c r="D32" s="426"/>
      <c r="E32" s="421"/>
      <c r="F32" s="426"/>
      <c r="G32" s="422"/>
      <c r="H32" s="426"/>
      <c r="I32" s="422"/>
      <c r="J32" s="1315"/>
    </row>
    <row r="33" spans="2:10">
      <c r="B33" s="1197">
        <v>1996</v>
      </c>
      <c r="C33" s="434">
        <v>1159.5999999999999</v>
      </c>
      <c r="D33" s="820">
        <v>4858.5</v>
      </c>
      <c r="E33" s="422" t="s">
        <v>397</v>
      </c>
      <c r="F33" s="820">
        <v>60.2</v>
      </c>
      <c r="G33" s="434">
        <v>6078.3</v>
      </c>
      <c r="H33" s="820">
        <v>631.70000000000005</v>
      </c>
      <c r="I33" s="434">
        <v>6710</v>
      </c>
      <c r="J33" s="1315"/>
    </row>
    <row r="34" spans="2:10">
      <c r="B34" s="1200" t="s">
        <v>402</v>
      </c>
      <c r="C34" s="433">
        <v>0.98799999999999999</v>
      </c>
      <c r="D34" s="819">
        <v>0.245</v>
      </c>
      <c r="E34" s="1202"/>
      <c r="F34" s="819">
        <v>1</v>
      </c>
      <c r="G34" s="433">
        <v>0.39500114961405813</v>
      </c>
      <c r="H34" s="819">
        <v>0.83799999999999997</v>
      </c>
      <c r="I34" s="433">
        <v>0.436</v>
      </c>
      <c r="J34" s="1315"/>
    </row>
    <row r="35" spans="2:10">
      <c r="B35" s="1200" t="s">
        <v>403</v>
      </c>
      <c r="C35" s="433">
        <v>1.2E-2</v>
      </c>
      <c r="D35" s="819">
        <v>0.755</v>
      </c>
      <c r="E35" s="1202"/>
      <c r="F35" s="819" t="s">
        <v>400</v>
      </c>
      <c r="G35" s="433">
        <v>0.60499885038594192</v>
      </c>
      <c r="H35" s="819">
        <v>0.16200000000000001</v>
      </c>
      <c r="I35" s="433">
        <v>0.56399999999999995</v>
      </c>
      <c r="J35" s="1315"/>
    </row>
    <row r="36" spans="2:10">
      <c r="B36" s="1200"/>
      <c r="C36" s="422"/>
      <c r="D36" s="426"/>
      <c r="E36" s="421"/>
      <c r="F36" s="426"/>
      <c r="G36" s="422"/>
      <c r="H36" s="426"/>
      <c r="I36" s="422"/>
      <c r="J36" s="1315"/>
    </row>
    <row r="37" spans="2:10">
      <c r="B37" s="1197">
        <v>1997</v>
      </c>
      <c r="C37" s="434">
        <v>1276.9000000000001</v>
      </c>
      <c r="D37" s="820">
        <v>5266.8</v>
      </c>
      <c r="E37" s="422" t="s">
        <v>397</v>
      </c>
      <c r="F37" s="820">
        <v>60.2</v>
      </c>
      <c r="G37" s="434">
        <v>6603.9</v>
      </c>
      <c r="H37" s="820">
        <v>668.1</v>
      </c>
      <c r="I37" s="434">
        <v>7272</v>
      </c>
      <c r="J37" s="1315"/>
    </row>
    <row r="38" spans="2:10">
      <c r="B38" s="1197" t="s">
        <v>402</v>
      </c>
      <c r="C38" s="433">
        <v>0.99</v>
      </c>
      <c r="D38" s="819">
        <v>0.29699999999999999</v>
      </c>
      <c r="E38" s="1202"/>
      <c r="F38" s="819">
        <v>1</v>
      </c>
      <c r="G38" s="433">
        <v>0.43701571946795642</v>
      </c>
      <c r="H38" s="819">
        <v>0.84699999999999998</v>
      </c>
      <c r="I38" s="433">
        <v>0.47399999999999998</v>
      </c>
      <c r="J38" s="1315"/>
    </row>
    <row r="39" spans="2:10">
      <c r="B39" s="1197" t="s">
        <v>403</v>
      </c>
      <c r="C39" s="433">
        <v>0.01</v>
      </c>
      <c r="D39" s="819">
        <v>0.70299999999999996</v>
      </c>
      <c r="E39" s="1202"/>
      <c r="F39" s="819" t="s">
        <v>400</v>
      </c>
      <c r="G39" s="433">
        <v>0.56298428053204352</v>
      </c>
      <c r="H39" s="819">
        <v>0.153</v>
      </c>
      <c r="I39" s="433">
        <v>0.52600000000000002</v>
      </c>
      <c r="J39" s="1315"/>
    </row>
    <row r="40" spans="2:10">
      <c r="B40" s="1197"/>
      <c r="C40" s="422"/>
      <c r="D40" s="426"/>
      <c r="E40" s="421"/>
      <c r="F40" s="426"/>
      <c r="G40" s="422"/>
      <c r="H40" s="426"/>
      <c r="I40" s="422"/>
      <c r="J40" s="1315"/>
    </row>
    <row r="41" spans="2:10">
      <c r="B41" s="1197">
        <v>1998</v>
      </c>
      <c r="C41" s="434">
        <v>1475.7</v>
      </c>
      <c r="D41" s="820">
        <v>6242.4</v>
      </c>
      <c r="E41" s="1204">
        <v>16.2</v>
      </c>
      <c r="F41" s="820">
        <v>64.5</v>
      </c>
      <c r="G41" s="434">
        <v>7798.8</v>
      </c>
      <c r="H41" s="820">
        <v>616.20000000000005</v>
      </c>
      <c r="I41" s="434">
        <v>8415</v>
      </c>
      <c r="J41" s="1315"/>
    </row>
    <row r="42" spans="2:10">
      <c r="B42" s="1197" t="s">
        <v>402</v>
      </c>
      <c r="C42" s="433">
        <v>0.99099999999999999</v>
      </c>
      <c r="D42" s="819">
        <v>0.377</v>
      </c>
      <c r="E42" s="1202">
        <v>0.66700000000000004</v>
      </c>
      <c r="F42" s="819">
        <v>1</v>
      </c>
      <c r="G42" s="433">
        <v>0.49849672783267035</v>
      </c>
      <c r="H42" s="819">
        <v>0.83</v>
      </c>
      <c r="I42" s="433">
        <v>0.52300000000000002</v>
      </c>
      <c r="J42" s="1315"/>
    </row>
    <row r="43" spans="2:10">
      <c r="B43" s="1197" t="s">
        <v>403</v>
      </c>
      <c r="C43" s="433">
        <v>8.9999999999999993E-3</v>
      </c>
      <c r="D43" s="819">
        <v>0.623</v>
      </c>
      <c r="E43" s="1202">
        <v>0.33300000000000002</v>
      </c>
      <c r="F43" s="819" t="s">
        <v>400</v>
      </c>
      <c r="G43" s="433">
        <v>0.50150327216732971</v>
      </c>
      <c r="H43" s="819">
        <v>0.17</v>
      </c>
      <c r="I43" s="433">
        <v>0.47699999999999998</v>
      </c>
      <c r="J43" s="1315"/>
    </row>
    <row r="44" spans="2:10">
      <c r="B44" s="1197"/>
      <c r="C44" s="433"/>
      <c r="D44" s="819"/>
      <c r="E44" s="1202"/>
      <c r="F44" s="819"/>
      <c r="G44" s="433"/>
      <c r="H44" s="819"/>
      <c r="I44" s="433"/>
      <c r="J44" s="1315"/>
    </row>
    <row r="45" spans="2:10">
      <c r="B45" s="1197">
        <v>1999</v>
      </c>
      <c r="C45" s="434">
        <v>2637.3</v>
      </c>
      <c r="D45" s="820">
        <v>6695.1</v>
      </c>
      <c r="E45" s="1204">
        <v>17.8</v>
      </c>
      <c r="F45" s="820">
        <v>64.5</v>
      </c>
      <c r="G45" s="434">
        <v>9414.7000000000007</v>
      </c>
      <c r="H45" s="820">
        <v>605.29999999999995</v>
      </c>
      <c r="I45" s="434">
        <v>10020</v>
      </c>
      <c r="J45" s="1315"/>
    </row>
    <row r="46" spans="2:10">
      <c r="B46" s="1197" t="s">
        <v>405</v>
      </c>
      <c r="C46" s="433">
        <v>0.995</v>
      </c>
      <c r="D46" s="819">
        <v>0.41699999999999998</v>
      </c>
      <c r="E46" s="1202">
        <v>0.67</v>
      </c>
      <c r="F46" s="819">
        <v>1</v>
      </c>
      <c r="G46" s="433">
        <v>0.57957073015198224</v>
      </c>
      <c r="H46" s="819">
        <v>0.84899999999999998</v>
      </c>
      <c r="I46" s="433">
        <v>0.59599999999999997</v>
      </c>
      <c r="J46" s="1315"/>
    </row>
    <row r="47" spans="2:10">
      <c r="B47" s="1197" t="s">
        <v>403</v>
      </c>
      <c r="C47" s="433">
        <v>5.0000000000000001E-3</v>
      </c>
      <c r="D47" s="819">
        <v>0.58299999999999996</v>
      </c>
      <c r="E47" s="1202">
        <v>0.33</v>
      </c>
      <c r="F47" s="819" t="s">
        <v>400</v>
      </c>
      <c r="G47" s="433">
        <v>0.42042926984801787</v>
      </c>
      <c r="H47" s="819">
        <v>0.151</v>
      </c>
      <c r="I47" s="433">
        <v>0.40400000000000003</v>
      </c>
      <c r="J47" s="1315"/>
    </row>
    <row r="48" spans="2:10">
      <c r="B48" s="1197"/>
      <c r="C48" s="433"/>
      <c r="D48" s="819"/>
      <c r="E48" s="1202"/>
      <c r="F48" s="819"/>
      <c r="G48" s="433"/>
      <c r="H48" s="819"/>
      <c r="I48" s="433"/>
      <c r="J48" s="1315"/>
    </row>
    <row r="49" spans="2:10">
      <c r="B49" s="1197" t="s">
        <v>406</v>
      </c>
      <c r="C49" s="434">
        <v>3040.9</v>
      </c>
      <c r="D49" s="820">
        <v>6652.8</v>
      </c>
      <c r="E49" s="1204">
        <v>20.100000000000001</v>
      </c>
      <c r="F49" s="820">
        <v>64.5</v>
      </c>
      <c r="G49" s="434">
        <v>9778.2999999999993</v>
      </c>
      <c r="H49" s="820">
        <v>591.70000000000005</v>
      </c>
      <c r="I49" s="434">
        <v>10370</v>
      </c>
      <c r="J49" s="1315"/>
    </row>
    <row r="50" spans="2:10">
      <c r="B50" s="1197" t="s">
        <v>405</v>
      </c>
      <c r="C50" s="433">
        <v>0.996</v>
      </c>
      <c r="D50" s="819">
        <v>0.4</v>
      </c>
      <c r="E50" s="1202">
        <v>0.76300000000000001</v>
      </c>
      <c r="F50" s="819">
        <v>1</v>
      </c>
      <c r="G50" s="433">
        <v>0.58600128927953832</v>
      </c>
      <c r="H50" s="819">
        <v>0.86399999999999999</v>
      </c>
      <c r="I50" s="433">
        <v>0.60199999999999998</v>
      </c>
      <c r="J50" s="1315"/>
    </row>
    <row r="51" spans="2:10">
      <c r="B51" s="1197" t="s">
        <v>403</v>
      </c>
      <c r="C51" s="433">
        <v>4.0000000000000001E-3</v>
      </c>
      <c r="D51" s="819">
        <v>0.6</v>
      </c>
      <c r="E51" s="1202">
        <v>0.23699999999999999</v>
      </c>
      <c r="F51" s="819" t="s">
        <v>400</v>
      </c>
      <c r="G51" s="433">
        <v>0.41400894309774994</v>
      </c>
      <c r="H51" s="819">
        <v>0.13600000000000001</v>
      </c>
      <c r="I51" s="433">
        <v>0.39800000000000002</v>
      </c>
      <c r="J51" s="1315"/>
    </row>
    <row r="52" spans="2:10">
      <c r="B52" s="1197"/>
      <c r="C52" s="433"/>
      <c r="D52" s="819"/>
      <c r="E52" s="1202"/>
      <c r="F52" s="819"/>
      <c r="G52" s="433"/>
      <c r="H52" s="819"/>
      <c r="I52" s="433"/>
      <c r="J52" s="1315"/>
    </row>
    <row r="53" spans="2:10">
      <c r="B53" s="1197" t="s">
        <v>407</v>
      </c>
      <c r="C53" s="434">
        <v>3440.9</v>
      </c>
      <c r="D53" s="820">
        <v>6579.2</v>
      </c>
      <c r="E53" s="1204">
        <v>22.9</v>
      </c>
      <c r="F53" s="820">
        <v>64.5</v>
      </c>
      <c r="G53" s="434">
        <v>10107.5</v>
      </c>
      <c r="H53" s="820">
        <v>796.5</v>
      </c>
      <c r="I53" s="434">
        <v>10904</v>
      </c>
      <c r="J53" s="1315"/>
    </row>
    <row r="54" spans="2:10">
      <c r="B54" s="1197" t="s">
        <v>405</v>
      </c>
      <c r="C54" s="433">
        <v>0.996</v>
      </c>
      <c r="D54" s="819">
        <v>0.38700000000000001</v>
      </c>
      <c r="E54" s="1202">
        <v>0.73099999999999998</v>
      </c>
      <c r="F54" s="819">
        <v>1</v>
      </c>
      <c r="G54" s="433">
        <v>0.60008176796673918</v>
      </c>
      <c r="H54" s="819">
        <v>0.89900000000000002</v>
      </c>
      <c r="I54" s="433">
        <v>0.6220675</v>
      </c>
      <c r="J54" s="1315"/>
    </row>
    <row r="55" spans="2:10">
      <c r="B55" s="1197" t="s">
        <v>403</v>
      </c>
      <c r="C55" s="433">
        <v>4.0000000000000001E-3</v>
      </c>
      <c r="D55" s="819">
        <v>0.61299999999999999</v>
      </c>
      <c r="E55" s="1202">
        <v>0.26900000000000002</v>
      </c>
      <c r="F55" s="819" t="s">
        <v>400</v>
      </c>
      <c r="G55" s="433">
        <v>0.39991823203326077</v>
      </c>
      <c r="H55" s="819">
        <v>0.10100000000000001</v>
      </c>
      <c r="I55" s="433">
        <v>0.3779325</v>
      </c>
      <c r="J55" s="1315"/>
    </row>
    <row r="56" spans="2:10">
      <c r="B56" s="1197"/>
      <c r="C56" s="433"/>
      <c r="D56" s="819"/>
      <c r="E56" s="1202"/>
      <c r="F56" s="819"/>
      <c r="G56" s="433"/>
      <c r="H56" s="819"/>
      <c r="I56" s="433"/>
      <c r="J56" s="1315"/>
    </row>
    <row r="57" spans="2:10">
      <c r="B57" s="1197" t="s">
        <v>408</v>
      </c>
      <c r="C57" s="434">
        <v>3633.2</v>
      </c>
      <c r="D57" s="820">
        <v>6737.2</v>
      </c>
      <c r="E57" s="1204">
        <v>22.6</v>
      </c>
      <c r="F57" s="820">
        <v>64.5</v>
      </c>
      <c r="G57" s="434">
        <v>10457.5</v>
      </c>
      <c r="H57" s="820">
        <v>678.5</v>
      </c>
      <c r="I57" s="434">
        <v>11136</v>
      </c>
      <c r="J57" s="1315"/>
    </row>
    <row r="58" spans="2:10">
      <c r="B58" s="1197" t="s">
        <v>405</v>
      </c>
      <c r="C58" s="433">
        <v>0.996</v>
      </c>
      <c r="D58" s="819">
        <v>0.38800000000000001</v>
      </c>
      <c r="E58" s="1202">
        <v>0.58199999999999996</v>
      </c>
      <c r="F58" s="819">
        <v>1</v>
      </c>
      <c r="G58" s="433">
        <v>0.61006597474167612</v>
      </c>
      <c r="H58" s="819">
        <v>0.89900000000000002</v>
      </c>
      <c r="I58" s="433">
        <v>0.62781299999999995</v>
      </c>
      <c r="J58" s="1315"/>
    </row>
    <row r="59" spans="2:10">
      <c r="B59" s="1197" t="s">
        <v>409</v>
      </c>
      <c r="C59" s="433">
        <v>4.0000000000000001E-3</v>
      </c>
      <c r="D59" s="819">
        <v>0.61199999999999999</v>
      </c>
      <c r="E59" s="1202">
        <v>0.41799999999999998</v>
      </c>
      <c r="F59" s="819" t="s">
        <v>400</v>
      </c>
      <c r="G59" s="433">
        <v>0.38993402525832382</v>
      </c>
      <c r="H59" s="819">
        <v>0.10100000000000001</v>
      </c>
      <c r="I59" s="433">
        <v>0.37218699999999999</v>
      </c>
      <c r="J59" s="1315"/>
    </row>
    <row r="60" spans="2:10">
      <c r="B60" s="1197"/>
      <c r="C60" s="433"/>
      <c r="D60" s="819"/>
      <c r="E60" s="1202"/>
      <c r="F60" s="819"/>
      <c r="G60" s="433"/>
      <c r="H60" s="819"/>
      <c r="I60" s="433"/>
      <c r="J60" s="1315"/>
    </row>
    <row r="61" spans="2:10">
      <c r="B61" s="1197" t="s">
        <v>410</v>
      </c>
      <c r="C61" s="434">
        <v>3640.7</v>
      </c>
      <c r="D61" s="820">
        <v>6996.2</v>
      </c>
      <c r="E61" s="1204">
        <v>33.1</v>
      </c>
      <c r="F61" s="820">
        <v>65</v>
      </c>
      <c r="G61" s="434">
        <v>10735</v>
      </c>
      <c r="H61" s="820">
        <v>719</v>
      </c>
      <c r="I61" s="434">
        <v>11454</v>
      </c>
      <c r="J61" s="1315"/>
    </row>
    <row r="62" spans="2:10">
      <c r="B62" s="1197" t="s">
        <v>405</v>
      </c>
      <c r="C62" s="433">
        <v>0.996</v>
      </c>
      <c r="D62" s="819">
        <v>0.42</v>
      </c>
      <c r="E62" s="1202">
        <v>0.441</v>
      </c>
      <c r="F62" s="819">
        <v>1</v>
      </c>
      <c r="G62" s="433">
        <v>0.61970109050237676</v>
      </c>
      <c r="H62" s="819">
        <v>0.89300000000000002</v>
      </c>
      <c r="I62" s="433">
        <v>0.63700000000000001</v>
      </c>
      <c r="J62" s="1315"/>
    </row>
    <row r="63" spans="2:10">
      <c r="B63" s="1197" t="s">
        <v>409</v>
      </c>
      <c r="C63" s="433">
        <v>4.0000000000000001E-3</v>
      </c>
      <c r="D63" s="819">
        <v>0.57999999999999996</v>
      </c>
      <c r="E63" s="1202">
        <v>0.55900000000000005</v>
      </c>
      <c r="F63" s="819" t="s">
        <v>400</v>
      </c>
      <c r="G63" s="433">
        <v>0.38029890949762324</v>
      </c>
      <c r="H63" s="819">
        <v>0.107</v>
      </c>
      <c r="I63" s="433">
        <v>0.36299999999999999</v>
      </c>
      <c r="J63" s="1315"/>
    </row>
    <row r="64" spans="2:10">
      <c r="B64" s="1197"/>
      <c r="C64" s="433"/>
      <c r="D64" s="819"/>
      <c r="E64" s="1202"/>
      <c r="F64" s="819"/>
      <c r="G64" s="433"/>
      <c r="H64" s="819"/>
      <c r="I64" s="433"/>
      <c r="J64" s="1315"/>
    </row>
    <row r="65" spans="2:10">
      <c r="B65" s="1197" t="s">
        <v>413</v>
      </c>
      <c r="C65" s="434">
        <v>3595.7950000000001</v>
      </c>
      <c r="D65" s="820">
        <v>7867.4</v>
      </c>
      <c r="E65" s="1204">
        <v>33.463000000000001</v>
      </c>
      <c r="F65" s="820">
        <v>64.704999999999998</v>
      </c>
      <c r="G65" s="434">
        <v>11561.363000000001</v>
      </c>
      <c r="H65" s="820">
        <v>731.63499999999999</v>
      </c>
      <c r="I65" s="434">
        <v>12292.998000000001</v>
      </c>
      <c r="J65" s="1315"/>
    </row>
    <row r="66" spans="2:10">
      <c r="B66" s="1197" t="s">
        <v>405</v>
      </c>
      <c r="C66" s="433">
        <v>0.9964397302960819</v>
      </c>
      <c r="D66" s="819">
        <v>0.40319927803340366</v>
      </c>
      <c r="E66" s="1202">
        <v>0.41487613184711469</v>
      </c>
      <c r="F66" s="819">
        <v>1</v>
      </c>
      <c r="G66" s="433">
        <v>0.59108177816058538</v>
      </c>
      <c r="H66" s="819">
        <v>0.8936573564687309</v>
      </c>
      <c r="I66" s="433">
        <v>0.60908998764988009</v>
      </c>
      <c r="J66" s="1315"/>
    </row>
    <row r="67" spans="2:10">
      <c r="B67" s="1197" t="s">
        <v>409</v>
      </c>
      <c r="C67" s="433">
        <v>3.5602697039180484E-3</v>
      </c>
      <c r="D67" s="819">
        <v>0.59680072196659628</v>
      </c>
      <c r="E67" s="1202">
        <v>0.58512386815288531</v>
      </c>
      <c r="F67" s="819">
        <v>0</v>
      </c>
      <c r="G67" s="433">
        <v>0.40891822183941456</v>
      </c>
      <c r="H67" s="819">
        <v>0.10634264353126902</v>
      </c>
      <c r="I67" s="433">
        <v>0.39091001235011991</v>
      </c>
      <c r="J67" s="1315"/>
    </row>
    <row r="68" spans="2:10">
      <c r="B68" s="1197"/>
      <c r="C68" s="433"/>
      <c r="D68" s="819"/>
      <c r="E68" s="1202"/>
      <c r="F68" s="819"/>
      <c r="G68" s="433"/>
      <c r="H68" s="819"/>
      <c r="I68" s="433"/>
      <c r="J68" s="1315"/>
    </row>
    <row r="69" spans="2:10">
      <c r="B69" s="1197" t="s">
        <v>818</v>
      </c>
      <c r="C69" s="434">
        <v>3595.7950000000001</v>
      </c>
      <c r="D69" s="820">
        <v>8288.2999999999993</v>
      </c>
      <c r="E69" s="1204">
        <v>33.463000000000001</v>
      </c>
      <c r="F69" s="820">
        <v>64.704999999999998</v>
      </c>
      <c r="G69" s="434">
        <v>11982.263000000001</v>
      </c>
      <c r="H69" s="820">
        <v>1023.861</v>
      </c>
      <c r="I69" s="434">
        <f>H69+G69</f>
        <v>13006.124000000002</v>
      </c>
      <c r="J69" s="1315"/>
    </row>
    <row r="70" spans="2:10">
      <c r="B70" s="1197" t="s">
        <v>405</v>
      </c>
      <c r="C70" s="433">
        <v>0.9964397302960819</v>
      </c>
      <c r="D70" s="819">
        <v>0.43350626787157798</v>
      </c>
      <c r="E70" s="1202">
        <v>0.41487613184711469</v>
      </c>
      <c r="F70" s="819">
        <v>1</v>
      </c>
      <c r="G70" s="433">
        <v>0.60544581603658665</v>
      </c>
      <c r="H70" s="819">
        <v>0.91560963841771492</v>
      </c>
      <c r="I70" s="433">
        <v>0.62986236329901202</v>
      </c>
      <c r="J70" s="1315"/>
    </row>
    <row r="71" spans="2:10" ht="13.5" thickBot="1">
      <c r="B71" s="1198" t="s">
        <v>409</v>
      </c>
      <c r="C71" s="435">
        <v>3.5602697039180484E-3</v>
      </c>
      <c r="D71" s="821">
        <v>0.56649373212842202</v>
      </c>
      <c r="E71" s="1205">
        <v>0.58512386815288531</v>
      </c>
      <c r="F71" s="821">
        <v>0</v>
      </c>
      <c r="G71" s="435">
        <v>0.39455418396341324</v>
      </c>
      <c r="H71" s="821">
        <v>8.4390361582285092E-2</v>
      </c>
      <c r="I71" s="435">
        <v>0.37013763670098798</v>
      </c>
      <c r="J71" s="1315"/>
    </row>
    <row r="72" spans="2:10">
      <c r="B72" s="423"/>
      <c r="C72" s="436"/>
      <c r="D72" s="436"/>
      <c r="E72" s="424"/>
      <c r="F72" s="436"/>
      <c r="G72" s="436"/>
      <c r="H72" s="436"/>
      <c r="I72" s="436"/>
      <c r="J72" s="1315"/>
    </row>
    <row r="73" spans="2:10">
      <c r="B73" s="412" t="s">
        <v>411</v>
      </c>
      <c r="D73" s="1335"/>
      <c r="E73" s="1315"/>
      <c r="F73" s="1335"/>
      <c r="G73" s="1335"/>
      <c r="H73" s="1335"/>
      <c r="I73" s="1336"/>
      <c r="J73" s="1315"/>
    </row>
    <row r="74" spans="2:10">
      <c r="B74" s="412" t="s">
        <v>412</v>
      </c>
      <c r="D74" s="1335"/>
      <c r="E74" s="1315"/>
      <c r="F74" s="1335"/>
      <c r="G74" s="1335"/>
      <c r="H74" s="1335"/>
      <c r="I74" s="1336"/>
      <c r="J74" s="1315"/>
    </row>
    <row r="75" spans="2:10">
      <c r="B75" s="412" t="s">
        <v>414</v>
      </c>
      <c r="D75" s="442"/>
      <c r="E75" s="412"/>
      <c r="F75" s="442"/>
      <c r="G75" s="442"/>
      <c r="H75" s="442"/>
      <c r="I75" s="1335"/>
      <c r="J75" s="1315"/>
    </row>
    <row r="76" spans="2:10">
      <c r="B76" s="412" t="s">
        <v>739</v>
      </c>
      <c r="D76" s="442"/>
      <c r="E76" s="412"/>
      <c r="F76" s="442"/>
      <c r="G76" s="442"/>
      <c r="H76" s="442"/>
      <c r="I76" s="1335"/>
      <c r="J76" s="1315"/>
    </row>
    <row r="77" spans="2:10">
      <c r="B77" s="411" t="s">
        <v>384</v>
      </c>
      <c r="D77" s="442"/>
      <c r="E77" s="412"/>
      <c r="F77" s="442"/>
      <c r="G77" s="442"/>
      <c r="H77" s="442"/>
      <c r="I77" s="1335"/>
      <c r="J77" s="1315"/>
    </row>
    <row r="78" spans="2:10">
      <c r="B78" s="412" t="s">
        <v>816</v>
      </c>
      <c r="D78" s="442"/>
      <c r="E78" s="412"/>
      <c r="F78" s="442"/>
      <c r="G78" s="442"/>
      <c r="H78" s="442"/>
      <c r="I78" s="1335"/>
      <c r="J78" s="1315"/>
    </row>
    <row r="79" spans="2:10">
      <c r="B79" s="412" t="s">
        <v>817</v>
      </c>
      <c r="D79" s="442"/>
      <c r="E79" s="412"/>
      <c r="F79" s="442"/>
      <c r="G79" s="442"/>
      <c r="H79" s="442"/>
      <c r="I79" s="1335"/>
      <c r="J79" s="1315"/>
    </row>
    <row r="80" spans="2:10">
      <c r="B80" s="412" t="s">
        <v>385</v>
      </c>
      <c r="D80" s="442"/>
      <c r="E80" s="412"/>
      <c r="F80" s="442"/>
      <c r="G80" s="442"/>
      <c r="H80" s="442"/>
      <c r="I80" s="1335"/>
      <c r="J80" s="1315"/>
    </row>
    <row r="81" spans="2:10">
      <c r="B81" s="1315"/>
      <c r="C81" s="412"/>
      <c r="D81" s="442"/>
      <c r="E81" s="412"/>
      <c r="F81" s="442"/>
      <c r="G81" s="442"/>
      <c r="H81" s="442"/>
      <c r="I81" s="1335"/>
      <c r="J81" s="1315"/>
    </row>
  </sheetData>
  <phoneticPr fontId="92" type="noConversion"/>
  <hyperlinks>
    <hyperlink ref="G1" location="INDICE!A70" display="VOLVER A INDICE"/>
  </hyperlinks>
  <pageMargins left="0.75" right="0.75" top="1" bottom="1" header="0" footer="0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81"/>
  <sheetViews>
    <sheetView showGridLines="0" topLeftCell="A52" workbookViewId="0"/>
  </sheetViews>
  <sheetFormatPr baseColWidth="10" defaultRowHeight="12.75"/>
  <cols>
    <col min="1" max="1" width="2.28515625" customWidth="1"/>
  </cols>
  <sheetData>
    <row r="1" spans="2:8" ht="15.75">
      <c r="B1" s="437"/>
      <c r="C1" s="1315"/>
      <c r="D1" s="1315"/>
      <c r="E1" s="1315"/>
      <c r="F1" s="1315"/>
      <c r="G1" s="1315"/>
      <c r="H1" s="852" t="s">
        <v>681</v>
      </c>
    </row>
    <row r="2" spans="2:8">
      <c r="B2" s="440"/>
      <c r="C2" s="440"/>
      <c r="D2" s="440"/>
      <c r="E2" s="440"/>
      <c r="F2" s="440"/>
      <c r="G2" s="440"/>
      <c r="H2" s="440"/>
    </row>
    <row r="3" spans="2:8">
      <c r="B3" s="439" t="s">
        <v>415</v>
      </c>
      <c r="C3" s="439"/>
      <c r="D3" s="439"/>
      <c r="E3" s="439"/>
      <c r="F3" s="440"/>
      <c r="G3" s="440"/>
      <c r="H3" s="440"/>
    </row>
    <row r="4" spans="2:8">
      <c r="B4" s="439" t="s">
        <v>416</v>
      </c>
      <c r="C4" s="439"/>
      <c r="D4" s="439"/>
      <c r="E4" s="439"/>
      <c r="F4" s="440"/>
      <c r="G4" s="440"/>
      <c r="H4" s="440"/>
    </row>
    <row r="5" spans="2:8" ht="13.5" thickBot="1">
      <c r="B5" s="439"/>
      <c r="C5" s="439"/>
      <c r="D5" s="439"/>
      <c r="E5" s="439"/>
      <c r="F5" s="440"/>
      <c r="G5" s="440"/>
      <c r="H5" s="440"/>
    </row>
    <row r="6" spans="2:8" ht="13.5" thickBot="1">
      <c r="B6" s="1126"/>
      <c r="C6" s="1127"/>
      <c r="D6" s="1127"/>
      <c r="E6" s="1127"/>
      <c r="F6" s="1127"/>
      <c r="G6" s="1127"/>
      <c r="H6" s="1128"/>
    </row>
    <row r="7" spans="2:8">
      <c r="B7" s="414" t="s">
        <v>417</v>
      </c>
      <c r="C7" s="415" t="s">
        <v>389</v>
      </c>
      <c r="D7" s="416" t="s">
        <v>390</v>
      </c>
      <c r="E7" s="415" t="s">
        <v>391</v>
      </c>
      <c r="F7" s="416" t="s">
        <v>418</v>
      </c>
      <c r="G7" s="415" t="s">
        <v>338</v>
      </c>
      <c r="H7" s="417" t="s">
        <v>392</v>
      </c>
    </row>
    <row r="8" spans="2:8" ht="13.5" thickBot="1">
      <c r="B8" s="418" t="s">
        <v>419</v>
      </c>
      <c r="C8" s="443"/>
      <c r="D8" s="444"/>
      <c r="E8" s="419" t="s">
        <v>420</v>
      </c>
      <c r="F8" s="445" t="s">
        <v>394</v>
      </c>
      <c r="G8" s="419"/>
      <c r="H8" s="420"/>
    </row>
    <row r="9" spans="2:8">
      <c r="B9" s="446" t="s">
        <v>396</v>
      </c>
      <c r="C9" s="447" t="s">
        <v>397</v>
      </c>
      <c r="D9" s="448">
        <v>13666.6</v>
      </c>
      <c r="E9" s="447" t="s">
        <v>397</v>
      </c>
      <c r="F9" s="448">
        <v>97</v>
      </c>
      <c r="G9" s="447">
        <v>4634.3999999999996</v>
      </c>
      <c r="H9" s="449">
        <v>18398</v>
      </c>
    </row>
    <row r="10" spans="2:8">
      <c r="B10" s="446" t="s">
        <v>402</v>
      </c>
      <c r="C10" s="450"/>
      <c r="D10" s="451">
        <v>0.4</v>
      </c>
      <c r="E10" s="450"/>
      <c r="F10" s="451">
        <v>1</v>
      </c>
      <c r="G10" s="450">
        <v>0.84599999999999997</v>
      </c>
      <c r="H10" s="452">
        <v>0.51400000000000001</v>
      </c>
    </row>
    <row r="11" spans="2:8">
      <c r="B11" s="446" t="s">
        <v>403</v>
      </c>
      <c r="C11" s="450"/>
      <c r="D11" s="451">
        <v>0.6</v>
      </c>
      <c r="E11" s="450"/>
      <c r="F11" s="451">
        <v>0</v>
      </c>
      <c r="G11" s="450">
        <v>0.154</v>
      </c>
      <c r="H11" s="452">
        <v>0.48599999999999999</v>
      </c>
    </row>
    <row r="12" spans="2:8">
      <c r="B12" s="453"/>
      <c r="C12" s="454"/>
      <c r="D12" s="455"/>
      <c r="E12" s="454"/>
      <c r="F12" s="455"/>
      <c r="G12" s="454"/>
      <c r="H12" s="456"/>
    </row>
    <row r="13" spans="2:8">
      <c r="B13" s="446" t="s">
        <v>401</v>
      </c>
      <c r="C13" s="447" t="s">
        <v>397</v>
      </c>
      <c r="D13" s="448">
        <v>14734.7</v>
      </c>
      <c r="E13" s="447" t="s">
        <v>397</v>
      </c>
      <c r="F13" s="448">
        <v>100.7</v>
      </c>
      <c r="G13" s="447">
        <v>5127.6000000000004</v>
      </c>
      <c r="H13" s="449">
        <v>19963</v>
      </c>
    </row>
    <row r="14" spans="2:8">
      <c r="B14" s="446" t="s">
        <v>402</v>
      </c>
      <c r="C14" s="450"/>
      <c r="D14" s="451">
        <v>0.16500000000000001</v>
      </c>
      <c r="E14" s="450"/>
      <c r="F14" s="451">
        <v>1</v>
      </c>
      <c r="G14" s="450">
        <v>0.85799999999999998</v>
      </c>
      <c r="H14" s="452">
        <v>0.34200000000000003</v>
      </c>
    </row>
    <row r="15" spans="2:8">
      <c r="B15" s="446" t="s">
        <v>403</v>
      </c>
      <c r="C15" s="450"/>
      <c r="D15" s="451">
        <v>0.83499999999999996</v>
      </c>
      <c r="E15" s="450"/>
      <c r="F15" s="451" t="s">
        <v>400</v>
      </c>
      <c r="G15" s="450">
        <v>0.14199999999999999</v>
      </c>
      <c r="H15" s="452">
        <v>0.65800000000000003</v>
      </c>
    </row>
    <row r="16" spans="2:8">
      <c r="B16" s="446"/>
      <c r="C16" s="454"/>
      <c r="D16" s="455"/>
      <c r="E16" s="454"/>
      <c r="F16" s="455"/>
      <c r="G16" s="454"/>
      <c r="H16" s="456"/>
    </row>
    <row r="17" spans="2:8">
      <c r="B17" s="457">
        <v>1992</v>
      </c>
      <c r="C17" s="458" t="s">
        <v>397</v>
      </c>
      <c r="D17" s="459">
        <v>16290.1</v>
      </c>
      <c r="E17" s="447" t="s">
        <v>397</v>
      </c>
      <c r="F17" s="459">
        <v>108.2</v>
      </c>
      <c r="G17" s="458">
        <v>5951.6</v>
      </c>
      <c r="H17" s="460">
        <v>22350</v>
      </c>
    </row>
    <row r="18" spans="2:8">
      <c r="B18" s="446" t="s">
        <v>402</v>
      </c>
      <c r="C18" s="450"/>
      <c r="D18" s="451">
        <v>2.8000000000000001E-2</v>
      </c>
      <c r="E18" s="450"/>
      <c r="F18" s="451">
        <v>1</v>
      </c>
      <c r="G18" s="450">
        <v>0.86199999999999999</v>
      </c>
      <c r="H18" s="452">
        <v>0.251</v>
      </c>
    </row>
    <row r="19" spans="2:8">
      <c r="B19" s="446" t="s">
        <v>403</v>
      </c>
      <c r="C19" s="450"/>
      <c r="D19" s="451">
        <v>0.97199999999999998</v>
      </c>
      <c r="E19" s="450"/>
      <c r="F19" s="451" t="s">
        <v>400</v>
      </c>
      <c r="G19" s="450">
        <v>0.13800000000000001</v>
      </c>
      <c r="H19" s="452">
        <v>0.749</v>
      </c>
    </row>
    <row r="20" spans="2:8">
      <c r="B20" s="453"/>
      <c r="C20" s="454"/>
      <c r="D20" s="455"/>
      <c r="E20" s="454"/>
      <c r="F20" s="455"/>
      <c r="G20" s="454"/>
      <c r="H20" s="456"/>
    </row>
    <row r="21" spans="2:8">
      <c r="B21" s="446">
        <v>1993</v>
      </c>
      <c r="C21" s="447">
        <f>3350-1903</f>
        <v>1447</v>
      </c>
      <c r="D21" s="448">
        <v>17670.3</v>
      </c>
      <c r="E21" s="447" t="s">
        <v>397</v>
      </c>
      <c r="F21" s="448">
        <v>116.4</v>
      </c>
      <c r="G21" s="447">
        <v>4779.3</v>
      </c>
      <c r="H21" s="449">
        <v>24013</v>
      </c>
    </row>
    <row r="22" spans="2:8">
      <c r="B22" s="446" t="s">
        <v>402</v>
      </c>
      <c r="C22" s="450">
        <v>0.80400000000000005</v>
      </c>
      <c r="D22" s="451">
        <v>7.2999999999999995E-2</v>
      </c>
      <c r="E22" s="450"/>
      <c r="F22" s="451">
        <v>1</v>
      </c>
      <c r="G22" s="450">
        <v>0.873</v>
      </c>
      <c r="H22" s="452">
        <v>0.28299999999999997</v>
      </c>
    </row>
    <row r="23" spans="2:8">
      <c r="B23" s="446" t="s">
        <v>403</v>
      </c>
      <c r="C23" s="450">
        <v>0.19600000000000001</v>
      </c>
      <c r="D23" s="451">
        <v>0.92700000000000005</v>
      </c>
      <c r="E23" s="450"/>
      <c r="F23" s="451" t="s">
        <v>400</v>
      </c>
      <c r="G23" s="450">
        <v>0.127</v>
      </c>
      <c r="H23" s="452">
        <v>0.71699999999999997</v>
      </c>
    </row>
    <row r="24" spans="2:8">
      <c r="B24" s="446"/>
      <c r="C24" s="454"/>
      <c r="D24" s="455"/>
      <c r="E24" s="454"/>
      <c r="F24" s="455"/>
      <c r="G24" s="454"/>
      <c r="H24" s="456"/>
    </row>
    <row r="25" spans="2:8">
      <c r="B25" s="457">
        <v>1994</v>
      </c>
      <c r="C25" s="458">
        <v>3745.3</v>
      </c>
      <c r="D25" s="459">
        <v>18985.400000000001</v>
      </c>
      <c r="E25" s="447" t="s">
        <v>397</v>
      </c>
      <c r="F25" s="459">
        <v>125</v>
      </c>
      <c r="G25" s="458">
        <v>2420.3000000000002</v>
      </c>
      <c r="H25" s="460">
        <v>25276</v>
      </c>
    </row>
    <row r="26" spans="2:8">
      <c r="B26" s="446" t="s">
        <v>402</v>
      </c>
      <c r="C26" s="450">
        <v>0.98799999999999999</v>
      </c>
      <c r="D26" s="451">
        <v>0.13300000000000001</v>
      </c>
      <c r="E26" s="450"/>
      <c r="F26" s="451">
        <v>1</v>
      </c>
      <c r="G26" s="450">
        <v>0.81489999999999996</v>
      </c>
      <c r="H26" s="452">
        <v>0.32800000000000001</v>
      </c>
    </row>
    <row r="27" spans="2:8">
      <c r="B27" s="446" t="s">
        <v>403</v>
      </c>
      <c r="C27" s="450">
        <v>1.2E-2</v>
      </c>
      <c r="D27" s="451">
        <v>0.86699999999999999</v>
      </c>
      <c r="E27" s="450"/>
      <c r="F27" s="451" t="s">
        <v>400</v>
      </c>
      <c r="G27" s="450">
        <v>0.18509999999999999</v>
      </c>
      <c r="H27" s="452">
        <v>0.67200000000000004</v>
      </c>
    </row>
    <row r="28" spans="2:8">
      <c r="B28" s="453"/>
      <c r="C28" s="454"/>
      <c r="D28" s="455"/>
      <c r="E28" s="454"/>
      <c r="F28" s="455"/>
      <c r="G28" s="454"/>
      <c r="H28" s="456"/>
    </row>
    <row r="29" spans="2:8">
      <c r="B29" s="446">
        <v>1995</v>
      </c>
      <c r="C29" s="447">
        <v>4403.6000000000004</v>
      </c>
      <c r="D29" s="448">
        <v>20506.5</v>
      </c>
      <c r="E29" s="447" t="s">
        <v>397</v>
      </c>
      <c r="F29" s="448">
        <v>129.4</v>
      </c>
      <c r="G29" s="447">
        <v>2987.5</v>
      </c>
      <c r="H29" s="449">
        <v>28027</v>
      </c>
    </row>
    <row r="30" spans="2:8">
      <c r="B30" s="446" t="s">
        <v>402</v>
      </c>
      <c r="C30" s="450">
        <v>0.99139999999999995</v>
      </c>
      <c r="D30" s="451">
        <v>0.14199999999999999</v>
      </c>
      <c r="E30" s="450"/>
      <c r="F30" s="451">
        <v>1</v>
      </c>
      <c r="G30" s="450">
        <v>0.73929999999999996</v>
      </c>
      <c r="H30" s="452">
        <v>0.34300000000000003</v>
      </c>
    </row>
    <row r="31" spans="2:8">
      <c r="B31" s="446" t="s">
        <v>403</v>
      </c>
      <c r="C31" s="450">
        <v>8.6E-3</v>
      </c>
      <c r="D31" s="451">
        <v>0.85799999999999998</v>
      </c>
      <c r="E31" s="450"/>
      <c r="F31" s="451" t="s">
        <v>400</v>
      </c>
      <c r="G31" s="450">
        <v>0.26069999999999999</v>
      </c>
      <c r="H31" s="452">
        <v>0.65700000000000003</v>
      </c>
    </row>
    <row r="32" spans="2:8">
      <c r="B32" s="446"/>
      <c r="C32" s="454"/>
      <c r="D32" s="455"/>
      <c r="E32" s="454"/>
      <c r="F32" s="455"/>
      <c r="G32" s="454"/>
      <c r="H32" s="456"/>
    </row>
    <row r="33" spans="2:8">
      <c r="B33" s="457">
        <v>1996</v>
      </c>
      <c r="C33" s="458">
        <v>5544.6</v>
      </c>
      <c r="D33" s="459">
        <v>22424.7</v>
      </c>
      <c r="E33" s="447" t="s">
        <v>397</v>
      </c>
      <c r="F33" s="459">
        <v>139.30000000000001</v>
      </c>
      <c r="G33" s="458">
        <v>2682.4</v>
      </c>
      <c r="H33" s="460">
        <v>30791</v>
      </c>
    </row>
    <row r="34" spans="2:8">
      <c r="B34" s="446" t="s">
        <v>402</v>
      </c>
      <c r="C34" s="450">
        <v>0.99399999999999999</v>
      </c>
      <c r="D34" s="451">
        <v>0.28199999999999997</v>
      </c>
      <c r="E34" s="450"/>
      <c r="F34" s="451">
        <v>1</v>
      </c>
      <c r="G34" s="450">
        <v>0.72860000000000003</v>
      </c>
      <c r="H34" s="452">
        <v>0.45200000000000001</v>
      </c>
    </row>
    <row r="35" spans="2:8">
      <c r="B35" s="446" t="s">
        <v>403</v>
      </c>
      <c r="C35" s="450">
        <v>6.0000000000000001E-3</v>
      </c>
      <c r="D35" s="451">
        <v>0.71799999999999997</v>
      </c>
      <c r="E35" s="450"/>
      <c r="F35" s="451" t="s">
        <v>400</v>
      </c>
      <c r="G35" s="450">
        <v>0.27139999999999997</v>
      </c>
      <c r="H35" s="452">
        <v>0.54800000000000004</v>
      </c>
    </row>
    <row r="36" spans="2:8">
      <c r="B36" s="453"/>
      <c r="C36" s="454"/>
      <c r="D36" s="455"/>
      <c r="E36" s="454"/>
      <c r="F36" s="455"/>
      <c r="G36" s="454"/>
      <c r="H36" s="456"/>
    </row>
    <row r="37" spans="2:8">
      <c r="B37" s="446">
        <v>1997</v>
      </c>
      <c r="C37" s="447">
        <v>6392.4</v>
      </c>
      <c r="D37" s="448">
        <v>23959.1</v>
      </c>
      <c r="E37" s="447" t="s">
        <v>397</v>
      </c>
      <c r="F37" s="448">
        <v>142.69999999999999</v>
      </c>
      <c r="G37" s="447">
        <v>2797.8</v>
      </c>
      <c r="H37" s="449">
        <v>33292</v>
      </c>
    </row>
    <row r="38" spans="2:8">
      <c r="B38" s="446" t="s">
        <v>402</v>
      </c>
      <c r="C38" s="450">
        <v>0.99099999999999999</v>
      </c>
      <c r="D38" s="451">
        <v>0.245</v>
      </c>
      <c r="E38" s="450"/>
      <c r="F38" s="451">
        <v>1</v>
      </c>
      <c r="G38" s="450">
        <v>0.71699999999999997</v>
      </c>
      <c r="H38" s="452">
        <v>0.43099999999999999</v>
      </c>
    </row>
    <row r="39" spans="2:8">
      <c r="B39" s="446" t="s">
        <v>403</v>
      </c>
      <c r="C39" s="450">
        <v>8.9999999999999993E-3</v>
      </c>
      <c r="D39" s="451">
        <v>0.755</v>
      </c>
      <c r="E39" s="450"/>
      <c r="F39" s="451" t="s">
        <v>400</v>
      </c>
      <c r="G39" s="450">
        <v>0.28299999999999997</v>
      </c>
      <c r="H39" s="452">
        <v>0.56899999999999995</v>
      </c>
    </row>
    <row r="40" spans="2:8">
      <c r="B40" s="446"/>
      <c r="C40" s="454"/>
      <c r="D40" s="455"/>
      <c r="E40" s="454"/>
      <c r="F40" s="455"/>
      <c r="G40" s="454"/>
      <c r="H40" s="456"/>
    </row>
    <row r="41" spans="2:8">
      <c r="B41" s="457">
        <v>1998</v>
      </c>
      <c r="C41" s="458">
        <v>7357.5</v>
      </c>
      <c r="D41" s="459">
        <v>25649.7</v>
      </c>
      <c r="E41" s="458">
        <v>66.7</v>
      </c>
      <c r="F41" s="459">
        <v>151.69999999999999</v>
      </c>
      <c r="G41" s="458">
        <v>2269.4</v>
      </c>
      <c r="H41" s="460">
        <v>35495</v>
      </c>
    </row>
    <row r="42" spans="2:8">
      <c r="B42" s="446" t="s">
        <v>402</v>
      </c>
      <c r="C42" s="450">
        <v>0.99299999999999999</v>
      </c>
      <c r="D42" s="451">
        <v>0.41</v>
      </c>
      <c r="E42" s="450">
        <v>0.434</v>
      </c>
      <c r="F42" s="451">
        <v>1</v>
      </c>
      <c r="G42" s="450">
        <v>0.68200000000000005</v>
      </c>
      <c r="H42" s="452">
        <v>0.55100000000000005</v>
      </c>
    </row>
    <row r="43" spans="2:8">
      <c r="B43" s="446" t="s">
        <v>403</v>
      </c>
      <c r="C43" s="450">
        <v>7.0000000000000001E-3</v>
      </c>
      <c r="D43" s="451">
        <v>0.59</v>
      </c>
      <c r="E43" s="450">
        <v>0.56599999999999995</v>
      </c>
      <c r="F43" s="451" t="s">
        <v>400</v>
      </c>
      <c r="G43" s="450">
        <v>0.318</v>
      </c>
      <c r="H43" s="452">
        <v>0.44900000000000001</v>
      </c>
    </row>
    <row r="44" spans="2:8">
      <c r="B44" s="453"/>
      <c r="C44" s="461"/>
      <c r="D44" s="462"/>
      <c r="E44" s="461"/>
      <c r="F44" s="462"/>
      <c r="G44" s="461"/>
      <c r="H44" s="463"/>
    </row>
    <row r="45" spans="2:8">
      <c r="B45" s="446">
        <v>1999</v>
      </c>
      <c r="C45" s="447">
        <v>9001</v>
      </c>
      <c r="D45" s="448">
        <v>26915</v>
      </c>
      <c r="E45" s="447">
        <v>71.599999999999994</v>
      </c>
      <c r="F45" s="448">
        <v>154.80000000000001</v>
      </c>
      <c r="G45" s="447">
        <v>2241.6</v>
      </c>
      <c r="H45" s="449">
        <v>38384</v>
      </c>
    </row>
    <row r="46" spans="2:8">
      <c r="B46" s="446" t="s">
        <v>402</v>
      </c>
      <c r="C46" s="450">
        <v>0.99299999999999999</v>
      </c>
      <c r="D46" s="451">
        <v>0.52400000000000002</v>
      </c>
      <c r="E46" s="450">
        <v>0.48799999999999999</v>
      </c>
      <c r="F46" s="451">
        <v>1</v>
      </c>
      <c r="G46" s="450">
        <v>0.69799999999999995</v>
      </c>
      <c r="H46" s="452">
        <v>0.64600000000000002</v>
      </c>
    </row>
    <row r="47" spans="2:8">
      <c r="B47" s="446" t="s">
        <v>403</v>
      </c>
      <c r="C47" s="450">
        <v>7.0000000000000001E-3</v>
      </c>
      <c r="D47" s="451">
        <v>0.47599999999999998</v>
      </c>
      <c r="E47" s="450">
        <v>0.51200000000000001</v>
      </c>
      <c r="F47" s="451" t="s">
        <v>400</v>
      </c>
      <c r="G47" s="450">
        <v>0.30199999999999999</v>
      </c>
      <c r="H47" s="452">
        <v>0.35399999999999998</v>
      </c>
    </row>
    <row r="48" spans="2:8">
      <c r="B48" s="446"/>
      <c r="C48" s="450"/>
      <c r="D48" s="451"/>
      <c r="E48" s="450"/>
      <c r="F48" s="451"/>
      <c r="G48" s="450"/>
      <c r="H48" s="452"/>
    </row>
    <row r="49" spans="2:8">
      <c r="B49" s="457" t="s">
        <v>406</v>
      </c>
      <c r="C49" s="458">
        <v>9327.4</v>
      </c>
      <c r="D49" s="459">
        <v>29576.6</v>
      </c>
      <c r="E49" s="458">
        <v>75.400000000000006</v>
      </c>
      <c r="F49" s="459">
        <v>163</v>
      </c>
      <c r="G49" s="458">
        <v>2125.6</v>
      </c>
      <c r="H49" s="460">
        <v>41268</v>
      </c>
    </row>
    <row r="50" spans="2:8">
      <c r="B50" s="446" t="s">
        <v>402</v>
      </c>
      <c r="C50" s="450">
        <v>0.99399999999999999</v>
      </c>
      <c r="D50" s="451">
        <v>0.377</v>
      </c>
      <c r="E50" s="450">
        <v>0.40100000000000002</v>
      </c>
      <c r="F50" s="451">
        <v>1</v>
      </c>
      <c r="G50" s="450">
        <v>0.73699999999999999</v>
      </c>
      <c r="H50" s="452">
        <v>0.53800000000000003</v>
      </c>
    </row>
    <row r="51" spans="2:8">
      <c r="B51" s="446" t="s">
        <v>403</v>
      </c>
      <c r="C51" s="450">
        <v>6.0000000000000001E-3</v>
      </c>
      <c r="D51" s="451">
        <v>0.623</v>
      </c>
      <c r="E51" s="450">
        <v>0.50900000000000001</v>
      </c>
      <c r="F51" s="451" t="s">
        <v>400</v>
      </c>
      <c r="G51" s="450">
        <v>0.26300000000000001</v>
      </c>
      <c r="H51" s="452">
        <v>0.46200000000000002</v>
      </c>
    </row>
    <row r="52" spans="2:8">
      <c r="B52" s="453"/>
      <c r="C52" s="461"/>
      <c r="D52" s="462"/>
      <c r="E52" s="461"/>
      <c r="F52" s="462"/>
      <c r="G52" s="461"/>
      <c r="H52" s="463"/>
    </row>
    <row r="53" spans="2:8">
      <c r="B53" s="446" t="s">
        <v>407</v>
      </c>
      <c r="C53" s="447">
        <v>9851.4</v>
      </c>
      <c r="D53" s="448">
        <v>30765</v>
      </c>
      <c r="E53" s="447">
        <v>77.7</v>
      </c>
      <c r="F53" s="448">
        <v>170.4</v>
      </c>
      <c r="G53" s="447">
        <v>3052.5</v>
      </c>
      <c r="H53" s="449">
        <v>43917</v>
      </c>
    </row>
    <row r="54" spans="2:8">
      <c r="B54" s="446" t="s">
        <v>402</v>
      </c>
      <c r="C54" s="450">
        <v>0.99399999999999999</v>
      </c>
      <c r="D54" s="451">
        <v>0.316</v>
      </c>
      <c r="E54" s="450">
        <v>0.51400000000000001</v>
      </c>
      <c r="F54" s="451">
        <v>1</v>
      </c>
      <c r="G54" s="450">
        <v>0.80400000000000005</v>
      </c>
      <c r="H54" s="452">
        <v>0.50600000000000001</v>
      </c>
    </row>
    <row r="55" spans="2:8">
      <c r="B55" s="453" t="s">
        <v>403</v>
      </c>
      <c r="C55" s="461">
        <v>6.0000000000000001E-3</v>
      </c>
      <c r="D55" s="462">
        <v>0.68400000000000005</v>
      </c>
      <c r="E55" s="461">
        <v>0.48599999999999999</v>
      </c>
      <c r="F55" s="462" t="s">
        <v>400</v>
      </c>
      <c r="G55" s="461">
        <v>0.19600000000000001</v>
      </c>
      <c r="H55" s="463">
        <v>0.49399999999999999</v>
      </c>
    </row>
    <row r="56" spans="2:8">
      <c r="B56" s="446"/>
      <c r="C56" s="450"/>
      <c r="D56" s="451"/>
      <c r="E56" s="450"/>
      <c r="F56" s="451"/>
      <c r="G56" s="450"/>
      <c r="H56" s="452"/>
    </row>
    <row r="57" spans="2:8">
      <c r="B57" s="446" t="s">
        <v>408</v>
      </c>
      <c r="C57" s="447">
        <v>10399.6</v>
      </c>
      <c r="D57" s="448">
        <v>31971.3</v>
      </c>
      <c r="E57" s="447">
        <v>86.3</v>
      </c>
      <c r="F57" s="448">
        <v>176.5</v>
      </c>
      <c r="G57" s="447">
        <v>2850.3</v>
      </c>
      <c r="H57" s="449">
        <v>45484</v>
      </c>
    </row>
    <row r="58" spans="2:8">
      <c r="B58" s="446" t="s">
        <v>402</v>
      </c>
      <c r="C58" s="450">
        <v>0.99399999999999999</v>
      </c>
      <c r="D58" s="451">
        <v>0.29799999999999999</v>
      </c>
      <c r="E58" s="450">
        <v>0.40899999999999997</v>
      </c>
      <c r="F58" s="451">
        <v>1</v>
      </c>
      <c r="G58" s="450">
        <v>0.78100000000000003</v>
      </c>
      <c r="H58" s="452">
        <v>0.49</v>
      </c>
    </row>
    <row r="59" spans="2:8" ht="13.5" thickBot="1">
      <c r="B59" s="464" t="s">
        <v>403</v>
      </c>
      <c r="C59" s="465">
        <v>6.0000000000000001E-3</v>
      </c>
      <c r="D59" s="466">
        <v>0.70199999999999996</v>
      </c>
      <c r="E59" s="465">
        <v>0.59099999999999997</v>
      </c>
      <c r="F59" s="466" t="s">
        <v>400</v>
      </c>
      <c r="G59" s="465">
        <v>0.219</v>
      </c>
      <c r="H59" s="467">
        <v>0.51</v>
      </c>
    </row>
    <row r="60" spans="2:8">
      <c r="B60" s="457"/>
      <c r="C60" s="468"/>
      <c r="D60" s="469"/>
      <c r="E60" s="468"/>
      <c r="F60" s="469"/>
      <c r="G60" s="468"/>
      <c r="H60" s="470"/>
    </row>
    <row r="61" spans="2:8">
      <c r="B61" s="446" t="s">
        <v>410</v>
      </c>
      <c r="C61" s="447">
        <v>11424.1</v>
      </c>
      <c r="D61" s="448">
        <v>33708.1</v>
      </c>
      <c r="E61" s="447">
        <v>89.3</v>
      </c>
      <c r="F61" s="448">
        <v>184.5</v>
      </c>
      <c r="G61" s="447">
        <v>3374</v>
      </c>
      <c r="H61" s="449">
        <v>48780</v>
      </c>
    </row>
    <row r="62" spans="2:8">
      <c r="B62" s="446" t="s">
        <v>402</v>
      </c>
      <c r="C62" s="450">
        <v>0.99399999999999999</v>
      </c>
      <c r="D62" s="451">
        <v>0.35199999999999998</v>
      </c>
      <c r="E62" s="450">
        <v>0.15</v>
      </c>
      <c r="F62" s="451">
        <v>1</v>
      </c>
      <c r="G62" s="450">
        <v>0.54500000000000004</v>
      </c>
      <c r="H62" s="452">
        <v>0.53659999999999997</v>
      </c>
    </row>
    <row r="63" spans="2:8" ht="13.5" thickBot="1">
      <c r="B63" s="464" t="s">
        <v>403</v>
      </c>
      <c r="C63" s="465">
        <v>6.0000000000000001E-3</v>
      </c>
      <c r="D63" s="466">
        <v>0.64800000000000002</v>
      </c>
      <c r="E63" s="465">
        <v>0.85</v>
      </c>
      <c r="F63" s="466" t="s">
        <v>400</v>
      </c>
      <c r="G63" s="465">
        <v>0.45450000000000002</v>
      </c>
      <c r="H63" s="467">
        <v>0.46300000000000002</v>
      </c>
    </row>
    <row r="64" spans="2:8">
      <c r="B64" s="475"/>
      <c r="C64" s="480"/>
      <c r="D64" s="478"/>
      <c r="E64" s="480"/>
      <c r="F64" s="478"/>
      <c r="G64" s="480"/>
      <c r="H64" s="478"/>
    </row>
    <row r="65" spans="2:8">
      <c r="B65" s="476" t="s">
        <v>413</v>
      </c>
      <c r="C65" s="448">
        <v>12330</v>
      </c>
      <c r="D65" s="447">
        <v>36344</v>
      </c>
      <c r="E65" s="448">
        <v>96.9</v>
      </c>
      <c r="F65" s="447">
        <v>199.3</v>
      </c>
      <c r="G65" s="448">
        <v>3884.0856407188148</v>
      </c>
      <c r="H65" s="479">
        <v>52854.285640718808</v>
      </c>
    </row>
    <row r="66" spans="2:8">
      <c r="B66" s="476" t="s">
        <v>402</v>
      </c>
      <c r="C66" s="451">
        <v>0.99464720194647205</v>
      </c>
      <c r="D66" s="450">
        <v>0.42527239709443099</v>
      </c>
      <c r="E66" s="451">
        <v>0.11455108359133127</v>
      </c>
      <c r="F66" s="450">
        <v>1</v>
      </c>
      <c r="G66" s="451">
        <v>0.86005251936221383</v>
      </c>
      <c r="H66" s="450">
        <v>0.591645828935917</v>
      </c>
    </row>
    <row r="67" spans="2:8" ht="13.5" thickBot="1">
      <c r="B67" s="477" t="s">
        <v>403</v>
      </c>
      <c r="C67" s="466">
        <v>5.3527980535279804E-3</v>
      </c>
      <c r="D67" s="465">
        <v>0.57472760290556901</v>
      </c>
      <c r="E67" s="466">
        <v>0.88544891640866874</v>
      </c>
      <c r="F67" s="465">
        <v>0</v>
      </c>
      <c r="G67" s="466">
        <v>0.13994748063778625</v>
      </c>
      <c r="H67" s="465">
        <v>0.408354171064083</v>
      </c>
    </row>
    <row r="68" spans="2:8">
      <c r="B68" s="475"/>
      <c r="C68" s="480"/>
      <c r="D68" s="478"/>
      <c r="E68" s="480"/>
      <c r="F68" s="478"/>
      <c r="G68" s="480"/>
      <c r="H68" s="478"/>
    </row>
    <row r="69" spans="2:8">
      <c r="B69" s="476" t="s">
        <v>818</v>
      </c>
      <c r="C69" s="448">
        <v>12657.3</v>
      </c>
      <c r="D69" s="447">
        <v>37964.5</v>
      </c>
      <c r="E69" s="448">
        <v>107.9</v>
      </c>
      <c r="F69" s="447">
        <v>207.6</v>
      </c>
      <c r="G69" s="448">
        <v>3545.8309195638667</v>
      </c>
      <c r="H69" s="479">
        <v>54483.130919563861</v>
      </c>
    </row>
    <row r="70" spans="2:8">
      <c r="B70" s="476" t="s">
        <v>402</v>
      </c>
      <c r="C70" s="451">
        <v>0.99525965253253068</v>
      </c>
      <c r="D70" s="450">
        <v>0.33019004596399265</v>
      </c>
      <c r="E70" s="451">
        <v>0.13531047265987026</v>
      </c>
      <c r="F70" s="450">
        <v>1</v>
      </c>
      <c r="G70" s="451">
        <v>0.84162273590048287</v>
      </c>
      <c r="H70" s="450">
        <v>0.52014727203182398</v>
      </c>
    </row>
    <row r="71" spans="2:8" ht="13.5" thickBot="1">
      <c r="B71" s="477" t="s">
        <v>403</v>
      </c>
      <c r="C71" s="466">
        <v>4.740347467469366E-3</v>
      </c>
      <c r="D71" s="465">
        <v>0.66980995403600729</v>
      </c>
      <c r="E71" s="466">
        <v>0.86468952734012983</v>
      </c>
      <c r="F71" s="465">
        <v>0</v>
      </c>
      <c r="G71" s="466">
        <v>0.15837726409951705</v>
      </c>
      <c r="H71" s="465">
        <v>0.47985272796817602</v>
      </c>
    </row>
    <row r="72" spans="2:8">
      <c r="B72" s="471"/>
      <c r="C72" s="472"/>
      <c r="D72" s="472"/>
      <c r="E72" s="472"/>
      <c r="F72" s="472"/>
      <c r="G72" s="472"/>
      <c r="H72" s="472"/>
    </row>
    <row r="73" spans="2:8">
      <c r="B73" s="473" t="s">
        <v>819</v>
      </c>
      <c r="C73" s="472"/>
      <c r="D73" s="472"/>
      <c r="E73" s="472"/>
      <c r="F73" s="472"/>
      <c r="G73" s="472"/>
      <c r="H73" s="472"/>
    </row>
    <row r="74" spans="2:8">
      <c r="B74" s="1315" t="s">
        <v>820</v>
      </c>
      <c r="D74" s="1315"/>
      <c r="E74" s="1315"/>
      <c r="F74" s="1315"/>
      <c r="G74" s="1315"/>
      <c r="H74" s="1315"/>
    </row>
    <row r="75" spans="2:8">
      <c r="B75" s="1315" t="s">
        <v>421</v>
      </c>
      <c r="D75" s="1315"/>
      <c r="E75" s="1315"/>
      <c r="F75" s="1315"/>
      <c r="G75" s="1315"/>
      <c r="H75" s="1315"/>
    </row>
    <row r="76" spans="2:8">
      <c r="B76" s="1315" t="s">
        <v>821</v>
      </c>
      <c r="D76" s="1315"/>
      <c r="E76" s="1315"/>
      <c r="F76" s="1315"/>
      <c r="G76" s="1315"/>
      <c r="H76" s="1315"/>
    </row>
    <row r="77" spans="2:8">
      <c r="B77" s="1315" t="s">
        <v>822</v>
      </c>
      <c r="D77" s="1315"/>
      <c r="E77" s="1315"/>
      <c r="F77" s="1315"/>
      <c r="G77" s="1315"/>
      <c r="H77" s="1315"/>
    </row>
    <row r="78" spans="2:8">
      <c r="B78" s="1315" t="s">
        <v>422</v>
      </c>
      <c r="D78" s="1315"/>
      <c r="E78" s="1315"/>
      <c r="F78" s="1315"/>
      <c r="G78" s="1315"/>
      <c r="H78" s="1315"/>
    </row>
    <row r="79" spans="2:8">
      <c r="B79" s="1315"/>
      <c r="D79" s="1315"/>
      <c r="E79" s="1315"/>
      <c r="F79" s="1315"/>
      <c r="G79" s="1315"/>
      <c r="H79" s="1315"/>
    </row>
    <row r="80" spans="2:8">
      <c r="B80" s="1315"/>
      <c r="C80" s="474"/>
      <c r="D80" s="1315"/>
      <c r="E80" s="1315"/>
      <c r="F80" s="1315"/>
      <c r="G80" s="1315"/>
      <c r="H80" s="1315"/>
    </row>
    <row r="81" spans="2:8">
      <c r="B81" s="1315"/>
      <c r="C81" s="1315"/>
      <c r="D81" s="1315"/>
      <c r="E81" s="1315"/>
      <c r="F81" s="1315"/>
      <c r="G81" s="1315"/>
      <c r="H81" s="1315"/>
    </row>
  </sheetData>
  <phoneticPr fontId="92" type="noConversion"/>
  <hyperlinks>
    <hyperlink ref="H1" location="INDICE!A70" display="VOLVER A INDICE"/>
  </hyperlinks>
  <pageMargins left="0.75" right="0.75" top="1" bottom="1" header="0" footer="0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8"/>
  <sheetViews>
    <sheetView workbookViewId="0">
      <selection activeCell="G25" sqref="G25"/>
    </sheetView>
  </sheetViews>
  <sheetFormatPr baseColWidth="10" defaultRowHeight="12.75"/>
  <cols>
    <col min="1" max="1" width="1.7109375" style="22" customWidth="1"/>
    <col min="2" max="2" width="26.5703125" style="891" customWidth="1"/>
    <col min="3" max="3" width="11.42578125" style="891"/>
    <col min="4" max="4" width="21" style="891" customWidth="1"/>
    <col min="5" max="22" width="11.42578125" style="22"/>
    <col min="23" max="16384" width="11.42578125" style="891"/>
  </cols>
  <sheetData>
    <row r="1" spans="1:6" ht="9" customHeight="1"/>
    <row r="2" spans="1:6">
      <c r="A2" s="827"/>
      <c r="B2" s="828"/>
      <c r="C2" s="829"/>
      <c r="D2" s="830"/>
      <c r="E2" s="827"/>
      <c r="F2" s="852" t="s">
        <v>681</v>
      </c>
    </row>
    <row r="3" spans="1:6">
      <c r="A3" s="827"/>
      <c r="B3" s="835"/>
      <c r="C3" s="826"/>
      <c r="D3" s="836"/>
      <c r="E3" s="827"/>
    </row>
    <row r="4" spans="1:6">
      <c r="A4" s="827"/>
      <c r="B4" s="831"/>
      <c r="C4" s="825" t="s">
        <v>591</v>
      </c>
      <c r="D4" s="832"/>
      <c r="E4" s="827"/>
    </row>
    <row r="5" spans="1:6">
      <c r="A5" s="827"/>
      <c r="B5" s="833"/>
      <c r="C5" s="825" t="s">
        <v>592</v>
      </c>
      <c r="D5" s="834"/>
      <c r="E5" s="827"/>
    </row>
    <row r="6" spans="1:6">
      <c r="A6" s="827"/>
      <c r="B6" s="837"/>
      <c r="C6" s="838"/>
      <c r="D6" s="839"/>
      <c r="E6" s="827"/>
    </row>
    <row r="7" spans="1:6">
      <c r="A7" s="827"/>
      <c r="B7" s="1129" t="s">
        <v>593</v>
      </c>
      <c r="C7" s="1130" t="s">
        <v>594</v>
      </c>
      <c r="D7" s="1131" t="s">
        <v>595</v>
      </c>
      <c r="E7" s="827"/>
    </row>
    <row r="8" spans="1:6">
      <c r="A8" s="827"/>
      <c r="B8" s="1129"/>
      <c r="C8" s="1130" t="s">
        <v>596</v>
      </c>
      <c r="D8" s="1131" t="s">
        <v>597</v>
      </c>
      <c r="E8" s="827"/>
    </row>
    <row r="9" spans="1:6">
      <c r="A9" s="827"/>
      <c r="B9" s="1129" t="s">
        <v>598</v>
      </c>
      <c r="C9" s="1132">
        <v>0.82450000000000001</v>
      </c>
      <c r="D9" s="1133">
        <v>10963</v>
      </c>
      <c r="E9" s="827" t="s">
        <v>546</v>
      </c>
    </row>
    <row r="10" spans="1:6">
      <c r="A10" s="827"/>
      <c r="B10" s="1129" t="s">
        <v>599</v>
      </c>
      <c r="C10" s="1132">
        <v>0.85499999999999998</v>
      </c>
      <c r="D10" s="1133">
        <v>10860</v>
      </c>
      <c r="E10" s="827"/>
    </row>
    <row r="11" spans="1:6">
      <c r="A11" s="827"/>
      <c r="B11" s="1129" t="s">
        <v>600</v>
      </c>
      <c r="C11" s="1132">
        <v>0.92700000000000005</v>
      </c>
      <c r="D11" s="1133">
        <v>10500</v>
      </c>
      <c r="E11" s="827"/>
    </row>
    <row r="12" spans="1:6">
      <c r="A12" s="827"/>
      <c r="B12" s="1129" t="s">
        <v>601</v>
      </c>
      <c r="C12" s="1132">
        <v>0.93600000000000005</v>
      </c>
      <c r="D12" s="1133">
        <v>10500</v>
      </c>
      <c r="E12" s="827"/>
    </row>
    <row r="13" spans="1:6">
      <c r="A13" s="827"/>
      <c r="B13" s="1129" t="s">
        <v>602</v>
      </c>
      <c r="C13" s="1132">
        <v>0.94499999999999995</v>
      </c>
      <c r="D13" s="1133">
        <v>10500</v>
      </c>
      <c r="E13" s="827"/>
    </row>
    <row r="14" spans="1:6">
      <c r="A14" s="827"/>
      <c r="B14" s="1129" t="s">
        <v>63</v>
      </c>
      <c r="C14" s="1132">
        <v>0.7</v>
      </c>
      <c r="D14" s="1133">
        <v>11500</v>
      </c>
      <c r="E14" s="827"/>
    </row>
    <row r="15" spans="1:6">
      <c r="A15" s="827"/>
      <c r="B15" s="1129" t="s">
        <v>60</v>
      </c>
      <c r="C15" s="1132">
        <v>0.55000000000000004</v>
      </c>
      <c r="D15" s="1133">
        <v>12100</v>
      </c>
      <c r="E15" s="827"/>
    </row>
    <row r="16" spans="1:6">
      <c r="A16" s="827"/>
      <c r="B16" s="1129" t="s">
        <v>603</v>
      </c>
      <c r="C16" s="1132">
        <v>0.73</v>
      </c>
      <c r="D16" s="1133">
        <v>11200</v>
      </c>
      <c r="E16" s="827"/>
    </row>
    <row r="17" spans="1:5">
      <c r="A17" s="827"/>
      <c r="B17" s="1129" t="s">
        <v>205</v>
      </c>
      <c r="C17" s="1132">
        <v>0.7</v>
      </c>
      <c r="D17" s="1133">
        <v>11400</v>
      </c>
      <c r="E17" s="827"/>
    </row>
    <row r="18" spans="1:5">
      <c r="A18" s="827"/>
      <c r="B18" s="1129" t="s">
        <v>62</v>
      </c>
      <c r="C18" s="1132">
        <v>0.81</v>
      </c>
      <c r="D18" s="1133">
        <v>11100</v>
      </c>
      <c r="E18" s="827"/>
    </row>
    <row r="19" spans="1:5">
      <c r="A19" s="827"/>
      <c r="B19" s="1129" t="s">
        <v>59</v>
      </c>
      <c r="C19" s="1132">
        <v>0.81</v>
      </c>
      <c r="D19" s="1133">
        <v>11100</v>
      </c>
      <c r="E19" s="827"/>
    </row>
    <row r="20" spans="1:5">
      <c r="A20" s="827"/>
      <c r="B20" s="1129" t="s">
        <v>56</v>
      </c>
      <c r="C20" s="1132">
        <v>0.84</v>
      </c>
      <c r="D20" s="1133">
        <v>10900</v>
      </c>
      <c r="E20" s="827"/>
    </row>
    <row r="21" spans="1:5">
      <c r="A21" s="827"/>
      <c r="B21" s="1129" t="s">
        <v>604</v>
      </c>
      <c r="C21" s="1134" t="s">
        <v>250</v>
      </c>
      <c r="D21" s="1133">
        <v>9341</v>
      </c>
      <c r="E21" s="827" t="s">
        <v>605</v>
      </c>
    </row>
    <row r="22" spans="1:5">
      <c r="A22" s="827"/>
      <c r="B22" s="1129" t="s">
        <v>9</v>
      </c>
      <c r="C22" s="1134" t="s">
        <v>250</v>
      </c>
      <c r="D22" s="1133">
        <v>3500</v>
      </c>
      <c r="E22" s="827"/>
    </row>
    <row r="23" spans="1:5">
      <c r="A23" s="827"/>
      <c r="B23" s="1129" t="s">
        <v>7</v>
      </c>
      <c r="C23" s="1134" t="s">
        <v>250</v>
      </c>
      <c r="D23" s="1133">
        <v>7000</v>
      </c>
      <c r="E23" s="827"/>
    </row>
    <row r="24" spans="1:5">
      <c r="A24" s="827"/>
      <c r="B24" s="1129" t="s">
        <v>10</v>
      </c>
      <c r="C24" s="1134" t="s">
        <v>250</v>
      </c>
      <c r="D24" s="1133">
        <v>4000</v>
      </c>
      <c r="E24" s="827" t="s">
        <v>605</v>
      </c>
    </row>
    <row r="25" spans="1:5">
      <c r="A25" s="827"/>
      <c r="B25" s="1129" t="s">
        <v>606</v>
      </c>
      <c r="C25" s="1134" t="s">
        <v>250</v>
      </c>
      <c r="D25" s="1133">
        <v>4260</v>
      </c>
      <c r="E25" s="827" t="s">
        <v>607</v>
      </c>
    </row>
    <row r="26" spans="1:5">
      <c r="A26" s="827"/>
      <c r="B26" s="1129" t="s">
        <v>18</v>
      </c>
      <c r="C26" s="1134" t="s">
        <v>250</v>
      </c>
      <c r="D26" s="1133">
        <v>860</v>
      </c>
      <c r="E26" s="827" t="s">
        <v>608</v>
      </c>
    </row>
    <row r="27" spans="1:5">
      <c r="A27" s="827"/>
      <c r="B27" s="1135" t="s">
        <v>609</v>
      </c>
      <c r="C27" s="1136"/>
      <c r="D27" s="1137"/>
      <c r="E27" s="827"/>
    </row>
    <row r="28" spans="1:5">
      <c r="A28" s="827"/>
      <c r="B28" s="1135" t="s">
        <v>610</v>
      </c>
      <c r="C28" s="1136"/>
      <c r="D28" s="1137"/>
      <c r="E28" s="827"/>
    </row>
    <row r="29" spans="1:5">
      <c r="A29" s="827"/>
      <c r="B29" s="1135" t="s">
        <v>611</v>
      </c>
      <c r="C29" s="1136"/>
      <c r="D29" s="1137"/>
      <c r="E29" s="827"/>
    </row>
    <row r="30" spans="1:5">
      <c r="A30" s="827"/>
      <c r="B30" s="1135" t="s">
        <v>612</v>
      </c>
      <c r="C30" s="1136"/>
      <c r="D30" s="1137"/>
      <c r="E30" s="827"/>
    </row>
    <row r="31" spans="1:5">
      <c r="A31" s="827"/>
      <c r="B31" s="1138" t="s">
        <v>613</v>
      </c>
      <c r="C31" s="1136"/>
      <c r="D31" s="1137"/>
      <c r="E31" s="827"/>
    </row>
    <row r="32" spans="1:5">
      <c r="A32" s="827"/>
      <c r="B32" s="1139" t="s">
        <v>614</v>
      </c>
      <c r="C32" s="1140"/>
      <c r="D32" s="1141"/>
      <c r="E32" s="827"/>
    </row>
    <row r="33" spans="1:5">
      <c r="A33" s="827"/>
      <c r="B33" s="827"/>
      <c r="C33" s="827"/>
      <c r="D33" s="827"/>
      <c r="E33" s="827"/>
    </row>
    <row r="34" spans="1:5">
      <c r="B34" s="22"/>
      <c r="C34" s="22"/>
      <c r="D34" s="22"/>
    </row>
    <row r="35" spans="1:5">
      <c r="B35" s="22"/>
      <c r="C35" s="22"/>
      <c r="D35" s="22"/>
    </row>
    <row r="36" spans="1:5">
      <c r="B36" s="22"/>
      <c r="C36" s="22"/>
      <c r="D36" s="22"/>
    </row>
    <row r="37" spans="1:5">
      <c r="B37" s="22"/>
      <c r="C37" s="22"/>
      <c r="D37" s="22"/>
    </row>
    <row r="38" spans="1:5">
      <c r="B38" s="22"/>
      <c r="C38" s="22"/>
      <c r="D38" s="22"/>
    </row>
    <row r="39" spans="1:5">
      <c r="B39" s="22"/>
      <c r="C39" s="22"/>
      <c r="D39" s="22"/>
    </row>
    <row r="40" spans="1:5">
      <c r="B40" s="22"/>
      <c r="C40" s="22"/>
      <c r="D40" s="22"/>
    </row>
    <row r="41" spans="1:5">
      <c r="B41" s="22"/>
      <c r="C41" s="22"/>
      <c r="D41" s="22"/>
    </row>
    <row r="42" spans="1:5">
      <c r="B42" s="22"/>
      <c r="C42" s="22"/>
      <c r="D42" s="22"/>
    </row>
    <row r="43" spans="1:5">
      <c r="B43" s="22"/>
      <c r="C43" s="22"/>
      <c r="D43" s="22"/>
    </row>
    <row r="44" spans="1:5">
      <c r="B44" s="22"/>
      <c r="C44" s="22"/>
      <c r="D44" s="22"/>
    </row>
    <row r="45" spans="1:5">
      <c r="B45" s="22"/>
      <c r="C45" s="22"/>
      <c r="D45" s="22"/>
    </row>
    <row r="46" spans="1:5">
      <c r="B46" s="22"/>
      <c r="C46" s="22"/>
      <c r="D46" s="22"/>
    </row>
    <row r="47" spans="1:5">
      <c r="B47" s="22"/>
      <c r="C47" s="22"/>
      <c r="D47" s="22"/>
    </row>
    <row r="48" spans="1:5">
      <c r="B48" s="22"/>
      <c r="C48" s="22"/>
      <c r="D48" s="22"/>
    </row>
    <row r="49" s="22" customFormat="1"/>
    <row r="50" s="22" customFormat="1"/>
    <row r="51" s="22" customFormat="1"/>
    <row r="52" s="22" customFormat="1"/>
    <row r="53" s="22" customFormat="1"/>
    <row r="54" s="22" customFormat="1"/>
    <row r="55" s="22" customFormat="1"/>
    <row r="56" s="22" customFormat="1"/>
    <row r="57" s="22" customFormat="1"/>
    <row r="58" s="22" customFormat="1"/>
    <row r="59" s="22" customFormat="1"/>
    <row r="60" s="22" customFormat="1"/>
    <row r="61" s="22" customFormat="1"/>
    <row r="62" s="22" customFormat="1"/>
    <row r="63" s="22" customFormat="1"/>
    <row r="64" s="22" customFormat="1"/>
    <row r="65" s="22" customFormat="1"/>
    <row r="66" s="22" customFormat="1"/>
    <row r="67" s="22" customFormat="1"/>
    <row r="68" s="22" customFormat="1"/>
  </sheetData>
  <phoneticPr fontId="0" type="noConversion"/>
  <hyperlinks>
    <hyperlink ref="F2" location="INDICE!A70" display="VOLVER A INDICE"/>
  </hyperlinks>
  <pageMargins left="0.75" right="0.75" top="1" bottom="1" header="0" footer="0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109"/>
  <sheetViews>
    <sheetView workbookViewId="0">
      <selection activeCell="L3" sqref="L3"/>
    </sheetView>
  </sheetViews>
  <sheetFormatPr baseColWidth="10" defaultRowHeight="12.75"/>
  <cols>
    <col min="1" max="1" width="1.7109375" style="891" customWidth="1"/>
    <col min="2" max="11" width="11.42578125" style="891"/>
    <col min="12" max="22" width="11.42578125" style="22"/>
    <col min="23" max="16384" width="11.42578125" style="891"/>
  </cols>
  <sheetData>
    <row r="1" spans="2:15" ht="5.25" customHeight="1" thickBot="1"/>
    <row r="2" spans="2:15">
      <c r="B2" s="1142"/>
      <c r="C2" s="1143"/>
      <c r="D2" s="1143"/>
      <c r="E2" s="1143"/>
      <c r="F2" s="1143"/>
      <c r="G2" s="1143"/>
      <c r="H2" s="1143"/>
      <c r="I2" s="1143"/>
      <c r="J2" s="1143"/>
      <c r="K2" s="1144"/>
      <c r="L2" s="845"/>
      <c r="M2" s="845"/>
      <c r="N2" s="845"/>
      <c r="O2" s="845"/>
    </row>
    <row r="3" spans="2:15">
      <c r="B3" s="1145"/>
      <c r="C3" s="842"/>
      <c r="D3" s="843"/>
      <c r="E3" s="843"/>
      <c r="F3" s="843"/>
      <c r="G3" s="843"/>
      <c r="H3" s="843"/>
      <c r="I3" s="842"/>
      <c r="J3" s="842"/>
      <c r="K3" s="1146"/>
      <c r="L3" s="861" t="s">
        <v>681</v>
      </c>
      <c r="M3" s="845"/>
      <c r="N3" s="845"/>
      <c r="O3" s="845"/>
    </row>
    <row r="4" spans="2:15">
      <c r="B4" s="1147"/>
      <c r="C4" s="840"/>
      <c r="D4" s="841" t="s">
        <v>615</v>
      </c>
      <c r="E4" s="840"/>
      <c r="F4" s="840"/>
      <c r="G4" s="840"/>
      <c r="H4" s="840"/>
      <c r="I4" s="840"/>
      <c r="J4" s="840"/>
      <c r="K4" s="1148"/>
      <c r="L4" s="845"/>
      <c r="M4" s="845"/>
      <c r="N4" s="845"/>
      <c r="O4" s="845"/>
    </row>
    <row r="5" spans="2:15">
      <c r="B5" s="1147"/>
      <c r="C5" s="840"/>
      <c r="D5" s="840"/>
      <c r="E5" s="840" t="s">
        <v>616</v>
      </c>
      <c r="F5" s="840"/>
      <c r="G5" s="841" t="s">
        <v>617</v>
      </c>
      <c r="H5" s="840"/>
      <c r="I5" s="840"/>
      <c r="J5" s="840"/>
      <c r="K5" s="1148"/>
      <c r="L5" s="845"/>
      <c r="M5" s="845"/>
      <c r="N5" s="845"/>
      <c r="O5" s="845"/>
    </row>
    <row r="6" spans="2:15">
      <c r="B6" s="1149"/>
      <c r="C6" s="840"/>
      <c r="D6" s="840"/>
      <c r="E6" s="840"/>
      <c r="F6" s="840"/>
      <c r="G6" s="840"/>
      <c r="H6" s="840"/>
      <c r="I6" s="840"/>
      <c r="J6" s="840"/>
      <c r="K6" s="1148"/>
      <c r="L6" s="845"/>
      <c r="M6" s="845"/>
      <c r="N6" s="845"/>
      <c r="O6" s="845"/>
    </row>
    <row r="7" spans="2:15">
      <c r="B7" s="1150"/>
      <c r="C7" s="844" t="s">
        <v>618</v>
      </c>
      <c r="D7" s="844" t="s">
        <v>619</v>
      </c>
      <c r="E7" s="844" t="s">
        <v>548</v>
      </c>
      <c r="F7" s="844" t="s">
        <v>620</v>
      </c>
      <c r="G7" s="844" t="s">
        <v>621</v>
      </c>
      <c r="H7" s="844" t="s">
        <v>622</v>
      </c>
      <c r="I7" s="844" t="s">
        <v>623</v>
      </c>
      <c r="J7" s="844" t="s">
        <v>624</v>
      </c>
      <c r="K7" s="1151" t="s">
        <v>625</v>
      </c>
      <c r="L7" s="845"/>
      <c r="M7" s="845"/>
      <c r="N7" s="845"/>
      <c r="O7" s="845"/>
    </row>
    <row r="8" spans="2:15">
      <c r="B8" s="1152" t="s">
        <v>618</v>
      </c>
      <c r="C8" s="898">
        <v>1</v>
      </c>
      <c r="D8" s="898">
        <v>0.13780000000000001</v>
      </c>
      <c r="E8" s="898">
        <v>1.39E-3</v>
      </c>
      <c r="F8" s="898">
        <v>5.8100000000000001E-3</v>
      </c>
      <c r="G8" s="898">
        <v>5524.86</v>
      </c>
      <c r="H8" s="898">
        <v>1.613944</v>
      </c>
      <c r="I8" s="898">
        <v>131.0615</v>
      </c>
      <c r="J8" s="898">
        <v>167.2073</v>
      </c>
      <c r="K8" s="1153">
        <v>5917.1597000000002</v>
      </c>
      <c r="L8" s="845"/>
      <c r="M8" s="845"/>
      <c r="N8" s="845"/>
      <c r="O8" s="845"/>
    </row>
    <row r="9" spans="2:15">
      <c r="B9" s="1154"/>
      <c r="C9" s="899"/>
      <c r="D9" s="899"/>
      <c r="E9" s="899"/>
      <c r="F9" s="899"/>
      <c r="G9" s="899"/>
      <c r="H9" s="899"/>
      <c r="I9" s="899"/>
      <c r="J9" s="899"/>
      <c r="K9" s="1155"/>
      <c r="L9" s="845"/>
      <c r="M9" s="845"/>
      <c r="N9" s="845"/>
      <c r="O9" s="845"/>
    </row>
    <row r="10" spans="2:15">
      <c r="B10" s="1156" t="s">
        <v>619</v>
      </c>
      <c r="C10" s="901">
        <v>7.2056490000000002</v>
      </c>
      <c r="D10" s="901">
        <v>1</v>
      </c>
      <c r="E10" s="901">
        <v>0.01</v>
      </c>
      <c r="F10" s="901">
        <v>4.1840000000000002E-2</v>
      </c>
      <c r="G10" s="901">
        <v>39810.22</v>
      </c>
      <c r="H10" s="901">
        <v>11.62951</v>
      </c>
      <c r="I10" s="901">
        <v>944.38379999999995</v>
      </c>
      <c r="J10" s="901">
        <v>1204.837</v>
      </c>
      <c r="K10" s="1157">
        <v>42636.976000000002</v>
      </c>
      <c r="L10" s="845"/>
      <c r="M10" s="845"/>
      <c r="N10" s="845"/>
      <c r="O10" s="845"/>
    </row>
    <row r="11" spans="2:15">
      <c r="B11" s="1154"/>
      <c r="C11" s="899"/>
      <c r="D11" s="899"/>
      <c r="E11" s="899"/>
      <c r="F11" s="899"/>
      <c r="G11" s="899"/>
      <c r="H11" s="899"/>
      <c r="I11" s="899"/>
      <c r="J11" s="899"/>
      <c r="K11" s="1155"/>
      <c r="L11" s="845"/>
      <c r="M11" s="845"/>
      <c r="N11" s="845"/>
      <c r="O11" s="845"/>
    </row>
    <row r="12" spans="2:15">
      <c r="B12" s="1156" t="s">
        <v>548</v>
      </c>
      <c r="C12" s="901">
        <v>720.56489999999997</v>
      </c>
      <c r="D12" s="901">
        <v>100</v>
      </c>
      <c r="E12" s="901">
        <v>1</v>
      </c>
      <c r="F12" s="901">
        <v>4.1840000000000002</v>
      </c>
      <c r="G12" s="901">
        <v>3981022</v>
      </c>
      <c r="H12" s="901">
        <v>1162.952</v>
      </c>
      <c r="I12" s="901">
        <v>94438.38</v>
      </c>
      <c r="J12" s="901">
        <v>120483.7</v>
      </c>
      <c r="K12" s="1157">
        <v>4263697.5999999996</v>
      </c>
      <c r="L12" s="845"/>
      <c r="M12" s="845"/>
      <c r="N12" s="845"/>
      <c r="O12" s="845"/>
    </row>
    <row r="13" spans="2:15">
      <c r="B13" s="1154"/>
      <c r="C13" s="899"/>
      <c r="D13" s="899"/>
      <c r="E13" s="899"/>
      <c r="F13" s="899"/>
      <c r="G13" s="899"/>
      <c r="H13" s="899"/>
      <c r="I13" s="899"/>
      <c r="J13" s="899"/>
      <c r="K13" s="1155"/>
      <c r="L13" s="845"/>
      <c r="M13" s="845"/>
      <c r="N13" s="845"/>
      <c r="O13" s="845"/>
    </row>
    <row r="14" spans="2:15">
      <c r="B14" s="1156" t="s">
        <v>620</v>
      </c>
      <c r="C14" s="901">
        <v>172.2191</v>
      </c>
      <c r="D14" s="901">
        <v>23.900569999999998</v>
      </c>
      <c r="E14" s="901">
        <v>0.239005</v>
      </c>
      <c r="F14" s="901">
        <v>1</v>
      </c>
      <c r="G14" s="901">
        <v>952380.95238095243</v>
      </c>
      <c r="H14" s="901">
        <v>277.95209999999997</v>
      </c>
      <c r="I14" s="901">
        <v>22571.31</v>
      </c>
      <c r="J14" s="901">
        <v>28796.29</v>
      </c>
      <c r="K14" s="1157">
        <v>1019048.1</v>
      </c>
      <c r="L14" s="845"/>
      <c r="M14" s="845"/>
      <c r="N14" s="845"/>
      <c r="O14" s="845"/>
    </row>
    <row r="15" spans="2:15">
      <c r="B15" s="1154"/>
      <c r="C15" s="899"/>
      <c r="D15" s="899"/>
      <c r="E15" s="899"/>
      <c r="F15" s="899"/>
      <c r="G15" s="899"/>
      <c r="H15" s="899"/>
      <c r="I15" s="899"/>
      <c r="J15" s="899"/>
      <c r="K15" s="1155"/>
      <c r="L15" s="845"/>
      <c r="M15" s="845"/>
      <c r="N15" s="845"/>
      <c r="O15" s="845"/>
    </row>
    <row r="16" spans="2:15">
      <c r="B16" s="1156" t="s">
        <v>621</v>
      </c>
      <c r="C16" s="901">
        <v>1.8000000000000001E-4</v>
      </c>
      <c r="D16" s="901">
        <v>2.51E-5</v>
      </c>
      <c r="E16" s="901">
        <v>2.4999999999999999E-7</v>
      </c>
      <c r="F16" s="901">
        <v>1.0499999999999999E-6</v>
      </c>
      <c r="G16" s="901">
        <v>1</v>
      </c>
      <c r="H16" s="901">
        <v>2.9E-4</v>
      </c>
      <c r="I16" s="901">
        <v>2.3720000000000001E-2</v>
      </c>
      <c r="J16" s="901">
        <v>3.0265E-2</v>
      </c>
      <c r="K16" s="1157">
        <v>1.07101</v>
      </c>
      <c r="L16" s="845"/>
      <c r="M16" s="845"/>
      <c r="N16" s="845"/>
      <c r="O16" s="845"/>
    </row>
    <row r="17" spans="2:15">
      <c r="B17" s="1154"/>
      <c r="C17" s="899"/>
      <c r="D17" s="899"/>
      <c r="E17" s="899"/>
      <c r="F17" s="899"/>
      <c r="G17" s="899"/>
      <c r="H17" s="899"/>
      <c r="I17" s="899"/>
      <c r="J17" s="899"/>
      <c r="K17" s="1155"/>
      <c r="L17" s="845"/>
      <c r="M17" s="845"/>
      <c r="N17" s="845"/>
      <c r="O17" s="845"/>
    </row>
    <row r="18" spans="2:15">
      <c r="B18" s="1156" t="s">
        <v>622</v>
      </c>
      <c r="C18" s="901">
        <v>0.61960000000000004</v>
      </c>
      <c r="D18" s="901">
        <v>8.5989999999999997E-2</v>
      </c>
      <c r="E18" s="901">
        <v>8.5999999999999998E-4</v>
      </c>
      <c r="F18" s="901">
        <v>3.5999999999999999E-3</v>
      </c>
      <c r="G18" s="901">
        <v>3423.2</v>
      </c>
      <c r="H18" s="901">
        <v>1</v>
      </c>
      <c r="I18" s="901">
        <v>81.205770000000001</v>
      </c>
      <c r="J18" s="901">
        <v>103.6016</v>
      </c>
      <c r="K18" s="1157">
        <v>3666.2721000000001</v>
      </c>
      <c r="L18" s="845"/>
      <c r="M18" s="845"/>
      <c r="N18" s="845"/>
      <c r="O18" s="845"/>
    </row>
    <row r="19" spans="2:15">
      <c r="B19" s="1154"/>
      <c r="C19" s="899"/>
      <c r="D19" s="899"/>
      <c r="E19" s="899"/>
      <c r="F19" s="899"/>
      <c r="G19" s="899"/>
      <c r="H19" s="899"/>
      <c r="I19" s="899"/>
      <c r="J19" s="899"/>
      <c r="K19" s="1155"/>
      <c r="L19" s="845"/>
      <c r="M19" s="845"/>
      <c r="N19" s="845"/>
      <c r="O19" s="845"/>
    </row>
    <row r="20" spans="2:15">
      <c r="B20" s="1156" t="s">
        <v>623</v>
      </c>
      <c r="C20" s="901">
        <v>7.6299999999999996E-3</v>
      </c>
      <c r="D20" s="901">
        <v>1.06E-3</v>
      </c>
      <c r="E20" s="901">
        <v>1.06E-5</v>
      </c>
      <c r="F20" s="901">
        <v>4.4299999999999999E-5</v>
      </c>
      <c r="G20" s="901">
        <v>42.154690000000002</v>
      </c>
      <c r="H20" s="901">
        <v>1.2314E-2</v>
      </c>
      <c r="I20" s="901">
        <v>1</v>
      </c>
      <c r="J20" s="901">
        <v>1.2757909999999999</v>
      </c>
      <c r="K20" s="1157">
        <v>45.147928</v>
      </c>
      <c r="L20" s="845"/>
      <c r="M20" s="845"/>
      <c r="N20" s="845"/>
      <c r="O20" s="845"/>
    </row>
    <row r="21" spans="2:15">
      <c r="B21" s="1154"/>
      <c r="C21" s="899"/>
      <c r="D21" s="899"/>
      <c r="E21" s="899"/>
      <c r="F21" s="899"/>
      <c r="G21" s="899"/>
      <c r="H21" s="899"/>
      <c r="I21" s="899"/>
      <c r="J21" s="899"/>
      <c r="K21" s="1155"/>
      <c r="L21" s="845"/>
      <c r="M21" s="845"/>
      <c r="N21" s="845"/>
      <c r="O21" s="845"/>
    </row>
    <row r="22" spans="2:15">
      <c r="B22" s="1156" t="s">
        <v>626</v>
      </c>
      <c r="C22" s="901">
        <v>5.9800000000000001E-3</v>
      </c>
      <c r="D22" s="901">
        <v>8.3000000000000001E-4</v>
      </c>
      <c r="E22" s="901">
        <v>8.3000000000000002E-6</v>
      </c>
      <c r="F22" s="901">
        <v>3.4700000000000003E-5</v>
      </c>
      <c r="G22" s="901">
        <v>33.041980000000002</v>
      </c>
      <c r="H22" s="901">
        <v>9.6520000000000009E-3</v>
      </c>
      <c r="I22" s="901">
        <v>0.78382600000000002</v>
      </c>
      <c r="J22" s="901">
        <v>1</v>
      </c>
      <c r="K22" s="1157">
        <v>35.388165000000001</v>
      </c>
      <c r="L22" s="845"/>
      <c r="M22" s="845"/>
      <c r="N22" s="845"/>
      <c r="O22" s="845"/>
    </row>
    <row r="23" spans="2:15">
      <c r="B23" s="1154"/>
      <c r="C23" s="899"/>
      <c r="D23" s="899"/>
      <c r="E23" s="899"/>
      <c r="F23" s="899"/>
      <c r="G23" s="899"/>
      <c r="H23" s="899"/>
      <c r="I23" s="899"/>
      <c r="J23" s="899"/>
      <c r="K23" s="1155"/>
      <c r="L23" s="845"/>
      <c r="M23" s="845"/>
      <c r="N23" s="845"/>
      <c r="O23" s="845"/>
    </row>
    <row r="24" spans="2:15" ht="13.5" thickBot="1">
      <c r="B24" s="1158" t="s">
        <v>625</v>
      </c>
      <c r="C24" s="1159">
        <v>1.7000000000000001E-4</v>
      </c>
      <c r="D24" s="1159">
        <v>2.3499999999999999E-5</v>
      </c>
      <c r="E24" s="1159">
        <v>2.35E-7</v>
      </c>
      <c r="F24" s="1159">
        <v>9.8100000000000001E-7</v>
      </c>
      <c r="G24" s="1159">
        <v>0.933701</v>
      </c>
      <c r="H24" s="1159">
        <v>2.72E-4</v>
      </c>
      <c r="I24" s="1159">
        <v>2.2148999999999999E-2</v>
      </c>
      <c r="J24" s="1159">
        <v>2.8257999999999998E-2</v>
      </c>
      <c r="K24" s="1160">
        <v>1</v>
      </c>
      <c r="L24" s="845"/>
      <c r="M24" s="845"/>
      <c r="N24" s="845"/>
      <c r="O24" s="845"/>
    </row>
    <row r="25" spans="2:15">
      <c r="B25" s="846" t="s">
        <v>627</v>
      </c>
      <c r="C25" s="846"/>
      <c r="D25" s="846"/>
      <c r="E25" s="846"/>
      <c r="F25" s="846"/>
      <c r="G25" s="846"/>
      <c r="H25" s="846"/>
      <c r="I25" s="846"/>
      <c r="J25" s="846"/>
      <c r="K25" s="846"/>
      <c r="L25" s="845"/>
      <c r="M25" s="845"/>
      <c r="N25" s="845"/>
      <c r="O25" s="845"/>
    </row>
    <row r="26" spans="2:15">
      <c r="B26" s="846"/>
      <c r="C26" s="846"/>
      <c r="D26" s="846"/>
      <c r="E26" s="846"/>
      <c r="F26" s="846"/>
      <c r="G26" s="846"/>
      <c r="H26" s="846"/>
      <c r="I26" s="846"/>
      <c r="J26" s="846"/>
      <c r="K26" s="846"/>
      <c r="L26" s="845"/>
      <c r="M26" s="845"/>
      <c r="N26" s="845"/>
      <c r="O26" s="845"/>
    </row>
    <row r="27" spans="2:15">
      <c r="B27" s="846"/>
      <c r="C27" s="846"/>
      <c r="D27" s="846"/>
      <c r="E27" s="846"/>
      <c r="F27" s="846"/>
      <c r="G27" s="846"/>
      <c r="H27" s="846"/>
      <c r="I27" s="846"/>
      <c r="J27" s="846"/>
      <c r="K27" s="846"/>
      <c r="L27" s="845"/>
      <c r="M27" s="845"/>
      <c r="N27" s="845"/>
      <c r="O27" s="845"/>
    </row>
    <row r="28" spans="2:15">
      <c r="B28" s="904" t="s">
        <v>628</v>
      </c>
      <c r="C28" s="905"/>
      <c r="D28" s="906"/>
      <c r="E28" s="846"/>
      <c r="F28" s="907" t="s">
        <v>629</v>
      </c>
      <c r="G28" s="906"/>
      <c r="H28" s="846"/>
      <c r="I28" s="907" t="s">
        <v>630</v>
      </c>
      <c r="J28" s="905"/>
      <c r="K28" s="906"/>
      <c r="L28" s="845"/>
      <c r="M28" s="845"/>
      <c r="N28" s="845"/>
      <c r="O28" s="845"/>
    </row>
    <row r="29" spans="2:15">
      <c r="B29" s="908" t="s">
        <v>631</v>
      </c>
      <c r="C29" s="909"/>
      <c r="D29" s="910" t="s">
        <v>632</v>
      </c>
      <c r="E29" s="846"/>
      <c r="F29" s="911" t="s">
        <v>633</v>
      </c>
      <c r="G29" s="912" t="s">
        <v>634</v>
      </c>
      <c r="H29" s="846"/>
      <c r="I29" s="913" t="s">
        <v>635</v>
      </c>
      <c r="J29" s="914" t="s">
        <v>636</v>
      </c>
      <c r="K29" s="915"/>
      <c r="L29" s="845"/>
      <c r="M29" s="845"/>
      <c r="N29" s="845"/>
      <c r="O29" s="845"/>
    </row>
    <row r="30" spans="2:15">
      <c r="B30" s="916" t="s">
        <v>637</v>
      </c>
      <c r="C30" s="917"/>
      <c r="D30" s="918" t="s">
        <v>618</v>
      </c>
      <c r="E30" s="846"/>
      <c r="F30" s="919" t="s">
        <v>638</v>
      </c>
      <c r="G30" s="920" t="s">
        <v>639</v>
      </c>
      <c r="H30" s="846"/>
      <c r="I30" s="921" t="s">
        <v>640</v>
      </c>
      <c r="J30" s="922"/>
      <c r="K30" s="923"/>
      <c r="L30" s="845"/>
      <c r="M30" s="845"/>
      <c r="N30" s="845"/>
      <c r="O30" s="845"/>
    </row>
    <row r="31" spans="2:15">
      <c r="B31" s="924" t="s">
        <v>641</v>
      </c>
      <c r="C31" s="925"/>
      <c r="D31" s="926" t="s">
        <v>619</v>
      </c>
      <c r="E31" s="846"/>
      <c r="F31" s="911" t="s">
        <v>642</v>
      </c>
      <c r="G31" s="912" t="s">
        <v>643</v>
      </c>
      <c r="H31" s="846"/>
      <c r="I31" s="846" t="s">
        <v>644</v>
      </c>
      <c r="J31" s="846"/>
      <c r="K31" s="846"/>
      <c r="L31" s="845"/>
      <c r="M31" s="845"/>
      <c r="N31" s="845"/>
      <c r="O31" s="845"/>
    </row>
    <row r="32" spans="2:15">
      <c r="B32" s="916" t="s">
        <v>645</v>
      </c>
      <c r="C32" s="927"/>
      <c r="D32" s="928" t="s">
        <v>646</v>
      </c>
      <c r="E32" s="846"/>
      <c r="F32" s="921" t="s">
        <v>647</v>
      </c>
      <c r="G32" s="923" t="s">
        <v>648</v>
      </c>
      <c r="H32" s="846"/>
      <c r="I32" s="846"/>
      <c r="J32" s="846"/>
      <c r="K32" s="846"/>
      <c r="L32" s="845"/>
      <c r="M32" s="845"/>
      <c r="N32" s="845"/>
      <c r="O32" s="845"/>
    </row>
    <row r="33" spans="2:15">
      <c r="B33" s="924" t="s">
        <v>649</v>
      </c>
      <c r="C33" s="929"/>
      <c r="D33" s="930" t="s">
        <v>650</v>
      </c>
      <c r="E33" s="846"/>
      <c r="F33" s="846"/>
      <c r="G33" s="846"/>
      <c r="H33" s="846"/>
      <c r="I33" s="846"/>
      <c r="J33" s="846"/>
      <c r="K33" s="846"/>
      <c r="L33" s="845"/>
      <c r="M33" s="845"/>
      <c r="N33" s="845"/>
      <c r="O33" s="845"/>
    </row>
    <row r="34" spans="2:15">
      <c r="B34" s="916" t="s">
        <v>651</v>
      </c>
      <c r="C34" s="917"/>
      <c r="D34" s="918" t="s">
        <v>548</v>
      </c>
      <c r="E34" s="847"/>
      <c r="F34" s="904" t="s">
        <v>652</v>
      </c>
      <c r="G34" s="931"/>
      <c r="H34" s="932"/>
      <c r="I34" s="846"/>
      <c r="J34" s="846"/>
      <c r="K34" s="846"/>
      <c r="L34" s="845"/>
      <c r="M34" s="845"/>
      <c r="N34" s="845"/>
      <c r="O34" s="845"/>
    </row>
    <row r="35" spans="2:15">
      <c r="B35" s="924" t="s">
        <v>653</v>
      </c>
      <c r="C35" s="925"/>
      <c r="D35" s="926" t="s">
        <v>654</v>
      </c>
      <c r="E35" s="846"/>
      <c r="F35" s="933" t="s">
        <v>632</v>
      </c>
      <c r="G35" s="934" t="s">
        <v>655</v>
      </c>
      <c r="H35" s="935" t="s">
        <v>656</v>
      </c>
      <c r="I35" s="846"/>
      <c r="J35" s="846"/>
      <c r="K35" s="846"/>
      <c r="L35" s="845"/>
      <c r="M35" s="845"/>
      <c r="N35" s="845"/>
      <c r="O35" s="845"/>
    </row>
    <row r="36" spans="2:15">
      <c r="B36" s="916" t="s">
        <v>657</v>
      </c>
      <c r="C36" s="917"/>
      <c r="D36" s="918" t="s">
        <v>658</v>
      </c>
      <c r="E36" s="846"/>
      <c r="F36" s="936" t="s">
        <v>659</v>
      </c>
      <c r="G36" s="937" t="s">
        <v>660</v>
      </c>
      <c r="H36" s="902">
        <v>1000</v>
      </c>
      <c r="I36" s="846"/>
      <c r="J36" s="846"/>
      <c r="K36" s="846"/>
      <c r="L36" s="845"/>
      <c r="M36" s="845"/>
      <c r="N36" s="845"/>
      <c r="O36" s="845"/>
    </row>
    <row r="37" spans="2:15">
      <c r="B37" s="924" t="s">
        <v>661</v>
      </c>
      <c r="C37" s="938"/>
      <c r="D37" s="926" t="s">
        <v>662</v>
      </c>
      <c r="E37" s="846"/>
      <c r="F37" s="939" t="s">
        <v>342</v>
      </c>
      <c r="G37" s="940" t="s">
        <v>663</v>
      </c>
      <c r="H37" s="900">
        <v>1000000</v>
      </c>
      <c r="I37" s="846"/>
      <c r="J37" s="846"/>
      <c r="K37" s="846"/>
      <c r="L37" s="845"/>
      <c r="M37" s="845"/>
      <c r="N37" s="845"/>
      <c r="O37" s="845"/>
    </row>
    <row r="38" spans="2:15">
      <c r="B38" s="916" t="s">
        <v>664</v>
      </c>
      <c r="C38" s="917"/>
      <c r="D38" s="918" t="s">
        <v>665</v>
      </c>
      <c r="E38" s="848"/>
      <c r="F38" s="936" t="s">
        <v>666</v>
      </c>
      <c r="G38" s="937" t="s">
        <v>667</v>
      </c>
      <c r="H38" s="902">
        <v>1000000000</v>
      </c>
      <c r="I38" s="846"/>
      <c r="J38" s="846"/>
      <c r="K38" s="846"/>
      <c r="L38" s="845"/>
      <c r="M38" s="845"/>
      <c r="N38" s="845"/>
      <c r="O38" s="845"/>
    </row>
    <row r="39" spans="2:15">
      <c r="B39" s="924" t="s">
        <v>668</v>
      </c>
      <c r="C39" s="938"/>
      <c r="D39" s="926" t="s">
        <v>669</v>
      </c>
      <c r="E39" s="846"/>
      <c r="F39" s="939" t="s">
        <v>332</v>
      </c>
      <c r="G39" s="940" t="s">
        <v>670</v>
      </c>
      <c r="H39" s="900">
        <v>1000000000000</v>
      </c>
      <c r="I39" s="846"/>
      <c r="J39" s="846"/>
      <c r="K39" s="846"/>
      <c r="L39" s="845"/>
      <c r="M39" s="845"/>
      <c r="N39" s="845"/>
      <c r="O39" s="845"/>
    </row>
    <row r="40" spans="2:15">
      <c r="B40" s="941" t="s">
        <v>671</v>
      </c>
      <c r="C40" s="942"/>
      <c r="D40" s="943" t="s">
        <v>622</v>
      </c>
      <c r="E40" s="846"/>
      <c r="F40" s="944" t="s">
        <v>672</v>
      </c>
      <c r="G40" s="945" t="s">
        <v>673</v>
      </c>
      <c r="H40" s="903">
        <v>1000000000000000</v>
      </c>
      <c r="I40" s="846"/>
      <c r="J40" s="846"/>
      <c r="K40" s="846"/>
      <c r="L40" s="845"/>
      <c r="M40" s="845"/>
      <c r="N40" s="845"/>
      <c r="O40" s="845"/>
    </row>
    <row r="41" spans="2:15">
      <c r="B41" s="845"/>
      <c r="C41" s="845"/>
      <c r="D41" s="845"/>
      <c r="E41" s="845"/>
      <c r="F41" s="845"/>
      <c r="G41" s="845"/>
      <c r="H41" s="845"/>
      <c r="I41" s="845"/>
      <c r="J41" s="845"/>
      <c r="K41" s="845"/>
      <c r="L41" s="845"/>
      <c r="M41" s="845"/>
      <c r="N41" s="845"/>
      <c r="O41" s="845"/>
    </row>
    <row r="42" spans="2:15">
      <c r="B42" s="845"/>
      <c r="C42" s="845"/>
      <c r="D42" s="845"/>
      <c r="E42" s="845"/>
      <c r="F42" s="845"/>
      <c r="G42" s="845"/>
      <c r="H42" s="845"/>
      <c r="I42" s="845"/>
      <c r="J42" s="845"/>
      <c r="K42" s="845"/>
      <c r="L42" s="845"/>
      <c r="M42" s="845"/>
      <c r="N42" s="845"/>
      <c r="O42" s="845"/>
    </row>
    <row r="43" spans="2:15">
      <c r="B43" s="845"/>
      <c r="C43" s="845"/>
      <c r="D43" s="845"/>
      <c r="E43" s="845"/>
      <c r="F43" s="845"/>
      <c r="G43" s="845"/>
      <c r="H43" s="845"/>
      <c r="I43" s="845"/>
      <c r="J43" s="845"/>
      <c r="K43" s="845"/>
      <c r="L43" s="845"/>
      <c r="M43" s="845"/>
      <c r="N43" s="845"/>
      <c r="O43" s="845"/>
    </row>
    <row r="44" spans="2:15">
      <c r="B44" s="845" t="s">
        <v>674</v>
      </c>
      <c r="C44" s="845"/>
      <c r="D44" s="845"/>
      <c r="E44" s="845"/>
      <c r="F44" s="845"/>
      <c r="G44" s="845"/>
      <c r="H44" s="845"/>
      <c r="I44" s="845"/>
      <c r="J44" s="845"/>
      <c r="K44" s="845"/>
      <c r="L44" s="845"/>
      <c r="M44" s="845"/>
      <c r="N44" s="845"/>
      <c r="O44" s="845"/>
    </row>
    <row r="45" spans="2:15">
      <c r="B45" s="845" t="s">
        <v>675</v>
      </c>
      <c r="C45" s="845"/>
      <c r="D45" s="845"/>
      <c r="E45" s="845"/>
      <c r="F45" s="845"/>
      <c r="G45" s="845"/>
      <c r="H45" s="845"/>
      <c r="I45" s="845"/>
      <c r="J45" s="845"/>
      <c r="K45" s="845"/>
      <c r="L45" s="845"/>
      <c r="M45" s="845"/>
      <c r="N45" s="845"/>
      <c r="O45" s="845"/>
    </row>
    <row r="46" spans="2:15">
      <c r="B46" s="845"/>
      <c r="C46" s="845"/>
      <c r="D46" s="845"/>
      <c r="E46" s="845"/>
      <c r="F46" s="845"/>
      <c r="G46" s="845"/>
      <c r="H46" s="845"/>
      <c r="I46" s="845"/>
      <c r="J46" s="845"/>
      <c r="K46" s="845"/>
      <c r="L46" s="845"/>
      <c r="M46" s="845"/>
      <c r="N46" s="845"/>
      <c r="O46" s="845"/>
    </row>
    <row r="47" spans="2:15">
      <c r="B47" s="845"/>
      <c r="C47" s="845"/>
      <c r="D47" s="845"/>
      <c r="E47" s="845"/>
      <c r="F47" s="845"/>
      <c r="G47" s="845"/>
      <c r="H47" s="845"/>
      <c r="I47" s="845"/>
      <c r="J47" s="845"/>
      <c r="K47" s="845"/>
      <c r="L47" s="845"/>
      <c r="M47" s="845"/>
      <c r="N47" s="845"/>
      <c r="O47" s="845"/>
    </row>
    <row r="48" spans="2:15">
      <c r="B48" s="845"/>
      <c r="C48" s="845"/>
      <c r="D48" s="845"/>
      <c r="E48" s="845"/>
      <c r="F48" s="845"/>
      <c r="G48" s="845"/>
      <c r="H48" s="845"/>
      <c r="I48" s="845"/>
      <c r="J48" s="845"/>
      <c r="K48" s="845"/>
      <c r="L48" s="845"/>
      <c r="M48" s="845"/>
      <c r="N48" s="845"/>
      <c r="O48" s="845"/>
    </row>
    <row r="49" spans="2:15">
      <c r="B49" s="845"/>
      <c r="C49" s="845"/>
      <c r="D49" s="845"/>
      <c r="E49" s="845"/>
      <c r="F49" s="845"/>
      <c r="G49" s="845"/>
      <c r="H49" s="845"/>
      <c r="I49" s="845"/>
      <c r="J49" s="845"/>
      <c r="K49" s="845"/>
      <c r="L49" s="845"/>
      <c r="M49" s="845"/>
      <c r="N49" s="845"/>
      <c r="O49" s="845"/>
    </row>
    <row r="50" spans="2:15">
      <c r="B50" s="845"/>
      <c r="C50" s="845"/>
      <c r="D50" s="845"/>
      <c r="E50" s="845"/>
      <c r="F50" s="845"/>
      <c r="G50" s="845"/>
      <c r="H50" s="845"/>
      <c r="I50" s="845"/>
      <c r="J50" s="845"/>
      <c r="K50" s="845"/>
      <c r="L50" s="845"/>
      <c r="M50" s="845"/>
      <c r="N50" s="845"/>
      <c r="O50" s="845"/>
    </row>
    <row r="51" spans="2:15">
      <c r="B51" s="845"/>
      <c r="C51" s="845"/>
      <c r="D51" s="845"/>
      <c r="E51" s="845"/>
      <c r="F51" s="845"/>
      <c r="G51" s="845"/>
      <c r="H51" s="845"/>
      <c r="I51" s="845"/>
      <c r="J51" s="845"/>
      <c r="K51" s="845"/>
      <c r="L51" s="845"/>
      <c r="M51" s="845"/>
      <c r="N51" s="845"/>
      <c r="O51" s="845"/>
    </row>
    <row r="52" spans="2:15">
      <c r="B52" s="845"/>
      <c r="C52" s="845"/>
      <c r="D52" s="845"/>
      <c r="E52" s="845"/>
      <c r="F52" s="845"/>
      <c r="G52" s="845"/>
      <c r="H52" s="845"/>
      <c r="I52" s="845"/>
      <c r="J52" s="845"/>
      <c r="K52" s="845"/>
      <c r="L52" s="845"/>
      <c r="M52" s="845"/>
      <c r="N52" s="845"/>
      <c r="O52" s="845"/>
    </row>
    <row r="53" spans="2:15">
      <c r="B53" s="22"/>
      <c r="C53" s="22"/>
      <c r="D53" s="22"/>
      <c r="E53" s="22"/>
      <c r="F53" s="22"/>
      <c r="G53" s="22"/>
      <c r="H53" s="22"/>
      <c r="I53" s="22"/>
      <c r="J53" s="22"/>
      <c r="K53" s="22"/>
    </row>
    <row r="54" spans="2:15">
      <c r="B54" s="22"/>
      <c r="C54" s="22"/>
      <c r="D54" s="22"/>
      <c r="E54" s="22"/>
      <c r="F54" s="22"/>
      <c r="G54" s="22"/>
      <c r="H54" s="22"/>
      <c r="I54" s="22"/>
      <c r="J54" s="22"/>
      <c r="K54" s="22"/>
    </row>
    <row r="55" spans="2:15">
      <c r="B55" s="22"/>
      <c r="C55" s="22"/>
      <c r="D55" s="22"/>
      <c r="E55" s="22"/>
      <c r="F55" s="22"/>
      <c r="G55" s="22"/>
      <c r="H55" s="22"/>
      <c r="I55" s="22"/>
      <c r="J55" s="22"/>
      <c r="K55" s="22"/>
    </row>
    <row r="56" spans="2:15">
      <c r="B56" s="22"/>
      <c r="C56" s="22"/>
      <c r="D56" s="22"/>
      <c r="E56" s="22"/>
      <c r="F56" s="22"/>
      <c r="G56" s="22"/>
      <c r="H56" s="22"/>
      <c r="I56" s="22"/>
      <c r="J56" s="22"/>
      <c r="K56" s="22"/>
    </row>
    <row r="57" spans="2:15">
      <c r="B57" s="22"/>
      <c r="C57" s="22"/>
      <c r="D57" s="22"/>
      <c r="E57" s="22"/>
      <c r="F57" s="22"/>
      <c r="G57" s="22"/>
      <c r="H57" s="22"/>
      <c r="I57" s="22"/>
      <c r="J57" s="22"/>
      <c r="K57" s="22"/>
    </row>
    <row r="58" spans="2:15">
      <c r="B58" s="22"/>
      <c r="C58" s="22"/>
      <c r="D58" s="22"/>
      <c r="E58" s="22"/>
      <c r="F58" s="22"/>
      <c r="G58" s="22"/>
      <c r="H58" s="22"/>
      <c r="I58" s="22"/>
      <c r="J58" s="22"/>
      <c r="K58" s="22"/>
    </row>
    <row r="59" spans="2:15">
      <c r="B59" s="22"/>
      <c r="C59" s="22"/>
      <c r="D59" s="22"/>
      <c r="E59" s="22"/>
      <c r="F59" s="22"/>
      <c r="G59" s="22"/>
      <c r="H59" s="22"/>
      <c r="I59" s="22"/>
      <c r="J59" s="22"/>
      <c r="K59" s="22"/>
    </row>
    <row r="60" spans="2:15">
      <c r="B60" s="22"/>
      <c r="C60" s="22"/>
      <c r="D60" s="22"/>
      <c r="E60" s="22"/>
      <c r="F60" s="22"/>
      <c r="G60" s="22"/>
      <c r="H60" s="22"/>
      <c r="I60" s="22"/>
      <c r="J60" s="22"/>
      <c r="K60" s="22"/>
    </row>
    <row r="61" spans="2:15">
      <c r="B61" s="22"/>
      <c r="C61" s="22"/>
      <c r="D61" s="22"/>
      <c r="E61" s="22"/>
      <c r="F61" s="22"/>
      <c r="G61" s="22"/>
      <c r="H61" s="22"/>
      <c r="I61" s="22"/>
      <c r="J61" s="22"/>
      <c r="K61" s="22"/>
    </row>
    <row r="62" spans="2:15">
      <c r="B62" s="22"/>
      <c r="C62" s="22"/>
      <c r="D62" s="22"/>
      <c r="E62" s="22"/>
      <c r="F62" s="22"/>
      <c r="G62" s="22"/>
      <c r="H62" s="22"/>
      <c r="I62" s="22"/>
      <c r="J62" s="22"/>
      <c r="K62" s="22"/>
    </row>
    <row r="63" spans="2:15">
      <c r="B63" s="22"/>
      <c r="C63" s="22"/>
      <c r="D63" s="22"/>
      <c r="E63" s="22"/>
      <c r="F63" s="22"/>
      <c r="G63" s="22"/>
      <c r="H63" s="22"/>
      <c r="I63" s="22"/>
      <c r="J63" s="22"/>
      <c r="K63" s="22"/>
    </row>
    <row r="64" spans="2:15">
      <c r="B64" s="22"/>
      <c r="C64" s="22"/>
      <c r="D64" s="22"/>
      <c r="E64" s="22"/>
      <c r="F64" s="22"/>
      <c r="G64" s="22"/>
      <c r="H64" s="22"/>
      <c r="I64" s="22"/>
      <c r="J64" s="22"/>
      <c r="K64" s="22"/>
    </row>
    <row r="65" spans="2:11">
      <c r="B65" s="22"/>
      <c r="C65" s="22"/>
      <c r="D65" s="22"/>
      <c r="E65" s="22"/>
      <c r="F65" s="22"/>
      <c r="G65" s="22"/>
      <c r="H65" s="22"/>
      <c r="I65" s="22"/>
      <c r="J65" s="22"/>
      <c r="K65" s="22"/>
    </row>
    <row r="66" spans="2:11" s="22" customFormat="1"/>
    <row r="67" spans="2:11" s="22" customFormat="1"/>
    <row r="68" spans="2:11" s="22" customFormat="1"/>
    <row r="69" spans="2:11" s="22" customFormat="1"/>
    <row r="70" spans="2:11" s="22" customFormat="1"/>
    <row r="71" spans="2:11" s="22" customFormat="1"/>
    <row r="72" spans="2:11" s="22" customFormat="1"/>
    <row r="73" spans="2:11" s="22" customFormat="1"/>
    <row r="74" spans="2:11" s="22" customFormat="1"/>
    <row r="75" spans="2:11" s="22" customFormat="1"/>
    <row r="76" spans="2:11" s="22" customFormat="1"/>
    <row r="77" spans="2:11" s="22" customFormat="1"/>
    <row r="78" spans="2:11" s="22" customFormat="1"/>
    <row r="79" spans="2:11" s="22" customFormat="1"/>
    <row r="80" spans="2:11" s="22" customFormat="1"/>
    <row r="81" s="22" customFormat="1"/>
    <row r="82" s="22" customFormat="1"/>
    <row r="83" s="22" customFormat="1"/>
    <row r="84" s="22" customFormat="1"/>
    <row r="85" s="22" customFormat="1"/>
    <row r="86" s="22" customFormat="1"/>
    <row r="87" s="22" customFormat="1"/>
    <row r="88" s="22" customFormat="1"/>
    <row r="89" s="22" customFormat="1"/>
    <row r="90" s="22" customFormat="1"/>
    <row r="91" s="22" customFormat="1"/>
    <row r="92" s="22" customFormat="1"/>
    <row r="93" s="22" customFormat="1"/>
    <row r="94" s="22" customFormat="1"/>
    <row r="95" s="22" customFormat="1"/>
    <row r="96" s="22" customFormat="1"/>
    <row r="97" s="22" customFormat="1"/>
    <row r="98" s="22" customFormat="1"/>
    <row r="99" s="22" customFormat="1"/>
    <row r="100" s="22" customFormat="1"/>
    <row r="101" s="22" customFormat="1"/>
    <row r="102" s="22" customFormat="1"/>
    <row r="103" s="22" customFormat="1"/>
    <row r="104" s="22" customFormat="1"/>
    <row r="105" s="22" customFormat="1"/>
    <row r="106" s="22" customFormat="1"/>
    <row r="107" s="22" customFormat="1"/>
    <row r="108" s="22" customFormat="1"/>
    <row r="109" s="22" customFormat="1"/>
  </sheetData>
  <phoneticPr fontId="0" type="noConversion"/>
  <hyperlinks>
    <hyperlink ref="L3" location="INDICE!A70" display="VOLVER A INDICE"/>
  </hyperlinks>
  <pageMargins left="0.75" right="0.75" top="1" bottom="1" header="0" footer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90"/>
  <sheetViews>
    <sheetView tabSelected="1" workbookViewId="0">
      <selection activeCell="G11" sqref="G11"/>
    </sheetView>
  </sheetViews>
  <sheetFormatPr baseColWidth="10" defaultRowHeight="12.75"/>
  <cols>
    <col min="1" max="1" width="1.7109375" style="890" customWidth="1"/>
    <col min="2" max="2" width="23.28515625" style="890" customWidth="1"/>
    <col min="3" max="5" width="18.28515625" style="890" customWidth="1"/>
    <col min="6" max="21" width="11.42578125" style="311"/>
    <col min="22" max="16384" width="11.42578125" style="890"/>
  </cols>
  <sheetData>
    <row r="1" spans="2:10" ht="6.75" customHeight="1" thickBot="1"/>
    <row r="2" spans="2:10" ht="13.5" thickBot="1">
      <c r="B2" s="642"/>
      <c r="C2" s="643"/>
      <c r="D2" s="643"/>
      <c r="E2" s="644"/>
      <c r="G2" s="855" t="s">
        <v>681</v>
      </c>
    </row>
    <row r="3" spans="2:10" ht="15.75">
      <c r="B3" s="1"/>
      <c r="C3" s="2" t="s">
        <v>583</v>
      </c>
      <c r="D3" s="3"/>
      <c r="E3" s="4"/>
    </row>
    <row r="4" spans="2:10" ht="15.75">
      <c r="B4" s="5"/>
      <c r="C4" s="6" t="s">
        <v>584</v>
      </c>
      <c r="D4" s="6"/>
      <c r="E4" s="7"/>
    </row>
    <row r="5" spans="2:10" ht="15.75">
      <c r="B5" s="5"/>
      <c r="C5" s="6"/>
      <c r="D5" s="6"/>
      <c r="E5" s="7"/>
    </row>
    <row r="6" spans="2:10" ht="15.75">
      <c r="B6" s="5"/>
      <c r="C6" s="6"/>
      <c r="D6" s="6"/>
      <c r="E6" s="7"/>
    </row>
    <row r="7" spans="2:10" ht="15.75">
      <c r="B7" s="5"/>
      <c r="C7" s="6"/>
      <c r="D7" s="8" t="s">
        <v>1</v>
      </c>
      <c r="E7" s="7" t="s">
        <v>2</v>
      </c>
    </row>
    <row r="8" spans="2:10" ht="15.75">
      <c r="B8" s="9" t="s">
        <v>3</v>
      </c>
      <c r="C8" s="12">
        <v>2004</v>
      </c>
      <c r="D8" s="12">
        <v>2005</v>
      </c>
      <c r="E8" s="10" t="s">
        <v>4</v>
      </c>
    </row>
    <row r="9" spans="2:10" ht="13.5" thickBot="1">
      <c r="B9" s="951"/>
      <c r="C9" s="952"/>
      <c r="D9" s="953"/>
      <c r="E9" s="954"/>
    </row>
    <row r="10" spans="2:10">
      <c r="B10" s="955" t="s">
        <v>5</v>
      </c>
      <c r="C10" s="13">
        <v>111713.75594921276</v>
      </c>
      <c r="D10" s="221">
        <v>113001.97122314083</v>
      </c>
      <c r="E10" s="14">
        <f>100*(D10-C10)/C10</f>
        <v>1.1531393452689205</v>
      </c>
      <c r="F10" s="886"/>
      <c r="G10" s="886"/>
      <c r="H10" s="886"/>
      <c r="I10" s="886"/>
      <c r="J10" s="886"/>
    </row>
    <row r="11" spans="2:10">
      <c r="B11" s="956"/>
      <c r="C11" s="13"/>
      <c r="D11" s="221"/>
      <c r="E11" s="14"/>
      <c r="F11" s="886"/>
      <c r="G11" s="886"/>
      <c r="H11" s="886"/>
      <c r="I11" s="886"/>
      <c r="J11" s="886"/>
    </row>
    <row r="12" spans="2:10">
      <c r="B12" s="956" t="s">
        <v>6</v>
      </c>
      <c r="C12" s="13">
        <v>80954.584525685001</v>
      </c>
      <c r="D12" s="221">
        <v>78312.62012914916</v>
      </c>
      <c r="E12" s="14">
        <f>100*(D12-C12)/C12</f>
        <v>-3.263514243220663</v>
      </c>
      <c r="F12" s="886"/>
      <c r="G12" s="886"/>
      <c r="H12" s="886"/>
      <c r="I12" s="886"/>
      <c r="J12" s="886"/>
    </row>
    <row r="13" spans="2:10">
      <c r="B13" s="956"/>
      <c r="C13" s="13"/>
      <c r="D13" s="221"/>
      <c r="E13" s="14"/>
      <c r="F13" s="886"/>
      <c r="G13" s="886"/>
      <c r="H13" s="886"/>
      <c r="I13" s="886"/>
      <c r="J13" s="886"/>
    </row>
    <row r="14" spans="2:10">
      <c r="B14" s="956" t="s">
        <v>7</v>
      </c>
      <c r="C14" s="13">
        <v>28137.065393115052</v>
      </c>
      <c r="D14" s="221">
        <v>27575.329710319525</v>
      </c>
      <c r="E14" s="14">
        <f>100*(D14-C14)/C14</f>
        <v>-1.9964259774332374</v>
      </c>
      <c r="F14" s="886"/>
      <c r="G14" s="886"/>
      <c r="H14" s="886"/>
      <c r="I14" s="886"/>
      <c r="J14" s="886"/>
    </row>
    <row r="15" spans="2:10">
      <c r="B15" s="956"/>
      <c r="C15" s="13"/>
      <c r="D15" s="221"/>
      <c r="E15" s="14"/>
      <c r="F15" s="886"/>
      <c r="G15" s="886"/>
      <c r="H15" s="886"/>
      <c r="I15" s="886"/>
      <c r="J15" s="886"/>
    </row>
    <row r="16" spans="2:10">
      <c r="B16" s="956" t="s">
        <v>8</v>
      </c>
      <c r="C16" s="13">
        <v>18614.047888710153</v>
      </c>
      <c r="D16" s="221">
        <v>22615.98594703967</v>
      </c>
      <c r="E16" s="14">
        <f>100*(D16-C16)/C16</f>
        <v>21.49955819527457</v>
      </c>
      <c r="F16" s="886"/>
      <c r="G16" s="886"/>
      <c r="H16" s="886"/>
      <c r="I16" s="886"/>
      <c r="J16" s="886"/>
    </row>
    <row r="17" spans="2:10">
      <c r="B17" s="956"/>
      <c r="C17" s="13"/>
      <c r="D17" s="221"/>
      <c r="E17" s="14"/>
      <c r="F17" s="886"/>
      <c r="G17" s="886"/>
      <c r="H17" s="886"/>
      <c r="I17" s="886"/>
      <c r="J17" s="886"/>
    </row>
    <row r="18" spans="2:10">
      <c r="B18" s="956" t="s">
        <v>9</v>
      </c>
      <c r="C18" s="13">
        <v>43111.334473362855</v>
      </c>
      <c r="D18" s="221">
        <v>45987.530064674887</v>
      </c>
      <c r="E18" s="14">
        <f>100*(D18-C18)/C18</f>
        <v>6.6715531459346131</v>
      </c>
      <c r="F18" s="886"/>
      <c r="G18" s="886"/>
      <c r="H18" s="886"/>
      <c r="I18" s="886"/>
      <c r="J18" s="886"/>
    </row>
    <row r="19" spans="2:10">
      <c r="B19" s="956"/>
      <c r="C19" s="13"/>
      <c r="D19" s="221"/>
      <c r="E19" s="14"/>
      <c r="F19" s="886"/>
      <c r="G19" s="886"/>
      <c r="H19" s="886"/>
      <c r="I19" s="886"/>
      <c r="J19" s="886"/>
    </row>
    <row r="20" spans="2:10">
      <c r="B20" s="956" t="s">
        <v>10</v>
      </c>
      <c r="C20" s="13">
        <v>0</v>
      </c>
      <c r="D20" s="221">
        <v>0</v>
      </c>
      <c r="E20" s="14"/>
      <c r="F20" s="886"/>
      <c r="G20" s="886"/>
      <c r="H20" s="886"/>
      <c r="I20" s="886"/>
      <c r="J20" s="886"/>
    </row>
    <row r="21" spans="2:10">
      <c r="B21" s="956"/>
      <c r="C21" s="13"/>
      <c r="D21" s="13"/>
      <c r="E21" s="15"/>
      <c r="F21" s="886"/>
      <c r="G21" s="886"/>
      <c r="H21" s="886"/>
      <c r="I21" s="886"/>
      <c r="J21" s="886"/>
    </row>
    <row r="22" spans="2:10">
      <c r="B22" s="956"/>
      <c r="C22" s="13"/>
      <c r="D22" s="13"/>
      <c r="E22" s="14"/>
      <c r="F22" s="886"/>
      <c r="G22" s="886"/>
      <c r="H22" s="886"/>
      <c r="I22" s="886"/>
      <c r="J22" s="886"/>
    </row>
    <row r="23" spans="2:10">
      <c r="B23" s="957" t="s">
        <v>11</v>
      </c>
      <c r="C23" s="16">
        <f>SUM(C10:C20)</f>
        <v>282530.7882300858</v>
      </c>
      <c r="D23" s="16">
        <f>SUM(D10:D20)</f>
        <v>287493.43707432412</v>
      </c>
      <c r="E23" s="17">
        <f>100*(D23-C23)/C23</f>
        <v>1.756498424588282</v>
      </c>
      <c r="F23" s="886"/>
      <c r="G23" s="13"/>
      <c r="H23" s="888"/>
      <c r="I23" s="886"/>
      <c r="J23" s="886"/>
    </row>
    <row r="24" spans="2:10" ht="13.5" thickBot="1">
      <c r="B24" s="958"/>
      <c r="C24" s="18"/>
      <c r="D24" s="19"/>
      <c r="E24" s="20"/>
      <c r="F24" s="886"/>
      <c r="G24" s="886"/>
      <c r="H24" s="886"/>
      <c r="I24" s="886"/>
      <c r="J24" s="886"/>
    </row>
    <row r="25" spans="2:10">
      <c r="B25" s="887" t="s">
        <v>12</v>
      </c>
      <c r="C25" s="886"/>
      <c r="D25" s="888"/>
      <c r="E25" s="886"/>
      <c r="F25" s="886"/>
      <c r="G25" s="886"/>
      <c r="H25" s="886"/>
      <c r="I25" s="886"/>
      <c r="J25" s="886"/>
    </row>
    <row r="26" spans="2:10">
      <c r="B26" s="887" t="s">
        <v>13</v>
      </c>
      <c r="C26" s="886"/>
      <c r="D26" s="888"/>
      <c r="E26" s="886"/>
      <c r="F26" s="886"/>
      <c r="G26" s="886"/>
      <c r="H26" s="886"/>
      <c r="I26" s="886"/>
      <c r="J26" s="886"/>
    </row>
    <row r="27" spans="2:10">
      <c r="B27" s="889" t="s">
        <v>14</v>
      </c>
      <c r="C27" s="886"/>
      <c r="D27" s="886"/>
      <c r="E27" s="886"/>
      <c r="F27" s="886"/>
      <c r="G27" s="886"/>
      <c r="H27" s="886"/>
      <c r="I27" s="886"/>
      <c r="J27" s="886"/>
    </row>
    <row r="28" spans="2:10">
      <c r="B28" s="21" t="s">
        <v>800</v>
      </c>
      <c r="C28" s="886"/>
      <c r="D28" s="886"/>
      <c r="E28" s="886"/>
      <c r="F28" s="886"/>
      <c r="G28" s="886"/>
      <c r="H28" s="886"/>
      <c r="I28" s="886"/>
      <c r="J28" s="886"/>
    </row>
    <row r="29" spans="2:10">
      <c r="B29" s="311"/>
      <c r="C29" s="886"/>
      <c r="D29" s="886"/>
      <c r="E29" s="886"/>
      <c r="F29" s="886"/>
      <c r="G29" s="886"/>
      <c r="H29" s="886"/>
      <c r="I29" s="886"/>
      <c r="J29" s="886"/>
    </row>
    <row r="30" spans="2:10">
      <c r="B30" s="311"/>
      <c r="C30" s="886"/>
      <c r="D30" s="886"/>
      <c r="E30" s="886"/>
      <c r="F30" s="886"/>
      <c r="G30" s="886"/>
      <c r="H30" s="886"/>
      <c r="I30" s="886"/>
      <c r="J30" s="886"/>
    </row>
    <row r="31" spans="2:10">
      <c r="B31" s="311"/>
      <c r="C31" s="886"/>
      <c r="D31" s="886"/>
      <c r="E31" s="886"/>
      <c r="F31" s="886"/>
      <c r="G31" s="886"/>
      <c r="H31" s="886"/>
      <c r="I31" s="886"/>
      <c r="J31" s="886"/>
    </row>
    <row r="32" spans="2:10">
      <c r="B32" s="311"/>
      <c r="C32" s="886"/>
      <c r="D32" s="886"/>
      <c r="E32" s="886"/>
      <c r="F32" s="886"/>
      <c r="G32" s="886"/>
      <c r="H32" s="886"/>
      <c r="I32" s="886"/>
      <c r="J32" s="886"/>
    </row>
    <row r="33" spans="2:10">
      <c r="B33" s="311"/>
      <c r="C33" s="886"/>
      <c r="D33" s="886"/>
      <c r="E33" s="886"/>
      <c r="F33" s="886"/>
      <c r="G33" s="886"/>
      <c r="H33" s="886"/>
      <c r="I33" s="886"/>
      <c r="J33" s="886"/>
    </row>
    <row r="34" spans="2:10">
      <c r="B34" s="311"/>
      <c r="C34" s="886"/>
      <c r="D34" s="886"/>
      <c r="E34" s="886"/>
      <c r="F34" s="886"/>
      <c r="G34" s="886"/>
      <c r="H34" s="886"/>
      <c r="I34" s="886"/>
      <c r="J34" s="886"/>
    </row>
    <row r="35" spans="2:10">
      <c r="B35" s="311"/>
      <c r="C35" s="886"/>
      <c r="D35" s="886"/>
      <c r="E35" s="886"/>
      <c r="F35" s="886"/>
      <c r="G35" s="886"/>
      <c r="H35" s="886"/>
      <c r="I35" s="886"/>
      <c r="J35" s="886"/>
    </row>
    <row r="36" spans="2:10">
      <c r="B36" s="311"/>
      <c r="C36" s="886"/>
      <c r="D36" s="886"/>
      <c r="E36" s="886"/>
      <c r="F36" s="886"/>
      <c r="G36" s="886"/>
      <c r="H36" s="886"/>
      <c r="I36" s="886"/>
      <c r="J36" s="886"/>
    </row>
    <row r="37" spans="2:10">
      <c r="B37" s="311"/>
    </row>
    <row r="38" spans="2:10">
      <c r="B38" s="311"/>
    </row>
    <row r="39" spans="2:10">
      <c r="B39" s="311"/>
    </row>
    <row r="40" spans="2:10">
      <c r="B40" s="311"/>
    </row>
    <row r="41" spans="2:10">
      <c r="B41" s="311"/>
    </row>
    <row r="42" spans="2:10">
      <c r="B42" s="311"/>
    </row>
    <row r="43" spans="2:10">
      <c r="B43" s="311"/>
    </row>
    <row r="44" spans="2:10">
      <c r="B44" s="311"/>
    </row>
    <row r="45" spans="2:10">
      <c r="B45" s="311"/>
    </row>
    <row r="46" spans="2:10">
      <c r="B46" s="311"/>
    </row>
    <row r="47" spans="2:10">
      <c r="B47" s="311"/>
    </row>
    <row r="48" spans="2:10">
      <c r="B48" s="311"/>
    </row>
    <row r="49" spans="2:2">
      <c r="B49" s="311"/>
    </row>
    <row r="50" spans="2:2">
      <c r="B50" s="311"/>
    </row>
    <row r="51" spans="2:2">
      <c r="B51" s="311"/>
    </row>
    <row r="52" spans="2:2">
      <c r="B52" s="311"/>
    </row>
    <row r="53" spans="2:2">
      <c r="B53" s="311"/>
    </row>
    <row r="54" spans="2:2">
      <c r="B54" s="311"/>
    </row>
    <row r="55" spans="2:2">
      <c r="B55" s="311"/>
    </row>
    <row r="56" spans="2:2">
      <c r="B56" s="311"/>
    </row>
    <row r="57" spans="2:2">
      <c r="B57" s="311"/>
    </row>
    <row r="58" spans="2:2">
      <c r="B58" s="311"/>
    </row>
    <row r="59" spans="2:2">
      <c r="B59" s="311"/>
    </row>
    <row r="60" spans="2:2">
      <c r="B60" s="311"/>
    </row>
    <row r="61" spans="2:2">
      <c r="B61" s="311"/>
    </row>
    <row r="62" spans="2:2">
      <c r="B62" s="311"/>
    </row>
    <row r="63" spans="2:2">
      <c r="B63" s="311"/>
    </row>
    <row r="64" spans="2:2">
      <c r="B64" s="311"/>
    </row>
    <row r="65" spans="2:2">
      <c r="B65" s="311"/>
    </row>
    <row r="66" spans="2:2">
      <c r="B66" s="311"/>
    </row>
    <row r="67" spans="2:2">
      <c r="B67" s="311"/>
    </row>
    <row r="68" spans="2:2">
      <c r="B68" s="311"/>
    </row>
    <row r="69" spans="2:2">
      <c r="B69" s="311"/>
    </row>
    <row r="70" spans="2:2">
      <c r="B70" s="311"/>
    </row>
    <row r="71" spans="2:2">
      <c r="B71" s="311"/>
    </row>
    <row r="72" spans="2:2">
      <c r="B72" s="311"/>
    </row>
    <row r="73" spans="2:2">
      <c r="B73" s="311"/>
    </row>
    <row r="74" spans="2:2">
      <c r="B74" s="311"/>
    </row>
    <row r="75" spans="2:2">
      <c r="B75" s="311"/>
    </row>
    <row r="76" spans="2:2">
      <c r="B76" s="311"/>
    </row>
    <row r="77" spans="2:2">
      <c r="B77" s="311"/>
    </row>
    <row r="78" spans="2:2">
      <c r="B78" s="311"/>
    </row>
    <row r="79" spans="2:2">
      <c r="B79" s="311"/>
    </row>
    <row r="80" spans="2:2">
      <c r="B80" s="311"/>
    </row>
    <row r="81" spans="2:2">
      <c r="B81" s="311"/>
    </row>
    <row r="82" spans="2:2">
      <c r="B82" s="311"/>
    </row>
    <row r="83" spans="2:2">
      <c r="B83" s="311"/>
    </row>
    <row r="84" spans="2:2">
      <c r="B84" s="311"/>
    </row>
    <row r="85" spans="2:2">
      <c r="B85" s="311"/>
    </row>
    <row r="86" spans="2:2">
      <c r="B86" s="311"/>
    </row>
    <row r="87" spans="2:2">
      <c r="B87" s="311"/>
    </row>
    <row r="88" spans="2:2">
      <c r="B88" s="311"/>
    </row>
    <row r="89" spans="2:2">
      <c r="B89" s="311"/>
    </row>
    <row r="90" spans="2:2">
      <c r="B90" s="311"/>
    </row>
  </sheetData>
  <phoneticPr fontId="0" type="noConversion"/>
  <hyperlinks>
    <hyperlink ref="G2" location="INDICE!A1" display="VOLVER A INDICE"/>
  </hyperlinks>
  <pageMargins left="0.75" right="0.75" top="1" bottom="1" header="0" footer="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67"/>
  <sheetViews>
    <sheetView zoomScale="85" workbookViewId="0">
      <selection activeCell="G27" sqref="G27"/>
    </sheetView>
  </sheetViews>
  <sheetFormatPr baseColWidth="10" defaultRowHeight="12.75"/>
  <cols>
    <col min="1" max="1" width="1.85546875" style="891" customWidth="1"/>
    <col min="2" max="2" width="25.140625" style="891" customWidth="1"/>
    <col min="3" max="5" width="17.85546875" style="891" customWidth="1"/>
    <col min="6" max="13" width="11.42578125" style="22"/>
    <col min="14" max="16384" width="11.42578125" style="891"/>
  </cols>
  <sheetData>
    <row r="1" spans="2:9" ht="8.25" customHeight="1" thickBot="1"/>
    <row r="2" spans="2:9" ht="13.5" thickBot="1">
      <c r="B2" s="946"/>
      <c r="C2" s="947"/>
      <c r="D2" s="947"/>
      <c r="E2" s="948"/>
      <c r="F2" s="35"/>
      <c r="G2" s="36"/>
      <c r="H2" s="35"/>
      <c r="I2" s="35"/>
    </row>
    <row r="3" spans="2:9">
      <c r="B3" s="23"/>
      <c r="C3" s="24" t="s">
        <v>768</v>
      </c>
      <c r="D3" s="25"/>
      <c r="E3" s="26"/>
      <c r="F3" s="35"/>
      <c r="G3" s="853" t="s">
        <v>681</v>
      </c>
      <c r="H3" s="35"/>
      <c r="I3" s="35"/>
    </row>
    <row r="4" spans="2:9">
      <c r="B4" s="27"/>
      <c r="C4" s="28" t="s">
        <v>15</v>
      </c>
      <c r="D4" s="29"/>
      <c r="E4" s="30"/>
      <c r="F4" s="35"/>
      <c r="G4" s="36"/>
      <c r="H4" s="35"/>
      <c r="I4" s="35"/>
    </row>
    <row r="5" spans="2:9">
      <c r="B5" s="27"/>
      <c r="C5" s="29"/>
      <c r="D5" s="29"/>
      <c r="E5" s="30"/>
      <c r="F5" s="35"/>
      <c r="G5" s="36"/>
      <c r="H5" s="35"/>
      <c r="I5" s="35"/>
    </row>
    <row r="6" spans="2:9">
      <c r="B6" s="27"/>
      <c r="C6" s="31" t="s">
        <v>1</v>
      </c>
      <c r="D6" s="31"/>
      <c r="E6" s="32" t="s">
        <v>2</v>
      </c>
      <c r="F6" s="35"/>
      <c r="G6" s="36"/>
      <c r="H6" s="35"/>
      <c r="I6" s="35"/>
    </row>
    <row r="7" spans="2:9" ht="16.5" thickBot="1">
      <c r="B7" s="963" t="s">
        <v>3</v>
      </c>
      <c r="C7" s="444">
        <v>2004</v>
      </c>
      <c r="D7" s="444">
        <v>2005</v>
      </c>
      <c r="E7" s="964" t="s">
        <v>4</v>
      </c>
      <c r="F7" s="35"/>
      <c r="G7" s="36"/>
      <c r="H7" s="35"/>
      <c r="I7" s="35"/>
    </row>
    <row r="8" spans="2:9">
      <c r="B8" s="959"/>
      <c r="C8" s="33"/>
      <c r="D8" s="311"/>
      <c r="E8" s="34"/>
      <c r="F8" s="35"/>
      <c r="G8" s="36"/>
      <c r="H8" s="35"/>
      <c r="I8" s="35"/>
    </row>
    <row r="9" spans="2:9">
      <c r="B9" s="959" t="s">
        <v>16</v>
      </c>
      <c r="C9" s="33"/>
      <c r="D9" s="311"/>
      <c r="E9" s="34"/>
      <c r="F9" s="35"/>
      <c r="G9" s="36"/>
      <c r="H9" s="35"/>
      <c r="I9" s="35"/>
    </row>
    <row r="10" spans="2:9">
      <c r="B10" s="959" t="s">
        <v>17</v>
      </c>
      <c r="C10" s="37">
        <v>112706.86825324359</v>
      </c>
      <c r="D10" s="949">
        <f>CUADRO4!G10</f>
        <v>118308.54309707855</v>
      </c>
      <c r="E10" s="38">
        <f>100*(D10-C10)/C10</f>
        <v>4.9701273140235172</v>
      </c>
      <c r="F10" s="39"/>
      <c r="G10" s="35"/>
      <c r="H10" s="35"/>
      <c r="I10" s="35"/>
    </row>
    <row r="11" spans="2:9">
      <c r="B11" s="960"/>
      <c r="C11" s="37"/>
      <c r="D11" s="950"/>
      <c r="E11" s="38"/>
      <c r="F11" s="35"/>
      <c r="G11" s="35"/>
      <c r="H11" s="35"/>
      <c r="I11" s="35"/>
    </row>
    <row r="12" spans="2:9">
      <c r="B12" s="959" t="s">
        <v>18</v>
      </c>
      <c r="C12" s="37">
        <v>42205.881296631385</v>
      </c>
      <c r="D12" s="949">
        <f>CUADRO4!G33</f>
        <v>43082.506846937045</v>
      </c>
      <c r="E12" s="38">
        <f>100*(D12-C12)/C12</f>
        <v>2.077022261766222</v>
      </c>
      <c r="F12" s="39"/>
      <c r="G12" s="35"/>
      <c r="H12" s="35"/>
      <c r="I12" s="35"/>
    </row>
    <row r="13" spans="2:9">
      <c r="B13" s="959"/>
      <c r="C13" s="37"/>
      <c r="D13" s="950"/>
      <c r="E13" s="38"/>
      <c r="F13" s="35"/>
      <c r="G13" s="35"/>
      <c r="H13" s="35"/>
      <c r="I13" s="35"/>
    </row>
    <row r="14" spans="2:9">
      <c r="B14" s="959" t="s">
        <v>7</v>
      </c>
      <c r="C14" s="37">
        <v>5252.8693653975497</v>
      </c>
      <c r="D14" s="949">
        <f>CUADRO4!G35</f>
        <v>4453.9649791243801</v>
      </c>
      <c r="E14" s="38">
        <f>100*(D14-C14)/C14</f>
        <v>-15.208914037265549</v>
      </c>
      <c r="F14" s="39"/>
      <c r="G14" s="35"/>
      <c r="H14" s="35"/>
      <c r="I14" s="35"/>
    </row>
    <row r="15" spans="2:9">
      <c r="B15" s="959"/>
      <c r="C15" s="37"/>
      <c r="D15" s="950"/>
      <c r="E15" s="38"/>
      <c r="F15" s="35"/>
      <c r="G15" s="35"/>
      <c r="H15" s="35"/>
      <c r="I15" s="35"/>
    </row>
    <row r="16" spans="2:9">
      <c r="B16" s="959" t="s">
        <v>19</v>
      </c>
      <c r="C16" s="37">
        <v>2188.716652000001</v>
      </c>
      <c r="D16" s="949">
        <f>CUADRO4!G37+CUADRO4!G39</f>
        <v>2849.2340900000013</v>
      </c>
      <c r="E16" s="38">
        <f>100*(D16-C16)/C16</f>
        <v>30.178298200291664</v>
      </c>
      <c r="F16" s="36"/>
      <c r="G16" s="35"/>
      <c r="H16" s="35"/>
      <c r="I16" s="35"/>
    </row>
    <row r="17" spans="2:9">
      <c r="B17" s="959"/>
      <c r="C17" s="37"/>
      <c r="D17" s="950"/>
      <c r="E17" s="38"/>
      <c r="F17" s="35"/>
      <c r="G17" s="35"/>
      <c r="H17" s="35"/>
      <c r="I17" s="35"/>
    </row>
    <row r="18" spans="2:9">
      <c r="B18" s="959" t="s">
        <v>20</v>
      </c>
      <c r="C18" s="37">
        <v>1310.3684830651732</v>
      </c>
      <c r="D18" s="949">
        <f>CUADRO4!G41</f>
        <v>1302.7667982289599</v>
      </c>
      <c r="E18" s="38">
        <f>100*(D18-C18)/C18</f>
        <v>-0.58011810681157838</v>
      </c>
      <c r="F18" s="36"/>
      <c r="G18" s="35"/>
      <c r="H18" s="35"/>
      <c r="I18" s="35"/>
    </row>
    <row r="19" spans="2:9">
      <c r="B19" s="959"/>
      <c r="C19" s="37"/>
      <c r="D19" s="950"/>
      <c r="E19" s="38"/>
      <c r="F19" s="35"/>
      <c r="G19" s="35"/>
      <c r="H19" s="35"/>
      <c r="I19" s="35"/>
    </row>
    <row r="20" spans="2:9">
      <c r="B20" s="959" t="s">
        <v>21</v>
      </c>
      <c r="C20" s="37">
        <v>1348.559</v>
      </c>
      <c r="D20" s="949">
        <f>CUADRO4!G43</f>
        <v>1201.0615857</v>
      </c>
      <c r="E20" s="38">
        <f>100*(D20-C20)/C20</f>
        <v>-10.937409064045395</v>
      </c>
      <c r="F20" s="36"/>
      <c r="G20" s="35"/>
      <c r="H20" s="35"/>
      <c r="I20" s="35"/>
    </row>
    <row r="21" spans="2:9">
      <c r="B21" s="959"/>
      <c r="C21" s="37"/>
      <c r="D21" s="950"/>
      <c r="E21" s="38"/>
      <c r="F21" s="35"/>
      <c r="G21" s="35"/>
      <c r="H21" s="35"/>
      <c r="I21" s="35"/>
    </row>
    <row r="22" spans="2:9">
      <c r="B22" s="959" t="s">
        <v>6</v>
      </c>
      <c r="C22" s="37">
        <v>20672.031745653807</v>
      </c>
      <c r="D22" s="949">
        <f>CUADRO4!G45</f>
        <v>20048.598562868359</v>
      </c>
      <c r="E22" s="38">
        <f>100*(D22-C22)/C22</f>
        <v>-3.0158292636935475</v>
      </c>
      <c r="F22" s="36"/>
      <c r="G22" s="35"/>
      <c r="H22" s="35"/>
      <c r="I22" s="35"/>
    </row>
    <row r="23" spans="2:9">
      <c r="B23" s="959"/>
      <c r="C23" s="37"/>
      <c r="D23" s="950"/>
      <c r="E23" s="38"/>
      <c r="F23" s="35"/>
      <c r="G23" s="35"/>
      <c r="H23" s="35"/>
      <c r="I23" s="35"/>
    </row>
    <row r="24" spans="2:9">
      <c r="B24" s="959" t="s">
        <v>22</v>
      </c>
      <c r="C24" s="37">
        <v>0</v>
      </c>
      <c r="D24" s="949">
        <f>CUADRO4!G47</f>
        <v>508.42035540000006</v>
      </c>
      <c r="E24" s="38">
        <v>0</v>
      </c>
      <c r="F24" s="36"/>
      <c r="G24" s="35"/>
      <c r="H24" s="35"/>
      <c r="I24" s="35"/>
    </row>
    <row r="25" spans="2:9">
      <c r="B25" s="959"/>
      <c r="C25" s="37"/>
      <c r="D25" s="950"/>
      <c r="E25" s="38"/>
      <c r="F25" s="35"/>
      <c r="G25" s="35"/>
      <c r="H25" s="35"/>
      <c r="I25" s="35"/>
    </row>
    <row r="26" spans="2:9">
      <c r="B26" s="959" t="s">
        <v>23</v>
      </c>
      <c r="C26" s="37">
        <v>38595.947398791061</v>
      </c>
      <c r="D26" s="949">
        <f>CUADRO4!G49</f>
        <v>40277.563908580538</v>
      </c>
      <c r="E26" s="38">
        <f>100*(D26-C26)/C26</f>
        <v>4.3569768929733552</v>
      </c>
      <c r="F26" s="36"/>
      <c r="G26" s="35"/>
      <c r="H26" s="35"/>
      <c r="I26" s="35"/>
    </row>
    <row r="27" spans="2:9">
      <c r="B27" s="959"/>
      <c r="C27" s="37"/>
      <c r="D27" s="950"/>
      <c r="E27" s="38"/>
      <c r="F27" s="35"/>
      <c r="G27" s="35"/>
      <c r="H27" s="35"/>
      <c r="I27" s="35"/>
    </row>
    <row r="28" spans="2:9">
      <c r="B28" s="959" t="s">
        <v>10</v>
      </c>
      <c r="C28" s="37">
        <v>0</v>
      </c>
      <c r="D28" s="950">
        <v>0</v>
      </c>
      <c r="E28" s="38">
        <v>0</v>
      </c>
      <c r="F28" s="36"/>
      <c r="G28" s="35"/>
      <c r="H28" s="35"/>
      <c r="I28" s="35"/>
    </row>
    <row r="29" spans="2:9">
      <c r="B29" s="959"/>
      <c r="C29" s="37"/>
      <c r="D29" s="37"/>
      <c r="E29" s="38"/>
      <c r="F29" s="35"/>
      <c r="G29" s="35"/>
      <c r="H29" s="35"/>
      <c r="I29" s="35"/>
    </row>
    <row r="30" spans="2:9">
      <c r="B30" s="959"/>
      <c r="C30" s="37"/>
      <c r="D30" s="37"/>
      <c r="E30" s="38"/>
      <c r="F30" s="35"/>
      <c r="G30" s="35"/>
      <c r="H30" s="35"/>
      <c r="I30" s="35"/>
    </row>
    <row r="31" spans="2:9">
      <c r="B31" s="962" t="s">
        <v>11</v>
      </c>
      <c r="C31" s="40">
        <f>SUM(C10:C28)</f>
        <v>224281.24219478256</v>
      </c>
      <c r="D31" s="40">
        <f>SUM(D10:D28)</f>
        <v>232032.66022391786</v>
      </c>
      <c r="E31" s="41">
        <f>100*(D31-C31)/C31</f>
        <v>3.4561151674036954</v>
      </c>
      <c r="F31" s="39"/>
      <c r="G31" s="35"/>
      <c r="H31" s="35"/>
      <c r="I31" s="35"/>
    </row>
    <row r="32" spans="2:9" ht="13.5" thickBot="1">
      <c r="B32" s="961"/>
      <c r="C32" s="42"/>
      <c r="D32" s="42"/>
      <c r="E32" s="43"/>
      <c r="F32" s="35"/>
      <c r="G32" s="35"/>
      <c r="H32" s="35"/>
      <c r="I32" s="35"/>
    </row>
    <row r="33" spans="2:9">
      <c r="B33" s="11" t="s">
        <v>12</v>
      </c>
      <c r="C33" s="35"/>
      <c r="D33" s="35"/>
      <c r="E33" s="35"/>
      <c r="F33" s="35"/>
      <c r="G33" s="36"/>
      <c r="H33" s="35"/>
      <c r="I33" s="35"/>
    </row>
    <row r="34" spans="2:9">
      <c r="B34" s="11" t="s">
        <v>13</v>
      </c>
      <c r="C34" s="44"/>
      <c r="D34" s="44"/>
      <c r="E34" s="35"/>
      <c r="F34" s="35"/>
      <c r="G34" s="36"/>
      <c r="H34" s="35"/>
      <c r="I34" s="35"/>
    </row>
    <row r="35" spans="2:9">
      <c r="B35" s="21" t="s">
        <v>14</v>
      </c>
      <c r="C35" s="35"/>
      <c r="D35" s="35"/>
      <c r="E35" s="35"/>
      <c r="F35" s="35"/>
      <c r="G35" s="36"/>
      <c r="H35" s="35"/>
      <c r="I35" s="35"/>
    </row>
    <row r="36" spans="2:9">
      <c r="B36" s="21" t="s">
        <v>800</v>
      </c>
      <c r="C36" s="35"/>
      <c r="D36" s="35"/>
      <c r="E36" s="35"/>
      <c r="F36" s="35"/>
      <c r="G36" s="36"/>
      <c r="H36" s="35"/>
      <c r="I36" s="35"/>
    </row>
    <row r="37" spans="2:9">
      <c r="B37" s="35"/>
      <c r="C37" s="35"/>
      <c r="D37" s="35"/>
      <c r="E37" s="35"/>
      <c r="F37" s="35"/>
      <c r="G37" s="36"/>
      <c r="H37" s="35"/>
      <c r="I37" s="35"/>
    </row>
    <row r="38" spans="2:9">
      <c r="B38" s="35"/>
      <c r="C38" s="35"/>
      <c r="D38" s="35"/>
      <c r="E38" s="35"/>
      <c r="F38" s="35"/>
      <c r="G38" s="36"/>
      <c r="H38" s="35"/>
      <c r="I38" s="35"/>
    </row>
    <row r="39" spans="2:9">
      <c r="B39" s="35"/>
      <c r="C39" s="35"/>
      <c r="D39" s="35"/>
      <c r="E39" s="35"/>
      <c r="F39" s="35"/>
      <c r="G39" s="36"/>
      <c r="H39" s="35"/>
      <c r="I39" s="35"/>
    </row>
    <row r="40" spans="2:9">
      <c r="B40" s="35"/>
      <c r="C40" s="35"/>
      <c r="D40" s="35"/>
      <c r="E40" s="35"/>
      <c r="F40" s="35"/>
      <c r="G40" s="36"/>
      <c r="H40" s="35"/>
      <c r="I40" s="35"/>
    </row>
    <row r="41" spans="2:9">
      <c r="B41" s="22"/>
      <c r="C41" s="22"/>
      <c r="D41" s="22"/>
      <c r="E41" s="22"/>
    </row>
    <row r="42" spans="2:9">
      <c r="B42" s="22"/>
      <c r="C42" s="22"/>
      <c r="D42" s="22"/>
      <c r="E42" s="22"/>
    </row>
    <row r="43" spans="2:9">
      <c r="B43" s="22"/>
      <c r="C43" s="22"/>
      <c r="D43" s="22"/>
      <c r="E43" s="22"/>
    </row>
    <row r="44" spans="2:9">
      <c r="B44" s="22"/>
      <c r="C44" s="22"/>
      <c r="D44" s="22"/>
      <c r="E44" s="22"/>
    </row>
    <row r="45" spans="2:9">
      <c r="B45" s="22"/>
      <c r="C45" s="22"/>
      <c r="D45" s="22"/>
      <c r="E45" s="22"/>
    </row>
    <row r="46" spans="2:9">
      <c r="B46" s="22"/>
      <c r="C46" s="22"/>
      <c r="D46" s="22"/>
      <c r="E46" s="22"/>
    </row>
    <row r="47" spans="2:9">
      <c r="B47" s="22"/>
      <c r="C47" s="22"/>
      <c r="D47" s="22"/>
      <c r="E47" s="22"/>
    </row>
    <row r="48" spans="2:9">
      <c r="B48" s="22"/>
      <c r="C48" s="22"/>
      <c r="D48" s="22"/>
      <c r="E48" s="22"/>
    </row>
    <row r="49" spans="2:5">
      <c r="B49" s="22"/>
      <c r="C49" s="22"/>
      <c r="D49" s="22"/>
      <c r="E49" s="22"/>
    </row>
    <row r="50" spans="2:5" s="22" customFormat="1"/>
    <row r="51" spans="2:5" s="22" customFormat="1"/>
    <row r="52" spans="2:5" s="22" customFormat="1"/>
    <row r="53" spans="2:5" s="22" customFormat="1"/>
    <row r="54" spans="2:5" s="22" customFormat="1"/>
    <row r="55" spans="2:5" s="22" customFormat="1"/>
    <row r="56" spans="2:5" s="22" customFormat="1"/>
    <row r="57" spans="2:5" s="22" customFormat="1"/>
    <row r="58" spans="2:5" s="22" customFormat="1"/>
    <row r="59" spans="2:5" s="22" customFormat="1"/>
    <row r="60" spans="2:5" s="22" customFormat="1"/>
    <row r="61" spans="2:5" s="22" customFormat="1"/>
    <row r="62" spans="2:5" s="22" customFormat="1"/>
    <row r="63" spans="2:5" s="22" customFormat="1"/>
    <row r="64" spans="2:5" s="22" customFormat="1"/>
    <row r="65" s="22" customFormat="1"/>
    <row r="66" s="22" customFormat="1"/>
    <row r="67" s="22" customFormat="1"/>
  </sheetData>
  <phoneticPr fontId="0" type="noConversion"/>
  <hyperlinks>
    <hyperlink ref="G3" location="INDICE!A1" display="VOLVER A INDICE"/>
  </hyperlinks>
  <pageMargins left="0.75" right="0.75" top="1" bottom="1" header="0" footer="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71"/>
  <sheetViews>
    <sheetView workbookViewId="0">
      <selection activeCell="I16" sqref="I16"/>
    </sheetView>
  </sheetViews>
  <sheetFormatPr baseColWidth="10" defaultRowHeight="12.75"/>
  <cols>
    <col min="1" max="1" width="1.42578125" style="891" customWidth="1"/>
    <col min="2" max="2" width="25.85546875" style="891" customWidth="1"/>
    <col min="3" max="3" width="13.28515625" style="891" customWidth="1"/>
    <col min="4" max="4" width="11.7109375" style="891" customWidth="1"/>
    <col min="5" max="5" width="11.85546875" style="891" customWidth="1"/>
    <col min="6" max="6" width="11.5703125" style="891" customWidth="1"/>
    <col min="7" max="7" width="11.42578125" style="891"/>
    <col min="8" max="8" width="14" style="73" bestFit="1" customWidth="1"/>
    <col min="9" max="9" width="26.28515625" style="22" customWidth="1"/>
    <col min="10" max="15" width="11.42578125" style="22"/>
    <col min="16" max="16384" width="11.42578125" style="891"/>
  </cols>
  <sheetData>
    <row r="1" spans="2:9" ht="7.5" customHeight="1" thickBot="1"/>
    <row r="2" spans="2:9" ht="15.75" customHeight="1" thickBot="1">
      <c r="B2" s="965"/>
      <c r="C2" s="966"/>
      <c r="D2" s="966"/>
      <c r="E2" s="966"/>
      <c r="F2" s="966"/>
      <c r="G2" s="967"/>
    </row>
    <row r="3" spans="2:9" ht="15.75">
      <c r="B3" s="45"/>
      <c r="C3" s="46"/>
      <c r="D3" s="47" t="s">
        <v>24</v>
      </c>
      <c r="E3" s="46"/>
      <c r="F3" s="46"/>
      <c r="G3" s="48"/>
      <c r="H3" s="884"/>
      <c r="I3" s="852" t="s">
        <v>681</v>
      </c>
    </row>
    <row r="4" spans="2:9" ht="15.75">
      <c r="B4" s="49"/>
      <c r="C4" s="50"/>
      <c r="D4" s="51" t="s">
        <v>0</v>
      </c>
      <c r="E4" s="50"/>
      <c r="F4" s="50"/>
      <c r="G4" s="52"/>
      <c r="H4" s="884"/>
    </row>
    <row r="5" spans="2:9" ht="15.75">
      <c r="B5" s="49"/>
      <c r="C5" s="50"/>
      <c r="D5" s="51" t="s">
        <v>794</v>
      </c>
      <c r="E5" s="50"/>
      <c r="F5" s="50"/>
      <c r="G5" s="52"/>
      <c r="H5" s="884"/>
    </row>
    <row r="6" spans="2:9" ht="15.75">
      <c r="B6" s="49"/>
      <c r="C6" s="50"/>
      <c r="D6" s="50"/>
      <c r="E6" s="50"/>
      <c r="F6" s="50"/>
      <c r="G6" s="52"/>
      <c r="H6" s="884"/>
    </row>
    <row r="7" spans="2:9" ht="15.75">
      <c r="B7" s="49"/>
      <c r="C7" s="50" t="s">
        <v>25</v>
      </c>
      <c r="D7" s="50" t="s">
        <v>26</v>
      </c>
      <c r="E7" s="50" t="s">
        <v>27</v>
      </c>
      <c r="F7" s="50" t="s">
        <v>28</v>
      </c>
      <c r="G7" s="52" t="s">
        <v>29</v>
      </c>
      <c r="H7" s="884"/>
    </row>
    <row r="8" spans="2:9" ht="16.5" thickBot="1">
      <c r="B8" s="780" t="s">
        <v>3</v>
      </c>
      <c r="C8" s="781" t="s">
        <v>30</v>
      </c>
      <c r="D8" s="781"/>
      <c r="E8" s="781"/>
      <c r="F8" s="781" t="s">
        <v>31</v>
      </c>
      <c r="G8" s="782" t="s">
        <v>32</v>
      </c>
      <c r="H8" s="884"/>
    </row>
    <row r="9" spans="2:9">
      <c r="B9" s="968"/>
      <c r="C9" s="64"/>
      <c r="D9" s="64"/>
      <c r="E9" s="64"/>
      <c r="F9" s="64"/>
      <c r="G9" s="65"/>
      <c r="H9" s="884"/>
    </row>
    <row r="10" spans="2:9">
      <c r="B10" s="969" t="s">
        <v>33</v>
      </c>
      <c r="C10" s="66">
        <v>1751.5066005377998</v>
      </c>
      <c r="D10" s="66">
        <v>110973.62479814098</v>
      </c>
      <c r="E10" s="66">
        <v>0</v>
      </c>
      <c r="F10" s="66">
        <v>-276.83982446204755</v>
      </c>
      <c r="G10" s="67">
        <v>113001.97122314083</v>
      </c>
      <c r="H10" s="884"/>
      <c r="I10" s="73"/>
    </row>
    <row r="11" spans="2:9">
      <c r="B11" s="969"/>
      <c r="C11" s="66"/>
      <c r="D11" s="66"/>
      <c r="E11" s="66"/>
      <c r="F11" s="66"/>
      <c r="G11" s="67"/>
      <c r="H11" s="884"/>
      <c r="I11" s="73"/>
    </row>
    <row r="12" spans="2:9">
      <c r="B12" s="969" t="s">
        <v>34</v>
      </c>
      <c r="C12" s="66">
        <v>21428.179272000005</v>
      </c>
      <c r="D12" s="66">
        <v>58666.893912826003</v>
      </c>
      <c r="E12" s="66">
        <v>0</v>
      </c>
      <c r="F12" s="66">
        <v>1782.4530556768493</v>
      </c>
      <c r="G12" s="67">
        <v>78312.62012914916</v>
      </c>
      <c r="H12" s="884"/>
      <c r="I12" s="73"/>
    </row>
    <row r="13" spans="2:9">
      <c r="B13" s="969"/>
      <c r="C13" s="66"/>
      <c r="D13" s="66"/>
      <c r="E13" s="66"/>
      <c r="F13" s="66"/>
      <c r="G13" s="67"/>
      <c r="H13" s="884"/>
      <c r="I13" s="73"/>
    </row>
    <row r="14" spans="2:9">
      <c r="B14" s="969" t="s">
        <v>7</v>
      </c>
      <c r="C14" s="66">
        <v>2837.7984697840402</v>
      </c>
      <c r="D14" s="66">
        <v>25252.965282925968</v>
      </c>
      <c r="E14" s="66">
        <v>0</v>
      </c>
      <c r="F14" s="66">
        <v>515.4340423904805</v>
      </c>
      <c r="G14" s="67">
        <v>27575.329710319525</v>
      </c>
      <c r="H14" s="884"/>
      <c r="I14" s="73"/>
    </row>
    <row r="15" spans="2:9">
      <c r="B15" s="969"/>
      <c r="C15" s="66"/>
      <c r="D15" s="66"/>
      <c r="E15" s="66"/>
      <c r="F15" s="66"/>
      <c r="G15" s="67"/>
      <c r="H15" s="884"/>
      <c r="I15" s="73"/>
    </row>
    <row r="16" spans="2:9">
      <c r="B16" s="969" t="s">
        <v>8</v>
      </c>
      <c r="C16" s="66">
        <v>22924.008569869675</v>
      </c>
      <c r="D16" s="66">
        <v>0</v>
      </c>
      <c r="E16" s="66">
        <v>0</v>
      </c>
      <c r="F16" s="66">
        <v>308.02262283000005</v>
      </c>
      <c r="G16" s="67">
        <v>22615.98594703967</v>
      </c>
      <c r="H16" s="884"/>
      <c r="I16" s="73"/>
    </row>
    <row r="17" spans="2:9">
      <c r="B17" s="969"/>
      <c r="C17" s="66"/>
      <c r="D17" s="66"/>
      <c r="E17" s="66"/>
      <c r="F17" s="66"/>
      <c r="G17" s="67"/>
      <c r="H17" s="884"/>
      <c r="I17" s="73"/>
    </row>
    <row r="18" spans="2:9">
      <c r="B18" s="969" t="s">
        <v>23</v>
      </c>
      <c r="C18" s="66">
        <v>45987.530064674887</v>
      </c>
      <c r="D18" s="66">
        <v>0</v>
      </c>
      <c r="E18" s="66">
        <v>0</v>
      </c>
      <c r="F18" s="66">
        <v>0</v>
      </c>
      <c r="G18" s="67">
        <f>C18</f>
        <v>45987.530064674887</v>
      </c>
      <c r="H18" s="884"/>
      <c r="I18" s="73"/>
    </row>
    <row r="19" spans="2:9">
      <c r="B19" s="969"/>
      <c r="C19" s="66"/>
      <c r="D19" s="66"/>
      <c r="E19" s="66"/>
      <c r="F19" s="66"/>
      <c r="G19" s="67"/>
      <c r="H19" s="884"/>
      <c r="I19" s="73"/>
    </row>
    <row r="20" spans="2:9">
      <c r="B20" s="969" t="s">
        <v>10</v>
      </c>
      <c r="C20" s="66">
        <v>0</v>
      </c>
      <c r="D20" s="66">
        <v>0</v>
      </c>
      <c r="E20" s="66">
        <v>0</v>
      </c>
      <c r="F20" s="66">
        <v>0</v>
      </c>
      <c r="G20" s="67">
        <v>0</v>
      </c>
      <c r="H20" s="884"/>
      <c r="I20" s="73"/>
    </row>
    <row r="21" spans="2:9">
      <c r="B21" s="969"/>
      <c r="C21" s="66"/>
      <c r="D21" s="66"/>
      <c r="E21" s="66"/>
      <c r="F21" s="66"/>
      <c r="G21" s="67"/>
      <c r="H21" s="884"/>
      <c r="I21" s="73"/>
    </row>
    <row r="22" spans="2:9">
      <c r="B22" s="969"/>
      <c r="C22" s="66"/>
      <c r="D22" s="66"/>
      <c r="E22" s="66"/>
      <c r="F22" s="66"/>
      <c r="G22" s="67"/>
      <c r="H22" s="884"/>
      <c r="I22" s="73"/>
    </row>
    <row r="23" spans="2:9">
      <c r="B23" s="970" t="s">
        <v>11</v>
      </c>
      <c r="C23" s="68">
        <f>SUM(C10:C20)</f>
        <v>94929.022976866399</v>
      </c>
      <c r="D23" s="68">
        <f>SUM(D10:D20)</f>
        <v>194893.48399389294</v>
      </c>
      <c r="E23" s="68">
        <f>SUM(E10:E20)</f>
        <v>0</v>
      </c>
      <c r="F23" s="68">
        <f>SUM(F10:F20)</f>
        <v>2329.0698964352823</v>
      </c>
      <c r="G23" s="69">
        <f>SUM(G10:G20)</f>
        <v>287493.43707432412</v>
      </c>
      <c r="H23" s="884"/>
      <c r="I23" s="73"/>
    </row>
    <row r="24" spans="2:9" ht="13.5" thickBot="1">
      <c r="B24" s="971"/>
      <c r="C24" s="70"/>
      <c r="D24" s="71"/>
      <c r="E24" s="71"/>
      <c r="F24" s="71"/>
      <c r="G24" s="72"/>
      <c r="H24" s="884"/>
    </row>
    <row r="25" spans="2:9">
      <c r="B25" s="21" t="s">
        <v>48</v>
      </c>
      <c r="C25" s="21"/>
      <c r="D25" s="21"/>
      <c r="E25" s="21"/>
      <c r="F25" s="21"/>
      <c r="G25" s="21"/>
      <c r="H25" s="883"/>
    </row>
    <row r="26" spans="2:9">
      <c r="B26" s="11" t="s">
        <v>35</v>
      </c>
      <c r="C26" s="11"/>
      <c r="D26" s="21"/>
      <c r="E26" s="21"/>
      <c r="F26" s="21"/>
      <c r="G26" s="21"/>
      <c r="H26" s="883"/>
    </row>
    <row r="27" spans="2:9">
      <c r="B27" s="11"/>
      <c r="C27" s="53" t="s">
        <v>827</v>
      </c>
      <c r="D27" s="54">
        <v>675.08798609999997</v>
      </c>
      <c r="E27" s="54">
        <v>500.69448405779997</v>
      </c>
      <c r="F27" s="21">
        <v>575.72413038000002</v>
      </c>
      <c r="G27" s="21"/>
      <c r="H27" s="883"/>
    </row>
    <row r="28" spans="2:9">
      <c r="B28" s="11" t="s">
        <v>36</v>
      </c>
      <c r="C28" s="11"/>
      <c r="D28" s="55" t="s">
        <v>37</v>
      </c>
      <c r="E28" s="56"/>
      <c r="F28" s="56"/>
      <c r="G28" s="56"/>
      <c r="H28" s="883"/>
    </row>
    <row r="29" spans="2:9">
      <c r="B29" s="11"/>
      <c r="C29" s="53" t="s">
        <v>825</v>
      </c>
      <c r="D29" s="57">
        <v>21428.179272000005</v>
      </c>
      <c r="E29" s="54">
        <v>0</v>
      </c>
      <c r="F29" s="21"/>
      <c r="G29" s="21"/>
      <c r="H29" s="883"/>
    </row>
    <row r="30" spans="2:9">
      <c r="B30" s="11" t="s">
        <v>38</v>
      </c>
      <c r="C30" s="11"/>
      <c r="D30" s="21" t="s">
        <v>39</v>
      </c>
      <c r="E30" s="21" t="s">
        <v>40</v>
      </c>
      <c r="F30" s="21"/>
      <c r="G30" s="58"/>
      <c r="H30" s="883"/>
    </row>
    <row r="31" spans="2:9">
      <c r="B31" s="11"/>
      <c r="C31" s="53" t="s">
        <v>826</v>
      </c>
      <c r="D31" s="57">
        <v>1115.0666286768494</v>
      </c>
      <c r="E31" s="54">
        <v>667.38642700000003</v>
      </c>
      <c r="F31" s="21"/>
      <c r="G31" s="21"/>
      <c r="H31" s="883"/>
    </row>
    <row r="32" spans="2:9">
      <c r="B32" s="11" t="s">
        <v>41</v>
      </c>
      <c r="C32" s="59"/>
      <c r="D32" s="21"/>
      <c r="E32" s="60">
        <v>733.92237000001478</v>
      </c>
      <c r="F32" s="21"/>
      <c r="G32" s="21"/>
      <c r="H32" s="883"/>
    </row>
    <row r="33" spans="2:8">
      <c r="B33" s="21"/>
      <c r="C33" s="21"/>
      <c r="D33" s="21"/>
      <c r="E33" s="21"/>
      <c r="F33" s="21"/>
      <c r="G33" s="21"/>
      <c r="H33" s="883"/>
    </row>
    <row r="34" spans="2:8">
      <c r="B34" s="11" t="s">
        <v>42</v>
      </c>
      <c r="C34" s="61"/>
      <c r="D34" s="62"/>
      <c r="E34" s="62"/>
      <c r="F34" s="62"/>
      <c r="G34" s="63"/>
      <c r="H34" s="883"/>
    </row>
    <row r="35" spans="2:8">
      <c r="B35" s="11" t="s">
        <v>43</v>
      </c>
      <c r="C35" s="21"/>
      <c r="D35" s="21"/>
      <c r="E35" s="21"/>
      <c r="F35" s="21"/>
      <c r="G35" s="21"/>
      <c r="H35" s="883"/>
    </row>
    <row r="36" spans="2:8">
      <c r="B36" s="11" t="s">
        <v>44</v>
      </c>
      <c r="C36" s="21"/>
      <c r="D36" s="21"/>
      <c r="E36" s="21"/>
      <c r="F36" s="21"/>
      <c r="G36" s="21"/>
      <c r="H36" s="883"/>
    </row>
    <row r="37" spans="2:8">
      <c r="B37" s="11" t="s">
        <v>45</v>
      </c>
      <c r="C37" s="21"/>
      <c r="D37" s="21"/>
      <c r="E37" s="21"/>
      <c r="F37" s="21"/>
      <c r="G37" s="21"/>
      <c r="H37" s="883"/>
    </row>
    <row r="38" spans="2:8">
      <c r="B38" s="21" t="s">
        <v>14</v>
      </c>
      <c r="C38" s="21"/>
      <c r="D38" s="21"/>
      <c r="E38" s="21"/>
      <c r="F38" s="21"/>
      <c r="G38" s="21"/>
      <c r="H38" s="883"/>
    </row>
    <row r="39" spans="2:8">
      <c r="B39" s="21" t="s">
        <v>800</v>
      </c>
      <c r="C39" s="21"/>
      <c r="D39" s="21"/>
      <c r="E39" s="21"/>
      <c r="F39" s="21"/>
      <c r="G39" s="21"/>
      <c r="H39" s="883"/>
    </row>
    <row r="40" spans="2:8">
      <c r="B40" s="22"/>
      <c r="C40" s="22"/>
      <c r="D40" s="22"/>
      <c r="E40" s="22"/>
      <c r="F40" s="22"/>
      <c r="G40" s="22"/>
    </row>
    <row r="41" spans="2:8">
      <c r="B41" s="22"/>
      <c r="C41" s="22"/>
      <c r="D41" s="22"/>
      <c r="E41" s="22"/>
      <c r="F41" s="22"/>
      <c r="G41" s="22"/>
    </row>
    <row r="42" spans="2:8">
      <c r="B42" s="22"/>
      <c r="C42" s="22"/>
      <c r="D42" s="22"/>
      <c r="E42" s="22"/>
      <c r="F42" s="22"/>
      <c r="G42" s="22"/>
    </row>
    <row r="43" spans="2:8">
      <c r="B43" s="22"/>
      <c r="C43" s="22"/>
      <c r="D43" s="22"/>
      <c r="E43" s="22"/>
      <c r="F43" s="22"/>
      <c r="G43" s="22"/>
    </row>
    <row r="44" spans="2:8">
      <c r="B44" s="22"/>
      <c r="C44" s="22"/>
      <c r="D44" s="22"/>
      <c r="E44" s="22"/>
      <c r="F44" s="22"/>
      <c r="G44" s="22"/>
    </row>
    <row r="45" spans="2:8">
      <c r="B45" s="22"/>
      <c r="C45" s="22"/>
      <c r="D45" s="22"/>
      <c r="E45" s="22"/>
      <c r="F45" s="22"/>
      <c r="G45" s="22"/>
    </row>
    <row r="46" spans="2:8">
      <c r="B46" s="22"/>
      <c r="C46" s="22"/>
      <c r="D46" s="22"/>
      <c r="E46" s="22"/>
      <c r="F46" s="22"/>
      <c r="G46" s="22"/>
    </row>
    <row r="47" spans="2:8">
      <c r="B47" s="22"/>
      <c r="C47" s="22"/>
      <c r="D47" s="22"/>
      <c r="E47" s="22"/>
      <c r="F47" s="22"/>
      <c r="G47" s="22"/>
    </row>
    <row r="48" spans="2:8">
      <c r="B48" s="22"/>
      <c r="C48" s="22"/>
      <c r="D48" s="22"/>
      <c r="E48" s="22"/>
      <c r="F48" s="22"/>
      <c r="G48" s="22"/>
    </row>
    <row r="49" spans="2:8">
      <c r="B49" s="22"/>
      <c r="C49" s="22"/>
      <c r="D49" s="22"/>
      <c r="E49" s="22"/>
      <c r="F49" s="22"/>
      <c r="G49" s="22"/>
    </row>
    <row r="50" spans="2:8">
      <c r="B50" s="22"/>
      <c r="C50" s="22"/>
      <c r="D50" s="22"/>
      <c r="E50" s="22"/>
      <c r="F50" s="22"/>
      <c r="G50" s="22"/>
    </row>
    <row r="51" spans="2:8" s="22" customFormat="1">
      <c r="H51" s="73"/>
    </row>
    <row r="52" spans="2:8" s="22" customFormat="1">
      <c r="H52" s="73"/>
    </row>
    <row r="53" spans="2:8" s="22" customFormat="1">
      <c r="H53" s="73"/>
    </row>
    <row r="54" spans="2:8" s="22" customFormat="1">
      <c r="H54" s="73"/>
    </row>
    <row r="55" spans="2:8" s="22" customFormat="1">
      <c r="H55" s="73"/>
    </row>
    <row r="56" spans="2:8" s="22" customFormat="1">
      <c r="H56" s="73"/>
    </row>
    <row r="57" spans="2:8" s="22" customFormat="1">
      <c r="H57" s="73"/>
    </row>
    <row r="58" spans="2:8" s="22" customFormat="1">
      <c r="H58" s="73"/>
    </row>
    <row r="59" spans="2:8" s="22" customFormat="1">
      <c r="H59" s="73"/>
    </row>
    <row r="60" spans="2:8" s="22" customFormat="1">
      <c r="H60" s="73"/>
    </row>
    <row r="61" spans="2:8" s="22" customFormat="1">
      <c r="H61" s="73"/>
    </row>
    <row r="62" spans="2:8" s="22" customFormat="1">
      <c r="H62" s="73"/>
    </row>
    <row r="63" spans="2:8" s="22" customFormat="1">
      <c r="H63" s="73"/>
    </row>
    <row r="64" spans="2:8" s="22" customFormat="1">
      <c r="H64" s="73"/>
    </row>
    <row r="65" spans="8:8" s="22" customFormat="1">
      <c r="H65" s="73"/>
    </row>
    <row r="66" spans="8:8" s="22" customFormat="1">
      <c r="H66" s="73"/>
    </row>
    <row r="67" spans="8:8" s="22" customFormat="1">
      <c r="H67" s="73"/>
    </row>
    <row r="68" spans="8:8" s="22" customFormat="1">
      <c r="H68" s="73"/>
    </row>
    <row r="69" spans="8:8" s="22" customFormat="1">
      <c r="H69" s="73"/>
    </row>
    <row r="70" spans="8:8" s="22" customFormat="1">
      <c r="H70" s="73"/>
    </row>
    <row r="71" spans="8:8" s="22" customFormat="1">
      <c r="H71" s="73"/>
    </row>
  </sheetData>
  <phoneticPr fontId="0" type="noConversion"/>
  <hyperlinks>
    <hyperlink ref="I3" location="INDICE!A1" display="VOLVER A INDICE"/>
  </hyperlinks>
  <pageMargins left="0.75" right="0.75" top="1" bottom="1" header="0" footer="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126"/>
  <sheetViews>
    <sheetView topLeftCell="A7" zoomScale="86" workbookViewId="0">
      <selection activeCell="G29" sqref="G29"/>
    </sheetView>
  </sheetViews>
  <sheetFormatPr baseColWidth="10" defaultRowHeight="12.75"/>
  <cols>
    <col min="1" max="1" width="1.5703125" style="891" customWidth="1"/>
    <col min="2" max="2" width="25.42578125" style="891" customWidth="1"/>
    <col min="3" max="3" width="11.42578125" style="891"/>
    <col min="4" max="4" width="12.7109375" style="891" customWidth="1"/>
    <col min="5" max="5" width="12.42578125" style="891" customWidth="1"/>
    <col min="6" max="7" width="11.42578125" style="891"/>
    <col min="8" max="19" width="11.42578125" style="22"/>
    <col min="20" max="16384" width="11.42578125" style="891"/>
  </cols>
  <sheetData>
    <row r="1" spans="2:12" ht="8.25" customHeight="1" thickBot="1"/>
    <row r="2" spans="2:12" ht="13.5" thickBot="1">
      <c r="B2" s="972"/>
      <c r="C2" s="973"/>
      <c r="D2" s="973"/>
      <c r="E2" s="973"/>
      <c r="F2" s="973"/>
      <c r="G2" s="974"/>
    </row>
    <row r="3" spans="2:12" ht="15.75">
      <c r="B3" s="45"/>
      <c r="C3" s="46"/>
      <c r="D3" s="47" t="s">
        <v>46</v>
      </c>
      <c r="E3" s="46"/>
      <c r="F3" s="46"/>
      <c r="G3" s="48"/>
      <c r="I3" s="852" t="s">
        <v>681</v>
      </c>
    </row>
    <row r="4" spans="2:12" ht="15.75">
      <c r="B4" s="49"/>
      <c r="C4" s="50"/>
      <c r="D4" s="51" t="s">
        <v>0</v>
      </c>
      <c r="E4" s="50"/>
      <c r="F4" s="50"/>
      <c r="G4" s="52"/>
    </row>
    <row r="5" spans="2:12" ht="15.75">
      <c r="B5" s="49"/>
      <c r="C5" s="50"/>
      <c r="D5" s="51" t="s">
        <v>794</v>
      </c>
      <c r="E5" s="50"/>
      <c r="F5" s="50"/>
      <c r="G5" s="52"/>
    </row>
    <row r="6" spans="2:12" ht="15.75">
      <c r="B6" s="49"/>
      <c r="C6" s="50"/>
      <c r="D6" s="50"/>
      <c r="E6" s="50"/>
      <c r="F6" s="50"/>
      <c r="G6" s="52"/>
    </row>
    <row r="7" spans="2:12" ht="15.75">
      <c r="B7" s="49"/>
      <c r="C7" s="50" t="s">
        <v>25</v>
      </c>
      <c r="D7" s="50" t="s">
        <v>26</v>
      </c>
      <c r="E7" s="50" t="s">
        <v>27</v>
      </c>
      <c r="F7" s="50" t="s">
        <v>47</v>
      </c>
      <c r="G7" s="52" t="s">
        <v>29</v>
      </c>
    </row>
    <row r="8" spans="2:12" ht="16.5" thickBot="1">
      <c r="B8" s="780" t="s">
        <v>3</v>
      </c>
      <c r="C8" s="781" t="s">
        <v>30</v>
      </c>
      <c r="D8" s="781"/>
      <c r="E8" s="781"/>
      <c r="F8" s="781" t="s">
        <v>31</v>
      </c>
      <c r="G8" s="782" t="s">
        <v>32</v>
      </c>
    </row>
    <row r="9" spans="2:12">
      <c r="B9" s="968"/>
      <c r="C9" s="64"/>
      <c r="D9" s="64"/>
      <c r="E9" s="64"/>
      <c r="F9" s="64"/>
      <c r="G9" s="65"/>
    </row>
    <row r="10" spans="2:12">
      <c r="B10" s="969" t="s">
        <v>33</v>
      </c>
      <c r="C10" s="66">
        <f>CUADRO3!C10</f>
        <v>1751.5066005377998</v>
      </c>
      <c r="D10" s="66">
        <f>CUADRO3!D10</f>
        <v>110973.62479814098</v>
      </c>
      <c r="E10" s="66">
        <f>CUADRO3!E10</f>
        <v>0</v>
      </c>
      <c r="F10" s="66">
        <f>CUADRO3!F10</f>
        <v>-276.83982446204755</v>
      </c>
      <c r="G10" s="67">
        <f>CUADRO3!G10</f>
        <v>113001.97122314083</v>
      </c>
      <c r="I10" s="73"/>
      <c r="J10" s="891"/>
      <c r="K10" s="891"/>
      <c r="L10" s="891"/>
    </row>
    <row r="11" spans="2:12">
      <c r="B11" s="969"/>
      <c r="C11" s="66"/>
      <c r="D11" s="66"/>
      <c r="E11" s="66"/>
      <c r="F11" s="66"/>
      <c r="G11" s="67"/>
      <c r="J11" s="891"/>
      <c r="K11" s="891"/>
      <c r="L11" s="891"/>
    </row>
    <row r="12" spans="2:12">
      <c r="B12" s="969" t="s">
        <v>34</v>
      </c>
      <c r="C12" s="66">
        <f>CUADRO3!C12</f>
        <v>21428.179272000005</v>
      </c>
      <c r="D12" s="66">
        <f>CUADRO3!D12</f>
        <v>58666.893912826003</v>
      </c>
      <c r="E12" s="66">
        <f>CUADRO3!E12</f>
        <v>0</v>
      </c>
      <c r="F12" s="66">
        <f>CUADRO3!F12</f>
        <v>1782.4530556768493</v>
      </c>
      <c r="G12" s="67">
        <f>CUADRO3!G12</f>
        <v>78312.62012914916</v>
      </c>
      <c r="I12" s="73"/>
      <c r="J12" s="891"/>
      <c r="K12" s="891"/>
      <c r="L12" s="891"/>
    </row>
    <row r="13" spans="2:12">
      <c r="B13" s="969"/>
      <c r="C13" s="66"/>
      <c r="D13" s="66"/>
      <c r="E13" s="66"/>
      <c r="F13" s="66"/>
      <c r="G13" s="67"/>
      <c r="J13" s="891"/>
      <c r="K13" s="891"/>
      <c r="L13" s="891"/>
    </row>
    <row r="14" spans="2:12">
      <c r="B14" s="969" t="s">
        <v>7</v>
      </c>
      <c r="C14" s="66">
        <f>CUADRO3!C14</f>
        <v>2837.7984697840402</v>
      </c>
      <c r="D14" s="66">
        <f>CUADRO3!D14</f>
        <v>25252.965282925968</v>
      </c>
      <c r="E14" s="66">
        <f>CUADRO3!E14</f>
        <v>0</v>
      </c>
      <c r="F14" s="66">
        <f>CUADRO3!F14</f>
        <v>515.4340423904805</v>
      </c>
      <c r="G14" s="67">
        <f>CUADRO3!G14</f>
        <v>27575.329710319525</v>
      </c>
      <c r="I14" s="73"/>
      <c r="J14" s="891"/>
      <c r="K14" s="891"/>
      <c r="L14" s="891"/>
    </row>
    <row r="15" spans="2:12">
      <c r="B15" s="969"/>
      <c r="C15" s="66"/>
      <c r="D15" s="66"/>
      <c r="E15" s="66"/>
      <c r="F15" s="66"/>
      <c r="G15" s="67"/>
      <c r="J15" s="891"/>
      <c r="K15" s="891"/>
      <c r="L15" s="891"/>
    </row>
    <row r="16" spans="2:12">
      <c r="B16" s="969" t="s">
        <v>8</v>
      </c>
      <c r="C16" s="66">
        <v>66746.183091806583</v>
      </c>
      <c r="D16" s="66">
        <v>0</v>
      </c>
      <c r="E16" s="66">
        <v>0</v>
      </c>
      <c r="F16" s="66">
        <v>896.84726461200023</v>
      </c>
      <c r="G16" s="67">
        <v>65849.335827194576</v>
      </c>
      <c r="I16" s="73"/>
      <c r="J16" s="891"/>
      <c r="K16" s="891"/>
      <c r="L16" s="891"/>
    </row>
    <row r="17" spans="2:9">
      <c r="B17" s="969"/>
      <c r="C17" s="66"/>
      <c r="D17" s="66"/>
      <c r="E17" s="66"/>
      <c r="F17" s="66"/>
      <c r="G17" s="67"/>
    </row>
    <row r="18" spans="2:9">
      <c r="B18" s="969" t="s">
        <v>23</v>
      </c>
      <c r="C18" s="66">
        <f>CUADRO3!C18</f>
        <v>45987.530064674887</v>
      </c>
      <c r="D18" s="66">
        <f>CUADRO3!D18</f>
        <v>0</v>
      </c>
      <c r="E18" s="66">
        <f>CUADRO3!E18</f>
        <v>0</v>
      </c>
      <c r="F18" s="66">
        <f>CUADRO3!F18</f>
        <v>0</v>
      </c>
      <c r="G18" s="67">
        <f>CUADRO3!G18</f>
        <v>45987.530064674887</v>
      </c>
      <c r="I18" s="73"/>
    </row>
    <row r="19" spans="2:9">
      <c r="B19" s="969"/>
      <c r="C19" s="66"/>
      <c r="D19" s="66"/>
      <c r="E19" s="66"/>
      <c r="F19" s="66"/>
      <c r="G19" s="67"/>
    </row>
    <row r="20" spans="2:9">
      <c r="B20" s="969" t="s">
        <v>10</v>
      </c>
      <c r="C20" s="66">
        <v>0</v>
      </c>
      <c r="D20" s="66">
        <v>0</v>
      </c>
      <c r="E20" s="66">
        <v>0</v>
      </c>
      <c r="F20" s="66">
        <v>0</v>
      </c>
      <c r="G20" s="67">
        <v>0</v>
      </c>
      <c r="I20" s="73"/>
    </row>
    <row r="21" spans="2:9">
      <c r="B21" s="969"/>
      <c r="C21" s="66"/>
      <c r="D21" s="66"/>
      <c r="E21" s="66"/>
      <c r="F21" s="66"/>
      <c r="G21" s="67"/>
    </row>
    <row r="22" spans="2:9">
      <c r="B22" s="969"/>
      <c r="C22" s="74"/>
      <c r="D22" s="74"/>
      <c r="E22" s="74"/>
      <c r="F22" s="74"/>
      <c r="G22" s="75"/>
    </row>
    <row r="23" spans="2:9">
      <c r="B23" s="970" t="s">
        <v>11</v>
      </c>
      <c r="C23" s="68">
        <f>SUM(C10:C20)</f>
        <v>138751.19749880332</v>
      </c>
      <c r="D23" s="68">
        <f>SUM(D10:D20)</f>
        <v>194893.48399389294</v>
      </c>
      <c r="E23" s="68">
        <f>SUM(E10:E20)</f>
        <v>0</v>
      </c>
      <c r="F23" s="68">
        <f>SUM(F10:F20)</f>
        <v>2917.8945382172824</v>
      </c>
      <c r="G23" s="69">
        <f>SUM(G10:G20)</f>
        <v>330726.786954479</v>
      </c>
      <c r="I23" s="73"/>
    </row>
    <row r="24" spans="2:9" ht="13.5" thickBot="1">
      <c r="B24" s="971"/>
      <c r="C24" s="70"/>
      <c r="D24" s="71"/>
      <c r="E24" s="71"/>
      <c r="F24" s="71"/>
      <c r="G24" s="72"/>
    </row>
    <row r="25" spans="2:9">
      <c r="B25" s="21" t="s">
        <v>48</v>
      </c>
      <c r="C25" s="21"/>
      <c r="D25" s="21"/>
      <c r="E25" s="21"/>
      <c r="F25" s="21"/>
      <c r="G25" s="21"/>
      <c r="H25" s="21"/>
      <c r="I25" s="76"/>
    </row>
    <row r="26" spans="2:9">
      <c r="B26" s="11" t="s">
        <v>35</v>
      </c>
      <c r="C26" s="11"/>
      <c r="D26" s="21"/>
      <c r="E26" s="21"/>
      <c r="F26" s="21"/>
      <c r="G26" s="21"/>
      <c r="H26" s="21"/>
      <c r="I26" s="76"/>
    </row>
    <row r="27" spans="2:9">
      <c r="B27" s="11"/>
      <c r="C27" s="53" t="s">
        <v>827</v>
      </c>
      <c r="D27" s="54">
        <v>675.08798609999997</v>
      </c>
      <c r="E27" s="54">
        <v>500.69448405779997</v>
      </c>
      <c r="F27" s="21">
        <v>575.72413038000002</v>
      </c>
      <c r="G27" s="21"/>
      <c r="H27" s="21"/>
      <c r="I27" s="76"/>
    </row>
    <row r="28" spans="2:9">
      <c r="B28" s="11" t="s">
        <v>36</v>
      </c>
      <c r="C28" s="11"/>
      <c r="D28" s="55" t="s">
        <v>37</v>
      </c>
      <c r="E28" s="56"/>
      <c r="F28" s="56"/>
      <c r="G28" s="56"/>
      <c r="H28" s="21"/>
      <c r="I28" s="76"/>
    </row>
    <row r="29" spans="2:9">
      <c r="B29" s="11"/>
      <c r="C29" s="53" t="s">
        <v>825</v>
      </c>
      <c r="D29" s="57">
        <v>21428.179272000005</v>
      </c>
      <c r="E29" s="54">
        <v>0</v>
      </c>
      <c r="F29" s="21"/>
      <c r="G29" s="21"/>
      <c r="H29" s="21"/>
      <c r="I29" s="76"/>
    </row>
    <row r="30" spans="2:9">
      <c r="B30" s="11" t="s">
        <v>38</v>
      </c>
      <c r="C30" s="11"/>
      <c r="D30" s="21" t="s">
        <v>39</v>
      </c>
      <c r="E30" s="21" t="s">
        <v>40</v>
      </c>
      <c r="F30" s="21"/>
      <c r="G30" s="58"/>
      <c r="H30" s="21"/>
      <c r="I30" s="76"/>
    </row>
    <row r="31" spans="2:9">
      <c r="B31" s="11"/>
      <c r="C31" s="53" t="s">
        <v>826</v>
      </c>
      <c r="D31" s="57">
        <v>1115.0666286768494</v>
      </c>
      <c r="E31" s="54">
        <v>667.38642700000003</v>
      </c>
      <c r="F31" s="21"/>
      <c r="G31" s="21"/>
      <c r="H31" s="21"/>
      <c r="I31" s="76"/>
    </row>
    <row r="32" spans="2:9">
      <c r="B32" s="11" t="s">
        <v>41</v>
      </c>
      <c r="C32" s="59"/>
      <c r="D32" s="21"/>
      <c r="E32" s="60">
        <f>CUADRO3!E32</f>
        <v>733.92237000001478</v>
      </c>
      <c r="F32" s="21"/>
      <c r="G32" s="21"/>
      <c r="H32" s="21"/>
      <c r="I32" s="76"/>
    </row>
    <row r="33" spans="2:9">
      <c r="B33" s="21"/>
      <c r="C33" s="21"/>
      <c r="D33" s="21"/>
      <c r="E33" s="21"/>
      <c r="F33" s="21"/>
      <c r="G33" s="21"/>
      <c r="H33" s="21"/>
      <c r="I33" s="76"/>
    </row>
    <row r="34" spans="2:9">
      <c r="B34" s="1233" t="s">
        <v>762</v>
      </c>
      <c r="C34" s="61"/>
      <c r="D34" s="62"/>
      <c r="E34" s="62"/>
      <c r="F34" s="62"/>
      <c r="G34" s="63"/>
      <c r="H34" s="21"/>
      <c r="I34" s="76"/>
    </row>
    <row r="35" spans="2:9">
      <c r="B35" s="11" t="s">
        <v>763</v>
      </c>
      <c r="C35" s="22"/>
      <c r="D35" s="22"/>
      <c r="E35" s="22"/>
      <c r="F35" s="22"/>
      <c r="G35" s="22"/>
    </row>
    <row r="36" spans="2:9">
      <c r="B36" s="11" t="s">
        <v>44</v>
      </c>
      <c r="C36" s="21"/>
      <c r="D36" s="21"/>
      <c r="E36" s="21"/>
      <c r="F36" s="21"/>
      <c r="G36" s="21"/>
      <c r="H36" s="21"/>
      <c r="I36" s="76"/>
    </row>
    <row r="37" spans="2:9">
      <c r="B37" s="11" t="s">
        <v>45</v>
      </c>
      <c r="C37" s="21"/>
      <c r="D37" s="21"/>
      <c r="E37" s="21"/>
      <c r="F37" s="21"/>
      <c r="G37" s="21"/>
      <c r="H37" s="21"/>
      <c r="I37" s="76"/>
    </row>
    <row r="38" spans="2:9">
      <c r="B38" s="21" t="s">
        <v>14</v>
      </c>
      <c r="C38" s="21"/>
      <c r="D38" s="21"/>
      <c r="E38" s="21"/>
      <c r="F38" s="21"/>
      <c r="G38" s="21"/>
      <c r="H38" s="21"/>
      <c r="I38" s="76"/>
    </row>
    <row r="39" spans="2:9">
      <c r="B39" s="21" t="s">
        <v>800</v>
      </c>
      <c r="C39" s="21"/>
      <c r="D39" s="21"/>
      <c r="E39" s="21"/>
      <c r="F39" s="21"/>
      <c r="G39" s="21"/>
      <c r="H39" s="21"/>
      <c r="I39" s="76"/>
    </row>
    <row r="40" spans="2:9">
      <c r="B40" s="22"/>
      <c r="C40" s="22"/>
      <c r="D40" s="22"/>
      <c r="E40" s="22"/>
      <c r="F40" s="22"/>
      <c r="G40" s="22"/>
    </row>
    <row r="41" spans="2:9">
      <c r="B41" s="22"/>
      <c r="C41" s="22"/>
      <c r="D41" s="22"/>
      <c r="E41" s="22"/>
      <c r="F41" s="22"/>
      <c r="G41" s="22"/>
    </row>
    <row r="42" spans="2:9">
      <c r="B42" s="22"/>
      <c r="C42" s="22"/>
      <c r="D42" s="22"/>
      <c r="E42" s="22"/>
      <c r="F42" s="22"/>
      <c r="G42" s="22"/>
    </row>
    <row r="43" spans="2:9">
      <c r="B43" s="22"/>
      <c r="C43" s="22"/>
      <c r="D43" s="22"/>
      <c r="E43" s="22"/>
      <c r="F43" s="22"/>
      <c r="G43" s="22"/>
    </row>
    <row r="44" spans="2:9" hidden="1">
      <c r="B44" s="22" t="s">
        <v>480</v>
      </c>
      <c r="C44" s="22"/>
      <c r="D44" s="22"/>
      <c r="E44" s="22"/>
      <c r="F44" s="22"/>
      <c r="G44" s="22"/>
    </row>
    <row r="45" spans="2:9" hidden="1">
      <c r="B45" s="22"/>
      <c r="C45" s="22"/>
      <c r="D45" s="22"/>
      <c r="E45" s="22"/>
      <c r="F45" s="22"/>
      <c r="G45" s="22"/>
    </row>
    <row r="46" spans="2:9" hidden="1">
      <c r="B46" s="562" t="s">
        <v>417</v>
      </c>
      <c r="C46" s="563"/>
      <c r="D46" s="564" t="s">
        <v>468</v>
      </c>
      <c r="E46" s="565" t="s">
        <v>469</v>
      </c>
      <c r="F46" s="566" t="s">
        <v>470</v>
      </c>
      <c r="G46" s="567" t="s">
        <v>80</v>
      </c>
      <c r="H46" s="568" t="s">
        <v>4</v>
      </c>
      <c r="I46" s="569"/>
    </row>
    <row r="47" spans="2:9" hidden="1">
      <c r="B47" s="570">
        <v>2005</v>
      </c>
      <c r="C47" s="571"/>
      <c r="D47" s="572" t="s">
        <v>471</v>
      </c>
      <c r="E47" s="573" t="s">
        <v>472</v>
      </c>
      <c r="F47" s="574" t="s">
        <v>472</v>
      </c>
      <c r="G47" s="575" t="s">
        <v>87</v>
      </c>
      <c r="H47" s="576" t="s">
        <v>87</v>
      </c>
      <c r="I47" s="577"/>
    </row>
    <row r="48" spans="2:9" hidden="1">
      <c r="B48" s="578"/>
      <c r="C48" s="579"/>
      <c r="D48" s="580" t="s">
        <v>473</v>
      </c>
      <c r="E48" s="581" t="s">
        <v>473</v>
      </c>
      <c r="F48" s="582" t="s">
        <v>473</v>
      </c>
      <c r="G48" s="583" t="s">
        <v>473</v>
      </c>
      <c r="H48" s="584"/>
      <c r="I48" s="585"/>
    </row>
    <row r="49" spans="2:9" hidden="1">
      <c r="B49" s="586" t="s">
        <v>210</v>
      </c>
      <c r="C49" s="587" t="s">
        <v>474</v>
      </c>
      <c r="D49" s="572">
        <f>G10</f>
        <v>113001.97122314083</v>
      </c>
      <c r="E49" s="575">
        <f>CUADRO4!D10</f>
        <v>35064.624265668499</v>
      </c>
      <c r="F49" s="572">
        <f>CUADRO4!E10</f>
        <v>18358.698054623503</v>
      </c>
      <c r="G49" s="575">
        <f t="shared" ref="G49:G54" si="0">D49+E49-F49</f>
        <v>129707.89743418584</v>
      </c>
      <c r="H49" s="588">
        <f t="shared" ref="H49:H54" si="1">G49/$G$55</f>
        <v>0.37903395994826816</v>
      </c>
      <c r="I49" s="577"/>
    </row>
    <row r="50" spans="2:9" hidden="1">
      <c r="B50" s="586" t="s">
        <v>6</v>
      </c>
      <c r="C50" s="587" t="s">
        <v>475</v>
      </c>
      <c r="D50" s="572">
        <f>G12</f>
        <v>78312.62012914916</v>
      </c>
      <c r="E50" s="575">
        <f>CUADRO4!D47+CUADRO4!D41+CUADRO4!D45+CUADRO4!D43</f>
        <v>0</v>
      </c>
      <c r="F50" s="572">
        <f>CUADRO4!E47+CUADRO4!E45+CUADRO4!E43+CUADRO4!E41</f>
        <v>15129.0654326</v>
      </c>
      <c r="G50" s="575">
        <f t="shared" si="0"/>
        <v>63183.554696549159</v>
      </c>
      <c r="H50" s="588">
        <f t="shared" si="1"/>
        <v>0.18463573470838712</v>
      </c>
      <c r="I50" s="577"/>
    </row>
    <row r="51" spans="2:9" hidden="1">
      <c r="B51" s="586" t="s">
        <v>7</v>
      </c>
      <c r="C51" s="587" t="s">
        <v>476</v>
      </c>
      <c r="D51" s="572">
        <f>G14</f>
        <v>27575.329710319525</v>
      </c>
      <c r="E51" s="575">
        <f>CUADRO4!D35+CUADRO4!D37+CUADRO4!D39</f>
        <v>4795.5778</v>
      </c>
      <c r="F51" s="572">
        <f>CUADRO4!E35+CUADRO4!E37+CUADRO4!E39</f>
        <v>281.2752000000001</v>
      </c>
      <c r="G51" s="575">
        <f t="shared" si="0"/>
        <v>32089.632310319525</v>
      </c>
      <c r="H51" s="588">
        <f t="shared" si="1"/>
        <v>9.3772705043159557E-2</v>
      </c>
      <c r="I51" s="577"/>
    </row>
    <row r="52" spans="2:9" hidden="1">
      <c r="B52" s="586" t="s">
        <v>8</v>
      </c>
      <c r="C52" s="311"/>
      <c r="D52" s="572">
        <f>G16</f>
        <v>65849.335827194576</v>
      </c>
      <c r="E52" s="572">
        <f>CUADRO4!D33*2504/860</f>
        <v>5388.5829599999997</v>
      </c>
      <c r="F52" s="572">
        <f>CUADRO4!E33</f>
        <v>0</v>
      </c>
      <c r="G52" s="575">
        <f t="shared" si="0"/>
        <v>71237.918787194576</v>
      </c>
      <c r="H52" s="588">
        <f t="shared" si="1"/>
        <v>0.20817229321047451</v>
      </c>
      <c r="I52" s="577"/>
    </row>
    <row r="53" spans="2:9" hidden="1">
      <c r="B53" s="586" t="s">
        <v>9</v>
      </c>
      <c r="C53" s="311"/>
      <c r="D53" s="572">
        <f>G18</f>
        <v>45987.530064674887</v>
      </c>
      <c r="E53" s="575">
        <f>CUADRO4!D49</f>
        <v>0</v>
      </c>
      <c r="F53" s="572">
        <f>CUADRO4!E49</f>
        <v>0</v>
      </c>
      <c r="G53" s="575">
        <f t="shared" si="0"/>
        <v>45987.530064674887</v>
      </c>
      <c r="H53" s="588">
        <f t="shared" si="1"/>
        <v>0.13438530708971066</v>
      </c>
      <c r="I53" s="577"/>
    </row>
    <row r="54" spans="2:9" hidden="1">
      <c r="B54" s="586" t="s">
        <v>10</v>
      </c>
      <c r="C54" s="311"/>
      <c r="D54" s="572">
        <v>0</v>
      </c>
      <c r="E54" s="573"/>
      <c r="F54" s="574"/>
      <c r="G54" s="575">
        <f t="shared" si="0"/>
        <v>0</v>
      </c>
      <c r="H54" s="588">
        <f t="shared" si="1"/>
        <v>0</v>
      </c>
      <c r="I54" s="577"/>
    </row>
    <row r="55" spans="2:9" hidden="1">
      <c r="B55" s="589" t="s">
        <v>11</v>
      </c>
      <c r="C55" s="590"/>
      <c r="D55" s="591">
        <f>SUM(D49:D54)</f>
        <v>330726.786954479</v>
      </c>
      <c r="E55" s="592">
        <f>SUM(E49:E54)</f>
        <v>45248.785025668498</v>
      </c>
      <c r="F55" s="591">
        <f>SUM(F49:F54)</f>
        <v>33769.03868722351</v>
      </c>
      <c r="G55" s="592">
        <f>SUM(G49:G54)</f>
        <v>342206.533292924</v>
      </c>
      <c r="H55" s="593"/>
      <c r="I55" s="594"/>
    </row>
    <row r="56" spans="2:9" hidden="1">
      <c r="B56" s="22"/>
      <c r="C56" s="22"/>
      <c r="D56" s="595"/>
      <c r="E56" s="438"/>
      <c r="F56" s="438"/>
      <c r="G56" s="561"/>
      <c r="H56" s="533"/>
      <c r="I56" s="577"/>
    </row>
    <row r="57" spans="2:9" hidden="1">
      <c r="B57" s="22" t="s">
        <v>477</v>
      </c>
      <c r="C57" s="22"/>
      <c r="D57" s="595"/>
      <c r="E57" s="438"/>
      <c r="F57" s="438"/>
      <c r="G57" s="73"/>
      <c r="H57" s="533"/>
    </row>
    <row r="58" spans="2:9" hidden="1">
      <c r="B58" s="22" t="s">
        <v>478</v>
      </c>
      <c r="C58" s="22"/>
      <c r="D58" s="22"/>
      <c r="E58" s="22"/>
      <c r="F58" s="22"/>
      <c r="G58" s="22"/>
    </row>
    <row r="59" spans="2:9" hidden="1">
      <c r="B59" s="22" t="s">
        <v>479</v>
      </c>
      <c r="C59" s="22"/>
      <c r="D59" s="22"/>
      <c r="E59" s="22"/>
      <c r="F59" s="22"/>
      <c r="G59" s="22"/>
    </row>
    <row r="60" spans="2:9" hidden="1">
      <c r="B60" s="22"/>
      <c r="C60" s="22"/>
      <c r="D60" s="22"/>
      <c r="E60" s="22"/>
      <c r="F60" s="22"/>
      <c r="G60" s="22"/>
    </row>
    <row r="61" spans="2:9" hidden="1">
      <c r="B61" s="22"/>
      <c r="C61" s="22"/>
      <c r="D61" s="22"/>
      <c r="E61" s="22"/>
      <c r="F61" s="22"/>
      <c r="G61" s="22"/>
    </row>
    <row r="62" spans="2:9" hidden="1">
      <c r="B62" s="22"/>
      <c r="C62" s="22"/>
      <c r="D62" s="22"/>
      <c r="E62" s="22"/>
      <c r="F62" s="22"/>
      <c r="G62" s="22"/>
    </row>
    <row r="63" spans="2:9" hidden="1">
      <c r="B63" s="22" t="s">
        <v>737</v>
      </c>
      <c r="C63" s="22" t="s">
        <v>455</v>
      </c>
      <c r="D63" s="22" t="s">
        <v>456</v>
      </c>
      <c r="E63" s="22" t="s">
        <v>87</v>
      </c>
      <c r="F63" s="22"/>
      <c r="G63" s="22"/>
    </row>
    <row r="64" spans="2:9" ht="13.5" hidden="1" thickBot="1">
      <c r="B64" s="22"/>
      <c r="C64" s="22" t="s">
        <v>460</v>
      </c>
      <c r="D64" s="22"/>
      <c r="E64" s="22"/>
      <c r="F64" s="22"/>
      <c r="G64" s="22"/>
    </row>
    <row r="65" spans="2:7" hidden="1">
      <c r="B65" s="22" t="s">
        <v>218</v>
      </c>
      <c r="C65" s="551">
        <f>C10</f>
        <v>1751.5066005377998</v>
      </c>
      <c r="D65" s="552">
        <f>D10</f>
        <v>110973.62479814098</v>
      </c>
      <c r="E65" s="553">
        <f>C65+D65</f>
        <v>112725.13139867879</v>
      </c>
      <c r="F65" s="22"/>
      <c r="G65" s="22"/>
    </row>
    <row r="66" spans="2:7" s="22" customFormat="1" ht="13.5" hidden="1" thickBot="1">
      <c r="B66" s="22" t="s">
        <v>467</v>
      </c>
      <c r="C66" s="554">
        <f>(C65/E65)*E66</f>
        <v>-4.3014966921802618</v>
      </c>
      <c r="D66" s="555">
        <f>E66-C66</f>
        <v>-272.53832776986729</v>
      </c>
      <c r="E66" s="556">
        <f>F10</f>
        <v>-276.83982446204755</v>
      </c>
    </row>
    <row r="67" spans="2:7" s="22" customFormat="1" hidden="1">
      <c r="B67" s="22" t="s">
        <v>461</v>
      </c>
      <c r="C67" s="551">
        <f>C12</f>
        <v>21428.179272000005</v>
      </c>
      <c r="D67" s="552">
        <f>D12</f>
        <v>58666.893912826003</v>
      </c>
      <c r="E67" s="553">
        <f>C67+D67</f>
        <v>80095.073184826004</v>
      </c>
    </row>
    <row r="68" spans="2:7" s="22" customFormat="1" ht="13.5" hidden="1" thickBot="1">
      <c r="B68" s="22" t="s">
        <v>467</v>
      </c>
      <c r="C68" s="554">
        <f>(C67/E67)*E68</f>
        <v>476.86732906567488</v>
      </c>
      <c r="D68" s="555">
        <f>E68-C68</f>
        <v>1305.5857266111743</v>
      </c>
      <c r="E68" s="556">
        <f>F12</f>
        <v>1782.4530556768493</v>
      </c>
    </row>
    <row r="69" spans="2:7" s="22" customFormat="1" hidden="1">
      <c r="B69" s="22" t="s">
        <v>227</v>
      </c>
      <c r="C69" s="551">
        <f>C14</f>
        <v>2837.7984697840402</v>
      </c>
      <c r="D69" s="552">
        <f>D14</f>
        <v>25252.965282925968</v>
      </c>
      <c r="E69" s="553">
        <f>C69+D69</f>
        <v>28090.763752710009</v>
      </c>
    </row>
    <row r="70" spans="2:7" s="22" customFormat="1" ht="13.5" hidden="1" thickBot="1">
      <c r="B70" s="22" t="s">
        <v>467</v>
      </c>
      <c r="C70" s="554">
        <f>(C69/E69)*E70</f>
        <v>52.070422493557032</v>
      </c>
      <c r="D70" s="555">
        <f>E70-C70</f>
        <v>463.36361989692347</v>
      </c>
      <c r="E70" s="556">
        <f>F14</f>
        <v>515.4340423904805</v>
      </c>
    </row>
    <row r="71" spans="2:7" s="22" customFormat="1" hidden="1">
      <c r="B71" s="22" t="s">
        <v>427</v>
      </c>
      <c r="C71" s="551">
        <f>C16</f>
        <v>66746.183091806583</v>
      </c>
      <c r="D71" s="552">
        <v>0</v>
      </c>
      <c r="E71" s="553">
        <f>C71+D71</f>
        <v>66746.183091806583</v>
      </c>
    </row>
    <row r="72" spans="2:7" s="22" customFormat="1" ht="13.5" hidden="1" thickBot="1">
      <c r="B72" s="22" t="s">
        <v>467</v>
      </c>
      <c r="C72" s="554">
        <f>E72</f>
        <v>896.84726461200023</v>
      </c>
      <c r="D72" s="555">
        <v>0</v>
      </c>
      <c r="E72" s="557">
        <v>896.84726461200023</v>
      </c>
    </row>
    <row r="73" spans="2:7" s="22" customFormat="1" hidden="1">
      <c r="B73" s="22" t="s">
        <v>229</v>
      </c>
      <c r="C73" s="551">
        <v>0</v>
      </c>
      <c r="D73" s="552">
        <v>0</v>
      </c>
      <c r="E73" s="553">
        <v>0</v>
      </c>
    </row>
    <row r="74" spans="2:7" s="22" customFormat="1" ht="13.5" hidden="1" thickBot="1">
      <c r="B74" s="22" t="s">
        <v>462</v>
      </c>
      <c r="C74" s="554">
        <f>C18</f>
        <v>45987.530064674887</v>
      </c>
      <c r="D74" s="555">
        <v>0</v>
      </c>
      <c r="E74" s="556">
        <f>C74</f>
        <v>45987.530064674887</v>
      </c>
    </row>
    <row r="75" spans="2:7" s="22" customFormat="1" hidden="1">
      <c r="B75" s="22" t="s">
        <v>463</v>
      </c>
      <c r="C75" s="551">
        <f>C65-C66+C67-C68+C69-C70+C71-C72+C73+C74</f>
        <v>137329.71397932427</v>
      </c>
      <c r="D75" s="552">
        <f>D65-D66+D67-D68+D69-D70+D71+D73+D74</f>
        <v>193397.0729751547</v>
      </c>
      <c r="E75" s="553">
        <f>E65-E66+E67-E68+E69-E70+E71-E72+E74</f>
        <v>330726.786954479</v>
      </c>
    </row>
    <row r="76" spans="2:7" s="22" customFormat="1" hidden="1">
      <c r="B76" s="22" t="s">
        <v>464</v>
      </c>
      <c r="C76" s="558">
        <f>CUADRO4!E53</f>
        <v>33769.038687223503</v>
      </c>
      <c r="D76" s="559">
        <f>CUADRO4!D53-CUADRO4!D33+CUADRO4!D33*2504/860</f>
        <v>45248.785025668498</v>
      </c>
      <c r="E76" s="560">
        <f>D76-C76</f>
        <v>11479.746338444995</v>
      </c>
    </row>
    <row r="77" spans="2:7" s="22" customFormat="1" ht="13.5" hidden="1" thickBot="1">
      <c r="B77" s="22" t="s">
        <v>465</v>
      </c>
      <c r="C77" s="554">
        <f>C75-C76</f>
        <v>103560.67529210076</v>
      </c>
      <c r="D77" s="555">
        <f>D75+D76</f>
        <v>238645.85800082321</v>
      </c>
      <c r="E77" s="556">
        <f>E75+E76</f>
        <v>342206.533292924</v>
      </c>
    </row>
    <row r="78" spans="2:7" s="22" customFormat="1" hidden="1"/>
    <row r="79" spans="2:7" s="22" customFormat="1" hidden="1">
      <c r="B79" s="22" t="s">
        <v>466</v>
      </c>
      <c r="C79" s="22">
        <f>C77/E77</f>
        <v>0.30262623654661286</v>
      </c>
      <c r="D79" s="22">
        <f>D77/E77</f>
        <v>0.69737376345338709</v>
      </c>
      <c r="E79" s="22">
        <v>1</v>
      </c>
    </row>
    <row r="80" spans="2:7" s="22" customFormat="1"/>
    <row r="81" s="22" customFormat="1"/>
    <row r="82" s="22" customFormat="1"/>
    <row r="83" s="22" customFormat="1"/>
    <row r="84" s="22" customFormat="1"/>
    <row r="85" s="22" customFormat="1"/>
    <row r="86" s="22" customFormat="1"/>
    <row r="87" s="22" customFormat="1"/>
    <row r="88" s="22" customFormat="1"/>
    <row r="89" s="22" customFormat="1"/>
    <row r="90" s="22" customFormat="1"/>
    <row r="91" s="22" customFormat="1"/>
    <row r="92" s="22" customFormat="1"/>
    <row r="93" s="22" customFormat="1"/>
    <row r="94" s="22" customFormat="1"/>
    <row r="95" s="22" customFormat="1"/>
    <row r="96" s="22" customFormat="1"/>
    <row r="97" s="22" customFormat="1"/>
    <row r="98" s="22" customFormat="1"/>
    <row r="99" s="22" customFormat="1"/>
    <row r="100" s="22" customFormat="1"/>
    <row r="101" s="22" customFormat="1"/>
    <row r="102" s="22" customFormat="1"/>
    <row r="103" s="22" customFormat="1"/>
    <row r="104" s="22" customFormat="1"/>
    <row r="105" s="22" customFormat="1"/>
    <row r="106" s="22" customFormat="1"/>
    <row r="107" s="22" customFormat="1"/>
    <row r="108" s="22" customFormat="1"/>
    <row r="109" s="22" customFormat="1"/>
    <row r="110" s="22" customFormat="1"/>
    <row r="111" s="22" customFormat="1"/>
    <row r="112" s="22" customFormat="1"/>
    <row r="113" s="22" customFormat="1"/>
    <row r="114" s="22" customFormat="1"/>
    <row r="115" s="22" customFormat="1"/>
    <row r="116" s="22" customFormat="1"/>
    <row r="117" s="22" customFormat="1"/>
    <row r="118" s="22" customFormat="1"/>
    <row r="119" s="22" customFormat="1"/>
    <row r="120" s="22" customFormat="1"/>
    <row r="121" s="22" customFormat="1"/>
    <row r="122" s="22" customFormat="1"/>
    <row r="123" s="22" customFormat="1"/>
    <row r="124" s="22" customFormat="1"/>
    <row r="125" s="22" customFormat="1"/>
    <row r="126" s="22" customFormat="1"/>
  </sheetData>
  <phoneticPr fontId="0" type="noConversion"/>
  <hyperlinks>
    <hyperlink ref="I3" location="INDICE!A1" display="VOLVER A INDICE"/>
  </hyperlinks>
  <pageMargins left="0.75" right="0.75" top="1" bottom="1" header="0" footer="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X105"/>
  <sheetViews>
    <sheetView zoomScale="85" workbookViewId="0">
      <pane ySplit="9" topLeftCell="A28" activePane="bottomLeft" state="frozen"/>
      <selection pane="bottomLeft" activeCell="G56" sqref="G56"/>
    </sheetView>
  </sheetViews>
  <sheetFormatPr baseColWidth="10" defaultRowHeight="12.75" outlineLevelRow="1"/>
  <cols>
    <col min="1" max="1" width="1.85546875" style="892" customWidth="1"/>
    <col min="2" max="2" width="26" style="892" customWidth="1"/>
    <col min="3" max="3" width="15.140625" style="892" customWidth="1"/>
    <col min="4" max="4" width="15.5703125" style="892" customWidth="1"/>
    <col min="5" max="5" width="16.140625" style="892" customWidth="1"/>
    <col min="6" max="6" width="16.5703125" style="892" customWidth="1"/>
    <col min="7" max="7" width="14.28515625" style="892" customWidth="1"/>
    <col min="8" max="8" width="18.140625" style="892" customWidth="1"/>
    <col min="9" max="9" width="14.28515625" style="892" customWidth="1"/>
    <col min="10" max="24" width="11.42578125" style="73"/>
    <col min="25" max="16384" width="11.42578125" style="892"/>
  </cols>
  <sheetData>
    <row r="1" spans="2:12" ht="8.25" customHeight="1" thickBot="1"/>
    <row r="2" spans="2:12" ht="13.5" thickBot="1">
      <c r="B2" s="862"/>
      <c r="C2" s="863"/>
      <c r="D2" s="863"/>
      <c r="E2" s="863"/>
      <c r="F2" s="863"/>
      <c r="G2" s="863"/>
      <c r="H2" s="863"/>
      <c r="I2" s="864"/>
      <c r="J2" s="865" t="s">
        <v>681</v>
      </c>
      <c r="K2" s="78"/>
      <c r="L2" s="78"/>
    </row>
    <row r="3" spans="2:12" ht="15.75">
      <c r="B3" s="866"/>
      <c r="C3" s="867"/>
      <c r="D3" s="867"/>
      <c r="E3" s="868" t="s">
        <v>49</v>
      </c>
      <c r="F3" s="867"/>
      <c r="G3" s="869"/>
      <c r="H3" s="869"/>
      <c r="I3" s="870"/>
      <c r="J3" s="871"/>
      <c r="K3" s="78"/>
      <c r="L3" s="78"/>
    </row>
    <row r="4" spans="2:12" ht="15.75">
      <c r="B4" s="872"/>
      <c r="C4" s="873"/>
      <c r="D4" s="873"/>
      <c r="E4" s="874" t="s">
        <v>50</v>
      </c>
      <c r="F4" s="873"/>
      <c r="G4" s="875"/>
      <c r="H4" s="875"/>
      <c r="I4" s="876"/>
      <c r="J4" s="871"/>
      <c r="K4" s="78"/>
      <c r="L4" s="78"/>
    </row>
    <row r="5" spans="2:12" ht="15.75">
      <c r="B5" s="872"/>
      <c r="C5" s="873"/>
      <c r="D5" s="873"/>
      <c r="E5" s="874"/>
      <c r="F5" s="873"/>
      <c r="G5" s="875"/>
      <c r="H5" s="875"/>
      <c r="I5" s="876"/>
      <c r="J5" s="871"/>
      <c r="K5" s="78"/>
      <c r="L5" s="78"/>
    </row>
    <row r="6" spans="2:12" ht="15.75">
      <c r="B6" s="872"/>
      <c r="C6" s="873"/>
      <c r="D6" s="873"/>
      <c r="E6" s="874" t="s">
        <v>795</v>
      </c>
      <c r="F6" s="873"/>
      <c r="G6" s="875"/>
      <c r="H6" s="875"/>
      <c r="I6" s="876"/>
      <c r="J6" s="871"/>
      <c r="K6" s="78"/>
      <c r="L6" s="78"/>
    </row>
    <row r="7" spans="2:12" ht="15.75">
      <c r="B7" s="872"/>
      <c r="C7" s="873"/>
      <c r="D7" s="873"/>
      <c r="E7" s="873"/>
      <c r="F7" s="873"/>
      <c r="G7" s="875"/>
      <c r="H7" s="875"/>
      <c r="I7" s="876"/>
      <c r="J7" s="871"/>
      <c r="K7" s="78"/>
      <c r="L7" s="78"/>
    </row>
    <row r="8" spans="2:12" ht="15.75">
      <c r="B8" s="872" t="s">
        <v>3</v>
      </c>
      <c r="C8" s="873" t="s">
        <v>25</v>
      </c>
      <c r="D8" s="873" t="s">
        <v>26</v>
      </c>
      <c r="E8" s="873" t="s">
        <v>27</v>
      </c>
      <c r="F8" s="874" t="s">
        <v>47</v>
      </c>
      <c r="G8" s="877" t="s">
        <v>29</v>
      </c>
      <c r="H8" s="877" t="s">
        <v>29</v>
      </c>
      <c r="I8" s="878" t="s">
        <v>29</v>
      </c>
      <c r="J8" s="871"/>
      <c r="K8" s="78"/>
      <c r="L8" s="78"/>
    </row>
    <row r="9" spans="2:12" ht="16.5" thickBot="1">
      <c r="B9" s="975"/>
      <c r="C9" s="976" t="s">
        <v>30</v>
      </c>
      <c r="D9" s="977"/>
      <c r="E9" s="977"/>
      <c r="F9" s="976" t="s">
        <v>51</v>
      </c>
      <c r="G9" s="978" t="s">
        <v>52</v>
      </c>
      <c r="H9" s="978" t="s">
        <v>53</v>
      </c>
      <c r="I9" s="979" t="s">
        <v>54</v>
      </c>
      <c r="J9" s="78"/>
      <c r="K9" s="78"/>
      <c r="L9" s="78"/>
    </row>
    <row r="10" spans="2:12">
      <c r="B10" s="980" t="s">
        <v>75</v>
      </c>
      <c r="C10" s="77">
        <f>SUM(C12:C30)</f>
        <v>107183.03307754998</v>
      </c>
      <c r="D10" s="77">
        <f t="shared" ref="D10:I10" si="0">SUM(D12:D30)</f>
        <v>35064.624265668499</v>
      </c>
      <c r="E10" s="77">
        <f t="shared" si="0"/>
        <v>18358.698054623503</v>
      </c>
      <c r="F10" s="77">
        <f t="shared" si="0"/>
        <v>1613.2709187112039</v>
      </c>
      <c r="G10" s="77">
        <f t="shared" si="0"/>
        <v>118308.54309707855</v>
      </c>
      <c r="H10" s="77">
        <f t="shared" si="0"/>
        <v>3966.5592888051988</v>
      </c>
      <c r="I10" s="79">
        <f t="shared" si="0"/>
        <v>122275.10238588377</v>
      </c>
      <c r="J10" s="78"/>
      <c r="K10" s="78"/>
      <c r="L10" s="879"/>
    </row>
    <row r="11" spans="2:12" outlineLevel="1">
      <c r="B11" s="981"/>
      <c r="C11" s="77"/>
      <c r="D11" s="77"/>
      <c r="E11" s="77"/>
      <c r="F11" s="77"/>
      <c r="G11" s="77"/>
      <c r="H11" s="77"/>
      <c r="I11" s="79"/>
      <c r="J11" s="78"/>
      <c r="K11" s="78"/>
      <c r="L11" s="879"/>
    </row>
    <row r="12" spans="2:12" outlineLevel="1">
      <c r="B12" s="982" t="s">
        <v>55</v>
      </c>
      <c r="C12" s="1255">
        <v>24214.993295849999</v>
      </c>
      <c r="D12" s="1255">
        <v>1267.1585761275001</v>
      </c>
      <c r="E12" s="1255">
        <v>6207.2058051885006</v>
      </c>
      <c r="F12" s="1255">
        <v>-762.80006603850256</v>
      </c>
      <c r="G12" s="1255">
        <f>SECT_TERAC.!D47</f>
        <v>18789.719808327303</v>
      </c>
      <c r="H12" s="1255">
        <f>SECT_TERAC.!D57</f>
        <v>1248.0263245002</v>
      </c>
      <c r="I12" s="1256">
        <f>SECT_TERAC.!D60</f>
        <v>20037.746132827502</v>
      </c>
      <c r="J12" s="78"/>
      <c r="K12" s="78"/>
      <c r="L12" s="78"/>
    </row>
    <row r="13" spans="2:12" outlineLevel="1">
      <c r="B13" s="982"/>
      <c r="C13" s="1255"/>
      <c r="D13" s="1255"/>
      <c r="E13" s="1255"/>
      <c r="F13" s="1255"/>
      <c r="G13" s="1255"/>
      <c r="H13" s="1255"/>
      <c r="I13" s="1256"/>
      <c r="J13" s="78"/>
      <c r="K13" s="78"/>
      <c r="L13" s="78"/>
    </row>
    <row r="14" spans="2:12" outlineLevel="1">
      <c r="B14" s="982" t="s">
        <v>56</v>
      </c>
      <c r="C14" s="1255">
        <v>38516.332780800003</v>
      </c>
      <c r="D14" s="1255">
        <v>18935.731497007997</v>
      </c>
      <c r="E14" s="1255">
        <v>2175.7937052599996</v>
      </c>
      <c r="F14" s="1255">
        <v>911.64907700000401</v>
      </c>
      <c r="G14" s="1255">
        <f>SECT_TERAC.!C47</f>
        <v>51890.044040407985</v>
      </c>
      <c r="H14" s="1255">
        <f>SECT_TERAC.!C57</f>
        <v>2473.9914711399983</v>
      </c>
      <c r="I14" s="1256">
        <f>SECT_TERAC.!C60</f>
        <v>54364.035511547983</v>
      </c>
      <c r="J14" s="78"/>
      <c r="K14" s="78"/>
      <c r="L14" s="78"/>
    </row>
    <row r="15" spans="2:12" outlineLevel="1">
      <c r="B15" s="982"/>
      <c r="C15" s="1255"/>
      <c r="D15" s="1255"/>
      <c r="E15" s="1255"/>
      <c r="F15" s="1255"/>
      <c r="G15" s="1255"/>
      <c r="H15" s="1255"/>
      <c r="I15" s="1256"/>
      <c r="J15" s="78"/>
      <c r="K15" s="78"/>
      <c r="L15" s="78"/>
    </row>
    <row r="16" spans="2:12" outlineLevel="1">
      <c r="B16" s="982" t="s">
        <v>57</v>
      </c>
      <c r="C16" s="1255">
        <v>25283.805792000003</v>
      </c>
      <c r="D16" s="1255">
        <v>6546.5997273600005</v>
      </c>
      <c r="E16" s="1255">
        <v>7244.1976320000003</v>
      </c>
      <c r="F16" s="1255">
        <v>993.82211913599997</v>
      </c>
      <c r="G16" s="1255">
        <f>SECT_TERAC.!E47</f>
        <v>23592.385768223998</v>
      </c>
      <c r="H16" s="1255">
        <f>SECT_TERAC.!E57</f>
        <v>0</v>
      </c>
      <c r="I16" s="1256">
        <f>SECT_TERAC.!E60</f>
        <v>23592.385768223998</v>
      </c>
      <c r="J16" s="78"/>
      <c r="K16" s="78"/>
      <c r="L16" s="78"/>
    </row>
    <row r="17" spans="2:12" outlineLevel="1">
      <c r="B17" s="982"/>
      <c r="C17" s="1255"/>
      <c r="D17" s="1255"/>
      <c r="E17" s="1255"/>
      <c r="F17" s="1255"/>
      <c r="G17" s="1255"/>
      <c r="H17" s="1255"/>
      <c r="I17" s="1256"/>
      <c r="J17" s="78"/>
      <c r="K17" s="78"/>
      <c r="L17" s="78"/>
    </row>
    <row r="18" spans="2:12" outlineLevel="1">
      <c r="B18" s="982" t="s">
        <v>58</v>
      </c>
      <c r="C18" s="1255">
        <v>0</v>
      </c>
      <c r="D18" s="1255">
        <v>0</v>
      </c>
      <c r="E18" s="1255">
        <v>0</v>
      </c>
      <c r="F18" s="1255">
        <v>0</v>
      </c>
      <c r="G18" s="1255">
        <v>0</v>
      </c>
      <c r="H18" s="1255">
        <v>0</v>
      </c>
      <c r="I18" s="1256">
        <v>0</v>
      </c>
      <c r="J18" s="78"/>
      <c r="K18" s="78"/>
      <c r="L18" s="78"/>
    </row>
    <row r="19" spans="2:12" outlineLevel="1">
      <c r="B19" s="982"/>
      <c r="C19" s="1255"/>
      <c r="D19" s="1255"/>
      <c r="E19" s="1255"/>
      <c r="F19" s="1255"/>
      <c r="G19" s="1255"/>
      <c r="H19" s="1255"/>
      <c r="I19" s="1256"/>
      <c r="J19" s="78"/>
      <c r="K19" s="78"/>
      <c r="L19" s="78"/>
    </row>
    <row r="20" spans="2:12" outlineLevel="1">
      <c r="B20" s="982" t="s">
        <v>59</v>
      </c>
      <c r="C20" s="1255">
        <v>984.65745689999983</v>
      </c>
      <c r="D20" s="1255">
        <v>0</v>
      </c>
      <c r="E20" s="1255">
        <v>0</v>
      </c>
      <c r="F20" s="1255">
        <v>-58.778078085000026</v>
      </c>
      <c r="G20" s="1255">
        <f>SECT_TERAC.!G47</f>
        <v>1043.4355349850002</v>
      </c>
      <c r="H20" s="1255">
        <f>SECT_TERAC.!G57</f>
        <v>0</v>
      </c>
      <c r="I20" s="1256">
        <f>SECT_TERAC.!G60</f>
        <v>1043.4355349850002</v>
      </c>
      <c r="J20" s="78"/>
      <c r="K20" s="78"/>
      <c r="L20" s="78"/>
    </row>
    <row r="21" spans="2:12" outlineLevel="1">
      <c r="B21" s="982"/>
      <c r="C21" s="1255"/>
      <c r="D21" s="1255"/>
      <c r="E21" s="1255"/>
      <c r="F21" s="1255"/>
      <c r="G21" s="1255"/>
      <c r="H21" s="1255"/>
      <c r="I21" s="1256"/>
      <c r="J21" s="78"/>
      <c r="K21" s="78"/>
      <c r="L21" s="78"/>
    </row>
    <row r="22" spans="2:12" outlineLevel="1">
      <c r="B22" s="982" t="s">
        <v>60</v>
      </c>
      <c r="C22" s="1255">
        <v>6027.8228175000004</v>
      </c>
      <c r="D22" s="1255">
        <v>7389.1450545000016</v>
      </c>
      <c r="E22" s="1255">
        <v>1403.3113998750005</v>
      </c>
      <c r="F22" s="1255">
        <v>90.921509356702487</v>
      </c>
      <c r="G22" s="1255">
        <f>SECT_TERAC.!H47</f>
        <v>11888.741832003301</v>
      </c>
      <c r="H22" s="1255">
        <f>SECT_TERAC.!H57</f>
        <v>33.993130764999997</v>
      </c>
      <c r="I22" s="1256">
        <f>SECT_TERAC.!H60</f>
        <v>11922.734962768302</v>
      </c>
      <c r="J22" s="78"/>
      <c r="K22" s="78"/>
      <c r="L22" s="78"/>
    </row>
    <row r="23" spans="2:12" outlineLevel="1">
      <c r="B23" s="982"/>
      <c r="C23" s="1255"/>
      <c r="D23" s="1255"/>
      <c r="E23" s="1255"/>
      <c r="F23" s="1255"/>
      <c r="G23" s="1255"/>
      <c r="H23" s="1255"/>
      <c r="I23" s="1256"/>
      <c r="J23" s="78"/>
      <c r="K23" s="78"/>
      <c r="L23" s="78"/>
    </row>
    <row r="24" spans="2:12" outlineLevel="1">
      <c r="B24" s="982" t="s">
        <v>61</v>
      </c>
      <c r="C24" s="1255">
        <v>59.579477999999995</v>
      </c>
      <c r="D24" s="1255">
        <v>0</v>
      </c>
      <c r="E24" s="1255">
        <v>0</v>
      </c>
      <c r="F24" s="1255">
        <v>12.856577999999994</v>
      </c>
      <c r="G24" s="1255">
        <f>SECT_TERAC.!I47</f>
        <v>46.722899999999996</v>
      </c>
      <c r="H24" s="1255">
        <f>SECT_TERAC.!I57</f>
        <v>0</v>
      </c>
      <c r="I24" s="1256">
        <f>SECT_TERAC.!I60</f>
        <v>46.722899999999996</v>
      </c>
      <c r="J24" s="78"/>
      <c r="K24" s="78"/>
      <c r="L24" s="78"/>
    </row>
    <row r="25" spans="2:12" outlineLevel="1">
      <c r="B25" s="982"/>
      <c r="C25" s="1255"/>
      <c r="D25" s="1255"/>
      <c r="E25" s="1255"/>
      <c r="F25" s="1255"/>
      <c r="G25" s="1255"/>
      <c r="H25" s="1255"/>
      <c r="I25" s="1256"/>
      <c r="J25" s="78"/>
      <c r="K25" s="78"/>
      <c r="L25" s="78"/>
    </row>
    <row r="26" spans="2:12" outlineLevel="1">
      <c r="B26" s="982" t="s">
        <v>62</v>
      </c>
      <c r="C26" s="1255">
        <v>6371.7104115000011</v>
      </c>
      <c r="D26" s="1255">
        <v>925.98941067300029</v>
      </c>
      <c r="E26" s="1255">
        <v>0</v>
      </c>
      <c r="F26" s="1255">
        <v>452.06084464200023</v>
      </c>
      <c r="G26" s="1255">
        <f>SECT_TERAC.!J47</f>
        <v>6845.6389775310008</v>
      </c>
      <c r="H26" s="1255">
        <f>SECT_TERAC.!J57</f>
        <v>0</v>
      </c>
      <c r="I26" s="1256">
        <f>SECT_TERAC.!J60</f>
        <v>6845.6389775310008</v>
      </c>
      <c r="J26" s="78"/>
      <c r="K26" s="78"/>
      <c r="L26" s="78"/>
    </row>
    <row r="27" spans="2:12" outlineLevel="1">
      <c r="B27" s="982"/>
      <c r="C27" s="1255"/>
      <c r="D27" s="1255"/>
      <c r="E27" s="1255"/>
      <c r="F27" s="1255"/>
      <c r="G27" s="1255"/>
      <c r="H27" s="1255"/>
      <c r="I27" s="1256"/>
      <c r="J27" s="78"/>
      <c r="K27" s="78"/>
      <c r="L27" s="78"/>
    </row>
    <row r="28" spans="2:12" outlineLevel="1">
      <c r="B28" s="982" t="s">
        <v>63</v>
      </c>
      <c r="C28" s="1255">
        <v>2641.8578549999993</v>
      </c>
      <c r="D28" s="1255">
        <v>0</v>
      </c>
      <c r="E28" s="1255">
        <v>1328.1895123000002</v>
      </c>
      <c r="F28" s="1255">
        <v>-26.461065300000268</v>
      </c>
      <c r="G28" s="1255">
        <f>SECT_TERAC.!K47</f>
        <v>1339.8282735999996</v>
      </c>
      <c r="H28" s="1255">
        <f>SECT_TERAC.!K57</f>
        <v>0.30113439999999997</v>
      </c>
      <c r="I28" s="1256">
        <f>SECT_TERAC.!K60</f>
        <v>1340.1294079999996</v>
      </c>
      <c r="J28" s="78"/>
      <c r="K28" s="78"/>
      <c r="L28" s="78"/>
    </row>
    <row r="29" spans="2:12" outlineLevel="1">
      <c r="B29" s="982"/>
      <c r="C29" s="1255"/>
      <c r="D29" s="1255"/>
      <c r="E29" s="1255"/>
      <c r="F29" s="1255"/>
      <c r="G29" s="1255"/>
      <c r="H29" s="1255"/>
      <c r="I29" s="1256"/>
      <c r="J29" s="78"/>
      <c r="K29" s="78"/>
      <c r="L29" s="78"/>
    </row>
    <row r="30" spans="2:12" outlineLevel="1">
      <c r="B30" s="982" t="s">
        <v>64</v>
      </c>
      <c r="C30" s="1255">
        <v>3082.2731899999994</v>
      </c>
      <c r="D30" s="1255">
        <v>0</v>
      </c>
      <c r="E30" s="1255">
        <v>0</v>
      </c>
      <c r="F30" s="1255">
        <v>0</v>
      </c>
      <c r="G30" s="1255">
        <f>SECT_TERAC.!L47</f>
        <v>2872.0259619999997</v>
      </c>
      <c r="H30" s="1255">
        <f>SECT_TERAC.!L57</f>
        <v>210.24722800000001</v>
      </c>
      <c r="I30" s="1256">
        <f>SECT_TERAC.!L60</f>
        <v>3082.2731899999999</v>
      </c>
      <c r="J30" s="78"/>
      <c r="K30" s="78"/>
      <c r="L30" s="78"/>
    </row>
    <row r="31" spans="2:12" outlineLevel="1">
      <c r="B31" s="983"/>
      <c r="C31" s="77"/>
      <c r="D31" s="77"/>
      <c r="E31" s="77"/>
      <c r="F31" s="77"/>
      <c r="G31" s="77"/>
      <c r="H31" s="77"/>
      <c r="I31" s="79"/>
      <c r="J31" s="78"/>
      <c r="K31" s="78"/>
      <c r="L31" s="78"/>
    </row>
    <row r="32" spans="2:12">
      <c r="B32" s="981"/>
      <c r="C32" s="77"/>
      <c r="D32" s="77"/>
      <c r="E32" s="77"/>
      <c r="F32" s="77"/>
      <c r="G32" s="77"/>
      <c r="H32" s="77"/>
      <c r="I32" s="79"/>
      <c r="J32" s="78"/>
      <c r="K32" s="78"/>
      <c r="L32" s="78"/>
    </row>
    <row r="33" spans="2:12">
      <c r="B33" s="981" t="s">
        <v>18</v>
      </c>
      <c r="C33" s="77">
        <v>45135.909474538974</v>
      </c>
      <c r="D33" s="77">
        <v>1850.7113999999999</v>
      </c>
      <c r="E33" s="77">
        <v>0</v>
      </c>
      <c r="F33" s="77">
        <v>3904.1140276019396</v>
      </c>
      <c r="G33" s="77">
        <f>SECT_TERAC.!N47</f>
        <v>43082.506846937045</v>
      </c>
      <c r="H33" s="77">
        <f>SECT_TERAC.!N57</f>
        <v>0</v>
      </c>
      <c r="I33" s="79">
        <f>SECT_TERAC.!N60</f>
        <v>43082.506846937045</v>
      </c>
      <c r="J33" s="78"/>
      <c r="K33" s="78"/>
      <c r="L33" s="78"/>
    </row>
    <row r="34" spans="2:12">
      <c r="B34" s="981"/>
      <c r="C34" s="77"/>
      <c r="D34" s="77"/>
      <c r="E34" s="77"/>
      <c r="F34" s="77"/>
      <c r="G34" s="77"/>
      <c r="H34" s="77"/>
      <c r="I34" s="79"/>
      <c r="J34" s="78"/>
      <c r="K34" s="78"/>
      <c r="L34" s="78"/>
    </row>
    <row r="35" spans="2:12">
      <c r="B35" s="981" t="s">
        <v>65</v>
      </c>
      <c r="C35" s="77">
        <v>27575.329710319525</v>
      </c>
      <c r="D35" s="77">
        <v>0</v>
      </c>
      <c r="E35" s="77">
        <v>0</v>
      </c>
      <c r="F35" s="77">
        <v>0</v>
      </c>
      <c r="G35" s="77">
        <f>SECT_TERAC.!O47</f>
        <v>4453.9649791243801</v>
      </c>
      <c r="H35" s="77">
        <f>SECT_TERAC.!O57</f>
        <v>23121.364731195143</v>
      </c>
      <c r="I35" s="79">
        <f>SECT_TERAC.!O60</f>
        <v>27575.329710319522</v>
      </c>
      <c r="J35" s="78"/>
      <c r="K35" s="78"/>
      <c r="L35" s="78"/>
    </row>
    <row r="36" spans="2:12">
      <c r="B36" s="981"/>
      <c r="C36" s="77"/>
      <c r="D36" s="77"/>
      <c r="E36" s="77"/>
      <c r="F36" s="77"/>
      <c r="G36" s="77"/>
      <c r="H36" s="77"/>
      <c r="I36" s="79"/>
      <c r="J36" s="78"/>
      <c r="K36" s="78"/>
      <c r="L36" s="78"/>
    </row>
    <row r="37" spans="2:12">
      <c r="B37" s="981" t="s">
        <v>66</v>
      </c>
      <c r="C37" s="77">
        <v>5227.1912000000002</v>
      </c>
      <c r="D37" s="77">
        <v>4795.5778</v>
      </c>
      <c r="E37" s="77">
        <v>281.2752000000001</v>
      </c>
      <c r="F37" s="77">
        <v>14.976256166666872</v>
      </c>
      <c r="G37" s="77">
        <f>SECT_TERAC.!P47</f>
        <v>2679.1090900000013</v>
      </c>
      <c r="H37" s="77">
        <f>SECT_TERAC.!P57</f>
        <v>7047.4084538333318</v>
      </c>
      <c r="I37" s="79">
        <f>SECT_TERAC.!P60</f>
        <v>9726.5175438333335</v>
      </c>
      <c r="J37" s="78"/>
      <c r="K37" s="78"/>
      <c r="L37" s="78"/>
    </row>
    <row r="38" spans="2:12">
      <c r="B38" s="981"/>
      <c r="C38" s="77"/>
      <c r="D38" s="77"/>
      <c r="E38" s="77"/>
      <c r="F38" s="77"/>
      <c r="G38" s="77"/>
      <c r="H38" s="77"/>
      <c r="I38" s="79"/>
      <c r="J38" s="78"/>
      <c r="K38" s="78"/>
      <c r="L38" s="78"/>
    </row>
    <row r="39" spans="2:12">
      <c r="B39" s="981" t="s">
        <v>67</v>
      </c>
      <c r="C39" s="77">
        <v>207.345</v>
      </c>
      <c r="D39" s="77">
        <v>0</v>
      </c>
      <c r="E39" s="77">
        <v>0</v>
      </c>
      <c r="F39" s="77">
        <v>37.22</v>
      </c>
      <c r="G39" s="77">
        <f>SECT_TERAC.!Q47</f>
        <v>170.125</v>
      </c>
      <c r="H39" s="77">
        <f>SECT_TERAC.!Q57</f>
        <v>0</v>
      </c>
      <c r="I39" s="79">
        <f>SECT_TERAC.!Q60</f>
        <v>170.125</v>
      </c>
      <c r="J39" s="78"/>
      <c r="K39" s="78"/>
      <c r="L39" s="78"/>
    </row>
    <row r="40" spans="2:12">
      <c r="B40" s="981"/>
      <c r="C40" s="77"/>
      <c r="D40" s="77"/>
      <c r="E40" s="77"/>
      <c r="F40" s="77"/>
      <c r="G40" s="77"/>
      <c r="H40" s="77"/>
      <c r="I40" s="79"/>
      <c r="J40" s="78"/>
      <c r="K40" s="78"/>
      <c r="L40" s="78"/>
    </row>
    <row r="41" spans="2:12">
      <c r="B41" s="981" t="s">
        <v>68</v>
      </c>
      <c r="C41" s="77">
        <v>1344.0786428775932</v>
      </c>
      <c r="D41" s="77">
        <v>0</v>
      </c>
      <c r="E41" s="77">
        <v>0</v>
      </c>
      <c r="F41" s="77">
        <v>41.311844648633041</v>
      </c>
      <c r="G41" s="77">
        <f>SECT_TERAC.!R47</f>
        <v>1302.7667982289599</v>
      </c>
      <c r="H41" s="77">
        <f>SECT_TERAC.!R57</f>
        <v>0</v>
      </c>
      <c r="I41" s="79">
        <f>SECT_TERAC.!R60</f>
        <v>1302.7667982289599</v>
      </c>
      <c r="J41" s="78"/>
      <c r="K41" s="78"/>
      <c r="L41" s="78"/>
    </row>
    <row r="42" spans="2:12">
      <c r="B42" s="981"/>
      <c r="C42" s="77"/>
      <c r="D42" s="77"/>
      <c r="E42" s="77"/>
      <c r="F42" s="77"/>
      <c r="G42" s="77"/>
      <c r="H42" s="77"/>
      <c r="I42" s="79"/>
      <c r="J42" s="78"/>
      <c r="K42" s="78"/>
      <c r="L42" s="78"/>
    </row>
    <row r="43" spans="2:12">
      <c r="B43" s="981" t="s">
        <v>69</v>
      </c>
      <c r="C43" s="77">
        <v>1411.47</v>
      </c>
      <c r="D43" s="77">
        <v>0</v>
      </c>
      <c r="E43" s="77">
        <v>0</v>
      </c>
      <c r="F43" s="77">
        <v>210.40841430000006</v>
      </c>
      <c r="G43" s="77">
        <f>SECT_TERAC.!S47</f>
        <v>1201.0615857</v>
      </c>
      <c r="H43" s="77">
        <f>SECT_TERAC.!S57</f>
        <v>0</v>
      </c>
      <c r="I43" s="79">
        <f>SECT_TERAC.!S60</f>
        <v>1201.0615857</v>
      </c>
      <c r="J43" s="78"/>
      <c r="K43" s="78"/>
      <c r="L43" s="78"/>
    </row>
    <row r="44" spans="2:12">
      <c r="B44" s="981"/>
      <c r="C44" s="77"/>
      <c r="D44" s="77"/>
      <c r="E44" s="77"/>
      <c r="F44" s="77"/>
      <c r="G44" s="77"/>
      <c r="H44" s="77"/>
      <c r="I44" s="79"/>
      <c r="J44" s="78"/>
      <c r="K44" s="78"/>
      <c r="L44" s="78"/>
    </row>
    <row r="45" spans="2:12">
      <c r="B45" s="981" t="s">
        <v>70</v>
      </c>
      <c r="C45" s="77">
        <v>77578.697759149145</v>
      </c>
      <c r="D45" s="77">
        <v>0</v>
      </c>
      <c r="E45" s="77">
        <v>0</v>
      </c>
      <c r="F45" s="77">
        <v>0</v>
      </c>
      <c r="G45" s="77">
        <f>SECT_TERAC.!T47</f>
        <v>20048.598562868359</v>
      </c>
      <c r="H45" s="77">
        <f>SECT_TERAC.!T57</f>
        <v>57530.099196280804</v>
      </c>
      <c r="I45" s="79">
        <f>SECT_TERAC.!T60</f>
        <v>77578.69775914916</v>
      </c>
      <c r="J45" s="78"/>
      <c r="K45" s="78"/>
      <c r="L45" s="78"/>
    </row>
    <row r="46" spans="2:12">
      <c r="B46" s="981"/>
      <c r="C46" s="77"/>
      <c r="D46" s="77"/>
      <c r="E46" s="77"/>
      <c r="F46" s="77"/>
      <c r="G46" s="77"/>
      <c r="H46" s="77"/>
      <c r="I46" s="79"/>
      <c r="J46" s="78"/>
      <c r="K46" s="78"/>
      <c r="L46" s="78"/>
    </row>
    <row r="47" spans="2:12">
      <c r="B47" s="981" t="s">
        <v>22</v>
      </c>
      <c r="C47" s="77">
        <v>16394.022907000002</v>
      </c>
      <c r="D47" s="77">
        <v>0</v>
      </c>
      <c r="E47" s="77">
        <v>15129.0654326</v>
      </c>
      <c r="F47" s="77">
        <v>756.53711899999939</v>
      </c>
      <c r="G47" s="77">
        <f>SECT_TERAC.!U47</f>
        <v>508.42035540000006</v>
      </c>
      <c r="H47" s="77">
        <f>SECT_TERAC.!U57</f>
        <v>0</v>
      </c>
      <c r="I47" s="79">
        <f>SECT_TERAC.!U60</f>
        <v>508.42035540000006</v>
      </c>
      <c r="J47" s="78"/>
      <c r="K47" s="78"/>
      <c r="L47" s="78"/>
    </row>
    <row r="48" spans="2:12">
      <c r="B48" s="981"/>
      <c r="C48" s="77"/>
      <c r="D48" s="77"/>
      <c r="E48" s="77"/>
      <c r="F48" s="77"/>
      <c r="G48" s="77"/>
      <c r="H48" s="77"/>
      <c r="I48" s="79"/>
      <c r="J48" s="78"/>
      <c r="K48" s="78"/>
      <c r="L48" s="78"/>
    </row>
    <row r="49" spans="2:12">
      <c r="B49" s="981" t="s">
        <v>9</v>
      </c>
      <c r="C49" s="77">
        <v>45987.530064674887</v>
      </c>
      <c r="D49" s="77">
        <v>0</v>
      </c>
      <c r="E49" s="77">
        <v>0</v>
      </c>
      <c r="F49" s="77">
        <v>0</v>
      </c>
      <c r="G49" s="77">
        <f>SECT_TERAC.!W47</f>
        <v>40277.563908580538</v>
      </c>
      <c r="H49" s="77">
        <f>SECT_TERAC.!W57</f>
        <v>5709.9661560943487</v>
      </c>
      <c r="I49" s="79">
        <f>SECT_TERAC.!W60</f>
        <v>45987.530064674887</v>
      </c>
      <c r="J49" s="78"/>
      <c r="K49" s="78"/>
      <c r="L49" s="78"/>
    </row>
    <row r="50" spans="2:12">
      <c r="B50" s="981"/>
      <c r="C50" s="77"/>
      <c r="D50" s="77"/>
      <c r="E50" s="77"/>
      <c r="F50" s="77"/>
      <c r="G50" s="77"/>
      <c r="H50" s="77"/>
      <c r="I50" s="79"/>
      <c r="J50" s="78"/>
      <c r="K50" s="78"/>
      <c r="L50" s="78"/>
    </row>
    <row r="51" spans="2:12">
      <c r="B51" s="981" t="s">
        <v>10</v>
      </c>
      <c r="C51" s="77">
        <v>0</v>
      </c>
      <c r="D51" s="77">
        <v>0</v>
      </c>
      <c r="E51" s="77">
        <v>0</v>
      </c>
      <c r="F51" s="77">
        <v>0</v>
      </c>
      <c r="G51" s="77">
        <v>0</v>
      </c>
      <c r="H51" s="77">
        <v>0</v>
      </c>
      <c r="I51" s="79">
        <v>0</v>
      </c>
      <c r="J51" s="78"/>
      <c r="K51" s="78"/>
      <c r="L51" s="78"/>
    </row>
    <row r="52" spans="2:12">
      <c r="B52" s="984"/>
      <c r="C52" s="81"/>
      <c r="D52" s="81"/>
      <c r="E52" s="81"/>
      <c r="F52" s="81"/>
      <c r="G52" s="81"/>
      <c r="H52" s="81"/>
      <c r="I52" s="82"/>
      <c r="J52" s="78"/>
      <c r="K52" s="78"/>
      <c r="L52" s="78"/>
    </row>
    <row r="53" spans="2:12" ht="13.5" thickBot="1">
      <c r="B53" s="985" t="s">
        <v>11</v>
      </c>
      <c r="C53" s="88">
        <f>C10+SUM(C33:C51)</f>
        <v>328044.60783611005</v>
      </c>
      <c r="D53" s="88">
        <f t="shared" ref="D53:I53" si="1">D10+SUM(D33:D51)</f>
        <v>41710.913465668498</v>
      </c>
      <c r="E53" s="88">
        <f t="shared" si="1"/>
        <v>33769.038687223503</v>
      </c>
      <c r="F53" s="88">
        <f t="shared" si="1"/>
        <v>6577.8385804284426</v>
      </c>
      <c r="G53" s="88">
        <f t="shared" si="1"/>
        <v>232032.6602239178</v>
      </c>
      <c r="H53" s="88">
        <f t="shared" si="1"/>
        <v>97375.397826208835</v>
      </c>
      <c r="I53" s="89">
        <f t="shared" si="1"/>
        <v>329408.05805012665</v>
      </c>
      <c r="J53" s="78"/>
      <c r="K53" s="78"/>
      <c r="L53" s="78"/>
    </row>
    <row r="54" spans="2:12">
      <c r="B54" s="880"/>
      <c r="C54" s="77"/>
      <c r="D54" s="77"/>
      <c r="E54" s="77"/>
      <c r="F54" s="77"/>
      <c r="G54" s="77"/>
      <c r="H54" s="77"/>
      <c r="I54" s="77"/>
      <c r="J54" s="87"/>
      <c r="K54" s="78"/>
      <c r="L54" s="78"/>
    </row>
    <row r="55" spans="2:12">
      <c r="B55" s="881" t="s">
        <v>76</v>
      </c>
      <c r="C55" s="86"/>
      <c r="D55" s="86"/>
      <c r="E55" s="86"/>
      <c r="F55" s="86"/>
      <c r="G55" s="78"/>
      <c r="H55" s="86"/>
      <c r="I55" s="86"/>
      <c r="J55" s="78"/>
      <c r="K55" s="78"/>
      <c r="L55" s="78"/>
    </row>
    <row r="56" spans="2:12">
      <c r="B56" s="881" t="s">
        <v>71</v>
      </c>
      <c r="C56" s="86"/>
      <c r="D56" s="86"/>
      <c r="E56" s="86"/>
      <c r="F56" s="86"/>
      <c r="G56" s="86"/>
      <c r="H56" s="86"/>
      <c r="I56" s="86"/>
      <c r="J56" s="78"/>
      <c r="K56" s="78"/>
      <c r="L56" s="78"/>
    </row>
    <row r="57" spans="2:12">
      <c r="B57" s="881" t="s">
        <v>72</v>
      </c>
      <c r="C57" s="86"/>
      <c r="D57" s="86"/>
      <c r="E57" s="86"/>
      <c r="F57" s="86"/>
      <c r="G57" s="86"/>
      <c r="H57" s="86"/>
      <c r="I57" s="893"/>
      <c r="J57" s="894"/>
      <c r="K57" s="78"/>
      <c r="L57" s="78"/>
    </row>
    <row r="58" spans="2:12">
      <c r="B58" s="882" t="s">
        <v>42</v>
      </c>
      <c r="C58" s="63"/>
      <c r="D58" s="63"/>
      <c r="E58" s="63"/>
      <c r="F58" s="63"/>
      <c r="G58" s="63"/>
      <c r="H58" s="883"/>
      <c r="I58" s="895"/>
      <c r="J58" s="895"/>
      <c r="K58" s="884"/>
      <c r="L58" s="884"/>
    </row>
    <row r="59" spans="2:12">
      <c r="B59" s="882" t="s">
        <v>43</v>
      </c>
      <c r="C59" s="883"/>
      <c r="D59" s="883"/>
      <c r="E59" s="883"/>
      <c r="F59" s="883"/>
      <c r="G59" s="883"/>
      <c r="H59" s="883"/>
      <c r="I59" s="895"/>
      <c r="J59" s="1254"/>
      <c r="K59" s="884"/>
      <c r="L59" s="884"/>
    </row>
    <row r="60" spans="2:12">
      <c r="B60" s="882" t="s">
        <v>73</v>
      </c>
      <c r="C60" s="883"/>
      <c r="D60" s="883"/>
      <c r="E60" s="883"/>
      <c r="F60" s="883"/>
      <c r="G60" s="883"/>
      <c r="H60" s="883"/>
      <c r="I60" s="895"/>
      <c r="J60" s="895"/>
      <c r="K60" s="884"/>
      <c r="L60" s="884"/>
    </row>
    <row r="61" spans="2:12">
      <c r="B61" s="882" t="s">
        <v>45</v>
      </c>
      <c r="C61" s="883"/>
      <c r="D61" s="883"/>
      <c r="E61" s="883"/>
      <c r="F61" s="883"/>
      <c r="G61" s="883"/>
      <c r="H61" s="883"/>
      <c r="I61" s="895"/>
      <c r="J61" s="895"/>
      <c r="K61" s="884"/>
      <c r="L61" s="884"/>
    </row>
    <row r="62" spans="2:12">
      <c r="B62" s="882" t="s">
        <v>74</v>
      </c>
      <c r="C62" s="883"/>
      <c r="D62" s="883"/>
      <c r="E62" s="883"/>
      <c r="F62" s="883"/>
      <c r="G62" s="883"/>
      <c r="H62" s="883"/>
      <c r="I62" s="895"/>
      <c r="J62" s="895"/>
      <c r="K62" s="884"/>
      <c r="L62" s="884"/>
    </row>
    <row r="63" spans="2:12">
      <c r="B63" s="883" t="s">
        <v>14</v>
      </c>
      <c r="C63" s="883"/>
      <c r="D63" s="883"/>
      <c r="E63" s="883"/>
      <c r="F63" s="883"/>
      <c r="G63" s="883"/>
      <c r="H63" s="883"/>
      <c r="I63" s="895"/>
      <c r="J63" s="895"/>
      <c r="K63" s="884"/>
      <c r="L63" s="884"/>
    </row>
    <row r="64" spans="2:12">
      <c r="B64" s="21" t="s">
        <v>800</v>
      </c>
      <c r="C64" s="883"/>
      <c r="D64" s="883"/>
      <c r="E64" s="883"/>
      <c r="F64" s="883"/>
      <c r="G64" s="883"/>
      <c r="H64" s="896"/>
      <c r="I64" s="895"/>
      <c r="J64" s="895"/>
      <c r="K64" s="884"/>
      <c r="L64" s="884"/>
    </row>
    <row r="65" spans="2:12">
      <c r="B65" s="78"/>
      <c r="C65" s="78"/>
      <c r="D65" s="78"/>
      <c r="E65" s="78"/>
      <c r="F65" s="78"/>
      <c r="G65" s="78"/>
      <c r="H65" s="87"/>
      <c r="I65" s="87"/>
      <c r="J65" s="87"/>
      <c r="K65" s="78"/>
      <c r="L65" s="78"/>
    </row>
    <row r="66" spans="2:12">
      <c r="B66" s="78"/>
      <c r="C66" s="78"/>
      <c r="D66" s="78"/>
      <c r="E66" s="78"/>
      <c r="F66" s="78"/>
      <c r="G66" s="78"/>
      <c r="H66" s="78"/>
      <c r="I66" s="78"/>
      <c r="J66" s="78"/>
      <c r="K66" s="78"/>
      <c r="L66" s="78"/>
    </row>
    <row r="67" spans="2:12">
      <c r="B67" s="73"/>
      <c r="C67" s="73"/>
      <c r="D67" s="73"/>
      <c r="E67" s="73"/>
      <c r="F67" s="73"/>
      <c r="G67" s="73"/>
      <c r="H67" s="73"/>
      <c r="I67" s="73"/>
    </row>
    <row r="68" spans="2:12">
      <c r="B68" s="73"/>
      <c r="C68" s="73"/>
      <c r="D68" s="73"/>
      <c r="E68" s="73"/>
      <c r="F68" s="73"/>
      <c r="G68" s="73"/>
      <c r="H68" s="73"/>
      <c r="I68" s="73"/>
    </row>
    <row r="69" spans="2:12">
      <c r="B69" s="73"/>
      <c r="C69" s="73"/>
      <c r="D69" s="73"/>
      <c r="E69" s="73"/>
      <c r="F69" s="73"/>
      <c r="G69" s="73"/>
      <c r="H69" s="73"/>
      <c r="I69" s="73"/>
    </row>
    <row r="70" spans="2:12">
      <c r="B70" s="73"/>
      <c r="C70" s="73"/>
      <c r="D70" s="73"/>
      <c r="E70" s="73"/>
      <c r="F70" s="73"/>
      <c r="G70" s="73"/>
      <c r="H70" s="73"/>
      <c r="I70" s="73"/>
    </row>
    <row r="71" spans="2:12">
      <c r="B71" s="73"/>
      <c r="C71" s="73"/>
      <c r="D71" s="73"/>
      <c r="E71" s="73"/>
      <c r="F71" s="73"/>
      <c r="G71" s="73"/>
      <c r="H71" s="73"/>
      <c r="I71" s="73"/>
    </row>
    <row r="72" spans="2:12">
      <c r="B72" s="73"/>
      <c r="C72" s="73"/>
      <c r="D72" s="73"/>
      <c r="E72" s="73"/>
      <c r="F72" s="73"/>
      <c r="G72" s="73"/>
      <c r="H72" s="73"/>
      <c r="I72" s="73"/>
    </row>
    <row r="73" spans="2:12">
      <c r="B73" s="73"/>
      <c r="C73" s="73"/>
      <c r="D73" s="73"/>
      <c r="E73" s="73"/>
      <c r="F73" s="73"/>
      <c r="G73" s="73"/>
      <c r="H73" s="73"/>
      <c r="I73" s="73"/>
    </row>
    <row r="74" spans="2:12">
      <c r="B74" s="73"/>
      <c r="C74" s="73"/>
      <c r="D74" s="73"/>
      <c r="E74" s="73"/>
      <c r="F74" s="73"/>
      <c r="G74" s="73"/>
      <c r="H74" s="73"/>
      <c r="I74" s="73"/>
    </row>
    <row r="75" spans="2:12">
      <c r="B75" s="73"/>
      <c r="C75" s="73"/>
      <c r="D75" s="73"/>
      <c r="E75" s="73"/>
      <c r="F75" s="73"/>
      <c r="G75" s="73"/>
      <c r="H75" s="73"/>
      <c r="I75" s="73"/>
    </row>
    <row r="76" spans="2:12">
      <c r="B76" s="73"/>
      <c r="C76" s="73"/>
      <c r="D76" s="73"/>
      <c r="E76" s="73"/>
      <c r="F76" s="73"/>
      <c r="G76" s="73"/>
      <c r="H76" s="73"/>
      <c r="I76" s="73"/>
    </row>
    <row r="77" spans="2:12">
      <c r="B77" s="73"/>
      <c r="C77" s="73"/>
      <c r="D77" s="73"/>
      <c r="E77" s="73"/>
      <c r="F77" s="73"/>
      <c r="G77" s="73"/>
      <c r="H77" s="73"/>
      <c r="I77" s="73"/>
    </row>
    <row r="78" spans="2:12">
      <c r="B78" s="73"/>
      <c r="C78" s="73"/>
      <c r="D78" s="73"/>
      <c r="E78" s="73"/>
      <c r="F78" s="73"/>
      <c r="G78" s="73"/>
      <c r="H78" s="73"/>
      <c r="I78" s="73"/>
    </row>
    <row r="79" spans="2:12">
      <c r="B79" s="73"/>
      <c r="C79" s="73"/>
      <c r="D79" s="73"/>
      <c r="E79" s="73"/>
      <c r="F79" s="73"/>
      <c r="G79" s="73"/>
      <c r="H79" s="73"/>
      <c r="I79" s="73"/>
    </row>
    <row r="80" spans="2:12">
      <c r="B80" s="73"/>
      <c r="C80" s="73"/>
      <c r="D80" s="73"/>
      <c r="E80" s="73"/>
      <c r="F80" s="73"/>
      <c r="G80" s="73"/>
      <c r="H80" s="73"/>
      <c r="I80" s="73"/>
    </row>
    <row r="81" s="73" customFormat="1"/>
    <row r="82" s="73" customFormat="1"/>
    <row r="83" s="73" customFormat="1"/>
    <row r="84" s="73" customFormat="1"/>
    <row r="85" s="73" customFormat="1"/>
    <row r="86" s="73" customFormat="1"/>
    <row r="87" s="73" customFormat="1"/>
    <row r="88" s="73" customFormat="1"/>
    <row r="89" s="73" customFormat="1"/>
    <row r="90" s="73" customFormat="1"/>
    <row r="91" s="73" customFormat="1"/>
    <row r="92" s="73" customFormat="1"/>
    <row r="93" s="73" customFormat="1"/>
    <row r="94" s="73" customFormat="1"/>
    <row r="95" s="73" customFormat="1"/>
    <row r="96" s="73" customFormat="1"/>
    <row r="97" s="73" customFormat="1"/>
    <row r="98" s="73" customFormat="1"/>
    <row r="99" s="73" customFormat="1"/>
    <row r="100" s="73" customFormat="1"/>
    <row r="101" s="73" customFormat="1"/>
    <row r="102" s="73" customFormat="1"/>
    <row r="103" s="73" customFormat="1"/>
    <row r="104" s="73" customFormat="1"/>
    <row r="105" s="73" customFormat="1"/>
  </sheetData>
  <phoneticPr fontId="0" type="noConversion"/>
  <hyperlinks>
    <hyperlink ref="J2" location="INDICE!A1" display="VOLVER A INDICE"/>
  </hyperlinks>
  <pageMargins left="0.75" right="0.75" top="1" bottom="1" header="0" footer="0"/>
  <pageSetup scale="77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Z255"/>
  <sheetViews>
    <sheetView workbookViewId="0">
      <pane ySplit="8" topLeftCell="A24" activePane="bottomLeft" state="frozen"/>
      <selection pane="bottomLeft" activeCell="K18" sqref="K18"/>
    </sheetView>
  </sheetViews>
  <sheetFormatPr baseColWidth="10" defaultRowHeight="12.75" outlineLevelRow="1"/>
  <cols>
    <col min="1" max="1" width="2.28515625" style="891" customWidth="1"/>
    <col min="2" max="2" width="27.85546875" style="891" customWidth="1"/>
    <col min="3" max="10" width="11.42578125" style="891"/>
    <col min="11" max="24" width="11.42578125" style="22"/>
    <col min="25" max="16384" width="11.42578125" style="891"/>
  </cols>
  <sheetData>
    <row r="1" spans="2:26" ht="7.5" customHeight="1" thickBot="1"/>
    <row r="2" spans="2:26" ht="13.5" thickBot="1">
      <c r="B2" s="642"/>
      <c r="C2" s="643"/>
      <c r="D2" s="643"/>
      <c r="E2" s="643"/>
      <c r="F2" s="643"/>
      <c r="G2" s="643"/>
      <c r="H2" s="643"/>
      <c r="I2" s="643"/>
      <c r="J2" s="644"/>
    </row>
    <row r="3" spans="2:26" ht="15.75">
      <c r="B3" s="90"/>
      <c r="C3" s="91"/>
      <c r="D3" s="91"/>
      <c r="E3" s="92" t="s">
        <v>77</v>
      </c>
      <c r="F3" s="92"/>
      <c r="G3" s="91"/>
      <c r="H3" s="91"/>
      <c r="I3" s="91"/>
      <c r="J3" s="93"/>
      <c r="K3" s="855" t="s">
        <v>681</v>
      </c>
    </row>
    <row r="4" spans="2:26" ht="15.75">
      <c r="B4" s="94"/>
      <c r="C4" s="95"/>
      <c r="D4" s="95"/>
      <c r="E4" s="96" t="s">
        <v>78</v>
      </c>
      <c r="F4" s="96"/>
      <c r="G4" s="95"/>
      <c r="H4" s="95"/>
      <c r="I4" s="95"/>
      <c r="J4" s="97"/>
      <c r="K4" s="766"/>
    </row>
    <row r="5" spans="2:26" ht="15.75">
      <c r="B5" s="94"/>
      <c r="C5" s="95"/>
      <c r="D5" s="95"/>
      <c r="E5" s="96" t="s">
        <v>737</v>
      </c>
      <c r="F5" s="96"/>
      <c r="G5" s="95"/>
      <c r="H5" s="95"/>
      <c r="I5" s="95"/>
      <c r="J5" s="97"/>
      <c r="K5" s="766"/>
    </row>
    <row r="6" spans="2:26" ht="15.75">
      <c r="B6" s="94"/>
      <c r="C6" s="95"/>
      <c r="D6" s="95"/>
      <c r="E6" s="95"/>
      <c r="F6" s="95"/>
      <c r="G6" s="95"/>
      <c r="H6" s="95"/>
      <c r="I6" s="95"/>
      <c r="J6" s="97"/>
      <c r="K6" s="766"/>
    </row>
    <row r="7" spans="2:26" ht="15.75">
      <c r="B7" s="94" t="s">
        <v>3</v>
      </c>
      <c r="C7" s="96" t="s">
        <v>79</v>
      </c>
      <c r="D7" s="96" t="s">
        <v>79</v>
      </c>
      <c r="E7" s="96" t="s">
        <v>79</v>
      </c>
      <c r="F7" s="96" t="s">
        <v>744</v>
      </c>
      <c r="G7" s="96" t="s">
        <v>80</v>
      </c>
      <c r="H7" s="96" t="s">
        <v>80</v>
      </c>
      <c r="I7" s="96" t="s">
        <v>81</v>
      </c>
      <c r="J7" s="98"/>
      <c r="K7" s="766"/>
    </row>
    <row r="8" spans="2:26" ht="16.5" thickBot="1">
      <c r="B8" s="986"/>
      <c r="C8" s="987" t="s">
        <v>82</v>
      </c>
      <c r="D8" s="987" t="s">
        <v>83</v>
      </c>
      <c r="E8" s="987" t="s">
        <v>84</v>
      </c>
      <c r="F8" s="987" t="s">
        <v>745</v>
      </c>
      <c r="G8" s="987" t="s">
        <v>85</v>
      </c>
      <c r="H8" s="987" t="s">
        <v>86</v>
      </c>
      <c r="I8" s="987" t="s">
        <v>87</v>
      </c>
      <c r="J8" s="988"/>
      <c r="K8" s="767"/>
    </row>
    <row r="9" spans="2:26">
      <c r="B9" s="989" t="s">
        <v>88</v>
      </c>
      <c r="C9" s="769">
        <f t="shared" ref="C9:I9" si="0">SUM(C10:C28)</f>
        <v>79647.352917035721</v>
      </c>
      <c r="D9" s="769">
        <f t="shared" si="0"/>
        <v>22363.256676554949</v>
      </c>
      <c r="E9" s="769">
        <f t="shared" si="0"/>
        <v>11739.239911919891</v>
      </c>
      <c r="F9" s="769">
        <f t="shared" si="0"/>
        <v>4558.6935915679996</v>
      </c>
      <c r="G9" s="769">
        <f t="shared" si="0"/>
        <v>118308.54309707855</v>
      </c>
      <c r="H9" s="769">
        <f t="shared" si="0"/>
        <v>3966.5592888051988</v>
      </c>
      <c r="I9" s="769">
        <f t="shared" si="0"/>
        <v>122275.10238588377</v>
      </c>
      <c r="J9" s="770"/>
      <c r="K9" s="767"/>
      <c r="Y9" s="22"/>
      <c r="Z9" s="22"/>
    </row>
    <row r="10" spans="2:26" outlineLevel="1">
      <c r="B10" s="1337" t="s">
        <v>55</v>
      </c>
      <c r="C10" s="1257">
        <f>SECT_TERAC.!D12</f>
        <v>13194.003546559503</v>
      </c>
      <c r="D10" s="1257">
        <f>SECT_TERAC.!D26</f>
        <v>5201.8282197678</v>
      </c>
      <c r="E10" s="1257">
        <f>SECT_TERAC.!D33</f>
        <v>53.045999999999999</v>
      </c>
      <c r="F10" s="1257">
        <f>SECT_TERAC.!D44</f>
        <v>340.84204199999999</v>
      </c>
      <c r="G10" s="1257">
        <f>SUM(C10:F10)</f>
        <v>18789.719808327303</v>
      </c>
      <c r="H10" s="1258">
        <f>SECT_TERAC.!D57</f>
        <v>1248.0263245002</v>
      </c>
      <c r="I10" s="1257">
        <f>G10+H10</f>
        <v>20037.746132827502</v>
      </c>
      <c r="J10" s="771"/>
      <c r="K10" s="768"/>
      <c r="Y10" s="22"/>
      <c r="Z10" s="22"/>
    </row>
    <row r="11" spans="2:26" outlineLevel="1">
      <c r="B11" s="1337"/>
      <c r="C11" s="1257"/>
      <c r="D11" s="1257"/>
      <c r="E11" s="1257"/>
      <c r="F11" s="1257"/>
      <c r="G11" s="1257"/>
      <c r="H11" s="1258"/>
      <c r="I11" s="1257"/>
      <c r="J11" s="772"/>
      <c r="K11" s="767"/>
      <c r="Y11" s="22"/>
      <c r="Z11" s="22"/>
    </row>
    <row r="12" spans="2:26" outlineLevel="1">
      <c r="B12" s="1337" t="s">
        <v>56</v>
      </c>
      <c r="C12" s="1257">
        <f>SECT_TERAC.!C12</f>
        <v>35808.907572815995</v>
      </c>
      <c r="D12" s="1257">
        <f>SECT_TERAC.!C26</f>
        <v>14970.062135963994</v>
      </c>
      <c r="E12" s="1257">
        <f>SECT_TERAC.!C33</f>
        <v>1091.43969816</v>
      </c>
      <c r="F12" s="1257">
        <f>SECT_TERAC.!C44</f>
        <v>19.634633467999997</v>
      </c>
      <c r="G12" s="1257">
        <f>SUM(C12:F12)</f>
        <v>51890.044040407985</v>
      </c>
      <c r="H12" s="1258">
        <f>SECT_TERAC.!C57</f>
        <v>2473.9914711399983</v>
      </c>
      <c r="I12" s="1257">
        <f>G12+H12</f>
        <v>54364.035511547983</v>
      </c>
      <c r="J12" s="771"/>
      <c r="K12" s="768"/>
      <c r="Y12" s="22"/>
      <c r="Z12" s="22"/>
    </row>
    <row r="13" spans="2:26" outlineLevel="1">
      <c r="B13" s="1337"/>
      <c r="C13" s="1257"/>
      <c r="D13" s="1257"/>
      <c r="E13" s="1257"/>
      <c r="F13" s="1257"/>
      <c r="G13" s="1257"/>
      <c r="H13" s="1258"/>
      <c r="I13" s="1257"/>
      <c r="J13" s="772"/>
      <c r="K13" s="767"/>
      <c r="Y13" s="22"/>
      <c r="Z13" s="22"/>
    </row>
    <row r="14" spans="2:26" outlineLevel="1">
      <c r="B14" s="1337" t="s">
        <v>89</v>
      </c>
      <c r="C14" s="1257">
        <f>SECT_TERAC.!E12</f>
        <v>23592.385768223998</v>
      </c>
      <c r="D14" s="1257">
        <f>SECT_TERAC.!E26</f>
        <v>0</v>
      </c>
      <c r="E14" s="1257">
        <f>SECT_TERAC.!E33</f>
        <v>0</v>
      </c>
      <c r="F14" s="1257">
        <f>SECT_TERAC.!E44</f>
        <v>0</v>
      </c>
      <c r="G14" s="1257">
        <f>SUM(C14:F14)</f>
        <v>23592.385768223998</v>
      </c>
      <c r="H14" s="1258">
        <f>SECT_TERAC.!E57</f>
        <v>0</v>
      </c>
      <c r="I14" s="1257">
        <f>G14+H14</f>
        <v>23592.385768223998</v>
      </c>
      <c r="J14" s="771"/>
      <c r="K14" s="768"/>
      <c r="Y14" s="22"/>
      <c r="Z14" s="22"/>
    </row>
    <row r="15" spans="2:26" outlineLevel="1">
      <c r="B15" s="1337"/>
      <c r="C15" s="1257"/>
      <c r="D15" s="1257"/>
      <c r="E15" s="1257"/>
      <c r="F15" s="1257"/>
      <c r="G15" s="1257"/>
      <c r="H15" s="1258"/>
      <c r="I15" s="1257"/>
      <c r="J15" s="772"/>
      <c r="K15" s="767"/>
      <c r="Y15" s="22"/>
      <c r="Z15" s="22"/>
    </row>
    <row r="16" spans="2:26" outlineLevel="1">
      <c r="B16" s="1337" t="s">
        <v>90</v>
      </c>
      <c r="C16" s="1257">
        <v>0</v>
      </c>
      <c r="D16" s="1257">
        <v>0</v>
      </c>
      <c r="E16" s="1257">
        <v>0</v>
      </c>
      <c r="F16" s="1257">
        <v>0</v>
      </c>
      <c r="G16" s="1257">
        <f>SUM(C16:F16)</f>
        <v>0</v>
      </c>
      <c r="H16" s="1258">
        <v>0</v>
      </c>
      <c r="I16" s="1257">
        <f>G16+H16</f>
        <v>0</v>
      </c>
      <c r="J16" s="771"/>
      <c r="K16" s="768"/>
      <c r="Y16" s="22"/>
      <c r="Z16" s="22"/>
    </row>
    <row r="17" spans="2:26" outlineLevel="1">
      <c r="B17" s="1337"/>
      <c r="C17" s="1257"/>
      <c r="D17" s="1257"/>
      <c r="E17" s="1257"/>
      <c r="F17" s="1257"/>
      <c r="G17" s="1257"/>
      <c r="H17" s="1258"/>
      <c r="I17" s="1257"/>
      <c r="J17" s="772"/>
      <c r="K17" s="767"/>
      <c r="Y17" s="22"/>
      <c r="Z17" s="22"/>
    </row>
    <row r="18" spans="2:26" outlineLevel="1">
      <c r="B18" s="1337" t="s">
        <v>59</v>
      </c>
      <c r="C18" s="1257">
        <f>SECT_TERAC.!G12</f>
        <v>152.85644055</v>
      </c>
      <c r="D18" s="1257">
        <f>SECT_TERAC.!G26</f>
        <v>251.39622712500008</v>
      </c>
      <c r="E18" s="1257">
        <f>SECT_TERAC.!G33</f>
        <v>636.92792451000014</v>
      </c>
      <c r="F18" s="1257">
        <f>SECT_TERAC.!G44</f>
        <v>2.2549428000000002</v>
      </c>
      <c r="G18" s="1257">
        <f>SUM(C18:F18)</f>
        <v>1043.4355349850002</v>
      </c>
      <c r="H18" s="1258">
        <f>SECT_TERAC.!G57</f>
        <v>0</v>
      </c>
      <c r="I18" s="1257">
        <f>G18+H18</f>
        <v>1043.4355349850002</v>
      </c>
      <c r="J18" s="771"/>
      <c r="K18" s="768"/>
      <c r="Y18" s="22"/>
      <c r="Z18" s="22"/>
    </row>
    <row r="19" spans="2:26" outlineLevel="1">
      <c r="B19" s="1337"/>
      <c r="C19" s="1257"/>
      <c r="D19" s="1257"/>
      <c r="E19" s="1257"/>
      <c r="F19" s="1257"/>
      <c r="G19" s="1257"/>
      <c r="H19" s="1258"/>
      <c r="I19" s="1257"/>
      <c r="J19" s="772"/>
      <c r="K19" s="767"/>
      <c r="Y19" s="22"/>
      <c r="Z19" s="22"/>
    </row>
    <row r="20" spans="2:26" outlineLevel="1">
      <c r="B20" s="1337" t="s">
        <v>60</v>
      </c>
      <c r="C20" s="1257">
        <f>SECT_TERAC.!H12</f>
        <v>6.7847695552551022</v>
      </c>
      <c r="D20" s="1257">
        <f>SECT_TERAC.!H26</f>
        <v>1922.4362330981555</v>
      </c>
      <c r="E20" s="1257">
        <f>SECT_TERAC.!H33</f>
        <v>9946.6521647498903</v>
      </c>
      <c r="F20" s="1257">
        <f>SECT_TERAC.!H44</f>
        <v>12.868664600000004</v>
      </c>
      <c r="G20" s="1257">
        <f>SUM(C20:F20)</f>
        <v>11888.741832003301</v>
      </c>
      <c r="H20" s="1258">
        <f>SECT_TERAC.!H57</f>
        <v>33.993130764999997</v>
      </c>
      <c r="I20" s="1257">
        <f>G20+H20</f>
        <v>11922.734962768302</v>
      </c>
      <c r="J20" s="771"/>
      <c r="K20" s="768"/>
      <c r="Y20" s="22"/>
      <c r="Z20" s="22"/>
    </row>
    <row r="21" spans="2:26" outlineLevel="1">
      <c r="B21" s="1337"/>
      <c r="C21" s="1257"/>
      <c r="D21" s="1257"/>
      <c r="E21" s="1257"/>
      <c r="F21" s="1257"/>
      <c r="G21" s="1257"/>
      <c r="H21" s="1258"/>
      <c r="I21" s="1257"/>
      <c r="J21" s="772"/>
      <c r="K21" s="767"/>
      <c r="Y21" s="22"/>
      <c r="Z21" s="22"/>
    </row>
    <row r="22" spans="2:26" outlineLevel="1">
      <c r="B22" s="1337" t="s">
        <v>61</v>
      </c>
      <c r="C22" s="1257">
        <f>SECT_TERAC.!I12</f>
        <v>46.722899999999996</v>
      </c>
      <c r="D22" s="1257">
        <f>SECT_TERAC.!I26</f>
        <v>0</v>
      </c>
      <c r="E22" s="1257">
        <f>SECT_TERAC.!I33</f>
        <v>0</v>
      </c>
      <c r="F22" s="1257">
        <f>SECT_TERAC.!I44</f>
        <v>0</v>
      </c>
      <c r="G22" s="1257">
        <f>SUM(C22:F22)</f>
        <v>46.722899999999996</v>
      </c>
      <c r="H22" s="1258">
        <f>SECT_TERAC.!I57</f>
        <v>0</v>
      </c>
      <c r="I22" s="1257">
        <f>G22+H22</f>
        <v>46.722899999999996</v>
      </c>
      <c r="J22" s="771"/>
      <c r="K22" s="768"/>
      <c r="Y22" s="22"/>
      <c r="Z22" s="22"/>
    </row>
    <row r="23" spans="2:26" outlineLevel="1">
      <c r="B23" s="1337"/>
      <c r="C23" s="1257"/>
      <c r="D23" s="1257"/>
      <c r="E23" s="1257"/>
      <c r="F23" s="1257"/>
      <c r="G23" s="1257"/>
      <c r="H23" s="1258"/>
      <c r="I23" s="1257"/>
      <c r="J23" s="772"/>
      <c r="K23" s="767"/>
      <c r="Y23" s="22"/>
      <c r="Z23" s="22"/>
    </row>
    <row r="24" spans="2:26" outlineLevel="1">
      <c r="B24" s="1337" t="s">
        <v>62</v>
      </c>
      <c r="C24" s="1257">
        <f>SECT_TERAC.!J12</f>
        <v>6845.6371793310009</v>
      </c>
      <c r="D24" s="1257">
        <f>SECT_TERAC.!J26</f>
        <v>1.7982E-3</v>
      </c>
      <c r="E24" s="1257">
        <f>SECT_TERAC.!J33</f>
        <v>0</v>
      </c>
      <c r="F24" s="1257">
        <f>SECT_TERAC.!J44</f>
        <v>0</v>
      </c>
      <c r="G24" s="1257">
        <f>SUM(C24:F24)</f>
        <v>6845.6389775310008</v>
      </c>
      <c r="H24" s="1258">
        <f>SECT_TERAC.!J57</f>
        <v>0</v>
      </c>
      <c r="I24" s="1257">
        <f>G24+H24</f>
        <v>6845.6389775310008</v>
      </c>
      <c r="J24" s="771"/>
      <c r="K24" s="768"/>
      <c r="Y24" s="22"/>
      <c r="Z24" s="22"/>
    </row>
    <row r="25" spans="2:26" outlineLevel="1">
      <c r="B25" s="1337"/>
      <c r="C25" s="1257"/>
      <c r="D25" s="1257"/>
      <c r="E25" s="1257"/>
      <c r="F25" s="1257"/>
      <c r="G25" s="1257"/>
      <c r="H25" s="1258"/>
      <c r="I25" s="1257"/>
      <c r="J25" s="772"/>
      <c r="K25" s="767"/>
      <c r="Y25" s="22"/>
      <c r="Z25" s="22"/>
    </row>
    <row r="26" spans="2:26" outlineLevel="1">
      <c r="B26" s="1337" t="s">
        <v>63</v>
      </c>
      <c r="C26" s="1257">
        <f>SECT_TERAC.!K12</f>
        <v>5.4740000000000004E-2</v>
      </c>
      <c r="D26" s="1257">
        <f>SECT_TERAC.!K26</f>
        <v>13.865062399999999</v>
      </c>
      <c r="E26" s="1257">
        <f>SECT_TERAC.!K33</f>
        <v>11.1741245</v>
      </c>
      <c r="F26" s="1257">
        <f>SECT_TERAC.!K44</f>
        <v>1314.7343466999996</v>
      </c>
      <c r="G26" s="1257">
        <f>SUM(C26:F26)</f>
        <v>1339.8282735999996</v>
      </c>
      <c r="H26" s="1258">
        <f>SECT_TERAC.!K57</f>
        <v>0.30113439999999997</v>
      </c>
      <c r="I26" s="1257">
        <f>G26+H26</f>
        <v>1340.1294079999996</v>
      </c>
      <c r="J26" s="771"/>
      <c r="K26" s="768"/>
      <c r="Y26" s="22"/>
      <c r="Z26" s="22"/>
    </row>
    <row r="27" spans="2:26" outlineLevel="1">
      <c r="B27" s="1337"/>
      <c r="C27" s="1257"/>
      <c r="D27" s="1257"/>
      <c r="E27" s="1257"/>
      <c r="F27" s="1257"/>
      <c r="G27" s="1257"/>
      <c r="H27" s="1258"/>
      <c r="I27" s="1257"/>
      <c r="J27" s="772"/>
      <c r="K27" s="767"/>
      <c r="Y27" s="22"/>
      <c r="Z27" s="22"/>
    </row>
    <row r="28" spans="2:26" outlineLevel="1">
      <c r="B28" s="1337" t="s">
        <v>64</v>
      </c>
      <c r="C28" s="1257">
        <f>SECT_TERAC.!L12</f>
        <v>0</v>
      </c>
      <c r="D28" s="1257">
        <f>SECT_TERAC.!L26</f>
        <v>3.6669999999999998</v>
      </c>
      <c r="E28" s="1257">
        <f>SECT_TERAC.!L33</f>
        <v>0</v>
      </c>
      <c r="F28" s="1257">
        <f>SECT_TERAC.!L44</f>
        <v>2868.3589619999998</v>
      </c>
      <c r="G28" s="1257">
        <f>SUM(C28:F28)</f>
        <v>2872.0259619999997</v>
      </c>
      <c r="H28" s="1258">
        <f>SECT_TERAC.!L57</f>
        <v>210.24722800000001</v>
      </c>
      <c r="I28" s="1257">
        <f>G28+H28</f>
        <v>3082.2731899999999</v>
      </c>
      <c r="J28" s="771"/>
      <c r="K28" s="768"/>
      <c r="Y28" s="22"/>
      <c r="Z28" s="22"/>
    </row>
    <row r="29" spans="2:26">
      <c r="B29" s="990"/>
      <c r="C29" s="769"/>
      <c r="D29" s="769"/>
      <c r="E29" s="769"/>
      <c r="F29" s="769"/>
      <c r="G29" s="769"/>
      <c r="H29" s="769"/>
      <c r="I29" s="769"/>
      <c r="J29" s="772"/>
      <c r="K29" s="767"/>
      <c r="Y29" s="22"/>
      <c r="Z29" s="22"/>
    </row>
    <row r="30" spans="2:26">
      <c r="B30" s="990" t="s">
        <v>18</v>
      </c>
      <c r="C30" s="769">
        <f>SECT_TERAC.!N12</f>
        <v>216.61029582</v>
      </c>
      <c r="D30" s="769">
        <f>SECT_TERAC.!N26</f>
        <v>27884.910306166013</v>
      </c>
      <c r="E30" s="769">
        <f>SECT_TERAC.!N33</f>
        <v>13216.358710887751</v>
      </c>
      <c r="F30" s="769">
        <f>SECT_TERAC.!N44</f>
        <v>1764.6275340632767</v>
      </c>
      <c r="G30" s="769">
        <f>SUM(C30:F30)</f>
        <v>43082.506846937038</v>
      </c>
      <c r="H30" s="77">
        <f>SECT_TERAC.!N57</f>
        <v>0</v>
      </c>
      <c r="I30" s="769">
        <f>G30+H30</f>
        <v>43082.506846937038</v>
      </c>
      <c r="J30" s="771"/>
      <c r="K30" s="768"/>
      <c r="Y30" s="22"/>
      <c r="Z30" s="22"/>
    </row>
    <row r="31" spans="2:26">
      <c r="B31" s="990"/>
      <c r="C31" s="769"/>
      <c r="D31" s="769"/>
      <c r="E31" s="769"/>
      <c r="F31" s="769"/>
      <c r="G31" s="769"/>
      <c r="H31" s="77"/>
      <c r="I31" s="769"/>
      <c r="J31" s="772"/>
      <c r="K31" s="767"/>
      <c r="Y31" s="22"/>
      <c r="Z31" s="22"/>
    </row>
    <row r="32" spans="2:26">
      <c r="B32" s="990" t="s">
        <v>65</v>
      </c>
      <c r="C32" s="769">
        <f>SECT_TERAC.!O12</f>
        <v>9.3340000000000006E-2</v>
      </c>
      <c r="D32" s="769">
        <f>SECT_TERAC.!O26</f>
        <v>4410.7125439710726</v>
      </c>
      <c r="E32" s="769">
        <f>SECT_TERAC.!O33</f>
        <v>41.944760000000016</v>
      </c>
      <c r="F32" s="769">
        <f>SECT_TERAC.!O44</f>
        <v>1.2143351533071365</v>
      </c>
      <c r="G32" s="769">
        <f>SUM(C32:F32)</f>
        <v>4453.9649791243801</v>
      </c>
      <c r="H32" s="77">
        <f>SECT_TERAC.!O57</f>
        <v>23121.364731195143</v>
      </c>
      <c r="I32" s="769">
        <f>G32+H32</f>
        <v>27575.329710319522</v>
      </c>
      <c r="J32" s="771"/>
      <c r="K32" s="768"/>
      <c r="Y32" s="22"/>
      <c r="Z32" s="22"/>
    </row>
    <row r="33" spans="2:26">
      <c r="B33" s="990"/>
      <c r="C33" s="769"/>
      <c r="D33" s="769"/>
      <c r="E33" s="769"/>
      <c r="F33" s="769"/>
      <c r="G33" s="769"/>
      <c r="H33" s="77"/>
      <c r="I33" s="769"/>
      <c r="J33" s="772"/>
      <c r="K33" s="767"/>
      <c r="Y33" s="22"/>
      <c r="Z33" s="22"/>
    </row>
    <row r="34" spans="2:26">
      <c r="B34" s="990" t="s">
        <v>66</v>
      </c>
      <c r="C34" s="769">
        <f>SECT_TERAC.!P12</f>
        <v>0</v>
      </c>
      <c r="D34" s="769">
        <f>SECT_TERAC.!P26</f>
        <v>2679.1090900000013</v>
      </c>
      <c r="E34" s="769">
        <f>SECT_TERAC.!P33</f>
        <v>0</v>
      </c>
      <c r="F34" s="769">
        <f>SECT_TERAC.!P44</f>
        <v>0</v>
      </c>
      <c r="G34" s="769">
        <f>SUM(C34:F34)</f>
        <v>2679.1090900000013</v>
      </c>
      <c r="H34" s="77">
        <f>SECT_TERAC.!P57</f>
        <v>7047.4084538333318</v>
      </c>
      <c r="I34" s="769">
        <f>G34+H34</f>
        <v>9726.5175438333335</v>
      </c>
      <c r="J34" s="771"/>
      <c r="K34" s="768"/>
      <c r="Y34" s="22"/>
      <c r="Z34" s="22"/>
    </row>
    <row r="35" spans="2:26">
      <c r="B35" s="990"/>
      <c r="C35" s="769"/>
      <c r="D35" s="769"/>
      <c r="E35" s="769"/>
      <c r="F35" s="769"/>
      <c r="G35" s="769"/>
      <c r="H35" s="77"/>
      <c r="I35" s="769"/>
      <c r="J35" s="772"/>
      <c r="K35" s="767"/>
      <c r="Y35" s="22"/>
      <c r="Z35" s="22"/>
    </row>
    <row r="36" spans="2:26">
      <c r="B36" s="990" t="s">
        <v>67</v>
      </c>
      <c r="C36" s="769">
        <f>SECT_TERAC.!Q12</f>
        <v>0</v>
      </c>
      <c r="D36" s="769">
        <f>SECT_TERAC.!Q26</f>
        <v>0</v>
      </c>
      <c r="E36" s="769">
        <f>SECT_TERAC.!Q33</f>
        <v>0</v>
      </c>
      <c r="F36" s="769">
        <f>SECT_TERAC.!Q44</f>
        <v>170.125</v>
      </c>
      <c r="G36" s="769">
        <f>SUM(C36:F36)</f>
        <v>170.125</v>
      </c>
      <c r="H36" s="77">
        <f>SECT_TERAC.!Q57</f>
        <v>0</v>
      </c>
      <c r="I36" s="769">
        <f>G36+H36</f>
        <v>170.125</v>
      </c>
      <c r="J36" s="771"/>
      <c r="K36" s="768"/>
      <c r="Y36" s="22"/>
      <c r="Z36" s="22"/>
    </row>
    <row r="37" spans="2:26">
      <c r="B37" s="990"/>
      <c r="C37" s="769"/>
      <c r="D37" s="769"/>
      <c r="E37" s="769"/>
      <c r="F37" s="769"/>
      <c r="G37" s="769"/>
      <c r="H37" s="77"/>
      <c r="I37" s="769"/>
      <c r="J37" s="772"/>
      <c r="K37" s="767"/>
      <c r="Y37" s="22"/>
      <c r="Z37" s="22"/>
    </row>
    <row r="38" spans="2:26">
      <c r="B38" s="990" t="s">
        <v>20</v>
      </c>
      <c r="C38" s="769">
        <f>SECT_TERAC.!R12</f>
        <v>1.2601159999999999E-3</v>
      </c>
      <c r="D38" s="769">
        <f>SECT_TERAC.!R26</f>
        <v>833.43191676096001</v>
      </c>
      <c r="E38" s="769">
        <f>SECT_TERAC.!R33</f>
        <v>211.60562135200001</v>
      </c>
      <c r="F38" s="769">
        <f>SECT_TERAC.!R44</f>
        <v>257.72800000000001</v>
      </c>
      <c r="G38" s="769">
        <f>SUM(C38:F38)</f>
        <v>1302.7667982289602</v>
      </c>
      <c r="H38" s="77">
        <f>SECT_TERAC.!R57</f>
        <v>0</v>
      </c>
      <c r="I38" s="769">
        <f>G38+H38</f>
        <v>1302.7667982289602</v>
      </c>
      <c r="J38" s="771"/>
      <c r="K38" s="768"/>
      <c r="Y38" s="22"/>
      <c r="Z38" s="22"/>
    </row>
    <row r="39" spans="2:26">
      <c r="B39" s="990"/>
      <c r="C39" s="769"/>
      <c r="D39" s="769"/>
      <c r="E39" s="769"/>
      <c r="F39" s="769"/>
      <c r="G39" s="769"/>
      <c r="H39" s="77"/>
      <c r="I39" s="769"/>
      <c r="J39" s="772"/>
      <c r="K39" s="767"/>
      <c r="Y39" s="22"/>
      <c r="Z39" s="22"/>
    </row>
    <row r="40" spans="2:26">
      <c r="B40" s="990" t="s">
        <v>69</v>
      </c>
      <c r="C40" s="769">
        <f>SECT_TERAC.!S12</f>
        <v>0</v>
      </c>
      <c r="D40" s="769">
        <f>SECT_TERAC.!S26</f>
        <v>291.56458570000007</v>
      </c>
      <c r="E40" s="769">
        <f>SECT_TERAC.!S33</f>
        <v>0</v>
      </c>
      <c r="F40" s="769">
        <f>SECT_TERAC.!S44</f>
        <v>909.49699999999996</v>
      </c>
      <c r="G40" s="769">
        <f>SUM(C40:F40)</f>
        <v>1201.0615857</v>
      </c>
      <c r="H40" s="77">
        <f>SECT_TERAC.!S57</f>
        <v>0</v>
      </c>
      <c r="I40" s="769">
        <f>G40+H40</f>
        <v>1201.0615857</v>
      </c>
      <c r="J40" s="771"/>
      <c r="K40" s="768"/>
      <c r="Y40" s="22"/>
      <c r="Z40" s="22"/>
    </row>
    <row r="41" spans="2:26">
      <c r="B41" s="990"/>
      <c r="C41" s="769"/>
      <c r="D41" s="769"/>
      <c r="E41" s="769"/>
      <c r="F41" s="769"/>
      <c r="G41" s="769"/>
      <c r="H41" s="77"/>
      <c r="I41" s="769"/>
      <c r="J41" s="772"/>
      <c r="K41" s="767"/>
      <c r="Y41" s="22"/>
      <c r="Z41" s="22"/>
    </row>
    <row r="42" spans="2:26">
      <c r="B42" s="990" t="s">
        <v>70</v>
      </c>
      <c r="C42" s="769">
        <f>SECT_TERAC.!T12</f>
        <v>342.40352039243834</v>
      </c>
      <c r="D42" s="769">
        <f>SECT_TERAC.!T26</f>
        <v>8960.7049323367883</v>
      </c>
      <c r="E42" s="769">
        <f>SECT_TERAC.!T33</f>
        <v>4695.3864286606295</v>
      </c>
      <c r="F42" s="769">
        <f>SECT_TERAC.!T44</f>
        <v>6050.1036814785048</v>
      </c>
      <c r="G42" s="769">
        <f>SUM(C42:F42)</f>
        <v>20048.598562868359</v>
      </c>
      <c r="H42" s="77">
        <f>SECT_TERAC.!T57</f>
        <v>57530.099196280804</v>
      </c>
      <c r="I42" s="769">
        <f>G42+H42</f>
        <v>77578.69775914916</v>
      </c>
      <c r="J42" s="771"/>
      <c r="K42" s="768"/>
      <c r="Y42" s="22"/>
      <c r="Z42" s="22"/>
    </row>
    <row r="43" spans="2:26">
      <c r="B43" s="990"/>
      <c r="C43" s="769"/>
      <c r="D43" s="769"/>
      <c r="E43" s="769"/>
      <c r="F43" s="769"/>
      <c r="G43" s="769"/>
      <c r="H43" s="77"/>
      <c r="I43" s="769"/>
      <c r="J43" s="772"/>
      <c r="K43" s="767"/>
      <c r="Y43" s="22"/>
      <c r="Z43" s="22"/>
    </row>
    <row r="44" spans="2:26">
      <c r="B44" s="990" t="s">
        <v>22</v>
      </c>
      <c r="C44" s="769">
        <f>SECT_TERAC.!U12</f>
        <v>0</v>
      </c>
      <c r="D44" s="769">
        <f>SECT_TERAC.!U26</f>
        <v>0</v>
      </c>
      <c r="E44" s="769">
        <f>SECT_TERAC.!U33</f>
        <v>0</v>
      </c>
      <c r="F44" s="769">
        <f>SECT_TERAC.!U44</f>
        <v>508.42035540000006</v>
      </c>
      <c r="G44" s="769">
        <f>SUM(C44:F44)</f>
        <v>508.42035540000006</v>
      </c>
      <c r="H44" s="77">
        <f>SECT_TERAC.!U57</f>
        <v>0</v>
      </c>
      <c r="I44" s="769">
        <f>G44+H44</f>
        <v>508.42035540000006</v>
      </c>
      <c r="J44" s="771"/>
      <c r="K44" s="768"/>
      <c r="Y44" s="22"/>
      <c r="Z44" s="22"/>
    </row>
    <row r="45" spans="2:26">
      <c r="B45" s="990"/>
      <c r="C45" s="769"/>
      <c r="D45" s="769"/>
      <c r="E45" s="769"/>
      <c r="F45" s="769"/>
      <c r="G45" s="769"/>
      <c r="H45" s="77"/>
      <c r="I45" s="769"/>
      <c r="J45" s="772"/>
      <c r="K45" s="767"/>
      <c r="Y45" s="22"/>
      <c r="Z45" s="22"/>
    </row>
    <row r="46" spans="2:26">
      <c r="B46" s="990" t="s">
        <v>9</v>
      </c>
      <c r="C46" s="769">
        <f>SECT_TERAC.!W12</f>
        <v>0</v>
      </c>
      <c r="D46" s="769">
        <f>SECT_TERAC.!W26</f>
        <v>11210.158267944136</v>
      </c>
      <c r="E46" s="769">
        <f>SECT_TERAC.!W33</f>
        <v>29067.4056406364</v>
      </c>
      <c r="F46" s="769">
        <f>SECT_TERAC.!W44</f>
        <v>0</v>
      </c>
      <c r="G46" s="769">
        <f>SUM(C46:F46)</f>
        <v>40277.563908580538</v>
      </c>
      <c r="H46" s="77">
        <f>SECT_TERAC.!W57</f>
        <v>5709.9661560943487</v>
      </c>
      <c r="I46" s="769">
        <f>G46+H46</f>
        <v>45987.530064674887</v>
      </c>
      <c r="J46" s="771"/>
      <c r="K46" s="768"/>
      <c r="Y46" s="22"/>
      <c r="Z46" s="22"/>
    </row>
    <row r="47" spans="2:26">
      <c r="B47" s="990"/>
      <c r="C47" s="769"/>
      <c r="D47" s="769"/>
      <c r="E47" s="769"/>
      <c r="F47" s="769"/>
      <c r="G47" s="769"/>
      <c r="H47" s="77"/>
      <c r="I47" s="769"/>
      <c r="J47" s="772"/>
      <c r="K47" s="767"/>
      <c r="Y47" s="22"/>
      <c r="Z47" s="22"/>
    </row>
    <row r="48" spans="2:26">
      <c r="B48" s="990" t="s">
        <v>10</v>
      </c>
      <c r="C48" s="769">
        <v>0</v>
      </c>
      <c r="D48" s="769">
        <v>0</v>
      </c>
      <c r="E48" s="769">
        <v>0</v>
      </c>
      <c r="F48" s="769">
        <v>0</v>
      </c>
      <c r="G48" s="769">
        <f>SUM(C48:F48)</f>
        <v>0</v>
      </c>
      <c r="H48" s="77">
        <v>0</v>
      </c>
      <c r="I48" s="769">
        <f>G48+H48</f>
        <v>0</v>
      </c>
      <c r="J48" s="771"/>
      <c r="K48" s="768"/>
      <c r="Y48" s="22"/>
      <c r="Z48" s="22"/>
    </row>
    <row r="49" spans="2:26">
      <c r="B49" s="990"/>
      <c r="C49" s="769"/>
      <c r="D49" s="769"/>
      <c r="E49" s="769"/>
      <c r="F49" s="769"/>
      <c r="G49" s="769"/>
      <c r="H49" s="769"/>
      <c r="I49" s="769"/>
      <c r="J49" s="772"/>
      <c r="K49" s="767"/>
      <c r="Y49" s="22"/>
      <c r="Z49" s="22"/>
    </row>
    <row r="50" spans="2:26">
      <c r="B50" s="991" t="s">
        <v>11</v>
      </c>
      <c r="C50" s="773">
        <f t="shared" ref="C50:I50" si="1">C9+SUM(C30:C48)</f>
        <v>80206.461333364161</v>
      </c>
      <c r="D50" s="773">
        <f t="shared" si="1"/>
        <v>78633.848319433921</v>
      </c>
      <c r="E50" s="773">
        <f t="shared" si="1"/>
        <v>58971.94107345667</v>
      </c>
      <c r="F50" s="773">
        <f t="shared" si="1"/>
        <v>14220.409497663088</v>
      </c>
      <c r="G50" s="773">
        <f t="shared" si="1"/>
        <v>232032.6602239178</v>
      </c>
      <c r="H50" s="773">
        <f t="shared" si="1"/>
        <v>97375.397826208835</v>
      </c>
      <c r="I50" s="773">
        <f t="shared" si="1"/>
        <v>329408.05805012665</v>
      </c>
      <c r="J50" s="774"/>
      <c r="K50" s="768"/>
      <c r="Y50" s="22"/>
      <c r="Z50" s="22"/>
    </row>
    <row r="51" spans="2:26" ht="13.5" thickBot="1">
      <c r="B51" s="992"/>
      <c r="C51" s="775"/>
      <c r="D51" s="775"/>
      <c r="E51" s="775"/>
      <c r="F51" s="775"/>
      <c r="G51" s="775"/>
      <c r="H51" s="775"/>
      <c r="I51" s="775"/>
      <c r="J51" s="776"/>
      <c r="K51" s="768"/>
      <c r="Y51" s="22"/>
      <c r="Z51" s="22"/>
    </row>
    <row r="52" spans="2:26" s="22" customFormat="1">
      <c r="B52" s="83" t="s">
        <v>91</v>
      </c>
      <c r="C52" s="84"/>
      <c r="D52" s="84"/>
      <c r="E52" s="84"/>
      <c r="F52" s="84"/>
      <c r="G52" s="85"/>
      <c r="H52" s="80"/>
      <c r="I52" s="86"/>
      <c r="J52" s="118"/>
      <c r="K52" s="78"/>
    </row>
    <row r="53" spans="2:26" s="22" customFormat="1">
      <c r="B53" s="83" t="s">
        <v>71</v>
      </c>
      <c r="C53" s="84"/>
      <c r="D53" s="84"/>
      <c r="E53" s="84"/>
      <c r="F53" s="84"/>
      <c r="G53" s="84"/>
      <c r="H53" s="84"/>
      <c r="I53" s="84"/>
      <c r="J53" s="84"/>
      <c r="K53" s="80"/>
    </row>
    <row r="54" spans="2:26" s="22" customFormat="1">
      <c r="B54" s="83" t="s">
        <v>72</v>
      </c>
      <c r="C54" s="84"/>
      <c r="D54" s="84"/>
      <c r="E54" s="84"/>
      <c r="F54" s="84"/>
      <c r="G54" s="84"/>
      <c r="H54" s="84"/>
      <c r="I54" s="84"/>
      <c r="J54" s="84"/>
      <c r="K54" s="80"/>
    </row>
    <row r="55" spans="2:26" s="22" customFormat="1">
      <c r="B55" s="11" t="s">
        <v>42</v>
      </c>
      <c r="C55" s="61"/>
      <c r="D55" s="62"/>
      <c r="E55" s="62"/>
      <c r="F55" s="62"/>
      <c r="G55" s="62"/>
      <c r="H55" s="63"/>
      <c r="I55" s="21"/>
      <c r="J55" s="76"/>
      <c r="K55" s="76"/>
    </row>
    <row r="56" spans="2:26" s="22" customFormat="1">
      <c r="B56" s="11" t="s">
        <v>43</v>
      </c>
      <c r="C56" s="21"/>
      <c r="D56" s="21"/>
      <c r="E56" s="21"/>
      <c r="F56" s="21"/>
      <c r="G56" s="21"/>
      <c r="H56" s="21"/>
      <c r="I56" s="21"/>
      <c r="J56" s="76"/>
      <c r="K56" s="76"/>
    </row>
    <row r="57" spans="2:26" s="22" customFormat="1">
      <c r="B57" s="11" t="s">
        <v>759</v>
      </c>
      <c r="C57" s="21"/>
      <c r="D57" s="21"/>
      <c r="E57" s="21"/>
      <c r="F57" s="21"/>
      <c r="G57" s="21"/>
      <c r="H57" s="21"/>
      <c r="I57" s="21"/>
      <c r="J57" s="76"/>
      <c r="K57" s="76"/>
    </row>
    <row r="58" spans="2:26" s="22" customFormat="1">
      <c r="B58" s="11" t="s">
        <v>760</v>
      </c>
      <c r="C58" s="21"/>
      <c r="D58" s="21"/>
      <c r="E58" s="21"/>
      <c r="F58" s="21"/>
      <c r="G58" s="21"/>
      <c r="H58" s="21"/>
      <c r="I58" s="21"/>
      <c r="J58" s="76"/>
      <c r="K58" s="76"/>
    </row>
    <row r="59" spans="2:26" s="22" customFormat="1">
      <c r="B59" s="11" t="s">
        <v>758</v>
      </c>
      <c r="C59" s="21"/>
      <c r="D59" s="21"/>
      <c r="E59" s="21"/>
      <c r="F59" s="21"/>
      <c r="G59" s="21"/>
      <c r="H59" s="21"/>
      <c r="I59" s="21"/>
      <c r="J59" s="76"/>
      <c r="K59" s="76"/>
    </row>
    <row r="60" spans="2:26" s="22" customFormat="1">
      <c r="B60" s="21" t="s">
        <v>14</v>
      </c>
      <c r="C60" s="21"/>
      <c r="D60" s="21"/>
      <c r="E60" s="21"/>
      <c r="F60" s="21"/>
      <c r="G60" s="21"/>
      <c r="H60" s="21"/>
      <c r="I60" s="21"/>
      <c r="J60" s="76"/>
      <c r="K60" s="76"/>
    </row>
    <row r="61" spans="2:26" s="22" customFormat="1">
      <c r="B61" s="21" t="s">
        <v>800</v>
      </c>
      <c r="C61" s="21"/>
      <c r="D61" s="21"/>
      <c r="E61" s="21"/>
      <c r="F61" s="21"/>
      <c r="G61" s="21"/>
      <c r="H61" s="21"/>
      <c r="I61" s="21"/>
      <c r="J61" s="76"/>
      <c r="K61" s="76"/>
    </row>
    <row r="62" spans="2:26" s="22" customFormat="1">
      <c r="B62" s="767"/>
      <c r="C62" s="767"/>
      <c r="D62" s="767"/>
      <c r="E62" s="767"/>
      <c r="F62" s="767"/>
      <c r="G62" s="767"/>
      <c r="H62" s="767"/>
      <c r="I62" s="767"/>
      <c r="J62" s="767"/>
      <c r="K62" s="767"/>
    </row>
    <row r="63" spans="2:26" s="22" customFormat="1">
      <c r="B63" s="767"/>
      <c r="C63" s="767"/>
      <c r="D63" s="767"/>
      <c r="E63" s="767"/>
      <c r="F63" s="767"/>
      <c r="G63" s="767"/>
      <c r="H63" s="767"/>
      <c r="I63" s="767"/>
      <c r="J63" s="767"/>
      <c r="K63" s="767"/>
    </row>
    <row r="64" spans="2:26" s="22" customFormat="1">
      <c r="B64" s="767"/>
      <c r="C64" s="767"/>
      <c r="D64" s="767"/>
      <c r="E64" s="767"/>
      <c r="F64" s="767"/>
      <c r="G64" s="767"/>
      <c r="H64" s="767"/>
      <c r="I64" s="767"/>
      <c r="J64" s="767"/>
      <c r="K64" s="767"/>
    </row>
    <row r="65" s="22" customFormat="1"/>
    <row r="66" s="22" customFormat="1"/>
    <row r="67" s="22" customFormat="1"/>
    <row r="68" s="22" customFormat="1"/>
    <row r="69" s="22" customFormat="1"/>
    <row r="70" s="22" customFormat="1"/>
    <row r="71" s="22" customFormat="1"/>
    <row r="72" s="22" customFormat="1"/>
    <row r="73" s="22" customFormat="1"/>
    <row r="74" s="22" customFormat="1"/>
    <row r="75" s="22" customFormat="1"/>
    <row r="76" s="22" customFormat="1"/>
    <row r="77" s="22" customFormat="1"/>
    <row r="78" s="22" customFormat="1"/>
    <row r="79" s="22" customFormat="1"/>
    <row r="80" s="22" customFormat="1"/>
    <row r="81" s="22" customFormat="1"/>
    <row r="82" s="22" customFormat="1"/>
    <row r="83" s="22" customFormat="1"/>
    <row r="84" s="22" customFormat="1"/>
    <row r="85" s="22" customFormat="1"/>
    <row r="86" s="22" customFormat="1"/>
    <row r="87" s="22" customFormat="1"/>
    <row r="88" s="22" customFormat="1"/>
    <row r="89" s="22" customFormat="1"/>
    <row r="90" s="22" customFormat="1"/>
    <row r="91" s="22" customFormat="1"/>
    <row r="92" s="22" customFormat="1"/>
    <row r="93" s="22" customFormat="1"/>
    <row r="94" s="22" customFormat="1"/>
    <row r="95" s="22" customFormat="1"/>
    <row r="96" s="22" customFormat="1"/>
    <row r="97" s="22" customFormat="1"/>
    <row r="98" s="22" customFormat="1"/>
    <row r="99" s="22" customFormat="1"/>
    <row r="100" s="22" customFormat="1"/>
    <row r="101" s="22" customFormat="1"/>
    <row r="102" s="22" customFormat="1"/>
    <row r="103" s="22" customFormat="1"/>
    <row r="104" s="22" customFormat="1"/>
    <row r="105" s="22" customFormat="1"/>
    <row r="106" s="22" customFormat="1"/>
    <row r="107" s="22" customFormat="1"/>
    <row r="108" s="22" customFormat="1"/>
    <row r="109" s="22" customFormat="1"/>
    <row r="110" s="22" customFormat="1"/>
    <row r="111" s="22" customFormat="1"/>
    <row r="112" s="22" customFormat="1"/>
    <row r="113" s="22" customFormat="1"/>
    <row r="114" s="22" customFormat="1"/>
    <row r="115" s="22" customFormat="1"/>
    <row r="116" s="22" customFormat="1"/>
    <row r="117" s="22" customFormat="1"/>
    <row r="118" s="22" customFormat="1"/>
    <row r="119" s="22" customFormat="1"/>
    <row r="120" s="22" customFormat="1"/>
    <row r="121" s="22" customFormat="1"/>
    <row r="122" s="22" customFormat="1"/>
    <row r="123" s="22" customFormat="1"/>
    <row r="124" s="22" customFormat="1"/>
    <row r="125" s="22" customFormat="1"/>
    <row r="126" s="22" customFormat="1"/>
    <row r="127" s="22" customFormat="1"/>
    <row r="128" s="22" customFormat="1"/>
    <row r="129" s="22" customFormat="1"/>
    <row r="130" s="22" customFormat="1"/>
    <row r="131" s="22" customFormat="1"/>
    <row r="132" s="22" customFormat="1"/>
    <row r="133" s="22" customFormat="1"/>
    <row r="134" s="22" customFormat="1"/>
    <row r="135" s="22" customFormat="1"/>
    <row r="136" s="22" customFormat="1"/>
    <row r="137" s="22" customFormat="1"/>
    <row r="138" s="22" customFormat="1"/>
    <row r="139" s="22" customFormat="1"/>
    <row r="140" s="22" customFormat="1"/>
    <row r="141" s="22" customFormat="1"/>
    <row r="142" s="22" customFormat="1"/>
    <row r="143" s="22" customFormat="1"/>
    <row r="144" s="22" customFormat="1"/>
    <row r="145" s="22" customFormat="1"/>
    <row r="146" s="22" customFormat="1"/>
    <row r="147" s="22" customFormat="1"/>
    <row r="148" s="22" customFormat="1"/>
    <row r="149" s="22" customFormat="1"/>
    <row r="150" s="22" customFormat="1"/>
    <row r="151" s="22" customFormat="1"/>
    <row r="152" s="22" customFormat="1"/>
    <row r="153" s="22" customFormat="1"/>
    <row r="154" s="22" customFormat="1"/>
    <row r="155" s="22" customFormat="1"/>
    <row r="156" s="22" customFormat="1"/>
    <row r="157" s="22" customFormat="1"/>
    <row r="158" s="22" customFormat="1"/>
    <row r="159" s="22" customFormat="1"/>
    <row r="160" s="22" customFormat="1"/>
    <row r="161" s="22" customFormat="1"/>
    <row r="162" s="22" customFormat="1"/>
    <row r="163" s="22" customFormat="1"/>
    <row r="164" s="22" customFormat="1"/>
    <row r="165" s="22" customFormat="1"/>
    <row r="166" s="22" customFormat="1"/>
    <row r="167" s="22" customFormat="1"/>
    <row r="168" s="22" customFormat="1"/>
    <row r="169" s="22" customFormat="1"/>
    <row r="170" s="22" customFormat="1"/>
    <row r="171" s="22" customFormat="1"/>
    <row r="172" s="22" customFormat="1"/>
    <row r="173" s="22" customFormat="1"/>
    <row r="174" s="22" customFormat="1"/>
    <row r="175" s="22" customFormat="1"/>
    <row r="176" s="22" customFormat="1"/>
    <row r="177" s="22" customFormat="1"/>
    <row r="178" s="22" customFormat="1"/>
    <row r="179" s="22" customFormat="1"/>
    <row r="180" s="22" customFormat="1"/>
    <row r="181" s="22" customFormat="1"/>
    <row r="182" s="22" customFormat="1"/>
    <row r="183" s="22" customFormat="1"/>
    <row r="184" s="22" customFormat="1"/>
    <row r="185" s="22" customFormat="1"/>
    <row r="186" s="22" customFormat="1"/>
    <row r="187" s="22" customFormat="1"/>
    <row r="188" s="22" customFormat="1"/>
    <row r="189" s="22" customFormat="1"/>
    <row r="190" s="22" customFormat="1"/>
    <row r="191" s="22" customFormat="1"/>
    <row r="192" s="22" customFormat="1"/>
    <row r="193" s="22" customFormat="1"/>
    <row r="194" s="22" customFormat="1"/>
    <row r="195" s="22" customFormat="1"/>
    <row r="196" s="22" customFormat="1"/>
    <row r="197" s="22" customFormat="1"/>
    <row r="198" s="22" customFormat="1"/>
    <row r="199" s="22" customFormat="1"/>
    <row r="200" s="22" customFormat="1"/>
    <row r="201" s="22" customFormat="1"/>
    <row r="202" s="22" customFormat="1"/>
    <row r="203" s="22" customFormat="1"/>
    <row r="204" s="22" customFormat="1"/>
    <row r="205" s="22" customFormat="1"/>
    <row r="206" s="22" customFormat="1"/>
    <row r="207" s="22" customFormat="1"/>
    <row r="208" s="22" customFormat="1"/>
    <row r="209" s="22" customFormat="1"/>
    <row r="210" s="22" customFormat="1"/>
    <row r="211" s="22" customFormat="1"/>
    <row r="212" s="22" customFormat="1"/>
    <row r="213" s="22" customFormat="1"/>
    <row r="214" s="22" customFormat="1"/>
    <row r="215" s="22" customFormat="1"/>
    <row r="216" s="22" customFormat="1"/>
    <row r="217" s="22" customFormat="1"/>
    <row r="218" s="22" customFormat="1"/>
    <row r="219" s="22" customFormat="1"/>
    <row r="220" s="22" customFormat="1"/>
    <row r="221" s="22" customFormat="1"/>
    <row r="222" s="22" customFormat="1"/>
    <row r="223" s="22" customFormat="1"/>
    <row r="224" s="22" customFormat="1"/>
    <row r="225" s="22" customFormat="1"/>
    <row r="226" s="22" customFormat="1"/>
    <row r="227" s="22" customFormat="1"/>
    <row r="228" s="22" customFormat="1"/>
    <row r="229" s="22" customFormat="1"/>
    <row r="230" s="22" customFormat="1"/>
    <row r="231" s="22" customFormat="1"/>
    <row r="232" s="22" customFormat="1"/>
    <row r="233" s="22" customFormat="1"/>
    <row r="234" s="22" customFormat="1"/>
    <row r="235" s="22" customFormat="1"/>
    <row r="236" s="22" customFormat="1"/>
    <row r="237" s="22" customFormat="1"/>
    <row r="238" s="22" customFormat="1"/>
    <row r="239" s="22" customFormat="1"/>
    <row r="240" s="22" customFormat="1"/>
    <row r="241" s="22" customFormat="1"/>
    <row r="242" s="22" customFormat="1"/>
    <row r="243" s="22" customFormat="1"/>
    <row r="244" s="22" customFormat="1"/>
    <row r="245" s="22" customFormat="1"/>
    <row r="246" s="22" customFormat="1"/>
    <row r="247" s="22" customFormat="1"/>
    <row r="248" s="22" customFormat="1"/>
    <row r="249" s="22" customFormat="1"/>
    <row r="250" s="22" customFormat="1"/>
    <row r="251" s="22" customFormat="1"/>
    <row r="252" s="22" customFormat="1"/>
    <row r="253" s="22" customFormat="1"/>
    <row r="254" s="22" customFormat="1"/>
    <row r="255" s="22" customFormat="1"/>
  </sheetData>
  <phoneticPr fontId="0" type="noConversion"/>
  <hyperlinks>
    <hyperlink ref="K3" location="INDICE!A1" display="VOLVER A INDICE"/>
  </hyperlinks>
  <pageMargins left="0.75" right="0.75" top="1" bottom="1" header="0" footer="0"/>
  <pageSetup paperSize="9" orientation="portrait" horizontalDpi="200" verticalDpi="20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36</vt:i4>
      </vt:variant>
      <vt:variant>
        <vt:lpstr>Rangos con nombre</vt:lpstr>
      </vt:variant>
      <vt:variant>
        <vt:i4>4</vt:i4>
      </vt:variant>
    </vt:vector>
  </HeadingPairs>
  <TitlesOfParts>
    <vt:vector size="40" baseType="lpstr">
      <vt:lpstr>TAPA</vt:lpstr>
      <vt:lpstr>INTRO</vt:lpstr>
      <vt:lpstr>INDICE</vt:lpstr>
      <vt:lpstr>CUADRO1</vt:lpstr>
      <vt:lpstr>CUADRO2</vt:lpstr>
      <vt:lpstr>CUADRO3</vt:lpstr>
      <vt:lpstr>CUADRO3B</vt:lpstr>
      <vt:lpstr>CUADRO4</vt:lpstr>
      <vt:lpstr>CUADRO5</vt:lpstr>
      <vt:lpstr>CUADRO6</vt:lpstr>
      <vt:lpstr>CUADRO7</vt:lpstr>
      <vt:lpstr>CUADRO8</vt:lpstr>
      <vt:lpstr>CUADRO9</vt:lpstr>
      <vt:lpstr>CUADRO10</vt:lpstr>
      <vt:lpstr>CUADRO11</vt:lpstr>
      <vt:lpstr>CUADRO12</vt:lpstr>
      <vt:lpstr>CUADRO13</vt:lpstr>
      <vt:lpstr>CUADRO14</vt:lpstr>
      <vt:lpstr>CUADRO15</vt:lpstr>
      <vt:lpstr>CUADRO16</vt:lpstr>
      <vt:lpstr>CUADRO17</vt:lpstr>
      <vt:lpstr>CUADRO18</vt:lpstr>
      <vt:lpstr>CUADRO19</vt:lpstr>
      <vt:lpstr>CUADRO20</vt:lpstr>
      <vt:lpstr>CUADRO21</vt:lpstr>
      <vt:lpstr>CUADRO22</vt:lpstr>
      <vt:lpstr>SECT_TERAC.</vt:lpstr>
      <vt:lpstr>BAL-OLADE</vt:lpstr>
      <vt:lpstr>BAL-APEC</vt:lpstr>
      <vt:lpstr>BAL-MERCOSUR</vt:lpstr>
      <vt:lpstr>SECT_U.FIS.</vt:lpstr>
      <vt:lpstr>BALANCE_ELECT</vt:lpstr>
      <vt:lpstr>CAPACIDADES</vt:lpstr>
      <vt:lpstr>GENERACION EE</vt:lpstr>
      <vt:lpstr>CUADROA2</vt:lpstr>
      <vt:lpstr>CUADROA3</vt:lpstr>
      <vt:lpstr>CUADRO13!Área_de_impresión</vt:lpstr>
      <vt:lpstr>CUADRO21!Área_de_impresión</vt:lpstr>
      <vt:lpstr>CUADRO4!Área_de_impresión</vt:lpstr>
      <vt:lpstr>INTRO!Área_de_impresión</vt:lpstr>
    </vt:vector>
  </TitlesOfParts>
  <Company>GOBIERNO DE CHILE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SEPULVEDA-H</dc:creator>
  <cp:lastModifiedBy>Kiumarz Goharriz Chahin</cp:lastModifiedBy>
  <cp:lastPrinted>2006-11-10T10:01:36Z</cp:lastPrinted>
  <dcterms:created xsi:type="dcterms:W3CDTF">2006-01-08T23:20:55Z</dcterms:created>
  <dcterms:modified xsi:type="dcterms:W3CDTF">2018-06-19T20:36:12Z</dcterms:modified>
</cp:coreProperties>
</file>