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tura\Unidad de Informacion y Estadisticas\13 Estadísticas CNE\BNE Balances Energéticos\INPUT\2008-present\"/>
    </mc:Choice>
  </mc:AlternateContent>
  <bookViews>
    <workbookView xWindow="0" yWindow="90" windowWidth="15195" windowHeight="8700" tabRatio="961" firstSheet="4" activeTab="16"/>
  </bookViews>
  <sheets>
    <sheet name="TAPA" sheetId="32" r:id="rId1"/>
    <sheet name="INTRO" sheetId="35" r:id="rId2"/>
    <sheet name="INDICE" sheetId="36" r:id="rId3"/>
    <sheet name="CUADRO1" sheetId="1" r:id="rId4"/>
    <sheet name="CUADRO2" sheetId="2" r:id="rId5"/>
    <sheet name="CUADRO3" sheetId="3" r:id="rId6"/>
    <sheet name="CUADRO3B" sheetId="4" r:id="rId7"/>
    <sheet name="CUADRO4" sheetId="5" r:id="rId8"/>
    <sheet name="CUADRO5" sheetId="6" r:id="rId9"/>
    <sheet name="CUADRO6" sheetId="7" r:id="rId10"/>
    <sheet name="CUADRO7" sheetId="8" r:id="rId11"/>
    <sheet name="CUADRO8" sheetId="9" r:id="rId12"/>
    <sheet name="CUADRO9" sheetId="37" r:id="rId13"/>
    <sheet name="CUADRO10" sheetId="10" r:id="rId14"/>
    <sheet name="CUADRO11" sheetId="11" r:id="rId15"/>
    <sheet name="CONS_TERAC" sheetId="20" r:id="rId16"/>
    <sheet name="BALANCE" sheetId="43" r:id="rId17"/>
    <sheet name="CUADRO12" sheetId="12" r:id="rId18"/>
    <sheet name="CUADRO13" sheetId="13" r:id="rId19"/>
    <sheet name="CUADRO14" sheetId="14" r:id="rId20"/>
    <sheet name="CUADRO15" sheetId="15" r:id="rId21"/>
    <sheet name="CUADRO16" sheetId="16" r:id="rId22"/>
    <sheet name="CUADRO17" sheetId="17" r:id="rId23"/>
    <sheet name="CUADRO18" sheetId="38" r:id="rId24"/>
    <sheet name="CUADRO19" sheetId="18" r:id="rId25"/>
    <sheet name="CUADRO20" sheetId="19" r:id="rId26"/>
    <sheet name="CONS_U.FIS" sheetId="21" r:id="rId27"/>
    <sheet name="CUADRO21" sheetId="27" r:id="rId28"/>
    <sheet name="CUADRO22" sheetId="39" r:id="rId29"/>
    <sheet name="BAL-OLADE" sheetId="23" state="hidden" r:id="rId30"/>
    <sheet name="BAL-APEC" sheetId="29" state="hidden" r:id="rId31"/>
    <sheet name="BAL-MERCOSUR" sheetId="31" state="hidden" r:id="rId32"/>
    <sheet name="BALANCE_ELECT" sheetId="40" r:id="rId33"/>
    <sheet name="CAPACIDADES" sheetId="41" r:id="rId34"/>
    <sheet name="GENERACION EE" sheetId="42" r:id="rId35"/>
    <sheet name="CUADROA2" sheetId="33" r:id="rId36"/>
    <sheet name="CUADROA3" sheetId="34" r:id="rId37"/>
  </sheets>
  <definedNames>
    <definedName name="_xlnm._FilterDatabase" localSheetId="8" hidden="1">CUADRO5!$B$19:$I$20</definedName>
    <definedName name="_xlnm.Print_Area" localSheetId="18">CUADRO13!$B$2:$I$54</definedName>
    <definedName name="_xlnm.Print_Area" localSheetId="27">CUADRO21!$B$1:$L$39</definedName>
    <definedName name="_xlnm.Print_Area" localSheetId="7">CUADRO4!$B$2:$I$20</definedName>
    <definedName name="_xlnm.Print_Area" localSheetId="1">INTRO!$A$1:$I$75</definedName>
  </definedNames>
  <calcPr calcId="162913"/>
</workbook>
</file>

<file path=xl/calcChain.xml><?xml version="1.0" encoding="utf-8"?>
<calcChain xmlns="http://schemas.openxmlformats.org/spreadsheetml/2006/main">
  <c r="P33" i="20" l="1"/>
  <c r="P26" i="20"/>
  <c r="P12" i="20"/>
  <c r="P44" i="20"/>
  <c r="W16" i="43"/>
  <c r="O33" i="20"/>
  <c r="O26" i="20"/>
  <c r="O12" i="20"/>
  <c r="V33" i="20"/>
  <c r="V26" i="20"/>
  <c r="V12" i="20"/>
  <c r="N33" i="20"/>
  <c r="N26" i="20"/>
  <c r="N12" i="20"/>
  <c r="N44" i="20"/>
  <c r="C33" i="20"/>
  <c r="C26" i="20"/>
  <c r="C12" i="20"/>
  <c r="C44" i="20"/>
  <c r="C47" i="20" s="1"/>
  <c r="G12" i="5" s="1"/>
  <c r="E33" i="20"/>
  <c r="E26" i="20"/>
  <c r="E12" i="20"/>
  <c r="E44" i="20"/>
  <c r="E47" i="20"/>
  <c r="H33" i="20"/>
  <c r="H26" i="20"/>
  <c r="H12" i="20"/>
  <c r="H44" i="20"/>
  <c r="G33" i="20"/>
  <c r="G26" i="20"/>
  <c r="G12" i="20"/>
  <c r="K33" i="20"/>
  <c r="K47" i="20" s="1"/>
  <c r="K26" i="20"/>
  <c r="K12" i="20"/>
  <c r="K44" i="20"/>
  <c r="I33" i="20"/>
  <c r="I26" i="20"/>
  <c r="I12" i="20"/>
  <c r="I44" i="20"/>
  <c r="F33" i="20"/>
  <c r="F26" i="20"/>
  <c r="F47" i="20" s="1"/>
  <c r="F47" i="21" s="1"/>
  <c r="G15" i="13" s="1"/>
  <c r="I15" i="13" s="1"/>
  <c r="F12" i="20"/>
  <c r="F44" i="20"/>
  <c r="J33" i="20"/>
  <c r="J47" i="20" s="1"/>
  <c r="E17" i="6"/>
  <c r="J26" i="20"/>
  <c r="J12" i="20"/>
  <c r="J44" i="20"/>
  <c r="D33" i="20"/>
  <c r="D47" i="20" s="1"/>
  <c r="D26" i="20"/>
  <c r="D12" i="20"/>
  <c r="D12" i="21"/>
  <c r="D44" i="20"/>
  <c r="M33" i="20"/>
  <c r="M26" i="20"/>
  <c r="M12" i="20"/>
  <c r="M44" i="20"/>
  <c r="R33" i="20"/>
  <c r="R26" i="20"/>
  <c r="R12" i="20"/>
  <c r="R44" i="20"/>
  <c r="X16" i="43" s="1"/>
  <c r="Q33" i="20"/>
  <c r="Q26" i="20"/>
  <c r="Q12" i="20"/>
  <c r="Q44" i="20"/>
  <c r="S33" i="20"/>
  <c r="S26" i="20"/>
  <c r="S12" i="20"/>
  <c r="T33" i="20"/>
  <c r="T26" i="20"/>
  <c r="T12" i="20"/>
  <c r="T44" i="20"/>
  <c r="C31" i="2"/>
  <c r="F10" i="5"/>
  <c r="F30" i="5" s="1"/>
  <c r="E10" i="5"/>
  <c r="E30" i="5" s="1"/>
  <c r="D10" i="5"/>
  <c r="D30" i="5"/>
  <c r="C10" i="5"/>
  <c r="C30" i="5" s="1"/>
  <c r="C10" i="40"/>
  <c r="C15" i="40"/>
  <c r="C21" i="39"/>
  <c r="D16" i="39" s="1"/>
  <c r="E21" i="39"/>
  <c r="F16" i="39"/>
  <c r="D92" i="4"/>
  <c r="G92" i="4" s="1"/>
  <c r="E92" i="4"/>
  <c r="F92" i="4"/>
  <c r="G9" i="4"/>
  <c r="D89" i="4" s="1"/>
  <c r="G89" i="4" s="1"/>
  <c r="E89" i="4"/>
  <c r="F89" i="4"/>
  <c r="G10" i="4"/>
  <c r="D90" i="4"/>
  <c r="G90" i="4" s="1"/>
  <c r="E90" i="4"/>
  <c r="F90" i="4"/>
  <c r="G11" i="4"/>
  <c r="D91" i="4"/>
  <c r="G91" i="4" s="1"/>
  <c r="E91" i="4"/>
  <c r="F91" i="4"/>
  <c r="G14" i="3"/>
  <c r="G13" i="4" s="1"/>
  <c r="D93" i="4" s="1"/>
  <c r="G93" i="4" s="1"/>
  <c r="E93" i="4"/>
  <c r="F93" i="4"/>
  <c r="G94" i="4"/>
  <c r="E12" i="27"/>
  <c r="N13" i="27" s="1"/>
  <c r="N12" i="27"/>
  <c r="M12" i="27"/>
  <c r="M13" i="27"/>
  <c r="L12" i="27"/>
  <c r="K12" i="27"/>
  <c r="K13" i="27"/>
  <c r="J12" i="27"/>
  <c r="J13" i="27" s="1"/>
  <c r="I12" i="27"/>
  <c r="I13" i="27"/>
  <c r="H12" i="27"/>
  <c r="H13" i="27" s="1"/>
  <c r="G12" i="27"/>
  <c r="G13" i="27"/>
  <c r="F12" i="27"/>
  <c r="F13" i="27" s="1"/>
  <c r="E13" i="27"/>
  <c r="D13" i="27"/>
  <c r="D12" i="27"/>
  <c r="C17" i="11"/>
  <c r="S14" i="43"/>
  <c r="S15" i="43" s="1"/>
  <c r="S7" i="43"/>
  <c r="C3" i="43"/>
  <c r="C4" i="43"/>
  <c r="C5" i="43"/>
  <c r="C6" i="43"/>
  <c r="C14" i="43"/>
  <c r="D4" i="43"/>
  <c r="D5" i="43"/>
  <c r="D7" i="43" s="1"/>
  <c r="D15" i="43" s="1"/>
  <c r="D6" i="43"/>
  <c r="D8" i="43"/>
  <c r="D9" i="43"/>
  <c r="S51" i="20"/>
  <c r="S57" i="20" s="1"/>
  <c r="H25" i="6" s="1"/>
  <c r="D13" i="43"/>
  <c r="S53" i="20"/>
  <c r="D14" i="43" s="1"/>
  <c r="E3" i="43"/>
  <c r="E4" i="43"/>
  <c r="E7" i="43" s="1"/>
  <c r="E15" i="43" s="1"/>
  <c r="E5" i="43"/>
  <c r="E6" i="43"/>
  <c r="E8" i="43"/>
  <c r="E9" i="43"/>
  <c r="E11" i="43"/>
  <c r="F3" i="43"/>
  <c r="F4" i="43"/>
  <c r="F5" i="43"/>
  <c r="F6" i="43"/>
  <c r="F8" i="43"/>
  <c r="F9" i="43"/>
  <c r="G3" i="43"/>
  <c r="G6" i="43"/>
  <c r="G4" i="43"/>
  <c r="G5" i="43"/>
  <c r="H3" i="43"/>
  <c r="AA3" i="43" s="1"/>
  <c r="H6" i="43"/>
  <c r="H4" i="43"/>
  <c r="H5" i="43"/>
  <c r="I4" i="43"/>
  <c r="I5" i="43"/>
  <c r="I6" i="43"/>
  <c r="I8" i="43"/>
  <c r="I9" i="43"/>
  <c r="AA9" i="43" s="1"/>
  <c r="I14" i="43"/>
  <c r="J4" i="43"/>
  <c r="J5" i="43"/>
  <c r="J6" i="43"/>
  <c r="J8" i="43"/>
  <c r="J9" i="43"/>
  <c r="J14" i="43"/>
  <c r="K4" i="43"/>
  <c r="K5" i="43"/>
  <c r="K6" i="43"/>
  <c r="K14" i="43"/>
  <c r="L4" i="43"/>
  <c r="L5" i="43"/>
  <c r="L6" i="43"/>
  <c r="L14" i="43"/>
  <c r="M4" i="43"/>
  <c r="M5" i="43"/>
  <c r="M6" i="43"/>
  <c r="M8" i="43"/>
  <c r="M9" i="43"/>
  <c r="M14" i="43"/>
  <c r="G51" i="20"/>
  <c r="N4" i="43"/>
  <c r="N5" i="43"/>
  <c r="N6" i="43"/>
  <c r="N14" i="43"/>
  <c r="O4" i="43"/>
  <c r="O5" i="43"/>
  <c r="O6" i="43"/>
  <c r="O14" i="43"/>
  <c r="P4" i="43"/>
  <c r="P5" i="43"/>
  <c r="P6" i="43"/>
  <c r="P14" i="43"/>
  <c r="Q4" i="43"/>
  <c r="Q5" i="43"/>
  <c r="Q6" i="43"/>
  <c r="Q8" i="43"/>
  <c r="Q14" i="43"/>
  <c r="R7" i="43"/>
  <c r="R15" i="43" s="1"/>
  <c r="R9" i="43"/>
  <c r="T4" i="43"/>
  <c r="T5" i="43"/>
  <c r="T6" i="43"/>
  <c r="T9" i="43"/>
  <c r="U7" i="43"/>
  <c r="U10" i="43"/>
  <c r="V7" i="43"/>
  <c r="V15" i="43" s="1"/>
  <c r="W4" i="43"/>
  <c r="W5" i="43"/>
  <c r="W6" i="43"/>
  <c r="W11" i="43"/>
  <c r="AA11" i="43" s="1"/>
  <c r="X4" i="43"/>
  <c r="X5" i="43"/>
  <c r="X6" i="43"/>
  <c r="AA6" i="43" s="1"/>
  <c r="X10" i="43"/>
  <c r="Y7" i="43"/>
  <c r="Y15" i="43" s="1"/>
  <c r="Z4" i="43"/>
  <c r="Z5" i="43"/>
  <c r="Z6" i="43"/>
  <c r="Z13" i="43"/>
  <c r="AA13" i="43" s="1"/>
  <c r="Z37" i="43"/>
  <c r="Z36" i="43"/>
  <c r="Z35" i="43"/>
  <c r="Y35" i="43"/>
  <c r="Y36" i="43"/>
  <c r="Y37" i="43"/>
  <c r="X35" i="43"/>
  <c r="X36" i="43"/>
  <c r="X37" i="43"/>
  <c r="W35" i="43"/>
  <c r="W36" i="43"/>
  <c r="W37" i="43"/>
  <c r="V34" i="43"/>
  <c r="U35" i="43"/>
  <c r="U36" i="43"/>
  <c r="U37" i="43"/>
  <c r="T35" i="43"/>
  <c r="T36" i="43"/>
  <c r="T37" i="43"/>
  <c r="S34" i="43"/>
  <c r="R34" i="43"/>
  <c r="Q35" i="43"/>
  <c r="Q36" i="43"/>
  <c r="Q37" i="43"/>
  <c r="P35" i="43"/>
  <c r="P36" i="43"/>
  <c r="P37" i="43"/>
  <c r="O35" i="43"/>
  <c r="O36" i="43"/>
  <c r="O37" i="43"/>
  <c r="N35" i="43"/>
  <c r="N36" i="43"/>
  <c r="N37" i="43"/>
  <c r="M35" i="43"/>
  <c r="M36" i="43"/>
  <c r="AA36" i="43" s="1"/>
  <c r="M37" i="43"/>
  <c r="L35" i="43"/>
  <c r="L36" i="43"/>
  <c r="L37" i="43"/>
  <c r="K35" i="43"/>
  <c r="K36" i="43"/>
  <c r="K37" i="43"/>
  <c r="J35" i="43"/>
  <c r="J36" i="43"/>
  <c r="J37" i="43"/>
  <c r="I35" i="43"/>
  <c r="I36" i="43"/>
  <c r="I37" i="43"/>
  <c r="H34" i="43"/>
  <c r="G34" i="43"/>
  <c r="F35" i="43"/>
  <c r="F36" i="43"/>
  <c r="F37" i="43"/>
  <c r="E35" i="43"/>
  <c r="E36" i="43"/>
  <c r="E37" i="43"/>
  <c r="D35" i="43"/>
  <c r="D36" i="43"/>
  <c r="D37" i="43"/>
  <c r="C34" i="43"/>
  <c r="U26" i="21"/>
  <c r="D43" i="14" s="1"/>
  <c r="U33" i="21"/>
  <c r="E43" i="14" s="1"/>
  <c r="C9" i="14"/>
  <c r="D26" i="21"/>
  <c r="D9" i="14" s="1"/>
  <c r="D33" i="21"/>
  <c r="E9" i="14"/>
  <c r="D44" i="21"/>
  <c r="F9" i="14" s="1"/>
  <c r="V57" i="20"/>
  <c r="U57" i="21"/>
  <c r="H43" i="13"/>
  <c r="S38" i="20"/>
  <c r="S44" i="20" s="1"/>
  <c r="O57" i="20"/>
  <c r="N57" i="21" s="1"/>
  <c r="N57" i="20"/>
  <c r="M57" i="21" s="1"/>
  <c r="H29" i="13" s="1"/>
  <c r="K57" i="20"/>
  <c r="K57" i="21"/>
  <c r="H25" i="13" s="1"/>
  <c r="J57" i="20"/>
  <c r="J57" i="21"/>
  <c r="I57" i="20"/>
  <c r="I57" i="21" s="1"/>
  <c r="H57" i="20"/>
  <c r="H57" i="21" s="1"/>
  <c r="H19" i="13" s="1"/>
  <c r="H16" i="5"/>
  <c r="G38" i="20"/>
  <c r="G44" i="20" s="1"/>
  <c r="F57" i="20"/>
  <c r="F57" i="21"/>
  <c r="H15" i="13"/>
  <c r="E57" i="20"/>
  <c r="E57" i="21" s="1"/>
  <c r="C57" i="20"/>
  <c r="D57" i="20"/>
  <c r="D57" i="21"/>
  <c r="H9" i="13" s="1"/>
  <c r="D15" i="37"/>
  <c r="E15" i="37"/>
  <c r="F15" i="37"/>
  <c r="G15" i="37"/>
  <c r="C15" i="37"/>
  <c r="C17" i="7"/>
  <c r="D17" i="7"/>
  <c r="G17" i="7" s="1"/>
  <c r="E17" i="7"/>
  <c r="F17" i="7"/>
  <c r="C16" i="7"/>
  <c r="G16" i="7" s="1"/>
  <c r="D16" i="7"/>
  <c r="E16" i="7"/>
  <c r="F16" i="7"/>
  <c r="Q33" i="43"/>
  <c r="Q32" i="43"/>
  <c r="Q31" i="43"/>
  <c r="Q30" i="43"/>
  <c r="O28" i="43"/>
  <c r="O27" i="43"/>
  <c r="O26" i="43"/>
  <c r="O25" i="43"/>
  <c r="O24" i="43"/>
  <c r="O23" i="43"/>
  <c r="O22" i="43"/>
  <c r="O21" i="43"/>
  <c r="O20" i="43"/>
  <c r="O19" i="43"/>
  <c r="O18" i="43"/>
  <c r="N28" i="43"/>
  <c r="N27" i="43"/>
  <c r="N26" i="43"/>
  <c r="N25" i="43"/>
  <c r="N24" i="43"/>
  <c r="N23" i="43"/>
  <c r="N22" i="43"/>
  <c r="N21" i="43"/>
  <c r="N20" i="43"/>
  <c r="N19" i="43"/>
  <c r="N18" i="43"/>
  <c r="K28" i="43"/>
  <c r="K27" i="43"/>
  <c r="K26" i="43"/>
  <c r="K25" i="43"/>
  <c r="K24" i="43"/>
  <c r="K23" i="43"/>
  <c r="K22" i="43"/>
  <c r="K21" i="43"/>
  <c r="K20" i="43"/>
  <c r="K19" i="43"/>
  <c r="K18" i="43"/>
  <c r="S38" i="43"/>
  <c r="AA38" i="43" s="1"/>
  <c r="U33" i="43"/>
  <c r="L33" i="43"/>
  <c r="D33" i="43"/>
  <c r="E33" i="43"/>
  <c r="F33" i="43"/>
  <c r="I33" i="43"/>
  <c r="J33" i="43"/>
  <c r="K33" i="43"/>
  <c r="M33" i="43"/>
  <c r="N33" i="43"/>
  <c r="O33" i="43"/>
  <c r="P33" i="43"/>
  <c r="T33" i="43"/>
  <c r="V33" i="43"/>
  <c r="W33" i="43"/>
  <c r="X33" i="43"/>
  <c r="Z33" i="43"/>
  <c r="U32" i="43"/>
  <c r="L32" i="43"/>
  <c r="D32" i="43"/>
  <c r="E32" i="43"/>
  <c r="F32" i="43"/>
  <c r="I32" i="43"/>
  <c r="J32" i="43"/>
  <c r="K32" i="43"/>
  <c r="M32" i="43"/>
  <c r="N32" i="43"/>
  <c r="O32" i="43"/>
  <c r="P32" i="43"/>
  <c r="T32" i="43"/>
  <c r="V32" i="43"/>
  <c r="W32" i="43"/>
  <c r="W29" i="43" s="1"/>
  <c r="X32" i="43"/>
  <c r="Z32" i="43"/>
  <c r="U31" i="43"/>
  <c r="L31" i="43"/>
  <c r="D31" i="43"/>
  <c r="E31" i="43"/>
  <c r="F31" i="43"/>
  <c r="I31" i="43"/>
  <c r="J31" i="43"/>
  <c r="K31" i="43"/>
  <c r="M31" i="43"/>
  <c r="N31" i="43"/>
  <c r="O31" i="43"/>
  <c r="P31" i="43"/>
  <c r="T31" i="43"/>
  <c r="V31" i="43"/>
  <c r="W31" i="43"/>
  <c r="X31" i="43"/>
  <c r="Z31" i="43"/>
  <c r="U30" i="43"/>
  <c r="U29" i="43" s="1"/>
  <c r="L30" i="43"/>
  <c r="D30" i="43"/>
  <c r="E30" i="43"/>
  <c r="F30" i="43"/>
  <c r="I30" i="43"/>
  <c r="J30" i="43"/>
  <c r="K30" i="43"/>
  <c r="M30" i="43"/>
  <c r="N30" i="43"/>
  <c r="N29" i="43" s="1"/>
  <c r="O30" i="43"/>
  <c r="P30" i="43"/>
  <c r="P29" i="43" s="1"/>
  <c r="T30" i="43"/>
  <c r="V30" i="43"/>
  <c r="W30" i="43"/>
  <c r="X30" i="43"/>
  <c r="Z30" i="43"/>
  <c r="Z29" i="43" s="1"/>
  <c r="C29" i="43"/>
  <c r="G29" i="43"/>
  <c r="H29" i="43"/>
  <c r="R29" i="43"/>
  <c r="S29" i="43"/>
  <c r="Y29" i="43"/>
  <c r="U28" i="43"/>
  <c r="L28" i="43"/>
  <c r="D28" i="43"/>
  <c r="E28" i="43"/>
  <c r="F28" i="43"/>
  <c r="I28" i="43"/>
  <c r="J28" i="43"/>
  <c r="M28" i="43"/>
  <c r="P28" i="43"/>
  <c r="Q28" i="43"/>
  <c r="T28" i="43"/>
  <c r="V28" i="43"/>
  <c r="W28" i="43"/>
  <c r="X28" i="43"/>
  <c r="Z28" i="43"/>
  <c r="U27" i="43"/>
  <c r="L27" i="43"/>
  <c r="D27" i="43"/>
  <c r="E27" i="43"/>
  <c r="F27" i="43"/>
  <c r="I27" i="43"/>
  <c r="J27" i="43"/>
  <c r="M27" i="43"/>
  <c r="P27" i="43"/>
  <c r="Q27" i="43"/>
  <c r="T27" i="43"/>
  <c r="V27" i="43"/>
  <c r="W27" i="43"/>
  <c r="X27" i="43"/>
  <c r="Z27" i="43"/>
  <c r="U26" i="43"/>
  <c r="L26" i="43"/>
  <c r="D26" i="43"/>
  <c r="E26" i="43"/>
  <c r="F26" i="43"/>
  <c r="I26" i="43"/>
  <c r="J26" i="43"/>
  <c r="M26" i="43"/>
  <c r="P26" i="43"/>
  <c r="Q26" i="43"/>
  <c r="T26" i="43"/>
  <c r="V26" i="43"/>
  <c r="W26" i="43"/>
  <c r="X26" i="43"/>
  <c r="Z26" i="43"/>
  <c r="U25" i="43"/>
  <c r="L25" i="43"/>
  <c r="D25" i="43"/>
  <c r="E25" i="43"/>
  <c r="F25" i="43"/>
  <c r="I25" i="43"/>
  <c r="J25" i="43"/>
  <c r="M25" i="43"/>
  <c r="P25" i="43"/>
  <c r="Q25" i="43"/>
  <c r="T25" i="43"/>
  <c r="V25" i="43"/>
  <c r="W25" i="43"/>
  <c r="X25" i="43"/>
  <c r="Z25" i="43"/>
  <c r="R24" i="43"/>
  <c r="R17" i="43" s="1"/>
  <c r="L24" i="43"/>
  <c r="D24" i="43"/>
  <c r="E24" i="43"/>
  <c r="F24" i="43"/>
  <c r="I24" i="43"/>
  <c r="J24" i="43"/>
  <c r="M24" i="43"/>
  <c r="P24" i="43"/>
  <c r="Q24" i="43"/>
  <c r="T24" i="43"/>
  <c r="V24" i="43"/>
  <c r="W24" i="43"/>
  <c r="X24" i="43"/>
  <c r="Z24" i="43"/>
  <c r="U23" i="43"/>
  <c r="L23" i="43"/>
  <c r="D23" i="43"/>
  <c r="E23" i="43"/>
  <c r="F23" i="43"/>
  <c r="I23" i="43"/>
  <c r="J23" i="43"/>
  <c r="M23" i="43"/>
  <c r="P23" i="43"/>
  <c r="Q23" i="43"/>
  <c r="T23" i="43"/>
  <c r="V23" i="43"/>
  <c r="W23" i="43"/>
  <c r="X23" i="43"/>
  <c r="Z23" i="43"/>
  <c r="U22" i="43"/>
  <c r="L22" i="43"/>
  <c r="D22" i="43"/>
  <c r="E22" i="43"/>
  <c r="F22" i="43"/>
  <c r="I22" i="43"/>
  <c r="J22" i="43"/>
  <c r="M22" i="43"/>
  <c r="P22" i="43"/>
  <c r="Q22" i="43"/>
  <c r="T22" i="43"/>
  <c r="V22" i="43"/>
  <c r="W22" i="43"/>
  <c r="X22" i="43"/>
  <c r="Z22" i="43"/>
  <c r="U21" i="43"/>
  <c r="L21" i="43"/>
  <c r="D21" i="43"/>
  <c r="E21" i="43"/>
  <c r="F21" i="43"/>
  <c r="I21" i="43"/>
  <c r="J21" i="43"/>
  <c r="M21" i="43"/>
  <c r="P21" i="43"/>
  <c r="Q21" i="43"/>
  <c r="T21" i="43"/>
  <c r="V21" i="43"/>
  <c r="W21" i="43"/>
  <c r="X21" i="43"/>
  <c r="Z21" i="43"/>
  <c r="U20" i="43"/>
  <c r="L20" i="43"/>
  <c r="D20" i="43"/>
  <c r="E20" i="43"/>
  <c r="F20" i="43"/>
  <c r="I20" i="43"/>
  <c r="J20" i="43"/>
  <c r="M20" i="43"/>
  <c r="P20" i="43"/>
  <c r="Q20" i="43"/>
  <c r="T20" i="43"/>
  <c r="V20" i="43"/>
  <c r="W20" i="43"/>
  <c r="X20" i="43"/>
  <c r="Z20" i="43"/>
  <c r="U19" i="43"/>
  <c r="L19" i="43"/>
  <c r="D19" i="43"/>
  <c r="E19" i="43"/>
  <c r="F19" i="43"/>
  <c r="I19" i="43"/>
  <c r="J19" i="43"/>
  <c r="M19" i="43"/>
  <c r="P19" i="43"/>
  <c r="Q19" i="43"/>
  <c r="T19" i="43"/>
  <c r="V19" i="43"/>
  <c r="W19" i="43"/>
  <c r="X19" i="43"/>
  <c r="Z19" i="43"/>
  <c r="U18" i="43"/>
  <c r="L18" i="43"/>
  <c r="D18" i="43"/>
  <c r="E18" i="43"/>
  <c r="F18" i="43"/>
  <c r="I18" i="43"/>
  <c r="J18" i="43"/>
  <c r="M18" i="43"/>
  <c r="P18" i="43"/>
  <c r="Q18" i="43"/>
  <c r="T18" i="43"/>
  <c r="V18" i="43"/>
  <c r="W18" i="43"/>
  <c r="X18" i="43"/>
  <c r="Z18" i="43"/>
  <c r="C17" i="43"/>
  <c r="G17" i="43"/>
  <c r="H17" i="43"/>
  <c r="S17" i="43"/>
  <c r="Y17" i="43"/>
  <c r="L16" i="43"/>
  <c r="E16" i="43"/>
  <c r="I16" i="43"/>
  <c r="J16" i="43"/>
  <c r="K16" i="43"/>
  <c r="N16" i="43"/>
  <c r="P16" i="43"/>
  <c r="Q16" i="43"/>
  <c r="T16" i="43"/>
  <c r="Z16" i="43"/>
  <c r="V44" i="20"/>
  <c r="U44" i="21" s="1"/>
  <c r="F43" i="14" s="1"/>
  <c r="F16" i="43"/>
  <c r="M57" i="20"/>
  <c r="H20" i="5" s="1"/>
  <c r="O44" i="20"/>
  <c r="O47" i="20" s="1"/>
  <c r="P57" i="20"/>
  <c r="O57" i="21" s="1"/>
  <c r="Q57" i="20"/>
  <c r="H24" i="5" s="1"/>
  <c r="P57" i="21"/>
  <c r="H35" i="13"/>
  <c r="R57" i="20"/>
  <c r="T57" i="20"/>
  <c r="S57" i="21" s="1"/>
  <c r="H21" i="5"/>
  <c r="H28" i="5"/>
  <c r="H11" i="5"/>
  <c r="H13" i="5"/>
  <c r="H14" i="5"/>
  <c r="H17" i="5"/>
  <c r="H18" i="5"/>
  <c r="H19" i="5"/>
  <c r="H22" i="5"/>
  <c r="H23" i="5"/>
  <c r="H25" i="5"/>
  <c r="H27" i="5"/>
  <c r="G72" i="20"/>
  <c r="C16" i="1"/>
  <c r="D16" i="1"/>
  <c r="L24" i="21"/>
  <c r="C52" i="40" s="1"/>
  <c r="L20" i="21"/>
  <c r="C42" i="40"/>
  <c r="L14" i="21"/>
  <c r="C43" i="40" s="1"/>
  <c r="L17" i="21"/>
  <c r="C44" i="40"/>
  <c r="L19" i="21"/>
  <c r="C45" i="40" s="1"/>
  <c r="L18" i="21"/>
  <c r="C46" i="40"/>
  <c r="L21" i="21"/>
  <c r="C47" i="40" s="1"/>
  <c r="L16" i="21"/>
  <c r="C48" i="40"/>
  <c r="L22" i="21"/>
  <c r="C49" i="40" s="1"/>
  <c r="L15" i="21"/>
  <c r="C50" i="40"/>
  <c r="L23" i="21"/>
  <c r="C51" i="40" s="1"/>
  <c r="C21" i="40"/>
  <c r="C26" i="40"/>
  <c r="C20" i="40" s="1"/>
  <c r="D21" i="40" s="1"/>
  <c r="H81" i="42"/>
  <c r="C10" i="6"/>
  <c r="D10" i="6"/>
  <c r="E10" i="6"/>
  <c r="F10" i="6"/>
  <c r="H10" i="6"/>
  <c r="C11" i="6"/>
  <c r="D11" i="6"/>
  <c r="E11" i="6"/>
  <c r="F11" i="6"/>
  <c r="G11" i="6"/>
  <c r="C12" i="6"/>
  <c r="D12" i="6"/>
  <c r="E12" i="6"/>
  <c r="F12" i="6"/>
  <c r="C13" i="6"/>
  <c r="G13" i="6" s="1"/>
  <c r="I13" i="6" s="1"/>
  <c r="D13" i="6"/>
  <c r="E13" i="6"/>
  <c r="F13" i="6"/>
  <c r="H13" i="6"/>
  <c r="C14" i="6"/>
  <c r="D14" i="6"/>
  <c r="E14" i="6"/>
  <c r="E15" i="6"/>
  <c r="F15" i="6"/>
  <c r="H15" i="6"/>
  <c r="C16" i="6"/>
  <c r="D16" i="6"/>
  <c r="P44" i="23"/>
  <c r="E16" i="6"/>
  <c r="H16" i="6"/>
  <c r="C17" i="6"/>
  <c r="G17" i="6" s="1"/>
  <c r="I17" i="6" s="1"/>
  <c r="D17" i="6"/>
  <c r="F17" i="6"/>
  <c r="H17" i="6"/>
  <c r="C18" i="6"/>
  <c r="D18" i="6"/>
  <c r="E18" i="6"/>
  <c r="F18" i="6"/>
  <c r="H18" i="6"/>
  <c r="E19" i="6"/>
  <c r="F19" i="6"/>
  <c r="C20" i="6"/>
  <c r="E20" i="6"/>
  <c r="F20" i="6"/>
  <c r="H20" i="6"/>
  <c r="C21" i="6"/>
  <c r="D21" i="6"/>
  <c r="G21" i="6"/>
  <c r="I21" i="6" s="1"/>
  <c r="E21" i="6"/>
  <c r="F21" i="6"/>
  <c r="H21" i="6"/>
  <c r="D22" i="6"/>
  <c r="E22" i="6"/>
  <c r="F22" i="6"/>
  <c r="H22" i="6"/>
  <c r="C23" i="6"/>
  <c r="D23" i="6"/>
  <c r="E23" i="6"/>
  <c r="F23" i="6"/>
  <c r="G23" i="6"/>
  <c r="I23" i="6" s="1"/>
  <c r="H23" i="6"/>
  <c r="C24" i="6"/>
  <c r="D24" i="6"/>
  <c r="E24" i="6"/>
  <c r="F24" i="6"/>
  <c r="G24" i="6"/>
  <c r="C25" i="6"/>
  <c r="D25" i="6"/>
  <c r="E25" i="6"/>
  <c r="C26" i="6"/>
  <c r="E26" i="6"/>
  <c r="F26" i="6"/>
  <c r="H26" i="6"/>
  <c r="D27" i="6"/>
  <c r="E27" i="6"/>
  <c r="F27" i="6"/>
  <c r="H27" i="6"/>
  <c r="G28" i="6"/>
  <c r="I28" i="6" s="1"/>
  <c r="R40" i="21"/>
  <c r="F19" i="12"/>
  <c r="P73" i="20"/>
  <c r="C21" i="42"/>
  <c r="I81" i="41"/>
  <c r="E28" i="40"/>
  <c r="E24" i="40"/>
  <c r="E23" i="40"/>
  <c r="E22" i="40"/>
  <c r="E16" i="40"/>
  <c r="E13" i="40"/>
  <c r="E12" i="40"/>
  <c r="E11" i="40"/>
  <c r="U49" i="39"/>
  <c r="V48" i="39" s="1"/>
  <c r="K47" i="39"/>
  <c r="I47" i="39"/>
  <c r="G47" i="39"/>
  <c r="E47" i="39"/>
  <c r="C47" i="39"/>
  <c r="V46" i="39"/>
  <c r="U35" i="39"/>
  <c r="V31" i="39" s="1"/>
  <c r="V34" i="39"/>
  <c r="V33" i="39"/>
  <c r="V32" i="39"/>
  <c r="F20" i="39"/>
  <c r="D20" i="39"/>
  <c r="F19" i="39"/>
  <c r="D19" i="39"/>
  <c r="F18" i="39"/>
  <c r="D18" i="39"/>
  <c r="F17" i="39"/>
  <c r="D17" i="39"/>
  <c r="E8" i="39"/>
  <c r="F7" i="39" s="1"/>
  <c r="C8" i="39"/>
  <c r="D7" i="39" s="1"/>
  <c r="F6" i="39"/>
  <c r="D6" i="39"/>
  <c r="C18" i="8"/>
  <c r="D18" i="8"/>
  <c r="E18" i="8"/>
  <c r="F18" i="8"/>
  <c r="G18" i="8"/>
  <c r="H18" i="8"/>
  <c r="I18" i="8"/>
  <c r="N18" i="8" s="1"/>
  <c r="J18" i="8"/>
  <c r="K18" i="8"/>
  <c r="L18" i="8"/>
  <c r="M18" i="8"/>
  <c r="C19" i="8"/>
  <c r="D19" i="8"/>
  <c r="E19" i="8"/>
  <c r="F19" i="8"/>
  <c r="G19" i="8"/>
  <c r="H19" i="8"/>
  <c r="I19" i="8"/>
  <c r="J19" i="8"/>
  <c r="K19" i="8"/>
  <c r="L19" i="8"/>
  <c r="M19" i="8"/>
  <c r="N19" i="8" s="1"/>
  <c r="C20" i="8"/>
  <c r="D20" i="8"/>
  <c r="E20" i="8"/>
  <c r="F20" i="8"/>
  <c r="G20" i="8"/>
  <c r="H20" i="8"/>
  <c r="I20" i="8"/>
  <c r="N20" i="8" s="1"/>
  <c r="J20" i="8"/>
  <c r="K20" i="8"/>
  <c r="L20" i="8"/>
  <c r="M20" i="8"/>
  <c r="C21" i="8"/>
  <c r="D21" i="8"/>
  <c r="E21" i="8"/>
  <c r="F21" i="8"/>
  <c r="H21" i="8"/>
  <c r="I21" i="8"/>
  <c r="J21" i="8"/>
  <c r="K21" i="8"/>
  <c r="L21" i="8"/>
  <c r="M21" i="8"/>
  <c r="G21" i="8"/>
  <c r="N21" i="8" s="1"/>
  <c r="C22" i="8"/>
  <c r="D22" i="8"/>
  <c r="E22" i="8"/>
  <c r="F22" i="8"/>
  <c r="G22" i="8"/>
  <c r="H22" i="8"/>
  <c r="I22" i="8"/>
  <c r="N22" i="8" s="1"/>
  <c r="J22" i="8"/>
  <c r="K22" i="8"/>
  <c r="L22" i="8"/>
  <c r="M22" i="8"/>
  <c r="C23" i="8"/>
  <c r="D23" i="8"/>
  <c r="E23" i="8"/>
  <c r="F23" i="8"/>
  <c r="G23" i="8"/>
  <c r="H23" i="8"/>
  <c r="I23" i="8"/>
  <c r="J23" i="8"/>
  <c r="K23" i="8"/>
  <c r="L23" i="8"/>
  <c r="M23" i="8"/>
  <c r="N23" i="8" s="1"/>
  <c r="C24" i="8"/>
  <c r="D24" i="8"/>
  <c r="E24" i="8"/>
  <c r="N24" i="8" s="1"/>
  <c r="F24" i="8"/>
  <c r="G24" i="8"/>
  <c r="H24" i="8"/>
  <c r="I24" i="8"/>
  <c r="J24" i="8"/>
  <c r="K24" i="8"/>
  <c r="L24" i="8"/>
  <c r="M24" i="8"/>
  <c r="C25" i="8"/>
  <c r="D25" i="8"/>
  <c r="E25" i="8"/>
  <c r="F25" i="8"/>
  <c r="G25" i="8"/>
  <c r="H25" i="8"/>
  <c r="I25" i="8"/>
  <c r="J25" i="8"/>
  <c r="K25" i="8"/>
  <c r="L25" i="8"/>
  <c r="M25" i="8"/>
  <c r="N25" i="8" s="1"/>
  <c r="C26" i="8"/>
  <c r="D26" i="8"/>
  <c r="E26" i="8"/>
  <c r="N26" i="8" s="1"/>
  <c r="F26" i="8"/>
  <c r="G26" i="8"/>
  <c r="H26" i="8"/>
  <c r="I26" i="8"/>
  <c r="J26" i="8"/>
  <c r="K26" i="8"/>
  <c r="L26" i="8"/>
  <c r="M26" i="8"/>
  <c r="C10" i="8"/>
  <c r="D10" i="8"/>
  <c r="E10" i="8"/>
  <c r="F10" i="8"/>
  <c r="G10" i="8"/>
  <c r="H10" i="8"/>
  <c r="I10" i="8"/>
  <c r="J10" i="8"/>
  <c r="K10" i="8"/>
  <c r="L10" i="8"/>
  <c r="M10" i="8"/>
  <c r="N10" i="8" s="1"/>
  <c r="C11" i="8"/>
  <c r="D11" i="8"/>
  <c r="E11" i="8"/>
  <c r="N11" i="8" s="1"/>
  <c r="F11" i="8"/>
  <c r="G11" i="8"/>
  <c r="H11" i="8"/>
  <c r="I11" i="8"/>
  <c r="J11" i="8"/>
  <c r="K11" i="8"/>
  <c r="L11" i="8"/>
  <c r="M11" i="8"/>
  <c r="C12" i="8"/>
  <c r="D12" i="8"/>
  <c r="E12" i="8"/>
  <c r="F12" i="8"/>
  <c r="G12" i="8"/>
  <c r="H12" i="8"/>
  <c r="I12" i="8"/>
  <c r="J12" i="8"/>
  <c r="K12" i="8"/>
  <c r="L12" i="8"/>
  <c r="M12" i="8"/>
  <c r="N12" i="8" s="1"/>
  <c r="C13" i="8"/>
  <c r="D13" i="8"/>
  <c r="E13" i="8"/>
  <c r="N13" i="8" s="1"/>
  <c r="F13" i="8"/>
  <c r="G13" i="8"/>
  <c r="H13" i="8"/>
  <c r="I13" i="8"/>
  <c r="J13" i="8"/>
  <c r="K13" i="8"/>
  <c r="L13" i="8"/>
  <c r="M13" i="8"/>
  <c r="C14" i="8"/>
  <c r="D14" i="8"/>
  <c r="E14" i="8"/>
  <c r="F14" i="8"/>
  <c r="G14" i="8"/>
  <c r="H14" i="8"/>
  <c r="I14" i="8"/>
  <c r="J14" i="8"/>
  <c r="K14" i="8"/>
  <c r="L14" i="8"/>
  <c r="M14" i="8"/>
  <c r="N14" i="8" s="1"/>
  <c r="C15" i="8"/>
  <c r="D15" i="8"/>
  <c r="E15" i="8"/>
  <c r="N15" i="8" s="1"/>
  <c r="F15" i="8"/>
  <c r="G15" i="8"/>
  <c r="H15" i="8"/>
  <c r="I15" i="8"/>
  <c r="J15" i="8"/>
  <c r="K15" i="8"/>
  <c r="L15" i="8"/>
  <c r="M15" i="8"/>
  <c r="C16" i="8"/>
  <c r="D16" i="8"/>
  <c r="E16" i="8"/>
  <c r="F16" i="8"/>
  <c r="G16" i="8"/>
  <c r="H16" i="8"/>
  <c r="I16" i="8"/>
  <c r="J16" i="8"/>
  <c r="K16" i="8"/>
  <c r="L16" i="8"/>
  <c r="M16" i="8"/>
  <c r="N16" i="8" s="1"/>
  <c r="C17" i="8"/>
  <c r="D17" i="8"/>
  <c r="E17" i="8"/>
  <c r="F17" i="8"/>
  <c r="G17" i="8"/>
  <c r="H17" i="8"/>
  <c r="I17" i="8"/>
  <c r="J17" i="8"/>
  <c r="K17" i="8"/>
  <c r="L17" i="8"/>
  <c r="M17" i="8"/>
  <c r="L39" i="20"/>
  <c r="W39" i="20" s="1"/>
  <c r="L38" i="20"/>
  <c r="W38" i="20"/>
  <c r="L40" i="20"/>
  <c r="W40" i="20" s="1"/>
  <c r="L41" i="20"/>
  <c r="W41" i="20" s="1"/>
  <c r="L42" i="20"/>
  <c r="W42" i="20" s="1"/>
  <c r="L36" i="20"/>
  <c r="W36" i="20" s="1"/>
  <c r="L37" i="20"/>
  <c r="W37" i="20" s="1"/>
  <c r="U49" i="21"/>
  <c r="U50" i="21"/>
  <c r="C25" i="18" s="1"/>
  <c r="U51" i="21"/>
  <c r="U52" i="21"/>
  <c r="D25" i="18" s="1"/>
  <c r="U53" i="21"/>
  <c r="E25" i="18" s="1"/>
  <c r="U54" i="21"/>
  <c r="F25" i="18"/>
  <c r="U55" i="21"/>
  <c r="G25" i="18" s="1"/>
  <c r="R49" i="21"/>
  <c r="R50" i="21"/>
  <c r="R52" i="21"/>
  <c r="R51" i="21"/>
  <c r="D23" i="18"/>
  <c r="R55" i="21"/>
  <c r="G23" i="18" s="1"/>
  <c r="R53" i="21"/>
  <c r="E23" i="18"/>
  <c r="R54" i="21"/>
  <c r="F23" i="18" s="1"/>
  <c r="N49" i="21"/>
  <c r="N50" i="21"/>
  <c r="C21" i="18" s="1"/>
  <c r="N51" i="21"/>
  <c r="N52" i="21"/>
  <c r="N53" i="21"/>
  <c r="E21" i="18" s="1"/>
  <c r="N54" i="21"/>
  <c r="F21" i="18" s="1"/>
  <c r="N55" i="21"/>
  <c r="G21" i="18"/>
  <c r="M49" i="21"/>
  <c r="M50" i="21"/>
  <c r="C19" i="18"/>
  <c r="M52" i="21"/>
  <c r="M51" i="21"/>
  <c r="M53" i="21"/>
  <c r="E19" i="18"/>
  <c r="M54" i="21"/>
  <c r="F19" i="18" s="1"/>
  <c r="M55" i="21"/>
  <c r="G19" i="18"/>
  <c r="K49" i="21"/>
  <c r="C17" i="18" s="1"/>
  <c r="K50" i="21"/>
  <c r="K51" i="21"/>
  <c r="D17" i="18" s="1"/>
  <c r="K52" i="21"/>
  <c r="K53" i="21"/>
  <c r="E17" i="18"/>
  <c r="K54" i="21"/>
  <c r="F17" i="18" s="1"/>
  <c r="K55" i="21"/>
  <c r="G17" i="18"/>
  <c r="G49" i="21"/>
  <c r="G50" i="21"/>
  <c r="G51" i="21"/>
  <c r="G52" i="21"/>
  <c r="D15" i="18" s="1"/>
  <c r="G53" i="21"/>
  <c r="E15" i="18" s="1"/>
  <c r="G54" i="21"/>
  <c r="F15" i="18"/>
  <c r="G55" i="21"/>
  <c r="G15" i="18" s="1"/>
  <c r="C49" i="21"/>
  <c r="C13" i="18" s="1"/>
  <c r="C50" i="21"/>
  <c r="C51" i="21"/>
  <c r="C52" i="21"/>
  <c r="C53" i="21"/>
  <c r="E13" i="18" s="1"/>
  <c r="C54" i="21"/>
  <c r="F13" i="18"/>
  <c r="C55" i="21"/>
  <c r="G13" i="18" s="1"/>
  <c r="D49" i="21"/>
  <c r="D50" i="21"/>
  <c r="C11" i="18"/>
  <c r="D51" i="21"/>
  <c r="D11" i="18"/>
  <c r="D52" i="21"/>
  <c r="D53" i="21"/>
  <c r="E11" i="18" s="1"/>
  <c r="D54" i="21"/>
  <c r="F11" i="18"/>
  <c r="D55" i="21"/>
  <c r="G11" i="18" s="1"/>
  <c r="O36" i="21"/>
  <c r="C27" i="38" s="1"/>
  <c r="O37" i="21"/>
  <c r="O38" i="21"/>
  <c r="O39" i="21"/>
  <c r="D27" i="38"/>
  <c r="O40" i="21"/>
  <c r="E27" i="38" s="1"/>
  <c r="O41" i="21"/>
  <c r="F27" i="38" s="1"/>
  <c r="O42" i="21"/>
  <c r="G27" i="38" s="1"/>
  <c r="S36" i="21"/>
  <c r="S37" i="21"/>
  <c r="S38" i="21"/>
  <c r="S39" i="21"/>
  <c r="D35" i="38"/>
  <c r="S40" i="21"/>
  <c r="E35" i="38" s="1"/>
  <c r="S41" i="21"/>
  <c r="F35" i="38"/>
  <c r="S42" i="21"/>
  <c r="G35" i="38" s="1"/>
  <c r="R36" i="21"/>
  <c r="C33" i="38"/>
  <c r="R37" i="21"/>
  <c r="R38" i="21"/>
  <c r="R39" i="21"/>
  <c r="E33" i="38"/>
  <c r="R41" i="21"/>
  <c r="F33" i="38" s="1"/>
  <c r="R42" i="21"/>
  <c r="G33" i="38"/>
  <c r="Q36" i="21"/>
  <c r="C31" i="38" s="1"/>
  <c r="Q37" i="21"/>
  <c r="Q38" i="21"/>
  <c r="Q39" i="21"/>
  <c r="Q40" i="21"/>
  <c r="E31" i="38" s="1"/>
  <c r="Q41" i="21"/>
  <c r="F31" i="38" s="1"/>
  <c r="Q42" i="21"/>
  <c r="G31" i="38" s="1"/>
  <c r="P36" i="21"/>
  <c r="C29" i="38" s="1"/>
  <c r="P37" i="21"/>
  <c r="P38" i="21"/>
  <c r="D29" i="38"/>
  <c r="P39" i="21"/>
  <c r="P40" i="21"/>
  <c r="E29" i="38" s="1"/>
  <c r="P41" i="21"/>
  <c r="F29" i="38"/>
  <c r="P42" i="21"/>
  <c r="G29" i="38" s="1"/>
  <c r="M36" i="21"/>
  <c r="C25" i="38" s="1"/>
  <c r="M37" i="21"/>
  <c r="M38" i="21"/>
  <c r="M39" i="21"/>
  <c r="D25" i="38"/>
  <c r="M40" i="21"/>
  <c r="E25" i="38" s="1"/>
  <c r="M41" i="21"/>
  <c r="F25" i="38" s="1"/>
  <c r="M42" i="21"/>
  <c r="G25" i="38" s="1"/>
  <c r="L36" i="21"/>
  <c r="C23" i="38"/>
  <c r="L37" i="21"/>
  <c r="L38" i="21"/>
  <c r="L39" i="21"/>
  <c r="D23" i="38" s="1"/>
  <c r="L40" i="21"/>
  <c r="E23" i="38" s="1"/>
  <c r="L41" i="21"/>
  <c r="F23" i="38"/>
  <c r="L42" i="21"/>
  <c r="G23" i="38"/>
  <c r="K36" i="21"/>
  <c r="C21" i="38" s="1"/>
  <c r="K37" i="21"/>
  <c r="K38" i="21"/>
  <c r="D21" i="38"/>
  <c r="K39" i="21"/>
  <c r="K40" i="21"/>
  <c r="E21" i="38"/>
  <c r="K41" i="21"/>
  <c r="F21" i="38" s="1"/>
  <c r="K42" i="21"/>
  <c r="G21" i="38"/>
  <c r="J36" i="21"/>
  <c r="C19" i="38" s="1"/>
  <c r="J37" i="21"/>
  <c r="J38" i="21"/>
  <c r="D19" i="38" s="1"/>
  <c r="J39" i="21"/>
  <c r="J40" i="21"/>
  <c r="E19" i="38"/>
  <c r="J41" i="21"/>
  <c r="F19" i="38" s="1"/>
  <c r="J42" i="21"/>
  <c r="G19" i="38"/>
  <c r="G36" i="21"/>
  <c r="C17" i="38" s="1"/>
  <c r="G37" i="21"/>
  <c r="G39" i="21"/>
  <c r="G38" i="21"/>
  <c r="D17" i="38" s="1"/>
  <c r="G40" i="21"/>
  <c r="E17" i="38"/>
  <c r="G41" i="21"/>
  <c r="F17" i="38" s="1"/>
  <c r="G42" i="21"/>
  <c r="G17" i="38"/>
  <c r="E36" i="21"/>
  <c r="E37" i="21"/>
  <c r="E38" i="21"/>
  <c r="E39" i="21"/>
  <c r="D15" i="38" s="1"/>
  <c r="E40" i="21"/>
  <c r="E15" i="38" s="1"/>
  <c r="E41" i="21"/>
  <c r="F15" i="38"/>
  <c r="E42" i="21"/>
  <c r="G15" i="38" s="1"/>
  <c r="C36" i="21"/>
  <c r="C13" i="38" s="1"/>
  <c r="C37" i="21"/>
  <c r="C38" i="21"/>
  <c r="D13" i="38"/>
  <c r="C39" i="21"/>
  <c r="C40" i="21"/>
  <c r="E13" i="38"/>
  <c r="C41" i="21"/>
  <c r="F13" i="38"/>
  <c r="C42" i="21"/>
  <c r="G13" i="38"/>
  <c r="D36" i="21"/>
  <c r="C11" i="38" s="1"/>
  <c r="D37" i="21"/>
  <c r="D38" i="21"/>
  <c r="D11" i="38" s="1"/>
  <c r="D39" i="21"/>
  <c r="D40" i="21"/>
  <c r="E11" i="38"/>
  <c r="D41" i="21"/>
  <c r="F11" i="38" s="1"/>
  <c r="D42" i="21"/>
  <c r="G11" i="38"/>
  <c r="U29" i="21"/>
  <c r="C29" i="17"/>
  <c r="U30" i="21"/>
  <c r="D29" i="17"/>
  <c r="U31" i="21"/>
  <c r="E29" i="17" s="1"/>
  <c r="F29" i="17" s="1"/>
  <c r="R29" i="21"/>
  <c r="C27" i="17" s="1"/>
  <c r="R30" i="21"/>
  <c r="D27" i="17" s="1"/>
  <c r="R31" i="21"/>
  <c r="E27" i="17" s="1"/>
  <c r="P29" i="21"/>
  <c r="C25" i="17"/>
  <c r="P30" i="21"/>
  <c r="D25" i="17"/>
  <c r="P31" i="21"/>
  <c r="E25" i="17"/>
  <c r="M29" i="21"/>
  <c r="C23" i="17" s="1"/>
  <c r="M30" i="21"/>
  <c r="D23" i="17"/>
  <c r="M31" i="21"/>
  <c r="E23" i="17" s="1"/>
  <c r="L29" i="21"/>
  <c r="C21" i="17"/>
  <c r="L30" i="21"/>
  <c r="D21" i="17" s="1"/>
  <c r="L31" i="21"/>
  <c r="E21" i="17" s="1"/>
  <c r="G29" i="21"/>
  <c r="C19" i="17" s="1"/>
  <c r="F19" i="17" s="1"/>
  <c r="G30" i="21"/>
  <c r="D19" i="17" s="1"/>
  <c r="G31" i="21"/>
  <c r="E19" i="17"/>
  <c r="J29" i="21"/>
  <c r="C17" i="17" s="1"/>
  <c r="J30" i="21"/>
  <c r="D17" i="17"/>
  <c r="J31" i="21"/>
  <c r="E17" i="17" s="1"/>
  <c r="F29" i="21"/>
  <c r="C15" i="17" s="1"/>
  <c r="F30" i="21"/>
  <c r="D15" i="17" s="1"/>
  <c r="F31" i="21"/>
  <c r="E15" i="17"/>
  <c r="C29" i="21"/>
  <c r="C13" i="17" s="1"/>
  <c r="F13" i="17" s="1"/>
  <c r="C30" i="21"/>
  <c r="D13" i="17" s="1"/>
  <c r="C31" i="21"/>
  <c r="E13" i="17"/>
  <c r="D29" i="21"/>
  <c r="C11" i="17" s="1"/>
  <c r="D30" i="21"/>
  <c r="D11" i="17" s="1"/>
  <c r="D31" i="21"/>
  <c r="E11" i="17" s="1"/>
  <c r="R21" i="21"/>
  <c r="J33" i="16"/>
  <c r="D24" i="21"/>
  <c r="M9" i="16" s="1"/>
  <c r="U24" i="21"/>
  <c r="M37" i="16" s="1"/>
  <c r="U23" i="21"/>
  <c r="L37" i="16" s="1"/>
  <c r="U22" i="21"/>
  <c r="K37" i="16"/>
  <c r="U21" i="21"/>
  <c r="J37" i="16" s="1"/>
  <c r="U20" i="21"/>
  <c r="I37" i="16" s="1"/>
  <c r="U19" i="21"/>
  <c r="H37" i="16" s="1"/>
  <c r="U18" i="21"/>
  <c r="G37" i="16"/>
  <c r="U17" i="21"/>
  <c r="F37" i="16" s="1"/>
  <c r="U16" i="21"/>
  <c r="E37" i="16" s="1"/>
  <c r="U15" i="21"/>
  <c r="D37" i="16" s="1"/>
  <c r="S24" i="21"/>
  <c r="M35" i="16"/>
  <c r="S23" i="21"/>
  <c r="L35" i="16" s="1"/>
  <c r="S22" i="21"/>
  <c r="K35" i="16" s="1"/>
  <c r="S21" i="21"/>
  <c r="J35" i="16" s="1"/>
  <c r="S20" i="21"/>
  <c r="I35" i="16"/>
  <c r="S19" i="21"/>
  <c r="H35" i="16" s="1"/>
  <c r="S18" i="21"/>
  <c r="G35" i="16" s="1"/>
  <c r="S17" i="21"/>
  <c r="F35" i="16" s="1"/>
  <c r="S16" i="21"/>
  <c r="E35" i="16"/>
  <c r="S15" i="21"/>
  <c r="D35" i="16" s="1"/>
  <c r="R24" i="21"/>
  <c r="M33" i="16"/>
  <c r="R23" i="21"/>
  <c r="L33" i="16"/>
  <c r="R22" i="21"/>
  <c r="K33" i="16" s="1"/>
  <c r="R20" i="21"/>
  <c r="I33" i="16"/>
  <c r="R19" i="21"/>
  <c r="H33" i="16"/>
  <c r="R18" i="21"/>
  <c r="G33" i="16"/>
  <c r="R17" i="21"/>
  <c r="F33" i="16" s="1"/>
  <c r="R16" i="21"/>
  <c r="E33" i="16"/>
  <c r="R15" i="21"/>
  <c r="D33" i="16"/>
  <c r="Q24" i="21"/>
  <c r="M31" i="16"/>
  <c r="Q23" i="21"/>
  <c r="L31" i="16" s="1"/>
  <c r="Q22" i="21"/>
  <c r="K31" i="16"/>
  <c r="Q21" i="21"/>
  <c r="J31" i="16"/>
  <c r="Q20" i="21"/>
  <c r="I31" i="16"/>
  <c r="Q19" i="21"/>
  <c r="H31" i="16" s="1"/>
  <c r="Q18" i="21"/>
  <c r="G31" i="16"/>
  <c r="Q17" i="21"/>
  <c r="F31" i="16" s="1"/>
  <c r="Q16" i="21"/>
  <c r="E31" i="16"/>
  <c r="Q15" i="21"/>
  <c r="D31" i="16" s="1"/>
  <c r="P24" i="21"/>
  <c r="M29" i="16"/>
  <c r="P23" i="21"/>
  <c r="L29" i="16" s="1"/>
  <c r="P22" i="21"/>
  <c r="K29" i="16"/>
  <c r="P21" i="21"/>
  <c r="J29" i="16" s="1"/>
  <c r="P20" i="21"/>
  <c r="I29" i="16"/>
  <c r="P19" i="21"/>
  <c r="H29" i="16" s="1"/>
  <c r="P18" i="21"/>
  <c r="G29" i="16"/>
  <c r="P17" i="21"/>
  <c r="F29" i="16" s="1"/>
  <c r="P16" i="21"/>
  <c r="E29" i="16" s="1"/>
  <c r="P15" i="21"/>
  <c r="D29" i="16" s="1"/>
  <c r="O24" i="21"/>
  <c r="M27" i="16"/>
  <c r="O23" i="21"/>
  <c r="L27" i="16" s="1"/>
  <c r="O22" i="21"/>
  <c r="K27" i="16" s="1"/>
  <c r="O21" i="21"/>
  <c r="J27" i="16" s="1"/>
  <c r="O20" i="21"/>
  <c r="I27" i="16"/>
  <c r="O19" i="21"/>
  <c r="H27" i="16" s="1"/>
  <c r="O18" i="21"/>
  <c r="G27" i="16" s="1"/>
  <c r="O17" i="21"/>
  <c r="F27" i="16" s="1"/>
  <c r="O16" i="21"/>
  <c r="E27" i="16"/>
  <c r="O15" i="21"/>
  <c r="D27" i="16" s="1"/>
  <c r="N24" i="21"/>
  <c r="M25" i="16" s="1"/>
  <c r="N23" i="21"/>
  <c r="L25" i="16" s="1"/>
  <c r="N22" i="21"/>
  <c r="K25" i="16"/>
  <c r="N21" i="21"/>
  <c r="J25" i="16" s="1"/>
  <c r="N20" i="21"/>
  <c r="I25" i="16" s="1"/>
  <c r="N19" i="21"/>
  <c r="H25" i="16" s="1"/>
  <c r="N18" i="21"/>
  <c r="G25" i="16"/>
  <c r="N17" i="21"/>
  <c r="F25" i="16" s="1"/>
  <c r="N16" i="21"/>
  <c r="E25" i="16" s="1"/>
  <c r="N15" i="21"/>
  <c r="D25" i="16" s="1"/>
  <c r="M24" i="21"/>
  <c r="M23" i="16"/>
  <c r="M23" i="21"/>
  <c r="L23" i="16" s="1"/>
  <c r="M22" i="21"/>
  <c r="K23" i="16" s="1"/>
  <c r="M21" i="21"/>
  <c r="J23" i="16" s="1"/>
  <c r="M20" i="21"/>
  <c r="I23" i="16"/>
  <c r="M19" i="21"/>
  <c r="H23" i="16" s="1"/>
  <c r="M18" i="21"/>
  <c r="G23" i="16" s="1"/>
  <c r="M17" i="21"/>
  <c r="F23" i="16" s="1"/>
  <c r="M16" i="21"/>
  <c r="E23" i="16"/>
  <c r="M15" i="21"/>
  <c r="D23" i="16" s="1"/>
  <c r="M21" i="16"/>
  <c r="L21" i="16"/>
  <c r="K21" i="16"/>
  <c r="I21" i="16"/>
  <c r="J21" i="16"/>
  <c r="H21" i="16"/>
  <c r="G21" i="16"/>
  <c r="F21" i="16"/>
  <c r="E21" i="16"/>
  <c r="D21" i="16"/>
  <c r="K24" i="21"/>
  <c r="M19" i="16"/>
  <c r="K23" i="21"/>
  <c r="L19" i="16" s="1"/>
  <c r="K22" i="21"/>
  <c r="K19" i="16"/>
  <c r="K21" i="21"/>
  <c r="J19" i="16"/>
  <c r="K20" i="21"/>
  <c r="I19" i="16"/>
  <c r="K19" i="21"/>
  <c r="H19" i="16" s="1"/>
  <c r="K18" i="21"/>
  <c r="G19" i="16"/>
  <c r="K17" i="21"/>
  <c r="F19" i="16"/>
  <c r="K16" i="21"/>
  <c r="E19" i="16"/>
  <c r="K15" i="21"/>
  <c r="D19" i="16" s="1"/>
  <c r="J24" i="21"/>
  <c r="M17" i="16"/>
  <c r="J23" i="21"/>
  <c r="L17" i="16"/>
  <c r="J22" i="21"/>
  <c r="K17" i="16"/>
  <c r="J21" i="21"/>
  <c r="J17" i="16" s="1"/>
  <c r="J20" i="21"/>
  <c r="I17" i="16"/>
  <c r="J19" i="21"/>
  <c r="H17" i="16"/>
  <c r="J18" i="21"/>
  <c r="G17" i="16"/>
  <c r="J17" i="21"/>
  <c r="F17" i="16" s="1"/>
  <c r="J16" i="21"/>
  <c r="E17" i="16"/>
  <c r="J15" i="21"/>
  <c r="D17" i="16" s="1"/>
  <c r="G24" i="21"/>
  <c r="M15" i="16"/>
  <c r="G23" i="21"/>
  <c r="L15" i="16" s="1"/>
  <c r="G22" i="21"/>
  <c r="K15" i="16"/>
  <c r="G21" i="21"/>
  <c r="J15" i="16" s="1"/>
  <c r="G20" i="21"/>
  <c r="I15" i="16"/>
  <c r="G19" i="21"/>
  <c r="H15" i="16" s="1"/>
  <c r="G18" i="21"/>
  <c r="G15" i="16"/>
  <c r="G17" i="21"/>
  <c r="F15" i="16" s="1"/>
  <c r="G16" i="21"/>
  <c r="E15" i="16"/>
  <c r="G15" i="21"/>
  <c r="D15" i="16" s="1"/>
  <c r="D23" i="21"/>
  <c r="L9" i="16"/>
  <c r="D22" i="21"/>
  <c r="K9" i="16" s="1"/>
  <c r="D21" i="21"/>
  <c r="J9" i="16"/>
  <c r="D20" i="21"/>
  <c r="I9" i="16" s="1"/>
  <c r="D19" i="21"/>
  <c r="H9" i="16"/>
  <c r="D18" i="21"/>
  <c r="G9" i="16" s="1"/>
  <c r="D17" i="21"/>
  <c r="F9" i="16"/>
  <c r="F24" i="21"/>
  <c r="M13" i="16" s="1"/>
  <c r="F23" i="21"/>
  <c r="L13" i="16"/>
  <c r="F22" i="21"/>
  <c r="K13" i="16" s="1"/>
  <c r="F21" i="21"/>
  <c r="J13" i="16"/>
  <c r="F20" i="21"/>
  <c r="I13" i="16" s="1"/>
  <c r="F19" i="21"/>
  <c r="H13" i="16"/>
  <c r="F18" i="21"/>
  <c r="G13" i="16" s="1"/>
  <c r="F17" i="21"/>
  <c r="F13" i="16"/>
  <c r="F16" i="21"/>
  <c r="E13" i="16" s="1"/>
  <c r="F15" i="21"/>
  <c r="D13" i="16"/>
  <c r="C24" i="21"/>
  <c r="M11" i="16" s="1"/>
  <c r="C23" i="21"/>
  <c r="L11" i="16"/>
  <c r="C22" i="21"/>
  <c r="K11" i="16" s="1"/>
  <c r="C21" i="21"/>
  <c r="J11" i="16" s="1"/>
  <c r="C20" i="21"/>
  <c r="I11" i="16" s="1"/>
  <c r="C19" i="21"/>
  <c r="H11" i="16"/>
  <c r="C18" i="21"/>
  <c r="G11" i="16" s="1"/>
  <c r="C17" i="21"/>
  <c r="F11" i="16" s="1"/>
  <c r="C16" i="21"/>
  <c r="E11" i="16" s="1"/>
  <c r="C15" i="21"/>
  <c r="D11" i="16"/>
  <c r="U14" i="21"/>
  <c r="C37" i="16" s="1"/>
  <c r="S14" i="21"/>
  <c r="C35" i="16" s="1"/>
  <c r="N35" i="16" s="1"/>
  <c r="R14" i="21"/>
  <c r="C33" i="16" s="1"/>
  <c r="Q14" i="21"/>
  <c r="C31" i="16" s="1"/>
  <c r="P14" i="21"/>
  <c r="C29" i="16"/>
  <c r="N29" i="16" s="1"/>
  <c r="O14" i="21"/>
  <c r="C27" i="16" s="1"/>
  <c r="N14" i="21"/>
  <c r="C25" i="16"/>
  <c r="M14" i="21"/>
  <c r="C23" i="16" s="1"/>
  <c r="C21" i="16"/>
  <c r="K14" i="21"/>
  <c r="C19" i="16" s="1"/>
  <c r="J14" i="21"/>
  <c r="C17" i="16" s="1"/>
  <c r="G14" i="21"/>
  <c r="C15" i="16"/>
  <c r="F14" i="21"/>
  <c r="C13" i="16" s="1"/>
  <c r="C14" i="21"/>
  <c r="C11" i="16" s="1"/>
  <c r="D16" i="21"/>
  <c r="E9" i="16"/>
  <c r="D15" i="21"/>
  <c r="D9" i="16" s="1"/>
  <c r="D14" i="21"/>
  <c r="C9" i="16"/>
  <c r="G10" i="21"/>
  <c r="F21" i="15" s="1"/>
  <c r="M7" i="21"/>
  <c r="C27" i="15"/>
  <c r="M8" i="21"/>
  <c r="D27" i="15"/>
  <c r="M9" i="21"/>
  <c r="E27" i="15" s="1"/>
  <c r="M10" i="21"/>
  <c r="F27" i="15"/>
  <c r="R7" i="21"/>
  <c r="C25" i="15" s="1"/>
  <c r="R8" i="21"/>
  <c r="D25" i="15"/>
  <c r="R9" i="21"/>
  <c r="E25" i="15" s="1"/>
  <c r="R10" i="21"/>
  <c r="F25" i="15"/>
  <c r="L7" i="21"/>
  <c r="C23" i="15" s="1"/>
  <c r="L8" i="21"/>
  <c r="D23" i="15"/>
  <c r="L9" i="21"/>
  <c r="E23" i="15" s="1"/>
  <c r="L10" i="21"/>
  <c r="F23" i="15"/>
  <c r="G7" i="21"/>
  <c r="C21" i="15" s="1"/>
  <c r="G8" i="21"/>
  <c r="D21" i="15" s="1"/>
  <c r="G9" i="21"/>
  <c r="E21" i="15" s="1"/>
  <c r="F7" i="21"/>
  <c r="C19" i="15"/>
  <c r="F8" i="21"/>
  <c r="D19" i="15" s="1"/>
  <c r="F9" i="21"/>
  <c r="E19" i="15" s="1"/>
  <c r="F10" i="21"/>
  <c r="F19" i="15" s="1"/>
  <c r="I7" i="21"/>
  <c r="C17" i="15"/>
  <c r="I8" i="21"/>
  <c r="D17" i="15" s="1"/>
  <c r="I9" i="21"/>
  <c r="E17" i="15" s="1"/>
  <c r="I10" i="21"/>
  <c r="F17" i="15"/>
  <c r="H7" i="21"/>
  <c r="C15" i="15" s="1"/>
  <c r="H8" i="21"/>
  <c r="D15" i="15"/>
  <c r="H9" i="21"/>
  <c r="E15" i="15"/>
  <c r="H10" i="21"/>
  <c r="F15" i="15"/>
  <c r="E7" i="21"/>
  <c r="C13" i="15" s="1"/>
  <c r="E8" i="21"/>
  <c r="D13" i="15"/>
  <c r="E9" i="21"/>
  <c r="E13" i="15" s="1"/>
  <c r="E10" i="21"/>
  <c r="F13" i="15"/>
  <c r="C7" i="21"/>
  <c r="C11" i="15" s="1"/>
  <c r="C8" i="21"/>
  <c r="D11" i="15"/>
  <c r="C9" i="21"/>
  <c r="E11" i="15" s="1"/>
  <c r="C10" i="21"/>
  <c r="F11" i="15"/>
  <c r="D7" i="21"/>
  <c r="C9" i="15" s="1"/>
  <c r="D8" i="21"/>
  <c r="D9" i="15"/>
  <c r="D9" i="21"/>
  <c r="E9" i="15" s="1"/>
  <c r="D10" i="21"/>
  <c r="F9" i="15"/>
  <c r="H43" i="14"/>
  <c r="S44" i="21"/>
  <c r="F41" i="14"/>
  <c r="S33" i="21"/>
  <c r="E41" i="14" s="1"/>
  <c r="S12" i="21"/>
  <c r="C41" i="14"/>
  <c r="R44" i="21"/>
  <c r="F39" i="14" s="1"/>
  <c r="R33" i="21"/>
  <c r="E39" i="14"/>
  <c r="R26" i="21"/>
  <c r="D39" i="14" s="1"/>
  <c r="R12" i="21"/>
  <c r="C39" i="14"/>
  <c r="Q44" i="21"/>
  <c r="F37" i="14" s="1"/>
  <c r="G37" i="14" s="1"/>
  <c r="Q33" i="21"/>
  <c r="E37" i="14"/>
  <c r="Q26" i="21"/>
  <c r="D37" i="14" s="1"/>
  <c r="Q12" i="21"/>
  <c r="C37" i="14"/>
  <c r="H35" i="14"/>
  <c r="P44" i="21"/>
  <c r="F35" i="14"/>
  <c r="P33" i="21"/>
  <c r="E35" i="14" s="1"/>
  <c r="P26" i="21"/>
  <c r="D35" i="14"/>
  <c r="P12" i="21"/>
  <c r="C35" i="14" s="1"/>
  <c r="O33" i="21"/>
  <c r="E33" i="14" s="1"/>
  <c r="O26" i="21"/>
  <c r="D33" i="14" s="1"/>
  <c r="N44" i="21"/>
  <c r="F31" i="14" s="1"/>
  <c r="N33" i="21"/>
  <c r="E31" i="14"/>
  <c r="N26" i="21"/>
  <c r="D31" i="14" s="1"/>
  <c r="N12" i="21"/>
  <c r="C31" i="14"/>
  <c r="H29" i="14"/>
  <c r="M44" i="21"/>
  <c r="F29" i="14" s="1"/>
  <c r="M33" i="21"/>
  <c r="E29" i="14" s="1"/>
  <c r="M26" i="21"/>
  <c r="D29" i="14" s="1"/>
  <c r="M12" i="21"/>
  <c r="C29" i="14"/>
  <c r="L57" i="21"/>
  <c r="L44" i="21"/>
  <c r="F27" i="14" s="1"/>
  <c r="L33" i="21"/>
  <c r="E27" i="14"/>
  <c r="H25" i="14"/>
  <c r="K44" i="21"/>
  <c r="F25" i="14"/>
  <c r="K33" i="21"/>
  <c r="E25" i="14" s="1"/>
  <c r="K26" i="21"/>
  <c r="D25" i="14"/>
  <c r="K12" i="21"/>
  <c r="C25" i="14" s="1"/>
  <c r="G25" i="14" s="1"/>
  <c r="I25" i="14" s="1"/>
  <c r="J44" i="21"/>
  <c r="F23" i="14" s="1"/>
  <c r="J33" i="21"/>
  <c r="E23" i="14"/>
  <c r="J26" i="21"/>
  <c r="D23" i="14" s="1"/>
  <c r="J12" i="21"/>
  <c r="C23" i="14"/>
  <c r="I33" i="21"/>
  <c r="E21" i="14" s="1"/>
  <c r="I26" i="21"/>
  <c r="D21" i="14"/>
  <c r="I12" i="21"/>
  <c r="C21" i="14" s="1"/>
  <c r="H44" i="21"/>
  <c r="F19" i="14" s="1"/>
  <c r="H33" i="21"/>
  <c r="E19" i="14" s="1"/>
  <c r="H26" i="21"/>
  <c r="D19" i="14"/>
  <c r="G33" i="21"/>
  <c r="E17" i="14" s="1"/>
  <c r="G26" i="21"/>
  <c r="D17" i="14" s="1"/>
  <c r="G12" i="21"/>
  <c r="C17" i="14"/>
  <c r="H15" i="14"/>
  <c r="F44" i="21"/>
  <c r="F15" i="14"/>
  <c r="F33" i="21"/>
  <c r="E15" i="14"/>
  <c r="F26" i="21"/>
  <c r="D15" i="14"/>
  <c r="F12" i="21"/>
  <c r="C15" i="14" s="1"/>
  <c r="E44" i="21"/>
  <c r="F13" i="14" s="1"/>
  <c r="E33" i="21"/>
  <c r="E13" i="14" s="1"/>
  <c r="E26" i="21"/>
  <c r="D13" i="14"/>
  <c r="E12" i="21"/>
  <c r="C13" i="14" s="1"/>
  <c r="G13" i="14" s="1"/>
  <c r="C44" i="21"/>
  <c r="F11" i="14" s="1"/>
  <c r="C33" i="21"/>
  <c r="E11" i="14"/>
  <c r="C26" i="21"/>
  <c r="D11" i="14" s="1"/>
  <c r="C12" i="21"/>
  <c r="C11" i="14" s="1"/>
  <c r="H9" i="14"/>
  <c r="G45" i="14"/>
  <c r="I45" i="14"/>
  <c r="I45" i="13"/>
  <c r="C17" i="10"/>
  <c r="D17" i="10"/>
  <c r="E17" i="10"/>
  <c r="F17" i="10"/>
  <c r="G17" i="10"/>
  <c r="C16" i="10"/>
  <c r="D16" i="10"/>
  <c r="G16" i="10"/>
  <c r="D46" i="31"/>
  <c r="E16" i="10"/>
  <c r="F16" i="10"/>
  <c r="C15" i="10"/>
  <c r="D15" i="10"/>
  <c r="E15" i="10"/>
  <c r="F15" i="10"/>
  <c r="G15" i="10"/>
  <c r="C14" i="10"/>
  <c r="H14" i="10" s="1"/>
  <c r="D14" i="10"/>
  <c r="E14" i="10"/>
  <c r="F14" i="10"/>
  <c r="G14" i="10"/>
  <c r="C13" i="10"/>
  <c r="D13" i="10"/>
  <c r="H13" i="10" s="1"/>
  <c r="E13" i="10"/>
  <c r="F13" i="10"/>
  <c r="G13" i="10"/>
  <c r="C12" i="10"/>
  <c r="D12" i="10"/>
  <c r="H12" i="10" s="1"/>
  <c r="E12" i="10"/>
  <c r="F12" i="10"/>
  <c r="G12" i="10"/>
  <c r="C11" i="10"/>
  <c r="D11" i="10"/>
  <c r="E11" i="10"/>
  <c r="F11" i="10"/>
  <c r="G11" i="10"/>
  <c r="G9" i="10" s="1"/>
  <c r="G18" i="10" s="1"/>
  <c r="C10" i="10"/>
  <c r="D10" i="10"/>
  <c r="E10" i="10"/>
  <c r="F10" i="10"/>
  <c r="G10" i="10"/>
  <c r="H10" i="10"/>
  <c r="C19" i="37"/>
  <c r="D19" i="37"/>
  <c r="E19" i="37"/>
  <c r="F19" i="37"/>
  <c r="G19" i="37"/>
  <c r="C23" i="37"/>
  <c r="D23" i="37"/>
  <c r="H23" i="37" s="1"/>
  <c r="E23" i="37"/>
  <c r="F23" i="37"/>
  <c r="G23" i="37"/>
  <c r="C22" i="37"/>
  <c r="H22" i="37" s="1"/>
  <c r="D22" i="37"/>
  <c r="E22" i="37"/>
  <c r="F22" i="37"/>
  <c r="G22" i="37"/>
  <c r="C21" i="37"/>
  <c r="D21" i="37"/>
  <c r="H21" i="37" s="1"/>
  <c r="E21" i="37"/>
  <c r="F21" i="37"/>
  <c r="G21" i="37"/>
  <c r="C20" i="37"/>
  <c r="D20" i="37"/>
  <c r="E20" i="37"/>
  <c r="F20" i="37"/>
  <c r="G20" i="37"/>
  <c r="C18" i="37"/>
  <c r="D18" i="37"/>
  <c r="E18" i="37"/>
  <c r="F18" i="37"/>
  <c r="G18" i="37"/>
  <c r="C17" i="37"/>
  <c r="D17" i="37"/>
  <c r="E17" i="37"/>
  <c r="F17" i="37"/>
  <c r="G17" i="37"/>
  <c r="C16" i="37"/>
  <c r="D16" i="37"/>
  <c r="E16" i="37"/>
  <c r="F16" i="37"/>
  <c r="G16" i="37"/>
  <c r="C14" i="37"/>
  <c r="D14" i="37"/>
  <c r="E14" i="37"/>
  <c r="F14" i="37"/>
  <c r="G14" i="37"/>
  <c r="C13" i="37"/>
  <c r="D13" i="37"/>
  <c r="E13" i="37"/>
  <c r="H13" i="37"/>
  <c r="F13" i="37"/>
  <c r="G13" i="37"/>
  <c r="C12" i="37"/>
  <c r="D12" i="37"/>
  <c r="E12" i="37"/>
  <c r="F12" i="37"/>
  <c r="G12" i="37"/>
  <c r="H12" i="37" s="1"/>
  <c r="C11" i="37"/>
  <c r="D11" i="37"/>
  <c r="E11" i="37"/>
  <c r="F11" i="37"/>
  <c r="G11" i="37"/>
  <c r="C10" i="37"/>
  <c r="D10" i="37"/>
  <c r="E10" i="37"/>
  <c r="E9" i="37" s="1"/>
  <c r="E24" i="37" s="1"/>
  <c r="F10" i="37"/>
  <c r="F9" i="37" s="1"/>
  <c r="F24" i="37" s="1"/>
  <c r="G10" i="37"/>
  <c r="G9" i="37"/>
  <c r="G24" i="37"/>
  <c r="C20" i="9"/>
  <c r="D20" i="9"/>
  <c r="E20" i="9"/>
  <c r="I58" i="31"/>
  <c r="C19" i="9"/>
  <c r="D19" i="9"/>
  <c r="E19" i="9"/>
  <c r="D46" i="23"/>
  <c r="C18" i="9"/>
  <c r="D18" i="9"/>
  <c r="E18" i="9"/>
  <c r="U58" i="31"/>
  <c r="C17" i="9"/>
  <c r="D17" i="9"/>
  <c r="E17" i="9"/>
  <c r="C16" i="9"/>
  <c r="M60" i="31" s="1"/>
  <c r="X60" i="31" s="1"/>
  <c r="D16" i="9"/>
  <c r="E16" i="9"/>
  <c r="M58" i="31"/>
  <c r="C15" i="9"/>
  <c r="D15" i="9"/>
  <c r="E15" i="9"/>
  <c r="C14" i="9"/>
  <c r="D14" i="9"/>
  <c r="E14" i="9"/>
  <c r="C13" i="9"/>
  <c r="D13" i="9"/>
  <c r="E13" i="9"/>
  <c r="C12" i="9"/>
  <c r="D12" i="9"/>
  <c r="F12" i="9"/>
  <c r="E12" i="9"/>
  <c r="C11" i="9"/>
  <c r="D11" i="9"/>
  <c r="E11" i="9"/>
  <c r="R58" i="31" s="1"/>
  <c r="F20" i="7"/>
  <c r="E20" i="7"/>
  <c r="D20" i="7"/>
  <c r="C20" i="7"/>
  <c r="G20" i="7" s="1"/>
  <c r="F19" i="7"/>
  <c r="E19" i="7"/>
  <c r="D19" i="7"/>
  <c r="C19" i="7"/>
  <c r="F18" i="7"/>
  <c r="E18" i="7"/>
  <c r="D18" i="7"/>
  <c r="C18" i="7"/>
  <c r="G18" i="7" s="1"/>
  <c r="E14" i="7"/>
  <c r="D14" i="7"/>
  <c r="F14" i="7"/>
  <c r="F15" i="7"/>
  <c r="E15" i="7"/>
  <c r="D15" i="7"/>
  <c r="C15" i="7"/>
  <c r="G15" i="7" s="1"/>
  <c r="C14" i="7"/>
  <c r="C13" i="7"/>
  <c r="C10" i="7"/>
  <c r="C21" i="7" s="1"/>
  <c r="D13" i="7"/>
  <c r="E13" i="7"/>
  <c r="F13" i="7"/>
  <c r="C12" i="7"/>
  <c r="D12" i="7"/>
  <c r="G12" i="7" s="1"/>
  <c r="E12" i="7"/>
  <c r="F12" i="7"/>
  <c r="C11" i="7"/>
  <c r="G11" i="7" s="1"/>
  <c r="D11" i="7"/>
  <c r="D10" i="7" s="1"/>
  <c r="D21" i="7" s="1"/>
  <c r="E11" i="7"/>
  <c r="F11" i="7"/>
  <c r="U33" i="20"/>
  <c r="T33" i="21"/>
  <c r="U26" i="20"/>
  <c r="T26" i="21"/>
  <c r="U12" i="20"/>
  <c r="T12" i="21"/>
  <c r="U44" i="20"/>
  <c r="U57" i="20"/>
  <c r="T57" i="21"/>
  <c r="T55" i="21"/>
  <c r="S55" i="21"/>
  <c r="Q55" i="21"/>
  <c r="P55" i="21"/>
  <c r="O55" i="21"/>
  <c r="T54" i="21"/>
  <c r="S54" i="21"/>
  <c r="Q54" i="21"/>
  <c r="P54" i="21"/>
  <c r="O54" i="21"/>
  <c r="T53" i="21"/>
  <c r="S53" i="21"/>
  <c r="Q53" i="21"/>
  <c r="P53" i="21"/>
  <c r="O53" i="21"/>
  <c r="T52" i="21"/>
  <c r="S52" i="21"/>
  <c r="Q52" i="21"/>
  <c r="P52" i="21"/>
  <c r="O52" i="21"/>
  <c r="T51" i="21"/>
  <c r="S51" i="21"/>
  <c r="Q51" i="21"/>
  <c r="P51" i="21"/>
  <c r="O51" i="21"/>
  <c r="T50" i="21"/>
  <c r="S50" i="21"/>
  <c r="Q50" i="21"/>
  <c r="P50" i="21"/>
  <c r="O50" i="21"/>
  <c r="T49" i="21"/>
  <c r="S49" i="21"/>
  <c r="Q49" i="21"/>
  <c r="P49" i="21"/>
  <c r="O49" i="21"/>
  <c r="T44" i="21"/>
  <c r="U42" i="21"/>
  <c r="T42" i="21"/>
  <c r="N42" i="21"/>
  <c r="U41" i="21"/>
  <c r="T41" i="21"/>
  <c r="N41" i="21"/>
  <c r="U40" i="21"/>
  <c r="T40" i="21"/>
  <c r="N40" i="21"/>
  <c r="U39" i="21"/>
  <c r="T39" i="21"/>
  <c r="N39" i="21"/>
  <c r="U38" i="21"/>
  <c r="T38" i="21"/>
  <c r="N38" i="21"/>
  <c r="U37" i="21"/>
  <c r="T37" i="21"/>
  <c r="N37" i="21"/>
  <c r="U36" i="21"/>
  <c r="T36" i="21"/>
  <c r="N36" i="21"/>
  <c r="T31" i="21"/>
  <c r="S31" i="21"/>
  <c r="Q31" i="21"/>
  <c r="O31" i="21"/>
  <c r="N31" i="21"/>
  <c r="T30" i="21"/>
  <c r="S30" i="21"/>
  <c r="Q30" i="21"/>
  <c r="O30" i="21"/>
  <c r="N30" i="21"/>
  <c r="T29" i="21"/>
  <c r="S29" i="21"/>
  <c r="Q29" i="21"/>
  <c r="O29" i="21"/>
  <c r="N29" i="21"/>
  <c r="U28" i="21"/>
  <c r="T28" i="21"/>
  <c r="S28" i="21"/>
  <c r="R28" i="21"/>
  <c r="Q28" i="21"/>
  <c r="P28" i="21"/>
  <c r="O28" i="21"/>
  <c r="N28" i="21"/>
  <c r="M28" i="21"/>
  <c r="T24" i="21"/>
  <c r="T23" i="21"/>
  <c r="T22" i="21"/>
  <c r="T21" i="21"/>
  <c r="T20" i="21"/>
  <c r="T19" i="21"/>
  <c r="T18" i="21"/>
  <c r="T17" i="21"/>
  <c r="T16" i="21"/>
  <c r="T15" i="21"/>
  <c r="T14" i="21"/>
  <c r="U10" i="21"/>
  <c r="T10" i="21"/>
  <c r="S10" i="21"/>
  <c r="Q10" i="21"/>
  <c r="P10" i="21"/>
  <c r="O10" i="21"/>
  <c r="N10" i="21"/>
  <c r="U9" i="21"/>
  <c r="T9" i="21"/>
  <c r="S9" i="21"/>
  <c r="Q9" i="21"/>
  <c r="P9" i="21"/>
  <c r="O9" i="21"/>
  <c r="N9" i="21"/>
  <c r="U8" i="21"/>
  <c r="T8" i="21"/>
  <c r="S8" i="21"/>
  <c r="Q8" i="21"/>
  <c r="P8" i="21"/>
  <c r="O8" i="21"/>
  <c r="N8" i="21"/>
  <c r="U7" i="21"/>
  <c r="T7" i="21"/>
  <c r="S7" i="21"/>
  <c r="Q7" i="21"/>
  <c r="P7" i="21"/>
  <c r="O7" i="21"/>
  <c r="N7" i="21"/>
  <c r="L55" i="21"/>
  <c r="L54" i="21"/>
  <c r="L53" i="21"/>
  <c r="L52" i="21"/>
  <c r="L51" i="21"/>
  <c r="L50" i="21"/>
  <c r="L49" i="21"/>
  <c r="L28" i="21"/>
  <c r="J55" i="21"/>
  <c r="I55" i="21"/>
  <c r="H55" i="21"/>
  <c r="F55" i="21"/>
  <c r="E55" i="21"/>
  <c r="J54" i="21"/>
  <c r="I54" i="21"/>
  <c r="H54" i="21"/>
  <c r="F54" i="21"/>
  <c r="E54" i="21"/>
  <c r="J53" i="21"/>
  <c r="I53" i="21"/>
  <c r="H53" i="21"/>
  <c r="F53" i="21"/>
  <c r="E53" i="21"/>
  <c r="J52" i="21"/>
  <c r="I52" i="21"/>
  <c r="H52" i="21"/>
  <c r="F52" i="21"/>
  <c r="E52" i="21"/>
  <c r="J51" i="21"/>
  <c r="I51" i="21"/>
  <c r="H51" i="21"/>
  <c r="F51" i="21"/>
  <c r="E51" i="21"/>
  <c r="J50" i="21"/>
  <c r="I50" i="21"/>
  <c r="H50" i="21"/>
  <c r="F50" i="21"/>
  <c r="E50" i="21"/>
  <c r="J49" i="21"/>
  <c r="I49" i="21"/>
  <c r="H49" i="21"/>
  <c r="F49" i="21"/>
  <c r="E49" i="21"/>
  <c r="I42" i="21"/>
  <c r="H42" i="21"/>
  <c r="F42" i="21"/>
  <c r="I41" i="21"/>
  <c r="H41" i="21"/>
  <c r="F41" i="21"/>
  <c r="I40" i="21"/>
  <c r="H40" i="21"/>
  <c r="F40" i="21"/>
  <c r="I39" i="21"/>
  <c r="H39" i="21"/>
  <c r="F39" i="21"/>
  <c r="I38" i="21"/>
  <c r="H38" i="21"/>
  <c r="F38" i="21"/>
  <c r="I37" i="21"/>
  <c r="H37" i="21"/>
  <c r="F37" i="21"/>
  <c r="I36" i="21"/>
  <c r="H36" i="21"/>
  <c r="F36" i="21"/>
  <c r="K31" i="21"/>
  <c r="I31" i="21"/>
  <c r="H31" i="21"/>
  <c r="E31" i="21"/>
  <c r="K30" i="21"/>
  <c r="I30" i="21"/>
  <c r="H30" i="21"/>
  <c r="E30" i="21"/>
  <c r="K29" i="21"/>
  <c r="I29" i="21"/>
  <c r="H29" i="21"/>
  <c r="E29" i="21"/>
  <c r="K28" i="21"/>
  <c r="J28" i="21"/>
  <c r="I28" i="21"/>
  <c r="H28" i="21"/>
  <c r="G28" i="21"/>
  <c r="F28" i="21"/>
  <c r="E28" i="21"/>
  <c r="D28" i="21"/>
  <c r="I24" i="21"/>
  <c r="H24" i="21"/>
  <c r="E24" i="21"/>
  <c r="I23" i="21"/>
  <c r="H23" i="21"/>
  <c r="E23" i="21"/>
  <c r="I22" i="21"/>
  <c r="H22" i="21"/>
  <c r="E22" i="21"/>
  <c r="I21" i="21"/>
  <c r="H21" i="21"/>
  <c r="E21" i="21"/>
  <c r="I20" i="21"/>
  <c r="H20" i="21"/>
  <c r="E20" i="21"/>
  <c r="I19" i="21"/>
  <c r="H19" i="21"/>
  <c r="E19" i="21"/>
  <c r="I18" i="21"/>
  <c r="H18" i="21"/>
  <c r="E18" i="21"/>
  <c r="I17" i="21"/>
  <c r="H17" i="21"/>
  <c r="E17" i="21"/>
  <c r="I16" i="21"/>
  <c r="H16" i="21"/>
  <c r="E16" i="21"/>
  <c r="I15" i="21"/>
  <c r="H15" i="21"/>
  <c r="E15" i="21"/>
  <c r="I14" i="21"/>
  <c r="H14" i="21"/>
  <c r="E14" i="21"/>
  <c r="K10" i="21"/>
  <c r="J10" i="21"/>
  <c r="K9" i="21"/>
  <c r="J9" i="21"/>
  <c r="K8" i="21"/>
  <c r="J8" i="21"/>
  <c r="K7" i="21"/>
  <c r="J7" i="21"/>
  <c r="C28" i="21"/>
  <c r="L28" i="20"/>
  <c r="W28" i="20"/>
  <c r="L29" i="20"/>
  <c r="W29" i="20" s="1"/>
  <c r="W33" i="20" s="1"/>
  <c r="L30" i="20"/>
  <c r="W30" i="20"/>
  <c r="L31" i="20"/>
  <c r="W31" i="20" s="1"/>
  <c r="L14" i="20"/>
  <c r="W14" i="20"/>
  <c r="L15" i="20"/>
  <c r="W15" i="20" s="1"/>
  <c r="L16" i="20"/>
  <c r="W16" i="20"/>
  <c r="L17" i="20"/>
  <c r="W17" i="20" s="1"/>
  <c r="L18" i="20"/>
  <c r="W18" i="20"/>
  <c r="L19" i="20"/>
  <c r="W19" i="20" s="1"/>
  <c r="L20" i="20"/>
  <c r="W20" i="20"/>
  <c r="L21" i="20"/>
  <c r="W21" i="20" s="1"/>
  <c r="L22" i="20"/>
  <c r="W22" i="20"/>
  <c r="L23" i="20"/>
  <c r="W23" i="20" s="1"/>
  <c r="L24" i="20"/>
  <c r="W24" i="20"/>
  <c r="L7" i="20"/>
  <c r="W7" i="20" s="1"/>
  <c r="L8" i="20"/>
  <c r="W8" i="20"/>
  <c r="L9" i="20"/>
  <c r="W9" i="20" s="1"/>
  <c r="L10" i="20"/>
  <c r="W10" i="20"/>
  <c r="L49" i="20"/>
  <c r="W49" i="20"/>
  <c r="L50" i="20"/>
  <c r="W50" i="20" s="1"/>
  <c r="E12" i="29"/>
  <c r="L51" i="20"/>
  <c r="W51" i="20"/>
  <c r="L52" i="20"/>
  <c r="W52" i="20" s="1"/>
  <c r="L53" i="20"/>
  <c r="W53" i="20"/>
  <c r="L54" i="20"/>
  <c r="W54" i="20" s="1"/>
  <c r="L55" i="20"/>
  <c r="W55" i="20"/>
  <c r="N50" i="31"/>
  <c r="V56" i="31"/>
  <c r="V50" i="31"/>
  <c r="M48" i="31"/>
  <c r="M51" i="31"/>
  <c r="M50" i="31"/>
  <c r="M22" i="31"/>
  <c r="N30" i="31"/>
  <c r="N34" i="31"/>
  <c r="N36" i="31"/>
  <c r="X36" i="31"/>
  <c r="Y36" i="31" s="1"/>
  <c r="N54" i="31"/>
  <c r="N56" i="31"/>
  <c r="N60" i="31"/>
  <c r="O58" i="31"/>
  <c r="P56" i="31"/>
  <c r="Q30" i="31"/>
  <c r="Q34" i="31"/>
  <c r="Q48" i="31" s="1"/>
  <c r="Q36" i="31"/>
  <c r="Q54" i="31"/>
  <c r="Q56" i="31"/>
  <c r="Q60" i="31"/>
  <c r="Q50" i="31"/>
  <c r="R30" i="31"/>
  <c r="R34" i="31" s="1"/>
  <c r="R36" i="31"/>
  <c r="R28" i="31"/>
  <c r="R54" i="31"/>
  <c r="R50" i="31"/>
  <c r="S30" i="31"/>
  <c r="S34" i="31"/>
  <c r="S48" i="31"/>
  <c r="S36" i="31"/>
  <c r="S42" i="31"/>
  <c r="S56" i="31"/>
  <c r="S66" i="31" s="1"/>
  <c r="S70" i="31" s="1"/>
  <c r="S71" i="31" s="1"/>
  <c r="U30" i="31"/>
  <c r="U34" i="31"/>
  <c r="U48" i="31" s="1"/>
  <c r="U36" i="31"/>
  <c r="U56" i="31"/>
  <c r="U50" i="31"/>
  <c r="W8" i="31"/>
  <c r="W26" i="31"/>
  <c r="W68" i="31"/>
  <c r="W70" i="31"/>
  <c r="T26" i="31"/>
  <c r="C26" i="31"/>
  <c r="E26" i="31"/>
  <c r="E30" i="31"/>
  <c r="E34" i="31" s="1"/>
  <c r="E48" i="31" s="1"/>
  <c r="E36" i="31"/>
  <c r="E40" i="31"/>
  <c r="L40" i="31" s="1"/>
  <c r="E42" i="31"/>
  <c r="E60" i="31"/>
  <c r="E50" i="31"/>
  <c r="F26" i="31"/>
  <c r="I8" i="31"/>
  <c r="I26" i="31"/>
  <c r="I30" i="31"/>
  <c r="I34" i="31"/>
  <c r="I48" i="31" s="1"/>
  <c r="I52" i="31" s="1"/>
  <c r="I36" i="31"/>
  <c r="I56" i="31"/>
  <c r="D26" i="31"/>
  <c r="D30" i="31"/>
  <c r="D34" i="31"/>
  <c r="D36" i="31"/>
  <c r="D28" i="31"/>
  <c r="D51" i="31"/>
  <c r="D54" i="31"/>
  <c r="D56" i="31"/>
  <c r="D58" i="31"/>
  <c r="D50" i="31"/>
  <c r="L51" i="31"/>
  <c r="W66" i="31"/>
  <c r="T66" i="31"/>
  <c r="T70" i="31" s="1"/>
  <c r="K66" i="31"/>
  <c r="K70" i="31"/>
  <c r="K71" i="31" s="1"/>
  <c r="J66" i="31"/>
  <c r="H66" i="31"/>
  <c r="G66" i="31"/>
  <c r="G70" i="31" s="1"/>
  <c r="G71" i="31" s="1"/>
  <c r="F66" i="31"/>
  <c r="F70" i="31"/>
  <c r="V44" i="23"/>
  <c r="M14" i="23"/>
  <c r="M46" i="23"/>
  <c r="M38" i="23"/>
  <c r="N22" i="23"/>
  <c r="N24" i="23"/>
  <c r="N42" i="23"/>
  <c r="N44" i="23"/>
  <c r="N38" i="23"/>
  <c r="O46" i="23"/>
  <c r="P42" i="23"/>
  <c r="P48" i="23"/>
  <c r="Q22" i="23"/>
  <c r="X22" i="23" s="1"/>
  <c r="Y22" i="23" s="1"/>
  <c r="Q24" i="23"/>
  <c r="Q36" i="23"/>
  <c r="Q42" i="23"/>
  <c r="Q44" i="23"/>
  <c r="Q38" i="23"/>
  <c r="R22" i="23"/>
  <c r="R36" i="23" s="1"/>
  <c r="R24" i="23"/>
  <c r="R20" i="23"/>
  <c r="R42" i="23"/>
  <c r="R46" i="23"/>
  <c r="R48" i="23"/>
  <c r="R38" i="23"/>
  <c r="S22" i="23"/>
  <c r="S36" i="23" s="1"/>
  <c r="S24" i="23"/>
  <c r="S30" i="23"/>
  <c r="S44" i="23"/>
  <c r="S54" i="23" s="1"/>
  <c r="S58" i="23" s="1"/>
  <c r="U22" i="23"/>
  <c r="U24" i="23"/>
  <c r="U44" i="23"/>
  <c r="U38" i="23"/>
  <c r="W8" i="23"/>
  <c r="W18" i="23"/>
  <c r="W56" i="23" s="1"/>
  <c r="T18" i="23"/>
  <c r="C18" i="23"/>
  <c r="E18" i="23"/>
  <c r="E22" i="23"/>
  <c r="E24" i="23"/>
  <c r="E36" i="23" s="1"/>
  <c r="E28" i="23"/>
  <c r="E30" i="23"/>
  <c r="E48" i="23"/>
  <c r="E38" i="23"/>
  <c r="F18" i="23"/>
  <c r="F40" i="23" s="1"/>
  <c r="I8" i="23"/>
  <c r="I18" i="23"/>
  <c r="I22" i="23"/>
  <c r="I36" i="23" s="1"/>
  <c r="I24" i="23"/>
  <c r="I44" i="23"/>
  <c r="I46" i="23"/>
  <c r="I48" i="23"/>
  <c r="D18" i="23"/>
  <c r="D22" i="23"/>
  <c r="D24" i="23"/>
  <c r="D20" i="23"/>
  <c r="D39" i="23"/>
  <c r="L39" i="23"/>
  <c r="Y39" i="23" s="1"/>
  <c r="D42" i="23"/>
  <c r="L42" i="23" s="1"/>
  <c r="D44" i="23"/>
  <c r="D38" i="23"/>
  <c r="L38" i="23"/>
  <c r="X39" i="23"/>
  <c r="H70" i="31"/>
  <c r="H71" i="31" s="1"/>
  <c r="J70" i="31"/>
  <c r="X46" i="31"/>
  <c r="X32" i="31"/>
  <c r="X51" i="31"/>
  <c r="Y51" i="31"/>
  <c r="L28" i="31"/>
  <c r="L36" i="31"/>
  <c r="L42" i="31"/>
  <c r="J58" i="23"/>
  <c r="H58" i="23"/>
  <c r="H40" i="23" s="1"/>
  <c r="H59" i="23"/>
  <c r="G58" i="23"/>
  <c r="G59" i="23"/>
  <c r="F58" i="23"/>
  <c r="C16" i="3"/>
  <c r="D16" i="3"/>
  <c r="E16" i="3"/>
  <c r="F16" i="3"/>
  <c r="F16" i="23"/>
  <c r="L16" i="23" s="1"/>
  <c r="Y16" i="23" s="1"/>
  <c r="C14" i="23"/>
  <c r="L14" i="23" s="1"/>
  <c r="E14" i="23"/>
  <c r="D14" i="23"/>
  <c r="C12" i="23"/>
  <c r="L12" i="23" s="1"/>
  <c r="E12" i="23"/>
  <c r="D12" i="23"/>
  <c r="F12" i="23"/>
  <c r="C10" i="23"/>
  <c r="L10" i="23" s="1"/>
  <c r="E10" i="23"/>
  <c r="D10" i="23"/>
  <c r="F10" i="23"/>
  <c r="C8" i="23"/>
  <c r="L8" i="23" s="1"/>
  <c r="Y8" i="23" s="1"/>
  <c r="E8" i="23"/>
  <c r="F8" i="23"/>
  <c r="D8" i="23"/>
  <c r="L25" i="29"/>
  <c r="K25" i="29"/>
  <c r="G25" i="29"/>
  <c r="F25" i="29"/>
  <c r="F15" i="29"/>
  <c r="B25" i="29"/>
  <c r="E9" i="6"/>
  <c r="E29" i="6"/>
  <c r="U26" i="27" s="1"/>
  <c r="E9" i="10"/>
  <c r="E18" i="10"/>
  <c r="F9" i="10"/>
  <c r="C9" i="10"/>
  <c r="C18" i="10"/>
  <c r="L33" i="20"/>
  <c r="L26" i="20"/>
  <c r="L12" i="20"/>
  <c r="E21" i="29" s="1"/>
  <c r="N21" i="29" s="1"/>
  <c r="O21" i="29" s="1"/>
  <c r="M7" i="29"/>
  <c r="M8" i="29"/>
  <c r="M10" i="29"/>
  <c r="N23" i="29"/>
  <c r="O23" i="29"/>
  <c r="N18" i="29"/>
  <c r="O18" i="29"/>
  <c r="N17" i="29"/>
  <c r="O17" i="29"/>
  <c r="M9" i="29"/>
  <c r="N9" i="29"/>
  <c r="O9" i="29" s="1"/>
  <c r="D27" i="29"/>
  <c r="E6" i="29"/>
  <c r="E11" i="29" s="1"/>
  <c r="E7" i="29"/>
  <c r="E8" i="29"/>
  <c r="E10" i="29"/>
  <c r="E26" i="29"/>
  <c r="N26" i="29" s="1"/>
  <c r="D6" i="29"/>
  <c r="D11" i="29" s="1"/>
  <c r="D15" i="29" s="1"/>
  <c r="D19" i="29" s="1"/>
  <c r="D28" i="29" s="1"/>
  <c r="D7" i="29"/>
  <c r="D8" i="29"/>
  <c r="D10" i="29"/>
  <c r="B6" i="29"/>
  <c r="N6" i="29" s="1"/>
  <c r="C6" i="29"/>
  <c r="F6" i="29"/>
  <c r="F11" i="29" s="1"/>
  <c r="G6" i="29"/>
  <c r="K6" i="29"/>
  <c r="K11" i="29"/>
  <c r="L6" i="29"/>
  <c r="M6" i="29"/>
  <c r="B7" i="29"/>
  <c r="C7" i="29"/>
  <c r="C11" i="29" s="1"/>
  <c r="F7" i="29"/>
  <c r="G7" i="29"/>
  <c r="G11" i="29" s="1"/>
  <c r="K7" i="29"/>
  <c r="L7" i="29"/>
  <c r="L11" i="29" s="1"/>
  <c r="B8" i="29"/>
  <c r="C8" i="29"/>
  <c r="N8" i="29" s="1"/>
  <c r="O8" i="29" s="1"/>
  <c r="F8" i="29"/>
  <c r="G8" i="29"/>
  <c r="K8" i="29"/>
  <c r="L8" i="29"/>
  <c r="B10" i="29"/>
  <c r="C10" i="29"/>
  <c r="N10" i="29" s="1"/>
  <c r="O10" i="29" s="1"/>
  <c r="F10" i="29"/>
  <c r="G10" i="29"/>
  <c r="K10" i="29"/>
  <c r="L10" i="29"/>
  <c r="M11" i="29"/>
  <c r="E13" i="29"/>
  <c r="E14" i="29"/>
  <c r="E15" i="29"/>
  <c r="E16" i="29"/>
  <c r="E22" i="29"/>
  <c r="E20" i="29" s="1"/>
  <c r="C13" i="29"/>
  <c r="F13" i="29"/>
  <c r="G13" i="29"/>
  <c r="K13" i="29"/>
  <c r="M13" i="29"/>
  <c r="B13" i="29"/>
  <c r="N13" i="29" s="1"/>
  <c r="O13" i="29" s="1"/>
  <c r="C14" i="29"/>
  <c r="G14" i="29"/>
  <c r="M14" i="29"/>
  <c r="B14" i="29"/>
  <c r="N14" i="29" s="1"/>
  <c r="O14" i="29" s="1"/>
  <c r="C15" i="29"/>
  <c r="G15" i="29"/>
  <c r="M15" i="29"/>
  <c r="B15" i="29"/>
  <c r="C16" i="29"/>
  <c r="N16" i="29"/>
  <c r="O16" i="29" s="1"/>
  <c r="F16" i="29"/>
  <c r="M16" i="29"/>
  <c r="C22" i="29"/>
  <c r="N22" i="29" s="1"/>
  <c r="O22" i="29" s="1"/>
  <c r="F22" i="29"/>
  <c r="G22" i="29"/>
  <c r="K22" i="29"/>
  <c r="K20" i="29" s="1"/>
  <c r="K27" i="29" s="1"/>
  <c r="L22" i="29"/>
  <c r="M22" i="29"/>
  <c r="C21" i="29"/>
  <c r="F21" i="29"/>
  <c r="F27" i="29"/>
  <c r="G21" i="29"/>
  <c r="K21" i="29"/>
  <c r="M21" i="29"/>
  <c r="M27" i="29"/>
  <c r="B21" i="29"/>
  <c r="B22" i="29"/>
  <c r="C24" i="29"/>
  <c r="F24" i="29"/>
  <c r="G24" i="29"/>
  <c r="K24" i="29"/>
  <c r="L24" i="29"/>
  <c r="M24" i="29"/>
  <c r="B24" i="29"/>
  <c r="B20" i="29"/>
  <c r="F20" i="29"/>
  <c r="G20" i="29"/>
  <c r="G27" i="29" s="1"/>
  <c r="M20" i="29"/>
  <c r="B12" i="29"/>
  <c r="C12" i="29"/>
  <c r="C19" i="29" s="1"/>
  <c r="F12" i="29"/>
  <c r="F19" i="29"/>
  <c r="F28" i="29" s="1"/>
  <c r="G12" i="29"/>
  <c r="K12" i="29"/>
  <c r="K19" i="29" s="1"/>
  <c r="M12" i="29"/>
  <c r="M19" i="29"/>
  <c r="B19" i="29"/>
  <c r="L19" i="29"/>
  <c r="G19" i="29"/>
  <c r="N3" i="31"/>
  <c r="S20" i="31"/>
  <c r="L20" i="31"/>
  <c r="L18" i="31"/>
  <c r="P12" i="31"/>
  <c r="W34" i="31"/>
  <c r="W48" i="31"/>
  <c r="W52" i="31" s="1"/>
  <c r="T34" i="31"/>
  <c r="T48" i="31"/>
  <c r="O34" i="31"/>
  <c r="O48" i="31" s="1"/>
  <c r="K34" i="31"/>
  <c r="K48" i="31" s="1"/>
  <c r="K52" i="31" s="1"/>
  <c r="J34" i="31"/>
  <c r="J48" i="31" s="1"/>
  <c r="H34" i="31"/>
  <c r="H48" i="31"/>
  <c r="H52" i="31"/>
  <c r="G34" i="31"/>
  <c r="G48" i="31"/>
  <c r="G52" i="31" s="1"/>
  <c r="F32" i="31"/>
  <c r="F48" i="31" s="1"/>
  <c r="V34" i="31"/>
  <c r="V48" i="31" s="1"/>
  <c r="P34" i="31"/>
  <c r="P48" i="31"/>
  <c r="C34" i="31"/>
  <c r="X62" i="31"/>
  <c r="Y62" i="31" s="1"/>
  <c r="X64" i="31"/>
  <c r="Y64" i="31" s="1"/>
  <c r="L62" i="31"/>
  <c r="L64" i="31"/>
  <c r="X38" i="31"/>
  <c r="Y38" i="31" s="1"/>
  <c r="L38" i="31"/>
  <c r="X44" i="31"/>
  <c r="Y44" i="31"/>
  <c r="L44" i="31"/>
  <c r="C48" i="31"/>
  <c r="C71" i="31"/>
  <c r="X24" i="31"/>
  <c r="F10" i="31"/>
  <c r="F16" i="31"/>
  <c r="K26" i="31"/>
  <c r="O16" i="31"/>
  <c r="O18" i="31" s="1"/>
  <c r="O20" i="31" s="1"/>
  <c r="O10" i="31"/>
  <c r="O8" i="31"/>
  <c r="O22" i="31"/>
  <c r="P8" i="31"/>
  <c r="P16" i="31"/>
  <c r="P22" i="31"/>
  <c r="P10" i="31"/>
  <c r="P14" i="31" s="1"/>
  <c r="R10" i="31"/>
  <c r="R14" i="31"/>
  <c r="R16" i="31"/>
  <c r="R18" i="31" s="1"/>
  <c r="R8" i="31"/>
  <c r="R22" i="31"/>
  <c r="Q10" i="31"/>
  <c r="Q12" i="31"/>
  <c r="Q16" i="31"/>
  <c r="Q20" i="31" s="1"/>
  <c r="Q18" i="31" s="1"/>
  <c r="Q8" i="31"/>
  <c r="Q22" i="31"/>
  <c r="V16" i="31"/>
  <c r="V18" i="31" s="1"/>
  <c r="V8" i="31"/>
  <c r="V10" i="31"/>
  <c r="V22" i="31"/>
  <c r="F8" i="31"/>
  <c r="F24" i="31"/>
  <c r="E8" i="31"/>
  <c r="E16" i="31"/>
  <c r="E22" i="31"/>
  <c r="C22" i="31"/>
  <c r="L22" i="31"/>
  <c r="E10" i="31"/>
  <c r="E12" i="31"/>
  <c r="E14" i="31"/>
  <c r="X40" i="31"/>
  <c r="Y40" i="31" s="1"/>
  <c r="C10" i="31"/>
  <c r="C12" i="31"/>
  <c r="C14" i="31"/>
  <c r="L14" i="31" s="1"/>
  <c r="U8" i="31"/>
  <c r="U10" i="31"/>
  <c r="U16" i="31"/>
  <c r="U22" i="31"/>
  <c r="S8" i="31"/>
  <c r="S10" i="31"/>
  <c r="S14" i="31"/>
  <c r="S16" i="31"/>
  <c r="S18" i="31"/>
  <c r="S22" i="31"/>
  <c r="D8" i="31"/>
  <c r="D10" i="31"/>
  <c r="L10" i="31"/>
  <c r="D16" i="31"/>
  <c r="C16" i="31"/>
  <c r="L16" i="31" s="1"/>
  <c r="L54" i="31"/>
  <c r="C8" i="31"/>
  <c r="L8" i="31"/>
  <c r="D24" i="31"/>
  <c r="L24" i="31" s="1"/>
  <c r="Y24" i="31" s="1"/>
  <c r="N8" i="31"/>
  <c r="X8" i="31" s="1"/>
  <c r="N22" i="31"/>
  <c r="X22" i="31" s="1"/>
  <c r="Y22" i="31" s="1"/>
  <c r="M8" i="31"/>
  <c r="M10" i="31"/>
  <c r="X10" i="31" s="1"/>
  <c r="Y10" i="31" s="1"/>
  <c r="N10" i="31"/>
  <c r="N14" i="31" s="1"/>
  <c r="N16" i="31"/>
  <c r="N18" i="31" s="1"/>
  <c r="X16" i="31"/>
  <c r="M12" i="31"/>
  <c r="X32" i="23"/>
  <c r="Y32" i="23" s="1"/>
  <c r="X26" i="23"/>
  <c r="Y26" i="23" s="1"/>
  <c r="X16" i="23"/>
  <c r="L26" i="23"/>
  <c r="L32" i="23"/>
  <c r="T54" i="23"/>
  <c r="T58" i="23" s="1"/>
  <c r="T36" i="23"/>
  <c r="J36" i="23"/>
  <c r="J40" i="23" s="1"/>
  <c r="K36" i="23"/>
  <c r="K54" i="23"/>
  <c r="K58" i="23"/>
  <c r="K59" i="23" s="1"/>
  <c r="C36" i="23"/>
  <c r="C40" i="23" s="1"/>
  <c r="C59" i="23"/>
  <c r="W36" i="23"/>
  <c r="O36" i="23"/>
  <c r="K18" i="23"/>
  <c r="X50" i="23"/>
  <c r="Y50" i="23"/>
  <c r="X52" i="23"/>
  <c r="L50" i="23"/>
  <c r="L52" i="23"/>
  <c r="Y52" i="23"/>
  <c r="F36" i="23"/>
  <c r="F59" i="23"/>
  <c r="M8" i="23"/>
  <c r="X8" i="23"/>
  <c r="N8" i="23"/>
  <c r="O8" i="23"/>
  <c r="P8" i="23"/>
  <c r="Q8" i="23"/>
  <c r="R8" i="23"/>
  <c r="S8" i="23"/>
  <c r="U8" i="23"/>
  <c r="V8" i="23"/>
  <c r="M10" i="23"/>
  <c r="N10" i="23"/>
  <c r="X10" i="23" s="1"/>
  <c r="Y10" i="23" s="1"/>
  <c r="O10" i="23"/>
  <c r="P10" i="23"/>
  <c r="Q10" i="23"/>
  <c r="R10" i="23"/>
  <c r="S10" i="23"/>
  <c r="U10" i="23"/>
  <c r="V10" i="23"/>
  <c r="N12" i="23"/>
  <c r="X12" i="23" s="1"/>
  <c r="Y12" i="23" s="1"/>
  <c r="O12" i="23"/>
  <c r="P12" i="23"/>
  <c r="Q12" i="23"/>
  <c r="R12" i="23"/>
  <c r="S12" i="23"/>
  <c r="U12" i="23"/>
  <c r="V12" i="23"/>
  <c r="N14" i="23"/>
  <c r="O14" i="23"/>
  <c r="X14" i="23"/>
  <c r="Y14" i="23" s="1"/>
  <c r="P14" i="23"/>
  <c r="Q14" i="23"/>
  <c r="R14" i="23"/>
  <c r="S14" i="23"/>
  <c r="U14" i="23"/>
  <c r="V14" i="23"/>
  <c r="X28" i="23"/>
  <c r="Y28" i="23" s="1"/>
  <c r="X34" i="23"/>
  <c r="L20" i="23"/>
  <c r="L28" i="23"/>
  <c r="L30" i="23"/>
  <c r="V36" i="23"/>
  <c r="P36" i="23"/>
  <c r="X24" i="23"/>
  <c r="L24" i="23"/>
  <c r="Y24" i="23" s="1"/>
  <c r="M36" i="23"/>
  <c r="E10" i="1"/>
  <c r="E14" i="1"/>
  <c r="E13" i="1"/>
  <c r="E12" i="1"/>
  <c r="E16" i="1"/>
  <c r="E11" i="1"/>
  <c r="D17" i="19"/>
  <c r="G39" i="27"/>
  <c r="D9" i="4"/>
  <c r="D15" i="4" s="1"/>
  <c r="D105" i="4"/>
  <c r="F9" i="4"/>
  <c r="E106" i="4"/>
  <c r="C9" i="4"/>
  <c r="C105" i="4"/>
  <c r="E105" i="4" s="1"/>
  <c r="D10" i="4"/>
  <c r="D107" i="4"/>
  <c r="F10" i="4"/>
  <c r="E108" i="4" s="1"/>
  <c r="F15" i="4"/>
  <c r="C10" i="4"/>
  <c r="C107" i="4"/>
  <c r="D11" i="4"/>
  <c r="D109" i="4" s="1"/>
  <c r="F11" i="4"/>
  <c r="E110" i="4"/>
  <c r="C11" i="4"/>
  <c r="C109" i="4" s="1"/>
  <c r="D116" i="4"/>
  <c r="E116" i="4" s="1"/>
  <c r="C111" i="4"/>
  <c r="E111" i="4"/>
  <c r="C13" i="4"/>
  <c r="C114" i="4" s="1"/>
  <c r="E114" i="4" s="1"/>
  <c r="C116" i="4"/>
  <c r="C112" i="4"/>
  <c r="G16" i="3"/>
  <c r="E9" i="4"/>
  <c r="E15" i="4" s="1"/>
  <c r="F13" i="4"/>
  <c r="E13" i="4"/>
  <c r="D13" i="4"/>
  <c r="E11" i="4"/>
  <c r="E10" i="4"/>
  <c r="E24" i="4"/>
  <c r="E95" i="4"/>
  <c r="F95" i="4"/>
  <c r="H9" i="8"/>
  <c r="H27" i="8"/>
  <c r="C9" i="8"/>
  <c r="C27" i="8"/>
  <c r="D9" i="8"/>
  <c r="D27" i="8"/>
  <c r="E9" i="8"/>
  <c r="E27" i="8"/>
  <c r="F9" i="8"/>
  <c r="F27" i="8"/>
  <c r="G9" i="8"/>
  <c r="G27" i="8"/>
  <c r="I9" i="8"/>
  <c r="I27" i="8"/>
  <c r="J9" i="8"/>
  <c r="J27" i="8"/>
  <c r="K9" i="8"/>
  <c r="K27" i="8"/>
  <c r="L9" i="8"/>
  <c r="L27" i="8"/>
  <c r="M9" i="8"/>
  <c r="M27" i="8"/>
  <c r="C10" i="9"/>
  <c r="C21" i="9"/>
  <c r="F18" i="10"/>
  <c r="C15" i="4"/>
  <c r="E107" i="4"/>
  <c r="M28" i="29"/>
  <c r="N24" i="29"/>
  <c r="O24" i="29"/>
  <c r="W71" i="31"/>
  <c r="D48" i="31"/>
  <c r="L46" i="31"/>
  <c r="Y46" i="31" s="1"/>
  <c r="N12" i="29"/>
  <c r="E19" i="29"/>
  <c r="G13" i="7"/>
  <c r="F11" i="9"/>
  <c r="R60" i="31"/>
  <c r="N58" i="31"/>
  <c r="N46" i="23"/>
  <c r="F15" i="9"/>
  <c r="V60" i="31"/>
  <c r="F19" i="9"/>
  <c r="D60" i="31"/>
  <c r="D66" i="31" s="1"/>
  <c r="D70" i="31" s="1"/>
  <c r="D71" i="31" s="1"/>
  <c r="H15" i="10"/>
  <c r="C19" i="6"/>
  <c r="L12" i="21"/>
  <c r="C27" i="14"/>
  <c r="C15" i="6"/>
  <c r="H12" i="21"/>
  <c r="C19" i="14" s="1"/>
  <c r="G19" i="14" s="1"/>
  <c r="D10" i="9"/>
  <c r="D21" i="9"/>
  <c r="L22" i="23"/>
  <c r="N7" i="29"/>
  <c r="O7" i="29"/>
  <c r="G40" i="23"/>
  <c r="F14" i="9"/>
  <c r="F18" i="9"/>
  <c r="H20" i="37"/>
  <c r="H16" i="10"/>
  <c r="H19" i="14"/>
  <c r="N15" i="16"/>
  <c r="N37" i="16"/>
  <c r="F15" i="17"/>
  <c r="D31" i="38"/>
  <c r="H31" i="38"/>
  <c r="G10" i="6"/>
  <c r="R44" i="23"/>
  <c r="D26" i="40"/>
  <c r="H83" i="42"/>
  <c r="H82" i="42"/>
  <c r="M47" i="20"/>
  <c r="O16" i="43"/>
  <c r="I47" i="20"/>
  <c r="F16" i="6"/>
  <c r="G16" i="6" s="1"/>
  <c r="I16" i="6" s="1"/>
  <c r="H47" i="20"/>
  <c r="D15" i="6"/>
  <c r="D9" i="6" s="1"/>
  <c r="U12" i="21"/>
  <c r="C43" i="14"/>
  <c r="G43" i="14"/>
  <c r="I43" i="14"/>
  <c r="V47" i="20"/>
  <c r="C27" i="6"/>
  <c r="G27" i="6"/>
  <c r="I27" i="6"/>
  <c r="P47" i="20"/>
  <c r="C22" i="6"/>
  <c r="G22" i="6"/>
  <c r="I22" i="6"/>
  <c r="O12" i="21"/>
  <c r="C33" i="14"/>
  <c r="D12" i="31"/>
  <c r="L12" i="31"/>
  <c r="V20" i="31"/>
  <c r="Q14" i="31"/>
  <c r="E24" i="29"/>
  <c r="L18" i="23"/>
  <c r="X68" i="31"/>
  <c r="Y68" i="31"/>
  <c r="X30" i="31"/>
  <c r="I54" i="23"/>
  <c r="I58" i="23"/>
  <c r="U48" i="23"/>
  <c r="U36" i="23"/>
  <c r="Q48" i="23"/>
  <c r="P38" i="23"/>
  <c r="V38" i="23"/>
  <c r="C52" i="31"/>
  <c r="U60" i="31"/>
  <c r="U66" i="31"/>
  <c r="U70" i="31" s="1"/>
  <c r="U71" i="31" s="1"/>
  <c r="U47" i="20"/>
  <c r="Q58" i="31"/>
  <c r="Q66" i="31"/>
  <c r="Q70" i="31" s="1"/>
  <c r="Q71" i="31" s="1"/>
  <c r="Q46" i="23"/>
  <c r="Q54" i="23" s="1"/>
  <c r="Q58" i="23" s="1"/>
  <c r="Q59" i="23" s="1"/>
  <c r="F13" i="9"/>
  <c r="P60" i="31"/>
  <c r="F17" i="9"/>
  <c r="H11" i="37"/>
  <c r="H17" i="37"/>
  <c r="H11" i="10"/>
  <c r="N28" i="31"/>
  <c r="X28" i="31"/>
  <c r="Y28" i="31"/>
  <c r="N20" i="23"/>
  <c r="G15" i="14"/>
  <c r="I15" i="14"/>
  <c r="G39" i="14"/>
  <c r="G15" i="15"/>
  <c r="N9" i="16"/>
  <c r="N17" i="16"/>
  <c r="F23" i="17"/>
  <c r="F25" i="17"/>
  <c r="C15" i="38"/>
  <c r="H15" i="38"/>
  <c r="H17" i="38"/>
  <c r="H21" i="38"/>
  <c r="D19" i="6"/>
  <c r="D52" i="40"/>
  <c r="Q57" i="21"/>
  <c r="H24" i="6"/>
  <c r="T47" i="20"/>
  <c r="D26" i="6"/>
  <c r="G26" i="6" s="1"/>
  <c r="I26" i="6" s="1"/>
  <c r="S26" i="21"/>
  <c r="D41" i="14"/>
  <c r="G41" i="14" s="1"/>
  <c r="V66" i="31"/>
  <c r="V70" i="31" s="1"/>
  <c r="V71" i="31" s="1"/>
  <c r="H16" i="37"/>
  <c r="G31" i="14"/>
  <c r="G9" i="15"/>
  <c r="G13" i="15"/>
  <c r="G19" i="15"/>
  <c r="H23" i="13"/>
  <c r="H23" i="14"/>
  <c r="G18" i="5"/>
  <c r="J60" i="20"/>
  <c r="J47" i="21"/>
  <c r="G23" i="13"/>
  <c r="I23" i="13"/>
  <c r="E10" i="7"/>
  <c r="E21" i="7" s="1"/>
  <c r="D95" i="4"/>
  <c r="B27" i="29"/>
  <c r="B28" i="29"/>
  <c r="L21" i="29"/>
  <c r="B11" i="29"/>
  <c r="D48" i="23"/>
  <c r="L48" i="23"/>
  <c r="D34" i="23"/>
  <c r="D36" i="23" s="1"/>
  <c r="D40" i="23" s="1"/>
  <c r="L34" i="23"/>
  <c r="Y34" i="23"/>
  <c r="U54" i="23"/>
  <c r="U58" i="23" s="1"/>
  <c r="U59" i="23" s="1"/>
  <c r="V48" i="23"/>
  <c r="L50" i="31"/>
  <c r="G14" i="7"/>
  <c r="P58" i="31"/>
  <c r="X58" i="31" s="1"/>
  <c r="Y58" i="31" s="1"/>
  <c r="P46" i="23"/>
  <c r="X46" i="23" s="1"/>
  <c r="E58" i="31"/>
  <c r="L58" i="31" s="1"/>
  <c r="E46" i="23"/>
  <c r="L46" i="23"/>
  <c r="G23" i="14"/>
  <c r="G35" i="14"/>
  <c r="I35" i="14"/>
  <c r="N23" i="16"/>
  <c r="E10" i="9"/>
  <c r="E21" i="9"/>
  <c r="F10" i="7"/>
  <c r="F21" i="7"/>
  <c r="G15" i="4"/>
  <c r="J59" i="23"/>
  <c r="L20" i="29"/>
  <c r="C9" i="37"/>
  <c r="C24" i="37" s="1"/>
  <c r="Y32" i="31"/>
  <c r="U46" i="23"/>
  <c r="R54" i="23"/>
  <c r="R58" i="23" s="1"/>
  <c r="R59" i="23" s="1"/>
  <c r="N48" i="23"/>
  <c r="R56" i="31"/>
  <c r="R66" i="31"/>
  <c r="R70" i="31" s="1"/>
  <c r="P50" i="31"/>
  <c r="X50" i="31" s="1"/>
  <c r="G19" i="7"/>
  <c r="F16" i="9"/>
  <c r="M48" i="23"/>
  <c r="F20" i="9"/>
  <c r="I60" i="31"/>
  <c r="I66" i="31"/>
  <c r="I70" i="31"/>
  <c r="I71" i="31"/>
  <c r="H14" i="37"/>
  <c r="H19" i="37"/>
  <c r="N42" i="31"/>
  <c r="X42" i="31"/>
  <c r="Y42" i="31" s="1"/>
  <c r="N30" i="23"/>
  <c r="X30" i="23"/>
  <c r="Y30" i="23"/>
  <c r="H17" i="10"/>
  <c r="I44" i="21"/>
  <c r="F21" i="14"/>
  <c r="G21" i="14" s="1"/>
  <c r="L26" i="21"/>
  <c r="D27" i="14" s="1"/>
  <c r="G27" i="14" s="1"/>
  <c r="O44" i="21"/>
  <c r="F33" i="14"/>
  <c r="G33" i="14" s="1"/>
  <c r="N19" i="16"/>
  <c r="H25" i="38"/>
  <c r="H27" i="38"/>
  <c r="H17" i="18"/>
  <c r="H25" i="18"/>
  <c r="G12" i="6"/>
  <c r="O56" i="31"/>
  <c r="G11" i="15"/>
  <c r="G25" i="15"/>
  <c r="N25" i="16"/>
  <c r="D33" i="38"/>
  <c r="H33" i="38"/>
  <c r="C35" i="38"/>
  <c r="H35" i="38"/>
  <c r="D13" i="18"/>
  <c r="H13" i="18"/>
  <c r="C15" i="18"/>
  <c r="H15" i="18"/>
  <c r="D19" i="18"/>
  <c r="H19" i="18"/>
  <c r="D21" i="18"/>
  <c r="H21" i="18"/>
  <c r="C23" i="18"/>
  <c r="H23" i="18"/>
  <c r="H12" i="6"/>
  <c r="C57" i="21"/>
  <c r="H12" i="5"/>
  <c r="H11" i="6"/>
  <c r="H9" i="6" s="1"/>
  <c r="H29" i="6" s="1"/>
  <c r="D16" i="43"/>
  <c r="F25" i="6"/>
  <c r="G25" i="6" s="1"/>
  <c r="I25" i="6" s="1"/>
  <c r="C7" i="43"/>
  <c r="V16" i="43"/>
  <c r="Q47" i="20"/>
  <c r="G23" i="15"/>
  <c r="N31" i="16"/>
  <c r="H11" i="38"/>
  <c r="H19" i="38"/>
  <c r="H29" i="38"/>
  <c r="W44" i="20"/>
  <c r="I24" i="6"/>
  <c r="D45" i="40"/>
  <c r="V30" i="39"/>
  <c r="E27" i="40"/>
  <c r="H19" i="6"/>
  <c r="G18" i="6"/>
  <c r="I18" i="6"/>
  <c r="C41" i="40"/>
  <c r="D50" i="40"/>
  <c r="S47" i="20"/>
  <c r="F60" i="20"/>
  <c r="G14" i="5"/>
  <c r="G13" i="5"/>
  <c r="E47" i="21"/>
  <c r="G13" i="13"/>
  <c r="E60" i="20"/>
  <c r="N47" i="20"/>
  <c r="D20" i="6"/>
  <c r="G20" i="6" s="1"/>
  <c r="I20" i="6" s="1"/>
  <c r="G9" i="14"/>
  <c r="I9" i="14"/>
  <c r="O34" i="43"/>
  <c r="T7" i="43"/>
  <c r="T15" i="43" s="1"/>
  <c r="R57" i="21"/>
  <c r="H26" i="5"/>
  <c r="L13" i="27"/>
  <c r="C7" i="40"/>
  <c r="D10" i="40"/>
  <c r="I82" i="41" s="1"/>
  <c r="R47" i="20"/>
  <c r="G25" i="5" s="1"/>
  <c r="H15" i="37"/>
  <c r="M12" i="43"/>
  <c r="AA12" i="43" s="1"/>
  <c r="G57" i="20"/>
  <c r="C60" i="20"/>
  <c r="I12" i="5" s="1"/>
  <c r="C47" i="21"/>
  <c r="G11" i="13" s="1"/>
  <c r="H37" i="13"/>
  <c r="H37" i="14"/>
  <c r="I37" i="14"/>
  <c r="U60" i="20"/>
  <c r="T60" i="21" s="1"/>
  <c r="T47" i="21"/>
  <c r="G28" i="5"/>
  <c r="D26" i="2" s="1"/>
  <c r="E26" i="2" s="1"/>
  <c r="V60" i="20"/>
  <c r="U47" i="21"/>
  <c r="G43" i="13" s="1"/>
  <c r="I43" i="13" s="1"/>
  <c r="C43" i="13" s="1"/>
  <c r="F10" i="9"/>
  <c r="F21" i="9"/>
  <c r="I14" i="5"/>
  <c r="F60" i="21"/>
  <c r="V54" i="23"/>
  <c r="V58" i="23" s="1"/>
  <c r="V59" i="23" s="1"/>
  <c r="G17" i="5"/>
  <c r="I47" i="21"/>
  <c r="G21" i="13" s="1"/>
  <c r="I60" i="20"/>
  <c r="Y50" i="31"/>
  <c r="G15" i="6"/>
  <c r="I15" i="6" s="1"/>
  <c r="O42" i="23"/>
  <c r="O54" i="23" s="1"/>
  <c r="O58" i="23" s="1"/>
  <c r="O59" i="23" s="1"/>
  <c r="C9" i="6"/>
  <c r="C29" i="6" s="1"/>
  <c r="O54" i="31"/>
  <c r="O66" i="31" s="1"/>
  <c r="O70" i="31"/>
  <c r="O71" i="31"/>
  <c r="L60" i="31"/>
  <c r="H15" i="5"/>
  <c r="H10" i="5" s="1"/>
  <c r="H30" i="5" s="1"/>
  <c r="G57" i="21"/>
  <c r="H14" i="6"/>
  <c r="D20" i="2"/>
  <c r="E20" i="2" s="1"/>
  <c r="R60" i="20"/>
  <c r="D49" i="40"/>
  <c r="H11" i="13"/>
  <c r="H11" i="14"/>
  <c r="I12" i="6"/>
  <c r="N48" i="31"/>
  <c r="L27" i="29"/>
  <c r="L28" i="29"/>
  <c r="I18" i="5"/>
  <c r="J60" i="21"/>
  <c r="D44" i="40"/>
  <c r="S47" i="21"/>
  <c r="G41" i="13"/>
  <c r="T60" i="20"/>
  <c r="G27" i="5"/>
  <c r="D24" i="2"/>
  <c r="M56" i="31"/>
  <c r="X56" i="31" s="1"/>
  <c r="M44" i="23"/>
  <c r="N36" i="23"/>
  <c r="X20" i="23"/>
  <c r="N54" i="23"/>
  <c r="N58" i="23" s="1"/>
  <c r="N59" i="23"/>
  <c r="D29" i="6"/>
  <c r="U25" i="27" s="1"/>
  <c r="G23" i="5"/>
  <c r="O47" i="21"/>
  <c r="G33" i="13" s="1"/>
  <c r="P60" i="20"/>
  <c r="I23" i="5" s="1"/>
  <c r="V26" i="31" s="1"/>
  <c r="V52" i="31" s="1"/>
  <c r="I10" i="6"/>
  <c r="N66" i="31"/>
  <c r="N70" i="31" s="1"/>
  <c r="N71" i="31" s="1"/>
  <c r="D54" i="23"/>
  <c r="D58" i="23" s="1"/>
  <c r="D59" i="23" s="1"/>
  <c r="C106" i="4"/>
  <c r="D52" i="31"/>
  <c r="L36" i="23"/>
  <c r="N60" i="20"/>
  <c r="M47" i="21"/>
  <c r="G29" i="13"/>
  <c r="I29" i="13" s="1"/>
  <c r="C29" i="13" s="1"/>
  <c r="G21" i="5"/>
  <c r="D14" i="2"/>
  <c r="E14" i="2" s="1"/>
  <c r="I19" i="14"/>
  <c r="E60" i="21"/>
  <c r="I13" i="5"/>
  <c r="I11" i="13"/>
  <c r="D15" i="40"/>
  <c r="I83" i="41" s="1"/>
  <c r="H39" i="14"/>
  <c r="I39" i="14" s="1"/>
  <c r="H39" i="13"/>
  <c r="E56" i="31"/>
  <c r="E66" i="31" s="1"/>
  <c r="E44" i="23"/>
  <c r="R47" i="21"/>
  <c r="G39" i="13"/>
  <c r="I39" i="13"/>
  <c r="C39" i="13" s="1"/>
  <c r="G26" i="5"/>
  <c r="D22" i="2"/>
  <c r="E22" i="2"/>
  <c r="S60" i="20"/>
  <c r="D46" i="40"/>
  <c r="D43" i="40"/>
  <c r="D42" i="40"/>
  <c r="D47" i="40"/>
  <c r="D48" i="40"/>
  <c r="D51" i="40"/>
  <c r="G24" i="5"/>
  <c r="D18" i="2"/>
  <c r="E18" i="2"/>
  <c r="Q60" i="20"/>
  <c r="P60" i="21" s="1"/>
  <c r="P47" i="21"/>
  <c r="G35" i="13"/>
  <c r="I35" i="13"/>
  <c r="X48" i="23"/>
  <c r="Y48" i="23"/>
  <c r="I23" i="14"/>
  <c r="P54" i="23"/>
  <c r="P58" i="23" s="1"/>
  <c r="X38" i="23"/>
  <c r="X54" i="23" s="1"/>
  <c r="H47" i="21"/>
  <c r="G19" i="13" s="1"/>
  <c r="I19" i="13" s="1"/>
  <c r="H60" i="20"/>
  <c r="I16" i="5" s="1"/>
  <c r="G16" i="5"/>
  <c r="G20" i="5"/>
  <c r="D12" i="2"/>
  <c r="E12" i="2" s="1"/>
  <c r="M60" i="20"/>
  <c r="L47" i="21"/>
  <c r="G27" i="13"/>
  <c r="G19" i="6"/>
  <c r="I19" i="6"/>
  <c r="M42" i="23"/>
  <c r="X42" i="23" s="1"/>
  <c r="Y42" i="23" s="1"/>
  <c r="M54" i="31"/>
  <c r="O12" i="29"/>
  <c r="H17" i="13"/>
  <c r="H17" i="14"/>
  <c r="L44" i="23"/>
  <c r="L54" i="23" s="1"/>
  <c r="L58" i="23" s="1"/>
  <c r="L59" i="23" s="1"/>
  <c r="E54" i="23"/>
  <c r="E58" i="23" s="1"/>
  <c r="X36" i="23"/>
  <c r="Y20" i="23"/>
  <c r="Y36" i="23" s="1"/>
  <c r="I17" i="5"/>
  <c r="P26" i="31"/>
  <c r="I60" i="21"/>
  <c r="I28" i="5"/>
  <c r="C37" i="40"/>
  <c r="U60" i="21"/>
  <c r="X54" i="31"/>
  <c r="I26" i="5"/>
  <c r="R60" i="21"/>
  <c r="D106" i="4"/>
  <c r="O60" i="21"/>
  <c r="I27" i="5"/>
  <c r="S60" i="21"/>
  <c r="Y38" i="23"/>
  <c r="I24" i="5"/>
  <c r="M54" i="23"/>
  <c r="M58" i="23" s="1"/>
  <c r="M59" i="23" s="1"/>
  <c r="I20" i="5"/>
  <c r="M18" i="23" s="1"/>
  <c r="M40" i="23" s="1"/>
  <c r="L60" i="21"/>
  <c r="I21" i="5"/>
  <c r="M60" i="21"/>
  <c r="I25" i="5"/>
  <c r="Q60" i="21"/>
  <c r="M26" i="31"/>
  <c r="Y54" i="31"/>
  <c r="X66" i="31"/>
  <c r="X70" i="31" s="1"/>
  <c r="P18" i="23"/>
  <c r="C36" i="40"/>
  <c r="D29" i="43" l="1"/>
  <c r="Q29" i="43"/>
  <c r="K34" i="43"/>
  <c r="I34" i="43"/>
  <c r="N34" i="43"/>
  <c r="G7" i="43"/>
  <c r="G15" i="43" s="1"/>
  <c r="AA10" i="43"/>
  <c r="V17" i="43"/>
  <c r="AA18" i="43"/>
  <c r="T34" i="43"/>
  <c r="Z34" i="43"/>
  <c r="C15" i="43"/>
  <c r="O29" i="43"/>
  <c r="X29" i="43"/>
  <c r="X34" i="43"/>
  <c r="H7" i="43"/>
  <c r="H15" i="43" s="1"/>
  <c r="K29" i="43"/>
  <c r="Y34" i="43"/>
  <c r="L29" i="43"/>
  <c r="U15" i="43"/>
  <c r="N7" i="43"/>
  <c r="AA14" i="43"/>
  <c r="AA8" i="43"/>
  <c r="P17" i="43"/>
  <c r="Q34" i="43"/>
  <c r="AA20" i="43"/>
  <c r="F17" i="43"/>
  <c r="T17" i="43"/>
  <c r="L34" i="43"/>
  <c r="O7" i="43"/>
  <c r="O15" i="43" s="1"/>
  <c r="I7" i="43"/>
  <c r="I15" i="43" s="1"/>
  <c r="L17" i="43"/>
  <c r="J17" i="43"/>
  <c r="AA27" i="43"/>
  <c r="W17" i="43"/>
  <c r="D17" i="43"/>
  <c r="D34" i="43"/>
  <c r="AA35" i="43"/>
  <c r="W7" i="43"/>
  <c r="W15" i="43" s="1"/>
  <c r="AA19" i="43"/>
  <c r="AA22" i="43"/>
  <c r="AA24" i="43"/>
  <c r="Q17" i="43"/>
  <c r="E29" i="43"/>
  <c r="F29" i="43"/>
  <c r="I29" i="43"/>
  <c r="J29" i="43"/>
  <c r="K17" i="43"/>
  <c r="AA26" i="43"/>
  <c r="AA25" i="43"/>
  <c r="Z17" i="43"/>
  <c r="M17" i="43"/>
  <c r="U17" i="43"/>
  <c r="AA5" i="43"/>
  <c r="AA21" i="43"/>
  <c r="X17" i="43"/>
  <c r="M34" i="43"/>
  <c r="L7" i="43"/>
  <c r="L15" i="43" s="1"/>
  <c r="F7" i="43"/>
  <c r="F15" i="43" s="1"/>
  <c r="AA30" i="43"/>
  <c r="AA33" i="43"/>
  <c r="N17" i="43"/>
  <c r="AA37" i="43"/>
  <c r="AA31" i="43"/>
  <c r="AA32" i="43"/>
  <c r="AA23" i="43"/>
  <c r="AA4" i="43"/>
  <c r="V29" i="43"/>
  <c r="M29" i="43"/>
  <c r="P34" i="43"/>
  <c r="W34" i="43"/>
  <c r="Q7" i="43"/>
  <c r="Q15" i="43" s="1"/>
  <c r="I17" i="43"/>
  <c r="E17" i="43"/>
  <c r="AA28" i="43"/>
  <c r="T29" i="43"/>
  <c r="E34" i="43"/>
  <c r="J7" i="43"/>
  <c r="J15" i="43" s="1"/>
  <c r="O17" i="43"/>
  <c r="P7" i="43"/>
  <c r="P15" i="43" s="1"/>
  <c r="F34" i="43"/>
  <c r="J34" i="43"/>
  <c r="U34" i="43"/>
  <c r="Z7" i="43"/>
  <c r="Z15" i="43" s="1"/>
  <c r="X7" i="43"/>
  <c r="X15" i="43" s="1"/>
  <c r="M7" i="43"/>
  <c r="M15" i="43" s="1"/>
  <c r="K7" i="43"/>
  <c r="K15" i="43" s="1"/>
  <c r="E59" i="23"/>
  <c r="E40" i="23"/>
  <c r="U24" i="27"/>
  <c r="U27" i="27"/>
  <c r="E70" i="31"/>
  <c r="L66" i="31"/>
  <c r="Y66" i="31" s="1"/>
  <c r="O26" i="31"/>
  <c r="O52" i="31" s="1"/>
  <c r="O18" i="23"/>
  <c r="O40" i="23" s="1"/>
  <c r="Y54" i="23"/>
  <c r="P40" i="23"/>
  <c r="P59" i="23"/>
  <c r="V18" i="23"/>
  <c r="V40" i="23" s="1"/>
  <c r="Q18" i="23"/>
  <c r="Q40" i="23" s="1"/>
  <c r="Q26" i="31"/>
  <c r="Q52" i="31" s="1"/>
  <c r="H60" i="21"/>
  <c r="C60" i="21"/>
  <c r="I11" i="6"/>
  <c r="Q47" i="21"/>
  <c r="G37" i="13" s="1"/>
  <c r="I37" i="13" s="1"/>
  <c r="N15" i="43"/>
  <c r="N15" i="29"/>
  <c r="S59" i="23"/>
  <c r="Y60" i="31"/>
  <c r="X18" i="23"/>
  <c r="Y18" i="23" s="1"/>
  <c r="X26" i="31"/>
  <c r="Y8" i="31"/>
  <c r="X56" i="23"/>
  <c r="Y56" i="23" s="1"/>
  <c r="W58" i="23"/>
  <c r="H9" i="10"/>
  <c r="H18" i="10" s="1"/>
  <c r="C33" i="40"/>
  <c r="L56" i="31"/>
  <c r="Y56" i="31" s="1"/>
  <c r="J52" i="31"/>
  <c r="J71" i="31"/>
  <c r="M66" i="31"/>
  <c r="M70" i="31" s="1"/>
  <c r="C108" i="4"/>
  <c r="C115" i="4" s="1"/>
  <c r="C117" i="4" s="1"/>
  <c r="Y16" i="31"/>
  <c r="L26" i="31"/>
  <c r="K28" i="29"/>
  <c r="T71" i="31"/>
  <c r="T52" i="31"/>
  <c r="R48" i="31"/>
  <c r="R71" i="31" s="1"/>
  <c r="X34" i="31"/>
  <c r="W26" i="20"/>
  <c r="W47" i="20" s="1"/>
  <c r="W60" i="20" s="1"/>
  <c r="Y46" i="23"/>
  <c r="C110" i="4"/>
  <c r="D110" i="4" s="1"/>
  <c r="E109" i="4"/>
  <c r="T40" i="23"/>
  <c r="T59" i="23"/>
  <c r="X18" i="31"/>
  <c r="Y18" i="31" s="1"/>
  <c r="N20" i="31"/>
  <c r="X20" i="31" s="1"/>
  <c r="Y20" i="31" s="1"/>
  <c r="F52" i="31"/>
  <c r="F71" i="31"/>
  <c r="N11" i="29"/>
  <c r="O6" i="29"/>
  <c r="O11" i="29" s="1"/>
  <c r="I59" i="23"/>
  <c r="I40" i="23"/>
  <c r="L40" i="23" s="1"/>
  <c r="W57" i="20"/>
  <c r="W12" i="20"/>
  <c r="N12" i="31"/>
  <c r="X12" i="31" s="1"/>
  <c r="Y12" i="31" s="1"/>
  <c r="E115" i="4"/>
  <c r="E117" i="4" s="1"/>
  <c r="U39" i="27" s="1"/>
  <c r="G28" i="29"/>
  <c r="G10" i="7"/>
  <c r="G21" i="7" s="1"/>
  <c r="I13" i="14"/>
  <c r="O44" i="23"/>
  <c r="X44" i="23" s="1"/>
  <c r="Y44" i="23" s="1"/>
  <c r="K40" i="23"/>
  <c r="R20" i="31"/>
  <c r="L57" i="20"/>
  <c r="L30" i="31"/>
  <c r="H18" i="37"/>
  <c r="N27" i="16"/>
  <c r="K60" i="20"/>
  <c r="K47" i="21"/>
  <c r="G25" i="13" s="1"/>
  <c r="I25" i="13" s="1"/>
  <c r="G19" i="5"/>
  <c r="F14" i="6"/>
  <c r="F9" i="6" s="1"/>
  <c r="F29" i="6" s="1"/>
  <c r="G44" i="21"/>
  <c r="F17" i="14" s="1"/>
  <c r="G17" i="14" s="1"/>
  <c r="I17" i="14" s="1"/>
  <c r="M16" i="43"/>
  <c r="AA16" i="43" s="1"/>
  <c r="G47" i="20"/>
  <c r="H91" i="4"/>
  <c r="O8" i="27" s="1"/>
  <c r="G95" i="4"/>
  <c r="D9" i="10"/>
  <c r="D18" i="10" s="1"/>
  <c r="H33" i="14"/>
  <c r="I33" i="14" s="1"/>
  <c r="H33" i="13"/>
  <c r="I33" i="13" s="1"/>
  <c r="H31" i="13"/>
  <c r="H31" i="14"/>
  <c r="I31" i="14" s="1"/>
  <c r="O12" i="31"/>
  <c r="O14" i="31" s="1"/>
  <c r="X14" i="31" s="1"/>
  <c r="Y14" i="31" s="1"/>
  <c r="G17" i="15"/>
  <c r="F11" i="17"/>
  <c r="H23" i="38"/>
  <c r="G22" i="5"/>
  <c r="D16" i="2" s="1"/>
  <c r="E16" i="2" s="1"/>
  <c r="O60" i="20"/>
  <c r="N47" i="21"/>
  <c r="G31" i="13" s="1"/>
  <c r="I31" i="13" s="1"/>
  <c r="C20" i="29"/>
  <c r="G21" i="15"/>
  <c r="N21" i="16"/>
  <c r="N33" i="16"/>
  <c r="F27" i="17"/>
  <c r="H21" i="14"/>
  <c r="I21" i="14" s="1"/>
  <c r="H21" i="13"/>
  <c r="I21" i="13" s="1"/>
  <c r="G11" i="14"/>
  <c r="I11" i="14" s="1"/>
  <c r="H27" i="14"/>
  <c r="I27" i="14" s="1"/>
  <c r="H27" i="13"/>
  <c r="I27" i="13" s="1"/>
  <c r="G14" i="6"/>
  <c r="H41" i="14"/>
  <c r="I41" i="14" s="1"/>
  <c r="H41" i="13"/>
  <c r="I41" i="13" s="1"/>
  <c r="H13" i="14"/>
  <c r="H13" i="13"/>
  <c r="I13" i="13" s="1"/>
  <c r="D9" i="37"/>
  <c r="D24" i="37" s="1"/>
  <c r="G29" i="14"/>
  <c r="I29" i="14" s="1"/>
  <c r="G27" i="15"/>
  <c r="N11" i="16"/>
  <c r="F21" i="17"/>
  <c r="H13" i="38"/>
  <c r="H11" i="18"/>
  <c r="N17" i="8"/>
  <c r="N9" i="8" s="1"/>
  <c r="N27" i="8" s="1"/>
  <c r="H93" i="4"/>
  <c r="O10" i="27" s="1"/>
  <c r="H10" i="37"/>
  <c r="H9" i="37" s="1"/>
  <c r="H24" i="37" s="1"/>
  <c r="N13" i="16"/>
  <c r="F17" i="17"/>
  <c r="G11" i="5"/>
  <c r="D47" i="21"/>
  <c r="G9" i="13" s="1"/>
  <c r="I9" i="13" s="1"/>
  <c r="D60" i="20"/>
  <c r="L44" i="20"/>
  <c r="P54" i="31"/>
  <c r="P66" i="31" s="1"/>
  <c r="P70" i="31" s="1"/>
  <c r="P71" i="31" s="1"/>
  <c r="V44" i="39"/>
  <c r="V47" i="39"/>
  <c r="V45" i="39"/>
  <c r="AA15" i="43" l="1"/>
  <c r="AA34" i="43"/>
  <c r="AA29" i="43"/>
  <c r="AA17" i="43"/>
  <c r="AA7" i="43"/>
  <c r="E25" i="29"/>
  <c r="L47" i="20"/>
  <c r="L60" i="20" s="1"/>
  <c r="I11" i="5"/>
  <c r="D60" i="21"/>
  <c r="O11" i="27"/>
  <c r="O12" i="27" s="1"/>
  <c r="O13" i="27" s="1"/>
  <c r="H90" i="4"/>
  <c r="O7" i="27" s="1"/>
  <c r="H94" i="4"/>
  <c r="H89" i="4"/>
  <c r="O6" i="27" s="1"/>
  <c r="H92" i="4"/>
  <c r="O9" i="27" s="1"/>
  <c r="I19" i="5"/>
  <c r="K60" i="21"/>
  <c r="Y26" i="31"/>
  <c r="X58" i="23"/>
  <c r="G9" i="6"/>
  <c r="G29" i="6" s="1"/>
  <c r="I14" i="6"/>
  <c r="I9" i="6" s="1"/>
  <c r="I29" i="6" s="1"/>
  <c r="U37" i="27"/>
  <c r="V37" i="27" s="1"/>
  <c r="C119" i="4"/>
  <c r="G47" i="21"/>
  <c r="G17" i="13" s="1"/>
  <c r="I17" i="13" s="1"/>
  <c r="G60" i="20"/>
  <c r="G15" i="5"/>
  <c r="G10" i="5" s="1"/>
  <c r="Y34" i="31"/>
  <c r="Y48" i="31" s="1"/>
  <c r="X48" i="31"/>
  <c r="X71" i="31" s="1"/>
  <c r="D108" i="4"/>
  <c r="D115" i="4" s="1"/>
  <c r="D117" i="4" s="1"/>
  <c r="C56" i="40"/>
  <c r="N20" i="29"/>
  <c r="C27" i="29"/>
  <c r="C28" i="29" s="1"/>
  <c r="M52" i="31"/>
  <c r="M71" i="31"/>
  <c r="L70" i="31"/>
  <c r="Y70" i="31" s="1"/>
  <c r="Y71" i="31" s="1"/>
  <c r="E71" i="31"/>
  <c r="L71" i="31" s="1"/>
  <c r="E52" i="31"/>
  <c r="L52" i="31" s="1"/>
  <c r="L34" i="31"/>
  <c r="L48" i="31" s="1"/>
  <c r="Y30" i="31"/>
  <c r="O15" i="29"/>
  <c r="O19" i="29" s="1"/>
  <c r="N19" i="29"/>
  <c r="V27" i="27"/>
  <c r="I22" i="5"/>
  <c r="N60" i="21"/>
  <c r="W59" i="23"/>
  <c r="W40" i="23"/>
  <c r="U28" i="27"/>
  <c r="V24" i="27"/>
  <c r="P52" i="31"/>
  <c r="D10" i="2" l="1"/>
  <c r="G30" i="5"/>
  <c r="X59" i="23"/>
  <c r="Y58" i="23"/>
  <c r="Y59" i="23" s="1"/>
  <c r="I15" i="5"/>
  <c r="G60" i="21"/>
  <c r="S26" i="31"/>
  <c r="S52" i="31" s="1"/>
  <c r="S18" i="23"/>
  <c r="S40" i="23" s="1"/>
  <c r="C34" i="40"/>
  <c r="V26" i="27"/>
  <c r="V25" i="27"/>
  <c r="O20" i="29"/>
  <c r="U18" i="23"/>
  <c r="U40" i="23" s="1"/>
  <c r="U26" i="31"/>
  <c r="U52" i="31" s="1"/>
  <c r="R26" i="31"/>
  <c r="R52" i="31" s="1"/>
  <c r="R18" i="23"/>
  <c r="R40" i="23" s="1"/>
  <c r="I10" i="5"/>
  <c r="N25" i="29"/>
  <c r="O25" i="29" s="1"/>
  <c r="E27" i="29"/>
  <c r="E28" i="29" s="1"/>
  <c r="U38" i="27"/>
  <c r="V38" i="27" s="1"/>
  <c r="D119" i="4"/>
  <c r="N27" i="29" l="1"/>
  <c r="N28" i="29" s="1"/>
  <c r="O27" i="29"/>
  <c r="O28" i="29" s="1"/>
  <c r="N26" i="31"/>
  <c r="N52" i="31" s="1"/>
  <c r="X52" i="31" s="1"/>
  <c r="Y52" i="31" s="1"/>
  <c r="N18" i="23"/>
  <c r="N40" i="23" s="1"/>
  <c r="X40" i="23" s="1"/>
  <c r="Y40" i="23" s="1"/>
  <c r="I30" i="5"/>
  <c r="C35" i="40"/>
  <c r="D34" i="40"/>
  <c r="C32" i="40"/>
  <c r="D31" i="2"/>
  <c r="E31" i="2" s="1"/>
  <c r="E10" i="2"/>
  <c r="D36" i="40" l="1"/>
  <c r="D37" i="40"/>
  <c r="D33" i="40"/>
  <c r="D35" i="40"/>
</calcChain>
</file>

<file path=xl/sharedStrings.xml><?xml version="1.0" encoding="utf-8"?>
<sst xmlns="http://schemas.openxmlformats.org/spreadsheetml/2006/main" count="1924" uniqueCount="855">
  <si>
    <t>ENERGÉTICOS PRIMARIOS</t>
  </si>
  <si>
    <t>DERIVADOS DE PETRÓLEO</t>
  </si>
  <si>
    <t>DERIVADOS DE CARBÓN</t>
  </si>
  <si>
    <t>CONSUMO FINAL</t>
  </si>
  <si>
    <t>C.TRANSFO.</t>
  </si>
  <si>
    <t>INTRO</t>
  </si>
  <si>
    <t>13. Cuadro consolidado de consumos sectoriales</t>
  </si>
  <si>
    <t>CONS_TERAC.</t>
  </si>
  <si>
    <t>14. Balance de Energía Global</t>
  </si>
  <si>
    <t>BALANCE</t>
  </si>
  <si>
    <t>Introducción y Descripción BNE</t>
  </si>
  <si>
    <t>11. Cuadro consolidado de consumos sectoriales</t>
  </si>
  <si>
    <t>CONS_U.FIS.</t>
  </si>
  <si>
    <t>D. Anexos</t>
  </si>
  <si>
    <t>(*) Se incluyen las Gasolinas 93, 95 y 97</t>
  </si>
  <si>
    <t xml:space="preserve">(1) Se incluyen las Gasolinas 93, 95 y 97 </t>
  </si>
  <si>
    <t xml:space="preserve">(*) Se incluyen las Gasolinas 93, 95 y 97 </t>
  </si>
  <si>
    <t>19695 =</t>
  </si>
  <si>
    <t>2188 =</t>
  </si>
  <si>
    <t>1397 =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</si>
  <si>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</si>
  <si>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</si>
  <si>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</si>
  <si>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</si>
  <si>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</si>
  <si>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</si>
  <si>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</si>
  <si>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</si>
  <si>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</si>
  <si>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</si>
  <si>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</si>
  <si>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</si>
  <si>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Nota: El factor de conversión utilizado para la hidroelectricidad corresponde al utilizado en </t>
  </si>
  <si>
    <t xml:space="preserve">        metodología internacional de generación de balances equivalente a 860 Kcal/Kwh</t>
  </si>
  <si>
    <t>Fuente: Encuestas CNE a empresas del sector energía e industrias intensivas en consumo energético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</si>
  <si>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</si>
  <si>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</si>
  <si>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</si>
  <si>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</si>
  <si>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</si>
  <si>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</si>
  <si>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</si>
  <si>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</si>
  <si>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</si>
  <si>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</si>
  <si>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</si>
  <si>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</si>
  <si>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</si>
  <si>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VAR. STOCK +</t>
  </si>
  <si>
    <t>CONSUMO</t>
  </si>
  <si>
    <t>BRUTA</t>
  </si>
  <si>
    <t xml:space="preserve">PERD+CIERRE </t>
  </si>
  <si>
    <t>BRUTO</t>
  </si>
  <si>
    <t>PETROLEO CRUDO (a)</t>
  </si>
  <si>
    <t>GAS NATURAL (b,c,d,e)</t>
  </si>
  <si>
    <t>a) Producción Bruta Petroleo Crudo:               Producción Isla +     Producción Continente +     Producción Costa afuera</t>
  </si>
  <si>
    <t xml:space="preserve">b) Producción Bruta Gas Natural:                </t>
  </si>
  <si>
    <t xml:space="preserve"> Produccion total     - Reinyecciones </t>
  </si>
  <si>
    <t xml:space="preserve">c) Cierre Gas Natural : </t>
  </si>
  <si>
    <t xml:space="preserve">Gas lift  + </t>
  </si>
  <si>
    <t xml:space="preserve">Gas quemado </t>
  </si>
  <si>
    <t>e) : Gas Absorbido (Diferencia Gas Primario y Secundario ) =</t>
  </si>
  <si>
    <t>Nota 1: El factor de conversión utilizado para la hidroelectricidad corresponde al utilizado en metodología internacional de</t>
  </si>
  <si>
    <t xml:space="preserve">          generación de balances equivalente a 860 Kcal/Kwh</t>
  </si>
  <si>
    <t xml:space="preserve">Nota 2: El Consumo Bruto equivale a la suma de Producción Bruta e Importaciones menos las Exportacione y Variación de Stocks </t>
  </si>
  <si>
    <t xml:space="preserve">          Perdidas y Cierres para cada energético</t>
  </si>
  <si>
    <t xml:space="preserve"> MATRIZ ENERGIA PRIMARIA (*)</t>
  </si>
  <si>
    <t>V. STOCK +</t>
  </si>
  <si>
    <t>Las siguientes cantidades están expresadas en Teracalorías</t>
  </si>
  <si>
    <t xml:space="preserve">                        BALANCE      ENERGIA      SECUNDARIA</t>
  </si>
  <si>
    <t xml:space="preserve">                    (TERACALORIAS)</t>
  </si>
  <si>
    <t>PERD Y CIERRE</t>
  </si>
  <si>
    <t xml:space="preserve"> FINAL</t>
  </si>
  <si>
    <t>CENT. DE TRANSF.</t>
  </si>
  <si>
    <t xml:space="preserve"> TOTAL</t>
  </si>
  <si>
    <t>PETROLEO COMBUSTIBLE</t>
  </si>
  <si>
    <t>DIESEL</t>
  </si>
  <si>
    <t>KEROSENE</t>
  </si>
  <si>
    <t>GAS LICUADO</t>
  </si>
  <si>
    <t>GASOLINA AVIACION</t>
  </si>
  <si>
    <t>KEROSENE AVIACION</t>
  </si>
  <si>
    <t>NAFTA</t>
  </si>
  <si>
    <t>GAS REFINERIA</t>
  </si>
  <si>
    <t>CARBON (**)</t>
  </si>
  <si>
    <t xml:space="preserve">COKE </t>
  </si>
  <si>
    <t>ALQUITRAN (***)</t>
  </si>
  <si>
    <t>GAS CORRIENTE.</t>
  </si>
  <si>
    <t>GAS ALTO HORNO</t>
  </si>
  <si>
    <t>GAS NATURAL (**)</t>
  </si>
  <si>
    <t>(**) Las Importaciones-Exportaciones se consideran en etapa de energético primario</t>
  </si>
  <si>
    <t>(*** ) Alquitrán de uso energético  (poducido en siderurgia)</t>
  </si>
  <si>
    <t xml:space="preserve">Nota 2: El Consumo Final equivale a la suma de Producción Bruta e Importaciones menos las Exportacione y Variación de Stocks </t>
  </si>
  <si>
    <t>Nota 3: El Consumo Total equivale a la suma del Consumo Final y Consumo en Centros de Transformación</t>
  </si>
  <si>
    <t>DERIVADOS PETRÓLEO</t>
  </si>
  <si>
    <t xml:space="preserve">  CONSUMO SECTORIAL</t>
  </si>
  <si>
    <t>(TERACALORIAS)</t>
  </si>
  <si>
    <t>Sector</t>
  </si>
  <si>
    <t>Consumo</t>
  </si>
  <si>
    <t xml:space="preserve">Consumo </t>
  </si>
  <si>
    <t>Transporte</t>
  </si>
  <si>
    <t>Ind. y Min.</t>
  </si>
  <si>
    <t>Com.Púb.Res.</t>
  </si>
  <si>
    <t>Final</t>
  </si>
  <si>
    <t>Cent.deTransf.</t>
  </si>
  <si>
    <t>Total</t>
  </si>
  <si>
    <t>TOTAL DERIVADOS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</si>
  <si>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</si>
  <si>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</si>
  <si>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</si>
  <si>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</si>
  <si>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</si>
  <si>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</si>
  <si>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</si>
  <si>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</si>
  <si>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</si>
  <si>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</si>
  <si>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</si>
  <si>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</si>
  <si>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</si>
  <si>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</si>
  <si>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</si>
  <si>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</si>
  <si>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</si>
  <si>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</si>
  <si>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</si>
  <si>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</si>
  <si>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</si>
  <si>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</si>
  <si>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</si>
  <si>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>GAS NATURAL (*)</t>
  </si>
  <si>
    <t>(*) Las Importaciones-Exportaciones se consideran en etapa de energético primario</t>
  </si>
  <si>
    <t xml:space="preserve">                                                         SECTOR COMERCIAL </t>
  </si>
  <si>
    <t>COMERCIAL</t>
  </si>
  <si>
    <t>PUBLICO</t>
  </si>
  <si>
    <t>RESIDENCIAL</t>
  </si>
  <si>
    <t>PETROLEO  COMBUSTIBLE</t>
  </si>
  <si>
    <t xml:space="preserve"> DIESEL</t>
  </si>
  <si>
    <t>CARBON   (*)</t>
  </si>
  <si>
    <t>PETROLEO Y</t>
  </si>
  <si>
    <t xml:space="preserve">CARBON 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</si>
  <si>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</si>
  <si>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</si>
  <si>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</si>
  <si>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</si>
  <si>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</si>
  <si>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</si>
  <si>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</si>
  <si>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</si>
  <si>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</si>
  <si>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</si>
  <si>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</si>
  <si>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</si>
  <si>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</si>
  <si>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</si>
  <si>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</si>
  <si>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</si>
  <si>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a) Producción Bruta : Isla+ Continente + Costa afuera</t>
  </si>
  <si>
    <t>Isla                =</t>
  </si>
  <si>
    <t>Continente      =</t>
  </si>
  <si>
    <t>Costa Afuera =</t>
  </si>
  <si>
    <t>b) Producción Bruta : (Prod. Total - Reinyecciones)</t>
  </si>
  <si>
    <t>Prod. Total     =</t>
  </si>
  <si>
    <t>Reinyecciones =</t>
  </si>
  <si>
    <t>Gas lift           =</t>
  </si>
  <si>
    <t>Gas Quemado  =</t>
  </si>
  <si>
    <t>d) Ventas Tot. y Consumos Propios Enap</t>
  </si>
  <si>
    <t>Ventas           =</t>
  </si>
  <si>
    <t>Cons. Propios  =</t>
  </si>
  <si>
    <t>e) : (Diferencia Gas Primario y Secundario )              =</t>
  </si>
  <si>
    <t>Gas Absorvido =</t>
  </si>
  <si>
    <t>Metalúrgico    =</t>
  </si>
  <si>
    <t xml:space="preserve">Térmico = </t>
  </si>
  <si>
    <t xml:space="preserve">         DERIVADOS DEL GAS NATURAL</t>
  </si>
  <si>
    <t xml:space="preserve">                                  (Miles m3)</t>
  </si>
  <si>
    <t xml:space="preserve">PRODUCCION GASOLINA NATURAL </t>
  </si>
  <si>
    <t>c) Var. Stock = Gas Lift + Gas Quemado</t>
  </si>
  <si>
    <t>BALANCE      ENERGIA      SECUNDARIA</t>
  </si>
  <si>
    <t xml:space="preserve">             (UNIDADES FISICAS)</t>
  </si>
  <si>
    <t>V. STOCK</t>
  </si>
  <si>
    <t>PERD.CIERRE</t>
  </si>
  <si>
    <t>FINAL</t>
  </si>
  <si>
    <t>(Miles m3)</t>
  </si>
  <si>
    <t>(Miles Ton)</t>
  </si>
  <si>
    <t>(Millones m3)</t>
  </si>
  <si>
    <t>(GWh)</t>
  </si>
  <si>
    <t>ALQUITRAN</t>
  </si>
  <si>
    <t>Mil Ton.</t>
  </si>
  <si>
    <t xml:space="preserve">                  Fuel 5</t>
  </si>
  <si>
    <t xml:space="preserve">                  Fuel 6</t>
  </si>
  <si>
    <t>Millón m3</t>
  </si>
  <si>
    <t>GWh</t>
  </si>
  <si>
    <t>(UNIDADES FISICAS)</t>
  </si>
  <si>
    <t>GAS 93 S/P</t>
  </si>
  <si>
    <t xml:space="preserve">GAS NATURAL </t>
  </si>
  <si>
    <t xml:space="preserve">  </t>
  </si>
  <si>
    <t xml:space="preserve"> (Unidades Físicas)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</si>
  <si>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</si>
  <si>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</si>
  <si>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</si>
  <si>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</si>
  <si>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</si>
  <si>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SECTOR CENTROS DE TRANSFORMACION</t>
  </si>
  <si>
    <t>PETROLEO</t>
  </si>
  <si>
    <t>(Miles ton.)</t>
  </si>
  <si>
    <t>GAS REFINERÍA</t>
  </si>
  <si>
    <t>(Mill. m3)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</si>
  <si>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</si>
  <si>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</si>
  <si>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</si>
  <si>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</si>
  <si>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</si>
  <si>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</si>
  <si>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</si>
  <si>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</si>
  <si>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</si>
  <si>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</si>
  <si>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</si>
  <si>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</si>
  <si>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</si>
  <si>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</si>
  <si>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Meta_</t>
  </si>
  <si>
    <t>Biogás</t>
  </si>
  <si>
    <t>Leña y</t>
  </si>
  <si>
    <t>SECTOR</t>
  </si>
  <si>
    <t>Diesel</t>
  </si>
  <si>
    <t>Combustibles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</si>
  <si>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</si>
  <si>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</si>
  <si>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</si>
  <si>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</si>
  <si>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</si>
  <si>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</si>
  <si>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</si>
  <si>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</si>
  <si>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</si>
  <si>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</si>
  <si>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</si>
  <si>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</si>
  <si>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</si>
  <si>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</si>
  <si>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</si>
  <si>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</si>
  <si>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</si>
  <si>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</si>
  <si>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</si>
  <si>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</si>
  <si>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</si>
  <si>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</si>
  <si>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</si>
  <si>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</si>
  <si>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</si>
  <si>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</si>
  <si>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</si>
  <si>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</si>
  <si>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</si>
  <si>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</si>
  <si>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</si>
  <si>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</si>
  <si>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</si>
  <si>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</si>
  <si>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</si>
  <si>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</si>
  <si>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</si>
  <si>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</si>
  <si>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</si>
  <si>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</si>
  <si>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</si>
  <si>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</si>
  <si>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</si>
  <si>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Gas,Coke: GasCorriente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</si>
  <si>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</si>
  <si>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</si>
  <si>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</si>
  <si>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</si>
  <si>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</si>
  <si>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</si>
  <si>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</si>
  <si>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</si>
  <si>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</si>
  <si>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</si>
  <si>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</si>
  <si>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</si>
  <si>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</si>
  <si>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</si>
  <si>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Ton.</t>
  </si>
  <si>
    <t xml:space="preserve"> Ton.</t>
  </si>
  <si>
    <t xml:space="preserve">               : Siderurgia</t>
  </si>
  <si>
    <t xml:space="preserve">                 : Servicio Público</t>
  </si>
  <si>
    <t xml:space="preserve"> </t>
  </si>
  <si>
    <t xml:space="preserve">       </t>
  </si>
  <si>
    <t>O L A D E</t>
  </si>
  <si>
    <t xml:space="preserve">     Unidad de medida :</t>
  </si>
  <si>
    <t>Tcal</t>
  </si>
  <si>
    <t>Energia Primaria</t>
  </si>
  <si>
    <t xml:space="preserve">   Energia Secundaria</t>
  </si>
  <si>
    <t>A Ñ O :</t>
  </si>
  <si>
    <t xml:space="preserve">   GAS</t>
  </si>
  <si>
    <t xml:space="preserve"> HIDRO</t>
  </si>
  <si>
    <t>GEO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</si>
  <si>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</si>
  <si>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</si>
  <si>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</si>
  <si>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</si>
  <si>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</si>
  <si>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</si>
  <si>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</si>
  <si>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</si>
  <si>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</si>
  <si>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</si>
  <si>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</si>
  <si>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</si>
  <si>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  DE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</si>
  <si>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</si>
  <si>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</si>
  <si>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</si>
  <si>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</si>
  <si>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</si>
  <si>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</si>
  <si>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CAÑA</t>
  </si>
  <si>
    <t xml:space="preserve"> COHOL</t>
  </si>
  <si>
    <t xml:space="preserve"> TURBO</t>
  </si>
  <si>
    <t xml:space="preserve"> TICOS</t>
  </si>
  <si>
    <t>T</t>
  </si>
  <si>
    <t>VARIACION INVENTARIO</t>
  </si>
  <si>
    <t>NO APROVECHADO</t>
  </si>
  <si>
    <t>OFERTA TOTAL</t>
  </si>
  <si>
    <t>REFINERIA</t>
  </si>
  <si>
    <t>CENTRALES ELECTRICAS</t>
  </si>
  <si>
    <t>AUTOPRODUCTORES</t>
  </si>
  <si>
    <t>CENTRO DE GAS</t>
  </si>
  <si>
    <t>CARBONERA</t>
  </si>
  <si>
    <t>COQUERIA/ALTO HORNO</t>
  </si>
  <si>
    <t>M</t>
  </si>
  <si>
    <t>DESTILERIA</t>
  </si>
  <si>
    <t>OTROS CENTROS</t>
  </si>
  <si>
    <t>TOTAL TRANSFORMACION</t>
  </si>
  <si>
    <t>CONSUMO PROPIO</t>
  </si>
  <si>
    <t>PERDIDAS(TR,AL,DI)</t>
  </si>
  <si>
    <t>AJUSTE</t>
  </si>
  <si>
    <t>TRANSPORTE</t>
  </si>
  <si>
    <t>INDUSTRIAL</t>
  </si>
  <si>
    <t>COMERCIAL,PUB,SERV.</t>
  </si>
  <si>
    <t>AGRO,PESCA,MINERIA</t>
  </si>
  <si>
    <t>CONSTRUCCION Y OTROS</t>
  </si>
  <si>
    <t>CONSUMO ENERGETICO</t>
  </si>
  <si>
    <t>CONS NO ENERGETICO</t>
  </si>
  <si>
    <t xml:space="preserve">CONSUMO FINAL </t>
  </si>
  <si>
    <t xml:space="preserve">  BALANCE DE ENERGIA ELECTRICA</t>
  </si>
  <si>
    <t>Porcentajes</t>
  </si>
  <si>
    <t>cr/Total</t>
  </si>
  <si>
    <t>cr/SubTotal</t>
  </si>
  <si>
    <t>POTENCIA ELECTRICA INSTALADA(***)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</si>
  <si>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</si>
  <si>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</si>
  <si>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</si>
  <si>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</si>
  <si>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</si>
  <si>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</si>
  <si>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 (**)</t>
  </si>
  <si>
    <t>(Millones de KWh)</t>
  </si>
  <si>
    <t xml:space="preserve">SEGUN FUENTES </t>
  </si>
  <si>
    <t>(Teracalorías)</t>
  </si>
  <si>
    <t>Electricidad (*)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</si>
  <si>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</si>
  <si>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</si>
  <si>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</si>
  <si>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</si>
  <si>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</si>
  <si>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</si>
  <si>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</si>
  <si>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</si>
  <si>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(KWh/Año)</t>
  </si>
  <si>
    <t>(*) Equivalente calórico de la electricidad : 860 Kcal/KWh</t>
  </si>
  <si>
    <t>(***) Incluye Capacidad Instalada de Gener en Salta (642.8 MW)</t>
  </si>
  <si>
    <t>Fuente</t>
  </si>
  <si>
    <t xml:space="preserve">(3) Información proporcionada a la CNE por empresas generadoras </t>
  </si>
  <si>
    <t>ELECTRICA POR HABITANTE  (*****)</t>
  </si>
  <si>
    <t>CAPACIDAD NACIONAL INSTALADA POR SISTEMA</t>
  </si>
  <si>
    <t>INTERCONECTADO EN MW.</t>
  </si>
  <si>
    <t>SING</t>
  </si>
  <si>
    <t>SIC</t>
  </si>
  <si>
    <t>SISTEMA</t>
  </si>
  <si>
    <t>TOTAL PAIS</t>
  </si>
  <si>
    <t>AYSEN (****)</t>
  </si>
  <si>
    <t>MAGALLANES</t>
  </si>
  <si>
    <t>SISTEMAS</t>
  </si>
  <si>
    <t>N/D</t>
  </si>
  <si>
    <t>%TÉRMICA</t>
  </si>
  <si>
    <t>%HIDRO</t>
  </si>
  <si>
    <t>0.0%</t>
  </si>
  <si>
    <t>%térmica</t>
  </si>
  <si>
    <t>%hidro</t>
  </si>
  <si>
    <t>%térmico</t>
  </si>
  <si>
    <t xml:space="preserve">GENERACION BRUTA NACIONAL POR SISTEMA </t>
  </si>
  <si>
    <t>INTERCONECTADO EN GWh</t>
  </si>
  <si>
    <t>AÑO</t>
  </si>
  <si>
    <t xml:space="preserve">SISTEMA </t>
  </si>
  <si>
    <t>TIPO</t>
  </si>
  <si>
    <t>AYSEN</t>
  </si>
  <si>
    <t>Fuente:</t>
  </si>
  <si>
    <t>(3) Información proporcionada a la CNE por empresas generadoras</t>
  </si>
  <si>
    <t>Consumo Neto de Energía Primaria</t>
  </si>
  <si>
    <t>Teracalorías (% por energético)</t>
  </si>
  <si>
    <t>Petróleo Crudo</t>
  </si>
  <si>
    <t>Gas Natural + Otros Gases</t>
  </si>
  <si>
    <t>Hidroelectricidad</t>
  </si>
  <si>
    <t>Leña y Otros</t>
  </si>
  <si>
    <t>Consumo Neto</t>
  </si>
  <si>
    <t>Indice</t>
  </si>
  <si>
    <t>Tasa Crecimiento Promedio Decenio ó Anual(*)</t>
  </si>
  <si>
    <t>Considera la Hidroelectricidad con equivalente calórico de 2.750 KCal/KWh desde 1978 hasta 1996.(Matriz Energética Primaria Cuadro 3B )</t>
  </si>
  <si>
    <t>Desde 1997 se considera un equivalente de 2.504 KCal/KWh</t>
  </si>
  <si>
    <t>Los datos son Netos y corresponden al Consumo Bruto primario más las Importaciones menos las Exportaciones de energía secundaria</t>
  </si>
  <si>
    <t>Electricidad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</si>
  <si>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</si>
  <si>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</si>
  <si>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</si>
  <si>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</si>
  <si>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</si>
  <si>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</si>
  <si>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Considera electricidad con equivalente calórico de 860 Kcal/KWh.</t>
  </si>
  <si>
    <t>Dependencia Energética</t>
  </si>
  <si>
    <t xml:space="preserve"> Teracalorías</t>
  </si>
  <si>
    <t>Origen</t>
  </si>
  <si>
    <t>Nacional</t>
  </si>
  <si>
    <t>Importado</t>
  </si>
  <si>
    <t>Total Consumo Neto</t>
  </si>
  <si>
    <t>(*):La hidroelectricidad se consideró con un equivalente calórico de 2.504 Kcal/KWh</t>
  </si>
  <si>
    <t>Los valores han sido calculados a partir de la Energía Primaria más las Importaciones y menos las Exportaciones de Energía Secundaria</t>
  </si>
  <si>
    <t>sin export.sec</t>
  </si>
  <si>
    <t>Gas Natural</t>
  </si>
  <si>
    <t>Leña</t>
  </si>
  <si>
    <t>Total Primario</t>
  </si>
  <si>
    <t>Exp. Secund.e Imp.</t>
  </si>
  <si>
    <t>Total Final</t>
  </si>
  <si>
    <t>% del Total</t>
  </si>
  <si>
    <t>Var. Stock</t>
  </si>
  <si>
    <t>Consumo Bruto</t>
  </si>
  <si>
    <t>Importaciones</t>
  </si>
  <si>
    <t>Exportaciones</t>
  </si>
  <si>
    <t>Primario</t>
  </si>
  <si>
    <t>Secundarias</t>
  </si>
  <si>
    <t>(Teracal)</t>
  </si>
  <si>
    <t>(1)</t>
  </si>
  <si>
    <t>(2)</t>
  </si>
  <si>
    <t>(3)</t>
  </si>
  <si>
    <t>(1) Imp.,  Exp. de los derivados</t>
  </si>
  <si>
    <t>(2) Imp.,  Exp. de Metanol, Gas Corriente, Gas Natural, Gas Alto Horno</t>
  </si>
  <si>
    <t>(3) Imp., Exp. de coke y alquitran</t>
  </si>
  <si>
    <t>Consumo Bruto Primario + importaciones secundarias - exp secundarias</t>
  </si>
  <si>
    <t xml:space="preserve">Capacidad </t>
  </si>
  <si>
    <t>[MW]</t>
  </si>
  <si>
    <t>Generación</t>
  </si>
  <si>
    <t>[GWh]</t>
  </si>
  <si>
    <t>Servicio Público</t>
  </si>
  <si>
    <t>Sistema</t>
  </si>
  <si>
    <t>Potencia Bruta</t>
  </si>
  <si>
    <t>Interconectado</t>
  </si>
  <si>
    <t>Instalada [MW]</t>
  </si>
  <si>
    <t>Instalada [%]</t>
  </si>
  <si>
    <t>Bruta        [GWh]</t>
  </si>
  <si>
    <t>Bruta         [%]</t>
  </si>
  <si>
    <t>Generación Eléctrica Nacional Por Tipo de Planta</t>
  </si>
  <si>
    <t>Planta</t>
  </si>
  <si>
    <t>Hidraulica</t>
  </si>
  <si>
    <t>Gas Natural (*)</t>
  </si>
  <si>
    <t>Diesel Fuel Oil</t>
  </si>
  <si>
    <t>(*) Incluye Importaciónes de AES Gener desde Salta, Argentina</t>
  </si>
  <si>
    <t>Capacidad Instalada Nacional Por Tipo de Planta</t>
  </si>
  <si>
    <t>MW</t>
  </si>
  <si>
    <t>La fuente de información sobre Capacidades Instaladas y Generación son los CDEC y empresas generadoras</t>
  </si>
  <si>
    <t>Coal</t>
  </si>
  <si>
    <t>Crude</t>
  </si>
  <si>
    <t>Petrole.</t>
  </si>
  <si>
    <t xml:space="preserve">Town </t>
  </si>
  <si>
    <t>Hydro</t>
  </si>
  <si>
    <t>Nuclear</t>
  </si>
  <si>
    <t>Geother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</si>
  <si>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</si>
  <si>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</si>
  <si>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</si>
  <si>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</si>
  <si>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</si>
  <si>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</si>
  <si>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</si>
  <si>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</si>
  <si>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</si>
  <si>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</si>
  <si>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</si>
  <si>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</si>
  <si>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</si>
  <si>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</si>
  <si>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</si>
  <si>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</si>
  <si>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</si>
  <si>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</si>
  <si>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</si>
  <si>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15.- Industry Sector</t>
  </si>
  <si>
    <t>16.- Transport Sector</t>
  </si>
  <si>
    <t>17.- Other Sector (Mining)</t>
  </si>
  <si>
    <t>18.- Agriculture</t>
  </si>
  <si>
    <t>19.- Residential &amp; Commercial</t>
  </si>
  <si>
    <t>21.- Non-Energy</t>
  </si>
  <si>
    <t>Others</t>
  </si>
  <si>
    <t>14.- Total Transformation Energy</t>
  </si>
  <si>
    <t>22.- Total Final Energy</t>
  </si>
  <si>
    <t>23.- Total Energy</t>
  </si>
  <si>
    <t>Total Secundary Energy</t>
  </si>
  <si>
    <t>Notes:</t>
  </si>
  <si>
    <t>Others:  High Furnance gas (gas de altos hornos)+ methanol (metanol)</t>
  </si>
  <si>
    <t xml:space="preserve">13.- Discrepancy </t>
  </si>
  <si>
    <t>The Gap in Natural Gas is the absorved gas</t>
  </si>
  <si>
    <t>The Gap in Petrole Productos is the non energy products</t>
  </si>
  <si>
    <t>Coal Products: coke + alquitran</t>
  </si>
  <si>
    <t>(*) This result does not consider Crude oil neither non - energy</t>
  </si>
  <si>
    <t>(*)</t>
  </si>
  <si>
    <t>APEC  BALANCE</t>
  </si>
  <si>
    <t>TCAL</t>
  </si>
  <si>
    <t>TERMIA</t>
  </si>
  <si>
    <t>NUCLEAR</t>
  </si>
  <si>
    <t xml:space="preserve">             OFERTA</t>
  </si>
  <si>
    <t xml:space="preserve">                   TRANSFORMACIÓN</t>
  </si>
  <si>
    <t xml:space="preserve">                     CONSUMO   FINAL</t>
  </si>
  <si>
    <t xml:space="preserve"> PETRO</t>
  </si>
  <si>
    <t xml:space="preserve">  NATUTAL</t>
  </si>
  <si>
    <t xml:space="preserve">  MINERAL</t>
  </si>
  <si>
    <t xml:space="preserve">  ENERGIA</t>
  </si>
  <si>
    <t xml:space="preserve">  PRIMARIA</t>
  </si>
  <si>
    <t xml:space="preserve"> TRICIDAD</t>
  </si>
  <si>
    <t xml:space="preserve"> LICUADO</t>
  </si>
  <si>
    <t>CONSUMO TOTAL</t>
  </si>
  <si>
    <t>Notas:</t>
  </si>
  <si>
    <t>(1) Gasolina/Alcohol = gas93SP + gas93CP + gasolina aviación</t>
  </si>
  <si>
    <t>(2) Kerosene Turbo = Kerosene + Kerosene aviación</t>
  </si>
  <si>
    <t>(3) Gases = Gas de refinería + Gas corriente + Gas Alto Horno</t>
  </si>
  <si>
    <t>(4) Otros = Nafta + Metanol + Alquitran</t>
  </si>
  <si>
    <t>(5) El consumo total de energía primaria de cuadro 3, equivale a la oferta total del Total Primario de este cuadro.</t>
  </si>
  <si>
    <t>M E R C O S U R</t>
  </si>
  <si>
    <t xml:space="preserve">         INTRA MERCOSUR</t>
  </si>
  <si>
    <t xml:space="preserve">         EXTRA MERCOSUR</t>
  </si>
  <si>
    <t xml:space="preserve">         Hidroeléctrica</t>
  </si>
  <si>
    <t xml:space="preserve">         Térmica</t>
  </si>
  <si>
    <t xml:space="preserve">                                 OFERTA</t>
  </si>
  <si>
    <t xml:space="preserve">                               TRANSFORMACIÓN</t>
  </si>
  <si>
    <t>descontando los no energéticos</t>
  </si>
  <si>
    <t xml:space="preserve">(6) El consumo de energia Total total secundaria de cuadro 4, equivale al consumo total de este cuadro </t>
  </si>
  <si>
    <t>BALANCE NACIONAL</t>
  </si>
  <si>
    <t>DE ENERGÍA</t>
  </si>
  <si>
    <t>Santiago - Chile</t>
  </si>
  <si>
    <t xml:space="preserve">                  CONSUMO SECTORIAL</t>
  </si>
  <si>
    <t xml:space="preserve">               (TERACALORIAS)</t>
  </si>
  <si>
    <t xml:space="preserve">                 SECTOR CENTROS DE TRANSFORMACION</t>
  </si>
  <si>
    <t xml:space="preserve">                                            VARIACION CONSUMO BRUTO ENERGIA PRIMARIA</t>
  </si>
  <si>
    <t xml:space="preserve">                                         (TERACALORIAS)</t>
  </si>
  <si>
    <t xml:space="preserve"> CONSUMO SECTORIAL</t>
  </si>
  <si>
    <t xml:space="preserve">                         (TERACALORIAS)</t>
  </si>
  <si>
    <t>SECTOR TRANSPORTE</t>
  </si>
  <si>
    <t xml:space="preserve">                                                           (UNIDADES FISICAS)</t>
  </si>
  <si>
    <t xml:space="preserve">          (Unidades Físicas)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</si>
  <si>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</si>
  <si>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</si>
  <si>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</si>
  <si>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</si>
  <si>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</si>
  <si>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</si>
  <si>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</si>
  <si>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</si>
  <si>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</si>
  <si>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</si>
  <si>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</si>
  <si>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</si>
  <si>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</si>
  <si>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</si>
  <si>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</si>
  <si>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</si>
  <si>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</si>
  <si>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</si>
  <si>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</si>
  <si>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</si>
  <si>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KCal/m3</t>
  </si>
  <si>
    <t>(****)  KCal/KWh (Equivelente Calórico Teórico Internacional)</t>
  </si>
  <si>
    <t>(1) Equivalente Calórico práctico para Chile 2.750 KCal/KWh hasta 1997</t>
  </si>
  <si>
    <t>(1) Equivalente Calórico práctico para Chile 2.504 KCal/KWh desde 1998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</si>
  <si>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</si>
  <si>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</si>
  <si>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</si>
  <si>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</si>
  <si>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</si>
  <si>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</si>
  <si>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</si>
  <si>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</si>
  <si>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</si>
  <si>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</si>
  <si>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</si>
  <si>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</si>
  <si>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</si>
  <si>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</si>
  <si>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</si>
  <si>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</si>
  <si>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</si>
  <si>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</si>
  <si>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</si>
  <si>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</si>
  <si>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</si>
  <si>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</si>
  <si>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</si>
  <si>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</si>
  <si>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</si>
  <si>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</si>
  <si>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</si>
  <si>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</si>
  <si>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</si>
  <si>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</si>
  <si>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</si>
  <si>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</si>
  <si>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</si>
  <si>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</si>
  <si>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</si>
  <si>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</si>
  <si>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</si>
  <si>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</si>
  <si>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</si>
  <si>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</si>
  <si>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</si>
  <si>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</si>
  <si>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</si>
  <si>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</si>
  <si>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</si>
  <si>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</si>
  <si>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</si>
  <si>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</si>
  <si>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MEGA</t>
  </si>
  <si>
    <t>GIGAWATTS-HORA</t>
  </si>
  <si>
    <t>GWH</t>
  </si>
  <si>
    <t>G</t>
  </si>
  <si>
    <t>GIGA</t>
  </si>
  <si>
    <t>KILOWATTS-HORA</t>
  </si>
  <si>
    <t>KWH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</si>
  <si>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</si>
  <si>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</si>
  <si>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</si>
  <si>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</si>
  <si>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</si>
  <si>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</si>
  <si>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>fuente de la Cámara de Comercio de Santiago.</t>
  </si>
  <si>
    <t xml:space="preserve">(7) Porcentajes de exportaciones/importaciones dentro o fuera del Mercosur, se obtuvieron con </t>
  </si>
  <si>
    <t>CUADRO1</t>
  </si>
  <si>
    <t>CUADRO2</t>
  </si>
  <si>
    <t>INDICE</t>
  </si>
  <si>
    <t>VOLVER A INDICE</t>
  </si>
  <si>
    <t>CUADRO3</t>
  </si>
  <si>
    <t>A. Balance Calórico (Teracalorías)</t>
  </si>
  <si>
    <t>CUADRO3B</t>
  </si>
  <si>
    <t>CUADRO4</t>
  </si>
  <si>
    <t>CUADRO5</t>
  </si>
  <si>
    <t>CUADRO6</t>
  </si>
  <si>
    <t>CUADRO7</t>
  </si>
  <si>
    <t>CUADRO8</t>
  </si>
  <si>
    <t>CUADRO9</t>
  </si>
  <si>
    <t>CUADRO10</t>
  </si>
  <si>
    <t>B. Balance Físico (Unidades Físicas)</t>
  </si>
  <si>
    <t>CUADRO11</t>
  </si>
  <si>
    <t>CUADRO12</t>
  </si>
  <si>
    <t>CUADRO13</t>
  </si>
  <si>
    <t>CUADRO14</t>
  </si>
  <si>
    <t>CUADRO15</t>
  </si>
  <si>
    <t>CUADRO16</t>
  </si>
  <si>
    <t>CUADRO17</t>
  </si>
  <si>
    <t>CUADRO18</t>
  </si>
  <si>
    <t>C. Evolución Energía</t>
  </si>
  <si>
    <t>1. Evolución Energía Primaria, Secundaria y  Consumo Sectorial.</t>
  </si>
  <si>
    <t>CUADRO19</t>
  </si>
  <si>
    <t>CUADRO20</t>
  </si>
  <si>
    <t xml:space="preserve">    de planta.</t>
  </si>
  <si>
    <t xml:space="preserve">   Evolución Generación y Capacidades Eléctricas, por tipo</t>
  </si>
  <si>
    <t>1. Balance Eléctrico</t>
  </si>
  <si>
    <t>BALANCE_ELECT</t>
  </si>
  <si>
    <t>2. Evolución Capacidades Eléctricas.</t>
  </si>
  <si>
    <t>CAPACIDADES</t>
  </si>
  <si>
    <t>3. Evolución Generaciones Eléctricas.</t>
  </si>
  <si>
    <t>GENERACION EE</t>
  </si>
  <si>
    <t>4. Cuadro Densidades y Poderes Caloríficos usados.</t>
  </si>
  <si>
    <t>CUADROA2</t>
  </si>
  <si>
    <t>5. Cuadro Factores Internacionales de Conversión</t>
  </si>
  <si>
    <t>CUADROA3</t>
  </si>
  <si>
    <t>1. Variación Consumo Bruto Energía Primaria.</t>
  </si>
  <si>
    <t>2. Variación Consumo Total de Energía Secundaria.</t>
  </si>
  <si>
    <t>3. Balance Energía Primaria (P.Cal. Agua = 860 Kcal/KWh).</t>
  </si>
  <si>
    <t>4. Balance Energía Primara (P.Cal. Agua = 2504 Kcal/KWh).</t>
  </si>
  <si>
    <t>5. Balance Energía Secundaria.</t>
  </si>
  <si>
    <t>6. Distribución Consumo Total.</t>
  </si>
  <si>
    <t>7. Distribución Consumo sector Transporte.</t>
  </si>
  <si>
    <t>8. Distribución Consumo sector Industrial y Minero.</t>
  </si>
  <si>
    <t>9. Distribución Consumo sector Residencial.</t>
  </si>
  <si>
    <t>1. Balance de Energía Primaria.</t>
  </si>
  <si>
    <t>2. Balance Energía Secundaria.</t>
  </si>
  <si>
    <t>3. Distribución Consumo Total.</t>
  </si>
  <si>
    <t>4. Distribución Consumo Sector Transporte.</t>
  </si>
  <si>
    <t>5. Distribución Consumo Sector Industrial y Minero.</t>
  </si>
  <si>
    <t>6.  Distribución Consumo sector Residencial.</t>
  </si>
  <si>
    <t xml:space="preserve">PRODUCCION GAS LICUADO                </t>
  </si>
  <si>
    <t xml:space="preserve">(6) El consumo de energia  total secundaria de cuadro 4, equivale al consumo total de este cuadro </t>
  </si>
  <si>
    <t>Transformación</t>
  </si>
  <si>
    <t xml:space="preserve"> Sector Energético</t>
  </si>
  <si>
    <t>Total Consumo propio sector Energético</t>
  </si>
  <si>
    <t xml:space="preserve">Sector </t>
  </si>
  <si>
    <t>Energético</t>
  </si>
  <si>
    <t xml:space="preserve">                 SECTOR ENERGÉTICO</t>
  </si>
  <si>
    <t>GAS DE ALTOS HORNOS</t>
  </si>
  <si>
    <t xml:space="preserve"> SECTOR ENERGÉTICO</t>
  </si>
  <si>
    <t>(*) Consumo Efectivo = Cons. Bruto Energía Pimaria + Importaciones - Exportaciones Secundarias - Cons. Transporte - Cons. Industrial y minero - Cons. Comercial, Público y Residencial</t>
  </si>
  <si>
    <t>10. Distribución Consumo del Sector Energético</t>
  </si>
  <si>
    <t>11. Distribución Consumo sector Centros de Transformación.</t>
  </si>
  <si>
    <t>12. Producción Bruta derivados Industriales del Petróleo.</t>
  </si>
  <si>
    <t>7. Distribución Consumo del Sector Energético</t>
  </si>
  <si>
    <t>8. Distribución en Centros de Transformación.</t>
  </si>
  <si>
    <t>9. Producción bruta derivados del petróleo.</t>
  </si>
  <si>
    <t>CUADRO21</t>
  </si>
  <si>
    <t>CUADRO22</t>
  </si>
  <si>
    <t>Nota 4: El Consumo Total equivale a la suma del Consumo Final y Consumo en Centros de Transformación</t>
  </si>
  <si>
    <t>Nota 2: Com.Pub.Res. corresponde al sector Comercial, Público y Residencial.</t>
  </si>
  <si>
    <t xml:space="preserve">Nota 3: El Consumo Final equivale a la suma de los sectores: Transporte, Industrial y Minero, Com.Pub.Res. y Energético </t>
  </si>
  <si>
    <t>2. Generación y Capacidad Elétrica 2005, por sistema.</t>
  </si>
  <si>
    <t xml:space="preserve">Nota 1:  El Consumo Bruto de este cuadro, es mayor que el Consumo Bruto del resto de los cuadros, debido a que se utilizó un poder calorífico para la hidroelectricidad </t>
  </si>
  <si>
    <t xml:space="preserve">           igual  2.504 Kcal/Kwh (equivalencia térmica para el parque generador nacional, que difiere de los 860 kcal/kwh adoptados internacionalmente)</t>
  </si>
  <si>
    <t xml:space="preserve">                                                                  SECTOR COMERCIAL,</t>
  </si>
  <si>
    <t xml:space="preserve"> PUBLICO Y RESIDENCIAL (CPR)</t>
  </si>
  <si>
    <t xml:space="preserve">      VARIACION CONSUMO FINAL ENERGIA SECUNDARIA</t>
  </si>
  <si>
    <t>20.- Other: Energy sector</t>
  </si>
  <si>
    <t>Heat is  wood and wood waste</t>
  </si>
  <si>
    <t>Hydro is included in Electricity</t>
  </si>
  <si>
    <t xml:space="preserve">  DARIA '</t>
  </si>
  <si>
    <t xml:space="preserve">  DARIA'</t>
  </si>
  <si>
    <t>Energy Balance Table of Chile 2004</t>
  </si>
  <si>
    <t>(1) Incluye a Generadoras de Servicio Público y Auto Generadoras</t>
  </si>
  <si>
    <t>(2) Incluye a la Siderurgia y a Plantas de Gas Corriente</t>
  </si>
  <si>
    <t>(3) Incluye el consumo de carboneras.</t>
  </si>
  <si>
    <t>(4) Planta  elaboradora de Metanol</t>
  </si>
  <si>
    <t>ELECTRICIDAD (1)</t>
  </si>
  <si>
    <t>GAS Y COKE (2)</t>
  </si>
  <si>
    <t>Y LEÑA (3)</t>
  </si>
  <si>
    <t>METANOL (4)</t>
  </si>
  <si>
    <t>trafo refineria</t>
  </si>
  <si>
    <t>trafo pgas</t>
  </si>
  <si>
    <t>energ-pgas</t>
  </si>
  <si>
    <t>trafo planta gas</t>
  </si>
  <si>
    <t>energia planta gas</t>
  </si>
  <si>
    <t>Ahornos +</t>
  </si>
  <si>
    <t>HCOQUE</t>
  </si>
  <si>
    <t>cons energ</t>
  </si>
  <si>
    <t>Cuadro 21 - A</t>
  </si>
  <si>
    <t>Cuadro 21 - B</t>
  </si>
  <si>
    <t>Cuadro 21 - C</t>
  </si>
  <si>
    <t>Cuadro 22 - A</t>
  </si>
  <si>
    <t>Cuadro 22 - B</t>
  </si>
  <si>
    <t>Cuadro 22 - C</t>
  </si>
  <si>
    <t>Cuadro 22 - D</t>
  </si>
  <si>
    <t>CONSUMO DE ENERGIA</t>
  </si>
  <si>
    <t>(1) Estadística de Operación CDEC-SIC 1990 - 2005</t>
  </si>
  <si>
    <t>(2) Estadístca de Operación CDEC-SING 1993 - 2005</t>
  </si>
  <si>
    <t xml:space="preserve">en industria&gt;siderurgia, no se </t>
  </si>
  <si>
    <t>incluyo el consumo de huachipato</t>
  </si>
  <si>
    <t>altos hornos</t>
  </si>
  <si>
    <t>Consumo en</t>
  </si>
  <si>
    <t>f) Carbón Importado (Mton 7000 Kcal/Kg)</t>
  </si>
  <si>
    <t>trafo gas coque</t>
  </si>
  <si>
    <t>(esta ya incluye al gas q se convierte en gas coque)</t>
  </si>
  <si>
    <t xml:space="preserve">                     AÑO 2008</t>
  </si>
  <si>
    <t>Año 2008 (Teracalorías)</t>
  </si>
  <si>
    <t>Elaboración: Comisión Nacional de Energía, Octubre 2009</t>
  </si>
  <si>
    <t>Elaboración: Comisión Nacional de Energía, Octubre  2009</t>
  </si>
  <si>
    <t xml:space="preserve">         AÑO 2008</t>
  </si>
  <si>
    <t>AÑO 2008</t>
  </si>
  <si>
    <t>Año 2008 (Unidades Físicas)</t>
  </si>
  <si>
    <t>ITEM</t>
  </si>
  <si>
    <t>Biomasa - Leña</t>
  </si>
  <si>
    <t>Energía Hídrica</t>
  </si>
  <si>
    <t>Energía Eólica</t>
  </si>
  <si>
    <t>Petróleo Diesel</t>
  </si>
  <si>
    <t>Petróleo Combustible</t>
  </si>
  <si>
    <t>Gasolina de motor</t>
  </si>
  <si>
    <t>Gas Licuado</t>
  </si>
  <si>
    <t>Gasolina de Aviación</t>
  </si>
  <si>
    <t>Kerosene de Aviación</t>
  </si>
  <si>
    <t>Gas de Refinería</t>
  </si>
  <si>
    <t>Coque de Petróleo</t>
  </si>
  <si>
    <t>D.I. de Petróleo</t>
  </si>
  <si>
    <t>Gas Coque</t>
  </si>
  <si>
    <t>Gas de Altos Hornos</t>
  </si>
  <si>
    <t>Gas Corriente</t>
  </si>
  <si>
    <t>Importación</t>
  </si>
  <si>
    <t>Exportación</t>
  </si>
  <si>
    <t>Var.Stock + Perdidas + Cierre</t>
  </si>
  <si>
    <t>Centrales Eléctricas: Autoproductores</t>
  </si>
  <si>
    <t>Centrales Eléctricas: Servicio Publico</t>
  </si>
  <si>
    <t>Siderurgia: Altos Hornos</t>
  </si>
  <si>
    <t>Siderurgia: Hornos de Coque</t>
  </si>
  <si>
    <t>Plantas de Gas</t>
  </si>
  <si>
    <t>Liquefacción de Gas</t>
  </si>
  <si>
    <t>Refinería Petróleo - Gas Natural</t>
  </si>
  <si>
    <t>Sector Energético: Auto Consumo</t>
  </si>
  <si>
    <t>Sector Industrial y Minero</t>
  </si>
  <si>
    <t>Sector Transporte</t>
  </si>
  <si>
    <t>Sector Comercial, Público y Residencial</t>
  </si>
  <si>
    <t>Cons. No Energético - Industrial</t>
  </si>
  <si>
    <t>ENERGIA EOLICA</t>
  </si>
  <si>
    <t xml:space="preserve">Notas: </t>
  </si>
  <si>
    <t xml:space="preserve">El factor de conversión utilizado para la hidroelectricidad corresponde al utilizado en metodología internacional de generación de balances equivalente a 860 Kcal/Kwh </t>
  </si>
  <si>
    <t>La hidroelectricidad incluye a la energía eólica</t>
  </si>
  <si>
    <t>Producción Primaria</t>
  </si>
  <si>
    <t>Oferta Total</t>
  </si>
  <si>
    <t>GASOLINA MOTOR (*)</t>
  </si>
  <si>
    <t xml:space="preserve">   AÑO 2008</t>
  </si>
  <si>
    <t xml:space="preserve">             PUBLICO, RESIDENCIAL (CPR)</t>
  </si>
  <si>
    <t xml:space="preserve">        AÑO 2008</t>
  </si>
  <si>
    <t>ALQUITRAN   (***)</t>
  </si>
  <si>
    <t>(***) Alquitrán de uso energético  (poducido en siderurgia)</t>
  </si>
  <si>
    <t>GAS NATURAL (b,c y d) [Mill. m3]</t>
  </si>
  <si>
    <t>HIDROELECTRICIDAD [GWh]</t>
  </si>
  <si>
    <t>BIOGAS [Mill. m3]</t>
  </si>
  <si>
    <t>PETROLEO  CRUDO (a) [Mil m3]</t>
  </si>
  <si>
    <t>CARBON [Mil Ton]</t>
  </si>
  <si>
    <t>LEÑA Y OTROS [Mil Ton]</t>
  </si>
  <si>
    <t xml:space="preserve">                                                                    AÑO 2008</t>
  </si>
  <si>
    <t>GASOLINA MOTOR (1)</t>
  </si>
  <si>
    <t>GAS NATURAL (2)</t>
  </si>
  <si>
    <t>CARBON (2)</t>
  </si>
  <si>
    <t>GAS CORRIENTE (4)</t>
  </si>
  <si>
    <t>(2) Las Importaciones-Exportaciones y Var. Stock, Perdidas se consideran en etapa de energético primario</t>
  </si>
  <si>
    <t>PETROLEO COMBUSTIBLE (3)</t>
  </si>
  <si>
    <t>(3)  Prod. IFO 180</t>
  </si>
  <si>
    <t>(4) Gas Prod. En Siderurgia</t>
  </si>
  <si>
    <t>(Miles Tons)</t>
  </si>
  <si>
    <t xml:space="preserve">     AÑO 2008</t>
  </si>
  <si>
    <t>Motor</t>
  </si>
  <si>
    <t>motor</t>
  </si>
  <si>
    <t>Capacidad  y Generación por Tipo de Servicio 2008</t>
  </si>
  <si>
    <t>Capacidad  y Generación por Sistema 2008</t>
  </si>
  <si>
    <t>(*) Incluye capacidad de central Salta, Argentina</t>
  </si>
  <si>
    <t>(*) Incluye capacidad instalada de AES Gener en Salta Argentina (642,8 MW año 2000)</t>
  </si>
  <si>
    <t>(**) Incluye Importaciones desde Argentina de 1.154 GWh</t>
  </si>
  <si>
    <t>(****) Hidroelectricidad considera Capacidad Eólica de 20 MW y generación de 38 GWh</t>
  </si>
  <si>
    <t>(1) Estadística de Operación CDEC-SIC</t>
  </si>
  <si>
    <t>(2) Estadístca de Operación CDEC-SING</t>
  </si>
  <si>
    <t>(*****) Población estimada 2008, es de  16.763.470 personas. Fuente INE.</t>
  </si>
  <si>
    <t>- Los valores SING entre 1990 y 1992 fueron estimados.</t>
  </si>
  <si>
    <t>- El SING incluye la capacidad instalada de Gener Salta, de 642.8 MW a partir del año 2000.</t>
  </si>
  <si>
    <t>- El SIC incluye en componente hidro, la central eólica Canela de 20 MW a partir de 2007.</t>
  </si>
  <si>
    <t>- Aysén incluye en componente hidro, una central eólica de 2 MW en Aysén desde el 2001.</t>
  </si>
  <si>
    <t>(1) Estadísticas de Operación CDEC-SIC</t>
  </si>
  <si>
    <t>(2) Estadísticas de Operación CDEC-SING</t>
  </si>
  <si>
    <t>- Generación eólica 2008 fue de 38.1 GWh.</t>
  </si>
  <si>
    <t>- Aysén incluye en componente hidro, la generación de una central eólica de 2 MW en Aysén desde el 2001.</t>
  </si>
  <si>
    <t>- El SIC incluye en componente hidro, la generación de la central eólica Canela de 20 MW a partir de 2007.</t>
  </si>
  <si>
    <t>Coque Mineral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</si>
</sst>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"/>
    <numFmt numFmtId="165" formatCode="0.0"/>
    <numFmt numFmtId="166" formatCode="0.0%"/>
    <numFmt numFmtId="167" formatCode="mm/dd/yy"/>
    <numFmt numFmtId="168" formatCode="###0"/>
    <numFmt numFmtId="169" formatCode="#,##0.00_ _P_t_s_);[Red]\(#,##0.00_ _P_t_s\)"/>
    <numFmt numFmtId="170" formatCode="0.000"/>
    <numFmt numFmtId="171" formatCode="#,##0.0000"/>
    <numFmt numFmtId="172" formatCode="0.00000"/>
  </numFmts>
  <fonts count="114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8"/>
      <name val="MS Sans Serif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color indexed="9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  <family val="2"/>
    </font>
    <font>
      <sz val="12"/>
      <name val="MS Sans Serif"/>
      <family val="2"/>
    </font>
    <font>
      <b/>
      <sz val="12"/>
      <color indexed="12"/>
      <name val="Geneva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b/>
      <sz val="10"/>
      <color indexed="12"/>
      <name val="Geneva"/>
    </font>
    <font>
      <b/>
      <sz val="8"/>
      <color indexed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b/>
      <sz val="10"/>
      <color indexed="62"/>
      <name val="Arial"/>
      <family val="2"/>
    </font>
    <font>
      <b/>
      <sz val="11"/>
      <color indexed="54"/>
      <name val="Arial"/>
      <family val="2"/>
    </font>
    <font>
      <b/>
      <sz val="14"/>
      <color indexed="54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10"/>
      <color indexed="9"/>
      <name val="Geneva"/>
    </font>
    <font>
      <b/>
      <sz val="10"/>
      <color indexed="9"/>
      <name val="Geneva"/>
    </font>
    <font>
      <sz val="8"/>
      <color indexed="12"/>
      <name val="Geneva"/>
    </font>
    <font>
      <b/>
      <sz val="8"/>
      <color indexed="9"/>
      <name val="MS Sans Serif"/>
      <family val="2"/>
    </font>
    <font>
      <b/>
      <sz val="8"/>
      <color indexed="21"/>
      <name val="MS Sans Serif"/>
      <family val="2"/>
    </font>
    <font>
      <sz val="8"/>
      <color indexed="8"/>
      <name val="MS Sans Serif"/>
      <family val="2"/>
    </font>
    <font>
      <b/>
      <sz val="8"/>
      <color indexed="8"/>
      <name val="MS Sans Serif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8.5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9"/>
      <name val="Arial"/>
      <family val="2"/>
    </font>
    <font>
      <b/>
      <sz val="8.5"/>
      <color indexed="9"/>
      <name val="Arial"/>
      <family val="2"/>
    </font>
    <font>
      <sz val="8.5"/>
      <color indexed="9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sz val="12"/>
      <color indexed="9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2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1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8.5"/>
      <color indexed="9"/>
      <name val="Arial"/>
      <family val="2"/>
    </font>
    <font>
      <b/>
      <sz val="8.5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4"/>
      <color indexed="18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i/>
      <sz val="10"/>
      <color indexed="41"/>
      <name val="Arial"/>
      <family val="2"/>
    </font>
    <font>
      <sz val="10"/>
      <name val="Arial"/>
      <family val="2"/>
    </font>
    <font>
      <b/>
      <sz val="10"/>
      <color indexed="62"/>
      <name val="Arial"/>
      <family val="2"/>
    </font>
    <font>
      <b/>
      <i/>
      <sz val="10"/>
      <color indexed="63"/>
      <name val="Arial"/>
      <family val="2"/>
    </font>
    <font>
      <sz val="10"/>
      <name val="Arial"/>
      <family val="2"/>
    </font>
    <font>
      <b/>
      <i/>
      <sz val="10"/>
      <color indexed="3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9"/>
      </patternFill>
    </fill>
  </fills>
  <borders count="1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2"/>
      </left>
      <right/>
      <top style="double">
        <color indexed="12"/>
      </top>
      <bottom/>
      <diagonal/>
    </border>
    <border>
      <left/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/>
      <top/>
      <bottom/>
      <diagonal/>
    </border>
    <border>
      <left/>
      <right style="double">
        <color indexed="12"/>
      </right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 style="double">
        <color indexed="12"/>
      </right>
      <top/>
      <bottom style="double">
        <color indexed="12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thin">
        <color indexed="9"/>
      </bottom>
      <diagonal/>
    </border>
    <border>
      <left/>
      <right style="medium">
        <color indexed="64"/>
      </right>
      <top style="thin">
        <color indexed="23"/>
      </top>
      <bottom style="thin">
        <color indexed="9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9" fontId="1" fillId="0" borderId="0" applyFont="0" applyFill="0" applyBorder="0" applyAlignment="0" applyProtection="0"/>
  </cellStyleXfs>
  <cellXfs count="1487">
    <xf numFmtId="0" fontId="0" fillId="0" borderId="0" xfId="0"/>
    <xf numFmtId="0" fontId="5" fillId="2" borderId="1" xfId="0" applyFont="1" applyFill="1" applyBorder="1" applyAlignment="1">
      <alignment horizontal="center"/>
    </xf>
    <xf numFmtId="1" fontId="4" fillId="3" borderId="0" xfId="4" applyNumberFormat="1" applyFont="1" applyFill="1"/>
    <xf numFmtId="0" fontId="0" fillId="3" borderId="0" xfId="0" applyFill="1"/>
    <xf numFmtId="0" fontId="2" fillId="3" borderId="0" xfId="18" applyFill="1"/>
    <xf numFmtId="3" fontId="0" fillId="3" borderId="0" xfId="0" applyNumberFormat="1" applyFill="1"/>
    <xf numFmtId="1" fontId="9" fillId="3" borderId="0" xfId="4" applyNumberFormat="1" applyFont="1" applyFill="1"/>
    <xf numFmtId="3" fontId="3" fillId="3" borderId="0" xfId="19" applyNumberFormat="1" applyFont="1" applyFill="1" applyBorder="1" applyAlignment="1"/>
    <xf numFmtId="3" fontId="2" fillId="3" borderId="0" xfId="19" applyNumberFormat="1" applyFill="1"/>
    <xf numFmtId="0" fontId="2" fillId="3" borderId="0" xfId="19" applyFill="1"/>
    <xf numFmtId="0" fontId="2" fillId="3" borderId="0" xfId="19" applyFill="1" applyBorder="1" applyAlignment="1"/>
    <xf numFmtId="0" fontId="2" fillId="3" borderId="0" xfId="21" applyFill="1"/>
    <xf numFmtId="3" fontId="2" fillId="3" borderId="0" xfId="21" applyNumberFormat="1" applyFill="1"/>
    <xf numFmtId="0" fontId="2" fillId="3" borderId="0" xfId="21" applyFont="1" applyFill="1"/>
    <xf numFmtId="0" fontId="11" fillId="3" borderId="0" xfId="22" applyFont="1" applyFill="1"/>
    <xf numFmtId="3" fontId="10" fillId="3" borderId="0" xfId="22" applyNumberFormat="1" applyFont="1" applyFill="1"/>
    <xf numFmtId="0" fontId="10" fillId="3" borderId="0" xfId="22" applyFont="1" applyFill="1"/>
    <xf numFmtId="3" fontId="11" fillId="3" borderId="0" xfId="22" applyNumberFormat="1" applyFont="1" applyFill="1"/>
    <xf numFmtId="0" fontId="2" fillId="3" borderId="0" xfId="23" applyFill="1"/>
    <xf numFmtId="3" fontId="2" fillId="3" borderId="0" xfId="23" applyNumberFormat="1" applyFill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/>
    </xf>
    <xf numFmtId="0" fontId="2" fillId="3" borderId="0" xfId="9" applyFill="1"/>
    <xf numFmtId="0" fontId="2" fillId="3" borderId="0" xfId="11" applyFill="1"/>
    <xf numFmtId="3" fontId="2" fillId="3" borderId="0" xfId="11" applyNumberFormat="1" applyFill="1"/>
    <xf numFmtId="0" fontId="15" fillId="3" borderId="0" xfId="11" applyFont="1" applyFill="1"/>
    <xf numFmtId="0" fontId="10" fillId="3" borderId="0" xfId="14" applyFont="1" applyFill="1"/>
    <xf numFmtId="0" fontId="0" fillId="3" borderId="0" xfId="0" applyFill="1" applyBorder="1"/>
    <xf numFmtId="0" fontId="2" fillId="3" borderId="0" xfId="17" applyFill="1"/>
    <xf numFmtId="0" fontId="18" fillId="0" borderId="0" xfId="5" applyFont="1" applyAlignment="1">
      <alignment horizontal="center"/>
    </xf>
    <xf numFmtId="0" fontId="18" fillId="0" borderId="0" xfId="5" applyFont="1"/>
    <xf numFmtId="0" fontId="20" fillId="0" borderId="0" xfId="5" applyFont="1"/>
    <xf numFmtId="0" fontId="16" fillId="0" borderId="0" xfId="6" applyFont="1"/>
    <xf numFmtId="0" fontId="18" fillId="0" borderId="0" xfId="6" applyFont="1" applyAlignment="1">
      <alignment horizontal="center"/>
    </xf>
    <xf numFmtId="3" fontId="18" fillId="0" borderId="0" xfId="6" applyNumberFormat="1" applyFont="1" applyAlignment="1">
      <alignment horizontal="center"/>
    </xf>
    <xf numFmtId="3" fontId="18" fillId="0" borderId="1" xfId="6" applyNumberFormat="1" applyFont="1" applyBorder="1" applyAlignment="1">
      <alignment horizontal="center"/>
    </xf>
    <xf numFmtId="3" fontId="19" fillId="0" borderId="1" xfId="6" applyNumberFormat="1" applyFont="1" applyBorder="1" applyAlignment="1">
      <alignment horizontal="center"/>
    </xf>
    <xf numFmtId="0" fontId="17" fillId="0" borderId="0" xfId="6"/>
    <xf numFmtId="0" fontId="18" fillId="0" borderId="3" xfId="6" applyFont="1" applyBorder="1" applyAlignment="1">
      <alignment horizontal="center"/>
    </xf>
    <xf numFmtId="3" fontId="18" fillId="0" borderId="3" xfId="6" applyNumberFormat="1" applyFont="1" applyBorder="1" applyAlignment="1">
      <alignment horizontal="center"/>
    </xf>
    <xf numFmtId="0" fontId="20" fillId="0" borderId="0" xfId="6" applyFont="1" applyBorder="1" applyAlignment="1">
      <alignment horizontal="center"/>
    </xf>
    <xf numFmtId="0" fontId="18" fillId="0" borderId="0" xfId="6" applyFont="1" applyBorder="1" applyAlignment="1">
      <alignment horizontal="center"/>
    </xf>
    <xf numFmtId="3" fontId="18" fillId="0" borderId="0" xfId="6" applyNumberFormat="1" applyFont="1" applyBorder="1" applyAlignment="1">
      <alignment horizontal="center"/>
    </xf>
    <xf numFmtId="3" fontId="18" fillId="0" borderId="0" xfId="6" applyNumberFormat="1" applyFont="1" applyBorder="1" applyAlignment="1">
      <alignment horizontal="left"/>
    </xf>
    <xf numFmtId="0" fontId="18" fillId="0" borderId="4" xfId="6" applyFont="1" applyBorder="1" applyAlignment="1">
      <alignment horizontal="center"/>
    </xf>
    <xf numFmtId="3" fontId="18" fillId="0" borderId="4" xfId="6" applyNumberFormat="1" applyFont="1" applyBorder="1" applyAlignment="1">
      <alignment horizontal="center"/>
    </xf>
    <xf numFmtId="0" fontId="18" fillId="0" borderId="0" xfId="6" applyFont="1"/>
    <xf numFmtId="3" fontId="17" fillId="0" borderId="0" xfId="6" applyNumberFormat="1" applyAlignment="1">
      <alignment horizontal="center"/>
    </xf>
    <xf numFmtId="3" fontId="17" fillId="0" borderId="0" xfId="6" applyNumberFormat="1" applyFont="1" applyAlignment="1">
      <alignment horizontal="center"/>
    </xf>
    <xf numFmtId="0" fontId="17" fillId="0" borderId="0" xfId="6" applyBorder="1"/>
    <xf numFmtId="3" fontId="17" fillId="0" borderId="0" xfId="6" applyNumberFormat="1" applyBorder="1" applyAlignment="1">
      <alignment horizontal="center"/>
    </xf>
    <xf numFmtId="3" fontId="0" fillId="0" borderId="0" xfId="0" applyNumberFormat="1"/>
    <xf numFmtId="0" fontId="22" fillId="3" borderId="0" xfId="0" applyFont="1" applyFill="1"/>
    <xf numFmtId="0" fontId="23" fillId="3" borderId="0" xfId="0" applyFont="1" applyFill="1"/>
    <xf numFmtId="0" fontId="5" fillId="2" borderId="5" xfId="0" applyFont="1" applyFill="1" applyBorder="1"/>
    <xf numFmtId="0" fontId="0" fillId="3" borderId="0" xfId="0" applyFill="1" applyAlignment="1">
      <alignment horizontal="center"/>
    </xf>
    <xf numFmtId="0" fontId="24" fillId="3" borderId="0" xfId="0" applyFont="1" applyFill="1"/>
    <xf numFmtId="0" fontId="25" fillId="3" borderId="0" xfId="0" applyFont="1" applyFill="1"/>
    <xf numFmtId="0" fontId="5" fillId="2" borderId="6" xfId="0" applyFont="1" applyFill="1" applyBorder="1" applyAlignment="1">
      <alignment horizontal="center"/>
    </xf>
    <xf numFmtId="0" fontId="28" fillId="3" borderId="0" xfId="0" applyFont="1" applyFill="1"/>
    <xf numFmtId="166" fontId="0" fillId="3" borderId="0" xfId="0" applyNumberFormat="1" applyFill="1"/>
    <xf numFmtId="0" fontId="7" fillId="5" borderId="7" xfId="0" applyFont="1" applyFill="1" applyBorder="1"/>
    <xf numFmtId="0" fontId="7" fillId="5" borderId="8" xfId="0" applyFont="1" applyFill="1" applyBorder="1"/>
    <xf numFmtId="164" fontId="0" fillId="3" borderId="9" xfId="0" applyNumberFormat="1" applyFill="1" applyBorder="1"/>
    <xf numFmtId="164" fontId="0" fillId="3" borderId="2" xfId="0" applyNumberFormat="1" applyFill="1" applyBorder="1"/>
    <xf numFmtId="164" fontId="0" fillId="3" borderId="10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11" xfId="0" applyNumberFormat="1" applyFill="1" applyBorder="1"/>
    <xf numFmtId="164" fontId="3" fillId="3" borderId="11" xfId="4" applyNumberFormat="1" applyFont="1" applyFill="1" applyBorder="1" applyAlignment="1">
      <alignment horizontal="center"/>
    </xf>
    <xf numFmtId="164" fontId="0" fillId="3" borderId="8" xfId="0" applyNumberFormat="1" applyFill="1" applyBorder="1"/>
    <xf numFmtId="164" fontId="0" fillId="3" borderId="0" xfId="0" applyNumberFormat="1" applyFill="1" applyBorder="1"/>
    <xf numFmtId="164" fontId="0" fillId="3" borderId="12" xfId="0" applyNumberFormat="1" applyFill="1" applyBorder="1"/>
    <xf numFmtId="3" fontId="0" fillId="6" borderId="0" xfId="0" applyNumberFormat="1" applyFill="1"/>
    <xf numFmtId="0" fontId="0" fillId="3" borderId="13" xfId="0" applyFill="1" applyBorder="1"/>
    <xf numFmtId="0" fontId="0" fillId="3" borderId="14" xfId="0" applyFill="1" applyBorder="1"/>
    <xf numFmtId="3" fontId="0" fillId="3" borderId="15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9" fontId="0" fillId="3" borderId="15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3" fontId="0" fillId="3" borderId="18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1" xfId="0" applyFill="1" applyBorder="1"/>
    <xf numFmtId="3" fontId="0" fillId="3" borderId="2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0" fontId="0" fillId="3" borderId="17" xfId="0" applyFill="1" applyBorder="1"/>
    <xf numFmtId="0" fontId="0" fillId="3" borderId="0" xfId="0" quotePrefix="1" applyFill="1" applyBorder="1"/>
    <xf numFmtId="166" fontId="0" fillId="3" borderId="18" xfId="0" applyNumberFormat="1" applyFill="1" applyBorder="1" applyAlignment="1">
      <alignment horizontal="center"/>
    </xf>
    <xf numFmtId="0" fontId="0" fillId="3" borderId="23" xfId="0" applyFill="1" applyBorder="1"/>
    <xf numFmtId="0" fontId="0" fillId="3" borderId="24" xfId="0" applyFill="1" applyBorder="1"/>
    <xf numFmtId="3" fontId="0" fillId="3" borderId="25" xfId="0" applyNumberFormat="1" applyFill="1" applyBorder="1" applyAlignment="1">
      <alignment horizontal="center"/>
    </xf>
    <xf numFmtId="3" fontId="0" fillId="3" borderId="24" xfId="0" applyNumberFormat="1" applyFill="1" applyBorder="1" applyAlignment="1">
      <alignment horizontal="center"/>
    </xf>
    <xf numFmtId="166" fontId="0" fillId="3" borderId="25" xfId="0" applyNumberFormat="1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5" fillId="2" borderId="27" xfId="0" applyFont="1" applyFill="1" applyBorder="1" applyAlignment="1">
      <alignment horizontal="right"/>
    </xf>
    <xf numFmtId="0" fontId="5" fillId="2" borderId="28" xfId="0" applyFont="1" applyFill="1" applyBorder="1"/>
    <xf numFmtId="3" fontId="7" fillId="5" borderId="13" xfId="0" applyNumberFormat="1" applyFont="1" applyFill="1" applyBorder="1" applyAlignment="1">
      <alignment horizontal="right"/>
    </xf>
    <xf numFmtId="166" fontId="7" fillId="5" borderId="15" xfId="26" applyNumberFormat="1" applyFont="1" applyFill="1" applyBorder="1"/>
    <xf numFmtId="3" fontId="7" fillId="5" borderId="17" xfId="0" applyNumberFormat="1" applyFont="1" applyFill="1" applyBorder="1" applyAlignment="1">
      <alignment horizontal="right"/>
    </xf>
    <xf numFmtId="166" fontId="7" fillId="5" borderId="18" xfId="26" applyNumberFormat="1" applyFont="1" applyFill="1" applyBorder="1"/>
    <xf numFmtId="0" fontId="5" fillId="2" borderId="29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34" fillId="7" borderId="35" xfId="0" applyFont="1" applyFill="1" applyBorder="1" applyAlignment="1">
      <alignment horizontal="left" wrapText="1"/>
    </xf>
    <xf numFmtId="3" fontId="34" fillId="7" borderId="19" xfId="0" applyNumberFormat="1" applyFont="1" applyFill="1" applyBorder="1" applyAlignment="1">
      <alignment horizontal="center" wrapText="1"/>
    </xf>
    <xf numFmtId="166" fontId="34" fillId="7" borderId="0" xfId="0" applyNumberFormat="1" applyFont="1" applyFill="1" applyBorder="1" applyAlignment="1">
      <alignment horizontal="center" wrapText="1"/>
    </xf>
    <xf numFmtId="3" fontId="34" fillId="7" borderId="36" xfId="0" applyNumberFormat="1" applyFont="1" applyFill="1" applyBorder="1" applyAlignment="1">
      <alignment horizontal="center" wrapText="1"/>
    </xf>
    <xf numFmtId="166" fontId="34" fillId="7" borderId="12" xfId="0" applyNumberFormat="1" applyFont="1" applyFill="1" applyBorder="1" applyAlignment="1">
      <alignment horizontal="center" wrapText="1"/>
    </xf>
    <xf numFmtId="164" fontId="34" fillId="7" borderId="36" xfId="0" applyNumberFormat="1" applyFont="1" applyFill="1" applyBorder="1" applyAlignment="1">
      <alignment horizontal="center" wrapText="1"/>
    </xf>
    <xf numFmtId="0" fontId="34" fillId="7" borderId="32" xfId="0" applyFont="1" applyFill="1" applyBorder="1" applyAlignment="1">
      <alignment horizontal="left" wrapText="1"/>
    </xf>
    <xf numFmtId="3" fontId="34" fillId="7" borderId="22" xfId="0" applyNumberFormat="1" applyFont="1" applyFill="1" applyBorder="1" applyAlignment="1">
      <alignment horizontal="center" wrapText="1"/>
    </xf>
    <xf numFmtId="164" fontId="34" fillId="7" borderId="37" xfId="0" applyNumberFormat="1" applyFont="1" applyFill="1" applyBorder="1" applyAlignment="1">
      <alignment horizontal="center" wrapText="1"/>
    </xf>
    <xf numFmtId="0" fontId="34" fillId="7" borderId="38" xfId="0" applyFont="1" applyFill="1" applyBorder="1" applyAlignment="1">
      <alignment horizontal="left" wrapText="1"/>
    </xf>
    <xf numFmtId="3" fontId="34" fillId="7" borderId="39" xfId="0" applyNumberFormat="1" applyFont="1" applyFill="1" applyBorder="1" applyAlignment="1">
      <alignment horizontal="center" wrapText="1"/>
    </xf>
    <xf numFmtId="166" fontId="34" fillId="7" borderId="40" xfId="0" applyNumberFormat="1" applyFont="1" applyFill="1" applyBorder="1" applyAlignment="1">
      <alignment horizontal="center" wrapText="1"/>
    </xf>
    <xf numFmtId="166" fontId="34" fillId="7" borderId="41" xfId="0" applyNumberFormat="1" applyFont="1" applyFill="1" applyBorder="1" applyAlignment="1">
      <alignment horizontal="center" wrapText="1"/>
    </xf>
    <xf numFmtId="0" fontId="7" fillId="3" borderId="0" xfId="0" applyFont="1" applyFill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left" wrapText="1"/>
    </xf>
    <xf numFmtId="0" fontId="34" fillId="3" borderId="0" xfId="0" applyFont="1" applyFill="1" applyBorder="1" applyAlignment="1">
      <alignment horizontal="left" vertical="center" wrapText="1"/>
    </xf>
    <xf numFmtId="164" fontId="34" fillId="3" borderId="0" xfId="0" applyNumberFormat="1" applyFont="1" applyFill="1" applyBorder="1" applyAlignment="1">
      <alignment horizontal="center" wrapText="1"/>
    </xf>
    <xf numFmtId="0" fontId="34" fillId="3" borderId="0" xfId="0" applyFont="1" applyFill="1" applyBorder="1" applyAlignment="1">
      <alignment horizontal="left" wrapText="1"/>
    </xf>
    <xf numFmtId="0" fontId="7" fillId="3" borderId="0" xfId="0" applyFont="1" applyFill="1" applyBorder="1"/>
    <xf numFmtId="0" fontId="32" fillId="3" borderId="0" xfId="0" applyFont="1" applyFill="1"/>
    <xf numFmtId="0" fontId="33" fillId="3" borderId="0" xfId="0" applyFont="1" applyFill="1"/>
    <xf numFmtId="0" fontId="5" fillId="2" borderId="42" xfId="0" applyFont="1" applyFill="1" applyBorder="1"/>
    <xf numFmtId="0" fontId="5" fillId="2" borderId="43" xfId="0" applyFont="1" applyFill="1" applyBorder="1"/>
    <xf numFmtId="166" fontId="7" fillId="5" borderId="31" xfId="26" applyNumberFormat="1" applyFont="1" applyFill="1" applyBorder="1"/>
    <xf numFmtId="166" fontId="7" fillId="5" borderId="44" xfId="26" applyNumberFormat="1" applyFont="1" applyFill="1" applyBorder="1"/>
    <xf numFmtId="0" fontId="7" fillId="5" borderId="45" xfId="0" applyFont="1" applyFill="1" applyBorder="1"/>
    <xf numFmtId="3" fontId="7" fillId="5" borderId="46" xfId="0" applyNumberFormat="1" applyFont="1" applyFill="1" applyBorder="1" applyAlignment="1">
      <alignment horizontal="right"/>
    </xf>
    <xf numFmtId="0" fontId="7" fillId="5" borderId="47" xfId="0" applyFont="1" applyFill="1" applyBorder="1"/>
    <xf numFmtId="0" fontId="7" fillId="5" borderId="41" xfId="0" applyFont="1" applyFill="1" applyBorder="1"/>
    <xf numFmtId="0" fontId="25" fillId="3" borderId="13" xfId="0" applyFont="1" applyFill="1" applyBorder="1"/>
    <xf numFmtId="0" fontId="25" fillId="3" borderId="13" xfId="0" applyFont="1" applyFill="1" applyBorder="1" applyAlignment="1">
      <alignment horizontal="center"/>
    </xf>
    <xf numFmtId="0" fontId="25" fillId="3" borderId="15" xfId="0" applyFont="1" applyFill="1" applyBorder="1" applyAlignment="1">
      <alignment horizontal="center"/>
    </xf>
    <xf numFmtId="0" fontId="25" fillId="3" borderId="14" xfId="0" applyFont="1" applyFill="1" applyBorder="1" applyAlignment="1">
      <alignment horizontal="center"/>
    </xf>
    <xf numFmtId="0" fontId="25" fillId="3" borderId="20" xfId="0" applyFont="1" applyFill="1" applyBorder="1"/>
    <xf numFmtId="0" fontId="25" fillId="3" borderId="20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3" borderId="17" xfId="0" applyFont="1" applyFill="1" applyBorder="1"/>
    <xf numFmtId="3" fontId="25" fillId="3" borderId="17" xfId="0" applyNumberFormat="1" applyFont="1" applyFill="1" applyBorder="1" applyAlignment="1">
      <alignment horizontal="center"/>
    </xf>
    <xf numFmtId="3" fontId="25" fillId="3" borderId="18" xfId="0" applyNumberFormat="1" applyFont="1" applyFill="1" applyBorder="1" applyAlignment="1">
      <alignment horizontal="center"/>
    </xf>
    <xf numFmtId="3" fontId="25" fillId="3" borderId="0" xfId="0" applyNumberFormat="1" applyFont="1" applyFill="1" applyBorder="1" applyAlignment="1">
      <alignment horizontal="center"/>
    </xf>
    <xf numFmtId="0" fontId="25" fillId="3" borderId="18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7" xfId="0" applyFont="1" applyFill="1" applyBorder="1" applyAlignment="1">
      <alignment horizontal="center"/>
    </xf>
    <xf numFmtId="0" fontId="25" fillId="3" borderId="23" xfId="0" applyFont="1" applyFill="1" applyBorder="1"/>
    <xf numFmtId="3" fontId="25" fillId="3" borderId="23" xfId="0" applyNumberFormat="1" applyFont="1" applyFill="1" applyBorder="1" applyAlignment="1">
      <alignment horizontal="center"/>
    </xf>
    <xf numFmtId="3" fontId="25" fillId="3" borderId="25" xfId="0" applyNumberFormat="1" applyFont="1" applyFill="1" applyBorder="1" applyAlignment="1">
      <alignment horizontal="center"/>
    </xf>
    <xf numFmtId="3" fontId="25" fillId="3" borderId="24" xfId="0" applyNumberFormat="1" applyFont="1" applyFill="1" applyBorder="1" applyAlignment="1">
      <alignment horizontal="center"/>
    </xf>
    <xf numFmtId="0" fontId="24" fillId="3" borderId="17" xfId="0" applyFont="1" applyFill="1" applyBorder="1"/>
    <xf numFmtId="3" fontId="25" fillId="3" borderId="20" xfId="0" applyNumberFormat="1" applyFont="1" applyFill="1" applyBorder="1" applyAlignment="1">
      <alignment horizontal="center"/>
    </xf>
    <xf numFmtId="3" fontId="25" fillId="3" borderId="21" xfId="0" applyNumberFormat="1" applyFont="1" applyFill="1" applyBorder="1" applyAlignment="1">
      <alignment horizontal="center"/>
    </xf>
    <xf numFmtId="3" fontId="25" fillId="3" borderId="1" xfId="0" applyNumberFormat="1" applyFont="1" applyFill="1" applyBorder="1" applyAlignment="1">
      <alignment horizontal="center"/>
    </xf>
    <xf numFmtId="0" fontId="25" fillId="3" borderId="0" xfId="0" applyFont="1" applyFill="1" applyBorder="1"/>
    <xf numFmtId="3" fontId="25" fillId="3" borderId="0" xfId="0" applyNumberFormat="1" applyFont="1" applyFill="1" applyBorder="1"/>
    <xf numFmtId="0" fontId="28" fillId="3" borderId="0" xfId="0" applyFont="1" applyFill="1" applyBorder="1"/>
    <xf numFmtId="0" fontId="0" fillId="3" borderId="0" xfId="0" applyNumberFormat="1" applyFill="1"/>
    <xf numFmtId="167" fontId="0" fillId="3" borderId="0" xfId="0" applyNumberFormat="1" applyFill="1"/>
    <xf numFmtId="0" fontId="0" fillId="3" borderId="0" xfId="0" applyNumberFormat="1" applyFill="1" applyAlignment="1">
      <alignment horizontal="center"/>
    </xf>
    <xf numFmtId="0" fontId="13" fillId="5" borderId="48" xfId="0" applyNumberFormat="1" applyFont="1" applyFill="1" applyBorder="1"/>
    <xf numFmtId="0" fontId="13" fillId="5" borderId="49" xfId="0" applyNumberFormat="1" applyFont="1" applyFill="1" applyBorder="1"/>
    <xf numFmtId="0" fontId="13" fillId="5" borderId="50" xfId="0" applyNumberFormat="1" applyFont="1" applyFill="1" applyBorder="1"/>
    <xf numFmtId="0" fontId="0" fillId="3" borderId="9" xfId="0" applyNumberFormat="1" applyFill="1" applyBorder="1"/>
    <xf numFmtId="0" fontId="0" fillId="3" borderId="8" xfId="0" applyNumberFormat="1" applyFill="1" applyBorder="1"/>
    <xf numFmtId="0" fontId="0" fillId="5" borderId="51" xfId="0" applyNumberFormat="1" applyFill="1" applyBorder="1"/>
    <xf numFmtId="0" fontId="7" fillId="3" borderId="48" xfId="0" applyNumberFormat="1" applyFont="1" applyFill="1" applyBorder="1"/>
    <xf numFmtId="0" fontId="7" fillId="3" borderId="49" xfId="0" applyNumberFormat="1" applyFont="1" applyFill="1" applyBorder="1"/>
    <xf numFmtId="0" fontId="0" fillId="3" borderId="49" xfId="0" applyNumberFormat="1" applyFill="1" applyBorder="1"/>
    <xf numFmtId="3" fontId="0" fillId="3" borderId="6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0" fontId="13" fillId="5" borderId="10" xfId="0" applyNumberFormat="1" applyFont="1" applyFill="1" applyBorder="1" applyAlignment="1">
      <alignment horizontal="center"/>
    </xf>
    <xf numFmtId="3" fontId="0" fillId="5" borderId="6" xfId="0" applyNumberFormat="1" applyFill="1" applyBorder="1" applyAlignment="1">
      <alignment horizontal="center"/>
    </xf>
    <xf numFmtId="0" fontId="0" fillId="5" borderId="5" xfId="0" applyNumberFormat="1" applyFill="1" applyBorder="1"/>
    <xf numFmtId="3" fontId="0" fillId="5" borderId="9" xfId="0" applyNumberFormat="1" applyFill="1" applyBorder="1" applyAlignment="1">
      <alignment horizontal="center"/>
    </xf>
    <xf numFmtId="3" fontId="0" fillId="5" borderId="8" xfId="0" applyNumberFormat="1" applyFill="1" applyBorder="1" applyAlignment="1">
      <alignment horizontal="center"/>
    </xf>
    <xf numFmtId="3" fontId="0" fillId="5" borderId="5" xfId="0" applyNumberFormat="1" applyFill="1" applyBorder="1" applyAlignment="1">
      <alignment horizontal="center"/>
    </xf>
    <xf numFmtId="0" fontId="7" fillId="3" borderId="0" xfId="0" applyNumberFormat="1" applyFont="1" applyFill="1" applyAlignment="1">
      <alignment horizontal="center"/>
    </xf>
    <xf numFmtId="17" fontId="0" fillId="3" borderId="0" xfId="0" applyNumberFormat="1" applyFill="1" applyAlignment="1">
      <alignment horizontal="center"/>
    </xf>
    <xf numFmtId="0" fontId="13" fillId="5" borderId="12" xfId="0" applyNumberFormat="1" applyFont="1" applyFill="1" applyBorder="1" applyAlignment="1">
      <alignment horizontal="center"/>
    </xf>
    <xf numFmtId="3" fontId="0" fillId="5" borderId="12" xfId="0" applyNumberFormat="1" applyFill="1" applyBorder="1" applyAlignment="1">
      <alignment horizontal="center"/>
    </xf>
    <xf numFmtId="3" fontId="0" fillId="3" borderId="47" xfId="0" applyNumberFormat="1" applyFill="1" applyBorder="1" applyAlignment="1">
      <alignment horizontal="center"/>
    </xf>
    <xf numFmtId="3" fontId="0" fillId="5" borderId="11" xfId="0" applyNumberFormat="1" applyFill="1" applyBorder="1" applyAlignment="1">
      <alignment horizontal="center"/>
    </xf>
    <xf numFmtId="3" fontId="0" fillId="5" borderId="47" xfId="0" applyNumberFormat="1" applyFill="1" applyBorder="1" applyAlignment="1">
      <alignment horizontal="center"/>
    </xf>
    <xf numFmtId="3" fontId="0" fillId="3" borderId="52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3" fontId="0" fillId="5" borderId="5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0" fillId="5" borderId="18" xfId="0" applyNumberForma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53" xfId="0" applyNumberFormat="1" applyFill="1" applyBorder="1" applyAlignment="1">
      <alignment horizontal="center"/>
    </xf>
    <xf numFmtId="3" fontId="0" fillId="5" borderId="54" xfId="0" applyNumberFormat="1" applyFill="1" applyBorder="1" applyAlignment="1">
      <alignment horizontal="center"/>
    </xf>
    <xf numFmtId="3" fontId="0" fillId="5" borderId="55" xfId="0" applyNumberFormat="1" applyFill="1" applyBorder="1" applyAlignment="1">
      <alignment horizontal="center"/>
    </xf>
    <xf numFmtId="0" fontId="13" fillId="5" borderId="2" xfId="0" applyNumberFormat="1" applyFont="1" applyFill="1" applyBorder="1" applyAlignment="1">
      <alignment horizontal="center"/>
    </xf>
    <xf numFmtId="0" fontId="13" fillId="5" borderId="52" xfId="0" applyNumberFormat="1" applyFont="1" applyFill="1" applyBorder="1" applyAlignment="1">
      <alignment horizontal="center"/>
    </xf>
    <xf numFmtId="0" fontId="21" fillId="5" borderId="52" xfId="0" applyNumberFormat="1" applyFont="1" applyFill="1" applyBorder="1" applyAlignment="1">
      <alignment horizontal="center"/>
    </xf>
    <xf numFmtId="0" fontId="13" fillId="5" borderId="18" xfId="0" applyNumberFormat="1" applyFont="1" applyFill="1" applyBorder="1" applyAlignment="1">
      <alignment horizontal="center"/>
    </xf>
    <xf numFmtId="0" fontId="13" fillId="5" borderId="0" xfId="0" applyNumberFormat="1" applyFont="1" applyFill="1" applyBorder="1" applyAlignment="1">
      <alignment horizontal="center"/>
    </xf>
    <xf numFmtId="0" fontId="21" fillId="5" borderId="0" xfId="0" applyNumberFormat="1" applyFon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3" fontId="0" fillId="5" borderId="56" xfId="0" applyNumberFormat="1" applyFill="1" applyBorder="1" applyAlignment="1">
      <alignment horizontal="center"/>
    </xf>
    <xf numFmtId="0" fontId="0" fillId="5" borderId="8" xfId="0" applyNumberFormat="1" applyFill="1" applyBorder="1"/>
    <xf numFmtId="0" fontId="0" fillId="3" borderId="0" xfId="0" applyFill="1" applyAlignment="1">
      <alignment horizontal="left"/>
    </xf>
    <xf numFmtId="0" fontId="0" fillId="3" borderId="57" xfId="0" applyFill="1" applyBorder="1"/>
    <xf numFmtId="0" fontId="13" fillId="5" borderId="51" xfId="0" applyNumberFormat="1" applyFont="1" applyFill="1" applyBorder="1"/>
    <xf numFmtId="0" fontId="7" fillId="5" borderId="51" xfId="0" applyFont="1" applyFill="1" applyBorder="1"/>
    <xf numFmtId="0" fontId="21" fillId="5" borderId="49" xfId="0" applyNumberFormat="1" applyFont="1" applyFill="1" applyBorder="1"/>
    <xf numFmtId="3" fontId="23" fillId="3" borderId="0" xfId="0" applyNumberFormat="1" applyFont="1" applyFill="1" applyBorder="1" applyAlignment="1">
      <alignment horizontal="center"/>
    </xf>
    <xf numFmtId="3" fontId="23" fillId="3" borderId="18" xfId="0" applyNumberFormat="1" applyFont="1" applyFill="1" applyBorder="1" applyAlignment="1">
      <alignment horizontal="center"/>
    </xf>
    <xf numFmtId="3" fontId="23" fillId="5" borderId="18" xfId="0" applyNumberFormat="1" applyFont="1" applyFill="1" applyBorder="1" applyAlignment="1">
      <alignment horizontal="center"/>
    </xf>
    <xf numFmtId="3" fontId="23" fillId="3" borderId="0" xfId="0" applyNumberFormat="1" applyFont="1" applyFill="1"/>
    <xf numFmtId="164" fontId="23" fillId="3" borderId="18" xfId="0" applyNumberFormat="1" applyFont="1" applyFill="1" applyBorder="1" applyAlignment="1">
      <alignment horizontal="center"/>
    </xf>
    <xf numFmtId="3" fontId="23" fillId="5" borderId="12" xfId="0" applyNumberFormat="1" applyFont="1" applyFill="1" applyBorder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28" fillId="3" borderId="0" xfId="0" applyFont="1" applyFill="1" applyAlignment="1">
      <alignment horizontal="center"/>
    </xf>
    <xf numFmtId="0" fontId="36" fillId="3" borderId="58" xfId="0" applyFont="1" applyFill="1" applyBorder="1"/>
    <xf numFmtId="0" fontId="36" fillId="3" borderId="59" xfId="0" applyFont="1" applyFill="1" applyBorder="1"/>
    <xf numFmtId="0" fontId="36" fillId="3" borderId="60" xfId="0" applyFont="1" applyFill="1" applyBorder="1"/>
    <xf numFmtId="0" fontId="36" fillId="3" borderId="61" xfId="0" applyFont="1" applyFill="1" applyBorder="1"/>
    <xf numFmtId="0" fontId="37" fillId="3" borderId="60" xfId="0" applyFont="1" applyFill="1" applyBorder="1"/>
    <xf numFmtId="0" fontId="38" fillId="3" borderId="61" xfId="0" applyFont="1" applyFill="1" applyBorder="1" applyAlignment="1">
      <alignment horizontal="center"/>
    </xf>
    <xf numFmtId="17" fontId="38" fillId="3" borderId="61" xfId="0" applyNumberFormat="1" applyFont="1" applyFill="1" applyBorder="1" applyAlignment="1">
      <alignment horizontal="center"/>
    </xf>
    <xf numFmtId="0" fontId="37" fillId="3" borderId="61" xfId="0" applyFont="1" applyFill="1" applyBorder="1"/>
    <xf numFmtId="0" fontId="39" fillId="3" borderId="61" xfId="0" applyFont="1" applyFill="1" applyBorder="1" applyAlignment="1">
      <alignment horizontal="center"/>
    </xf>
    <xf numFmtId="0" fontId="35" fillId="3" borderId="60" xfId="0" applyFont="1" applyFill="1" applyBorder="1"/>
    <xf numFmtId="0" fontId="35" fillId="3" borderId="61" xfId="0" applyFont="1" applyFill="1" applyBorder="1" applyAlignment="1">
      <alignment horizontal="center"/>
    </xf>
    <xf numFmtId="0" fontId="37" fillId="3" borderId="62" xfId="0" applyFont="1" applyFill="1" applyBorder="1" applyAlignment="1">
      <alignment horizontal="left"/>
    </xf>
    <xf numFmtId="0" fontId="37" fillId="3" borderId="63" xfId="0" applyFont="1" applyFill="1" applyBorder="1" applyAlignment="1">
      <alignment horizontal="left"/>
    </xf>
    <xf numFmtId="0" fontId="40" fillId="3" borderId="61" xfId="0" applyFont="1" applyFill="1" applyBorder="1" applyAlignment="1">
      <alignment horizontal="center"/>
    </xf>
    <xf numFmtId="3" fontId="2" fillId="3" borderId="0" xfId="21" applyNumberFormat="1" applyFill="1" applyBorder="1"/>
    <xf numFmtId="0" fontId="2" fillId="3" borderId="0" xfId="21" applyFill="1" applyBorder="1"/>
    <xf numFmtId="0" fontId="2" fillId="3" borderId="0" xfId="12" applyFill="1"/>
    <xf numFmtId="0" fontId="42" fillId="2" borderId="0" xfId="24" applyFont="1" applyFill="1" applyBorder="1" applyAlignment="1">
      <alignment horizontal="center"/>
    </xf>
    <xf numFmtId="0" fontId="17" fillId="2" borderId="0" xfId="24" applyFill="1" applyBorder="1"/>
    <xf numFmtId="0" fontId="17" fillId="3" borderId="0" xfId="24" applyFill="1"/>
    <xf numFmtId="0" fontId="17" fillId="8" borderId="13" xfId="24" applyFill="1" applyBorder="1"/>
    <xf numFmtId="0" fontId="17" fillId="8" borderId="14" xfId="24" applyFill="1" applyBorder="1"/>
    <xf numFmtId="0" fontId="17" fillId="8" borderId="16" xfId="24" applyFill="1" applyBorder="1"/>
    <xf numFmtId="0" fontId="41" fillId="2" borderId="17" xfId="24" applyFont="1" applyFill="1" applyBorder="1"/>
    <xf numFmtId="0" fontId="41" fillId="2" borderId="19" xfId="24" applyFont="1" applyFill="1" applyBorder="1"/>
    <xf numFmtId="0" fontId="18" fillId="2" borderId="17" xfId="24" applyFont="1" applyFill="1" applyBorder="1"/>
    <xf numFmtId="0" fontId="17" fillId="2" borderId="19" xfId="24" applyFill="1" applyBorder="1"/>
    <xf numFmtId="0" fontId="41" fillId="2" borderId="13" xfId="24" applyFont="1" applyFill="1" applyBorder="1"/>
    <xf numFmtId="0" fontId="41" fillId="2" borderId="16" xfId="24" applyFont="1" applyFill="1" applyBorder="1"/>
    <xf numFmtId="0" fontId="18" fillId="2" borderId="20" xfId="24" applyFont="1" applyFill="1" applyBorder="1"/>
    <xf numFmtId="0" fontId="17" fillId="2" borderId="1" xfId="24" applyFill="1" applyBorder="1"/>
    <xf numFmtId="0" fontId="17" fillId="2" borderId="22" xfId="24" applyFill="1" applyBorder="1"/>
    <xf numFmtId="0" fontId="44" fillId="2" borderId="0" xfId="25" applyNumberFormat="1" applyFont="1" applyFill="1" applyBorder="1" applyAlignment="1">
      <alignment horizontal="center"/>
    </xf>
    <xf numFmtId="0" fontId="44" fillId="2" borderId="0" xfId="25" applyNumberFormat="1" applyFont="1" applyFill="1" applyBorder="1" applyAlignment="1">
      <alignment horizontal="left"/>
    </xf>
    <xf numFmtId="0" fontId="44" fillId="2" borderId="14" xfId="25" applyNumberFormat="1" applyFont="1" applyFill="1" applyBorder="1" applyAlignment="1">
      <alignment horizontal="center"/>
    </xf>
    <xf numFmtId="0" fontId="10" fillId="2" borderId="14" xfId="25" applyNumberFormat="1" applyFont="1" applyFill="1" applyBorder="1"/>
    <xf numFmtId="0" fontId="44" fillId="2" borderId="1" xfId="25" applyNumberFormat="1" applyFont="1" applyFill="1" applyBorder="1" applyAlignment="1">
      <alignment horizontal="center"/>
    </xf>
    <xf numFmtId="0" fontId="10" fillId="3" borderId="0" xfId="25" applyNumberFormat="1" applyFont="1" applyFill="1"/>
    <xf numFmtId="0" fontId="10" fillId="3" borderId="0" xfId="25" applyFont="1" applyFill="1"/>
    <xf numFmtId="0" fontId="10" fillId="3" borderId="64" xfId="25" applyFont="1" applyFill="1" applyBorder="1"/>
    <xf numFmtId="0" fontId="10" fillId="3" borderId="17" xfId="25" applyFont="1" applyFill="1" applyBorder="1"/>
    <xf numFmtId="3" fontId="23" fillId="3" borderId="35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23" fillId="3" borderId="17" xfId="0" applyNumberFormat="1" applyFont="1" applyFill="1" applyBorder="1" applyAlignment="1">
      <alignment horizontal="center"/>
    </xf>
    <xf numFmtId="0" fontId="48" fillId="3" borderId="0" xfId="1" applyFill="1" applyAlignment="1" applyProtection="1"/>
    <xf numFmtId="0" fontId="48" fillId="3" borderId="0" xfId="1" applyNumberFormat="1" applyFill="1" applyAlignment="1" applyProtection="1">
      <alignment horizontal="center"/>
    </xf>
    <xf numFmtId="0" fontId="48" fillId="3" borderId="0" xfId="1" applyNumberFormat="1" applyFill="1" applyAlignment="1" applyProtection="1"/>
    <xf numFmtId="3" fontId="9" fillId="3" borderId="0" xfId="4" applyNumberFormat="1" applyFont="1" applyFill="1"/>
    <xf numFmtId="0" fontId="49" fillId="3" borderId="0" xfId="0" applyFont="1" applyFill="1"/>
    <xf numFmtId="0" fontId="6" fillId="3" borderId="0" xfId="0" applyFont="1" applyFill="1" applyBorder="1"/>
    <xf numFmtId="3" fontId="6" fillId="3" borderId="0" xfId="0" applyNumberFormat="1" applyFont="1" applyFill="1" applyBorder="1"/>
    <xf numFmtId="0" fontId="0" fillId="9" borderId="0" xfId="0" applyFill="1" applyBorder="1"/>
    <xf numFmtId="0" fontId="0" fillId="9" borderId="0" xfId="0" applyFill="1"/>
    <xf numFmtId="3" fontId="0" fillId="9" borderId="0" xfId="0" applyNumberFormat="1" applyFill="1"/>
    <xf numFmtId="0" fontId="23" fillId="9" borderId="0" xfId="0" applyFont="1" applyFill="1"/>
    <xf numFmtId="11" fontId="46" fillId="5" borderId="65" xfId="25" applyNumberFormat="1" applyFont="1" applyFill="1" applyBorder="1" applyAlignment="1">
      <alignment horizontal="center"/>
    </xf>
    <xf numFmtId="11" fontId="46" fillId="5" borderId="0" xfId="25" applyNumberFormat="1" applyFont="1" applyFill="1" applyBorder="1" applyAlignment="1">
      <alignment horizontal="center"/>
    </xf>
    <xf numFmtId="11" fontId="46" fillId="5" borderId="64" xfId="25" applyNumberFormat="1" applyFont="1" applyFill="1" applyBorder="1" applyAlignment="1"/>
    <xf numFmtId="11" fontId="46" fillId="5" borderId="66" xfId="25" applyNumberFormat="1" applyFont="1" applyFill="1" applyBorder="1" applyAlignment="1">
      <alignment horizontal="center"/>
    </xf>
    <xf numFmtId="11" fontId="46" fillId="5" borderId="67" xfId="25" applyNumberFormat="1" applyFont="1" applyFill="1" applyBorder="1" applyAlignment="1"/>
    <xf numFmtId="11" fontId="46" fillId="5" borderId="68" xfId="25" applyNumberFormat="1" applyFont="1" applyFill="1" applyBorder="1" applyAlignment="1"/>
    <xf numFmtId="0" fontId="45" fillId="5" borderId="69" xfId="25" applyFont="1" applyFill="1" applyBorder="1" applyAlignment="1">
      <alignment horizontal="center"/>
    </xf>
    <xf numFmtId="0" fontId="47" fillId="5" borderId="3" xfId="25" applyFont="1" applyFill="1" applyBorder="1" applyAlignment="1">
      <alignment horizontal="center"/>
    </xf>
    <xf numFmtId="0" fontId="47" fillId="5" borderId="70" xfId="25" applyFont="1" applyFill="1" applyBorder="1" applyAlignment="1">
      <alignment horizontal="center"/>
    </xf>
    <xf numFmtId="0" fontId="45" fillId="5" borderId="69" xfId="25" applyFont="1" applyFill="1" applyBorder="1" applyAlignment="1">
      <alignment horizontal="left"/>
    </xf>
    <xf numFmtId="0" fontId="45" fillId="5" borderId="71" xfId="25" applyFont="1" applyFill="1" applyBorder="1" applyAlignment="1"/>
    <xf numFmtId="0" fontId="14" fillId="5" borderId="66" xfId="25" applyFont="1" applyFill="1" applyBorder="1" applyAlignment="1"/>
    <xf numFmtId="0" fontId="45" fillId="5" borderId="67" xfId="25" applyFont="1" applyFill="1" applyBorder="1" applyAlignment="1"/>
    <xf numFmtId="0" fontId="10" fillId="5" borderId="72" xfId="25" applyFont="1" applyFill="1" applyBorder="1" applyAlignment="1"/>
    <xf numFmtId="0" fontId="46" fillId="5" borderId="67" xfId="25" applyFont="1" applyFill="1" applyBorder="1" applyAlignment="1"/>
    <xf numFmtId="0" fontId="10" fillId="5" borderId="73" xfId="25" quotePrefix="1" applyFont="1" applyFill="1" applyBorder="1" applyAlignment="1">
      <alignment horizontal="left"/>
    </xf>
    <xf numFmtId="0" fontId="46" fillId="5" borderId="74" xfId="25" applyFont="1" applyFill="1" applyBorder="1" applyAlignment="1"/>
    <xf numFmtId="0" fontId="46" fillId="5" borderId="75" xfId="25" applyFont="1" applyFill="1" applyBorder="1" applyAlignment="1"/>
    <xf numFmtId="0" fontId="14" fillId="5" borderId="76" xfId="25" applyFont="1" applyFill="1" applyBorder="1" applyAlignment="1"/>
    <xf numFmtId="0" fontId="46" fillId="5" borderId="0" xfId="25" applyNumberFormat="1" applyFont="1" applyFill="1" applyBorder="1" applyAlignment="1">
      <alignment horizontal="left"/>
    </xf>
    <xf numFmtId="0" fontId="46" fillId="5" borderId="64" xfId="25" applyNumberFormat="1" applyFont="1" applyFill="1" applyBorder="1" applyAlignment="1">
      <alignment horizontal="left"/>
    </xf>
    <xf numFmtId="0" fontId="10" fillId="5" borderId="76" xfId="25" applyFont="1" applyFill="1" applyBorder="1" applyAlignment="1"/>
    <xf numFmtId="0" fontId="46" fillId="5" borderId="64" xfId="25" applyFont="1" applyFill="1" applyBorder="1" applyAlignment="1"/>
    <xf numFmtId="0" fontId="10" fillId="5" borderId="77" xfId="25" applyFont="1" applyFill="1" applyBorder="1" applyAlignment="1"/>
    <xf numFmtId="0" fontId="46" fillId="5" borderId="4" xfId="25" applyFont="1" applyFill="1" applyBorder="1" applyAlignment="1"/>
    <xf numFmtId="0" fontId="46" fillId="5" borderId="78" xfId="25" applyFont="1" applyFill="1" applyBorder="1" applyAlignment="1"/>
    <xf numFmtId="0" fontId="14" fillId="5" borderId="71" xfId="25" applyFont="1" applyFill="1" applyBorder="1" applyAlignment="1"/>
    <xf numFmtId="0" fontId="46" fillId="5" borderId="79" xfId="25" applyNumberFormat="1" applyFont="1" applyFill="1" applyBorder="1" applyAlignment="1">
      <alignment horizontal="left"/>
    </xf>
    <xf numFmtId="0" fontId="46" fillId="5" borderId="67" xfId="25" applyNumberFormat="1" applyFont="1" applyFill="1" applyBorder="1" applyAlignment="1">
      <alignment horizontal="left"/>
    </xf>
    <xf numFmtId="0" fontId="46" fillId="5" borderId="0" xfId="25" applyFont="1" applyFill="1" applyBorder="1" applyAlignment="1">
      <alignment horizontal="left"/>
    </xf>
    <xf numFmtId="0" fontId="46" fillId="5" borderId="64" xfId="25" applyFont="1" applyFill="1" applyBorder="1" applyAlignment="1">
      <alignment horizontal="left"/>
    </xf>
    <xf numFmtId="0" fontId="46" fillId="5" borderId="66" xfId="25" applyFont="1" applyFill="1" applyBorder="1" applyAlignment="1">
      <alignment horizontal="left"/>
    </xf>
    <xf numFmtId="0" fontId="46" fillId="5" borderId="67" xfId="25" applyFont="1" applyFill="1" applyBorder="1" applyAlignment="1">
      <alignment horizontal="left"/>
    </xf>
    <xf numFmtId="0" fontId="45" fillId="5" borderId="3" xfId="25" applyFont="1" applyFill="1" applyBorder="1" applyAlignment="1">
      <alignment horizontal="center"/>
    </xf>
    <xf numFmtId="0" fontId="45" fillId="5" borderId="70" xfId="25" applyFont="1" applyFill="1" applyBorder="1" applyAlignment="1">
      <alignment horizontal="center"/>
    </xf>
    <xf numFmtId="0" fontId="45" fillId="5" borderId="76" xfId="25" applyFont="1" applyFill="1" applyBorder="1" applyAlignment="1">
      <alignment horizontal="left"/>
    </xf>
    <xf numFmtId="0" fontId="45" fillId="5" borderId="0" xfId="25" applyFont="1" applyFill="1" applyBorder="1" applyAlignment="1">
      <alignment horizontal="left"/>
    </xf>
    <xf numFmtId="0" fontId="45" fillId="5" borderId="64" xfId="25" applyFont="1" applyFill="1" applyBorder="1" applyAlignment="1">
      <alignment horizontal="right"/>
    </xf>
    <xf numFmtId="0" fontId="46" fillId="5" borderId="72" xfId="25" applyFont="1" applyFill="1" applyBorder="1" applyAlignment="1"/>
    <xf numFmtId="0" fontId="46" fillId="5" borderId="66" xfId="25" applyFont="1" applyFill="1" applyBorder="1" applyAlignment="1"/>
    <xf numFmtId="0" fontId="46" fillId="5" borderId="66" xfId="25" applyNumberFormat="1" applyFont="1" applyFill="1" applyBorder="1" applyAlignment="1">
      <alignment horizontal="left"/>
    </xf>
    <xf numFmtId="0" fontId="46" fillId="5" borderId="76" xfId="25" applyFont="1" applyFill="1" applyBorder="1" applyAlignment="1"/>
    <xf numFmtId="0" fontId="46" fillId="5" borderId="0" xfId="25" applyFont="1" applyFill="1" applyBorder="1" applyAlignment="1"/>
    <xf numFmtId="0" fontId="14" fillId="5" borderId="77" xfId="25" applyNumberFormat="1" applyFont="1" applyFill="1" applyBorder="1" applyAlignment="1"/>
    <xf numFmtId="0" fontId="46" fillId="5" borderId="4" xfId="25" applyNumberFormat="1" applyFont="1" applyFill="1" applyBorder="1" applyAlignment="1">
      <alignment horizontal="left"/>
    </xf>
    <xf numFmtId="0" fontId="46" fillId="5" borderId="78" xfId="25" applyNumberFormat="1" applyFont="1" applyFill="1" applyBorder="1" applyAlignment="1">
      <alignment horizontal="left"/>
    </xf>
    <xf numFmtId="0" fontId="46" fillId="5" borderId="80" xfId="25" applyNumberFormat="1" applyFont="1" applyFill="1" applyBorder="1" applyAlignment="1"/>
    <xf numFmtId="0" fontId="46" fillId="5" borderId="81" xfId="25" applyNumberFormat="1" applyFont="1" applyFill="1" applyBorder="1" applyAlignment="1"/>
    <xf numFmtId="3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50" fillId="8" borderId="51" xfId="0" applyFont="1" applyFill="1" applyBorder="1"/>
    <xf numFmtId="0" fontId="50" fillId="8" borderId="53" xfId="0" applyFont="1" applyFill="1" applyBorder="1"/>
    <xf numFmtId="0" fontId="50" fillId="8" borderId="55" xfId="0" applyFont="1" applyFill="1" applyBorder="1"/>
    <xf numFmtId="0" fontId="18" fillId="5" borderId="17" xfId="24" applyFont="1" applyFill="1" applyBorder="1"/>
    <xf numFmtId="0" fontId="18" fillId="5" borderId="0" xfId="24" applyFont="1" applyFill="1" applyBorder="1" applyAlignment="1">
      <alignment horizontal="center"/>
    </xf>
    <xf numFmtId="0" fontId="18" fillId="5" borderId="19" xfId="24" applyFont="1" applyFill="1" applyBorder="1" applyAlignment="1">
      <alignment horizontal="center"/>
    </xf>
    <xf numFmtId="170" fontId="17" fillId="5" borderId="0" xfId="24" applyNumberFormat="1" applyFill="1" applyBorder="1" applyAlignment="1">
      <alignment horizontal="center"/>
    </xf>
    <xf numFmtId="3" fontId="17" fillId="5" borderId="19" xfId="24" applyNumberFormat="1" applyFill="1" applyBorder="1" applyAlignment="1">
      <alignment horizontal="center"/>
    </xf>
    <xf numFmtId="0" fontId="17" fillId="5" borderId="0" xfId="24" applyFill="1" applyBorder="1" applyAlignment="1">
      <alignment horizontal="center"/>
    </xf>
    <xf numFmtId="0" fontId="18" fillId="5" borderId="17" xfId="24" applyFont="1" applyFill="1" applyBorder="1" applyAlignment="1">
      <alignment horizontal="left"/>
    </xf>
    <xf numFmtId="0" fontId="17" fillId="5" borderId="0" xfId="24" applyFill="1" applyBorder="1"/>
    <xf numFmtId="0" fontId="17" fillId="5" borderId="19" xfId="24" applyFill="1" applyBorder="1"/>
    <xf numFmtId="0" fontId="43" fillId="5" borderId="17" xfId="24" applyFont="1" applyFill="1" applyBorder="1" applyAlignment="1">
      <alignment horizontal="left"/>
    </xf>
    <xf numFmtId="0" fontId="43" fillId="5" borderId="20" xfId="24" applyFont="1" applyFill="1" applyBorder="1" applyAlignment="1">
      <alignment horizontal="left"/>
    </xf>
    <xf numFmtId="0" fontId="17" fillId="5" borderId="1" xfId="24" applyFill="1" applyBorder="1"/>
    <xf numFmtId="0" fontId="17" fillId="5" borderId="22" xfId="24" applyFill="1" applyBorder="1"/>
    <xf numFmtId="0" fontId="10" fillId="8" borderId="9" xfId="25" applyNumberFormat="1" applyFont="1" applyFill="1" applyBorder="1"/>
    <xf numFmtId="0" fontId="10" fillId="8" borderId="2" xfId="25" applyNumberFormat="1" applyFont="1" applyFill="1" applyBorder="1"/>
    <xf numFmtId="0" fontId="10" fillId="8" borderId="10" xfId="25" applyNumberFormat="1" applyFont="1" applyFill="1" applyBorder="1"/>
    <xf numFmtId="0" fontId="44" fillId="2" borderId="7" xfId="25" applyNumberFormat="1" applyFont="1" applyFill="1" applyBorder="1" applyAlignment="1">
      <alignment horizontal="left"/>
    </xf>
    <xf numFmtId="0" fontId="44" fillId="2" borderId="82" xfId="25" applyNumberFormat="1" applyFont="1" applyFill="1" applyBorder="1" applyAlignment="1">
      <alignment horizontal="center"/>
    </xf>
    <xf numFmtId="0" fontId="44" fillId="2" borderId="8" xfId="25" applyNumberFormat="1" applyFont="1" applyFill="1" applyBorder="1" applyAlignment="1">
      <alignment horizontal="left"/>
    </xf>
    <xf numFmtId="0" fontId="44" fillId="2" borderId="12" xfId="25" applyNumberFormat="1" applyFont="1" applyFill="1" applyBorder="1" applyAlignment="1">
      <alignment horizontal="center"/>
    </xf>
    <xf numFmtId="0" fontId="44" fillId="2" borderId="8" xfId="25" applyNumberFormat="1" applyFont="1" applyFill="1" applyBorder="1" applyAlignment="1">
      <alignment horizontal="center"/>
    </xf>
    <xf numFmtId="0" fontId="44" fillId="2" borderId="83" xfId="25" applyNumberFormat="1" applyFont="1" applyFill="1" applyBorder="1" applyAlignment="1">
      <alignment horizontal="right"/>
    </xf>
    <xf numFmtId="0" fontId="44" fillId="2" borderId="84" xfId="25" applyNumberFormat="1" applyFont="1" applyFill="1" applyBorder="1" applyAlignment="1">
      <alignment horizontal="right"/>
    </xf>
    <xf numFmtId="0" fontId="45" fillId="5" borderId="85" xfId="25" applyNumberFormat="1" applyFont="1" applyFill="1" applyBorder="1" applyAlignment="1"/>
    <xf numFmtId="11" fontId="46" fillId="5" borderId="86" xfId="25" applyNumberFormat="1" applyFont="1" applyFill="1" applyBorder="1" applyAlignment="1"/>
    <xf numFmtId="0" fontId="45" fillId="5" borderId="8" xfId="25" applyNumberFormat="1" applyFont="1" applyFill="1" applyBorder="1" applyAlignment="1"/>
    <xf numFmtId="11" fontId="46" fillId="5" borderId="12" xfId="25" applyNumberFormat="1" applyFont="1" applyFill="1" applyBorder="1" applyAlignment="1"/>
    <xf numFmtId="0" fontId="45" fillId="5" borderId="87" xfId="25" applyNumberFormat="1" applyFont="1" applyFill="1" applyBorder="1" applyAlignment="1"/>
    <xf numFmtId="11" fontId="46" fillId="5" borderId="88" xfId="25" applyNumberFormat="1" applyFont="1" applyFill="1" applyBorder="1" applyAlignment="1"/>
    <xf numFmtId="0" fontId="45" fillId="5" borderId="89" xfId="25" applyNumberFormat="1" applyFont="1" applyFill="1" applyBorder="1" applyAlignment="1"/>
    <xf numFmtId="11" fontId="46" fillId="5" borderId="90" xfId="25" applyNumberFormat="1" applyFont="1" applyFill="1" applyBorder="1" applyAlignment="1">
      <alignment horizontal="center"/>
    </xf>
    <xf numFmtId="11" fontId="46" fillId="5" borderId="91" xfId="25" applyNumberFormat="1" applyFont="1" applyFill="1" applyBorder="1" applyAlignment="1"/>
    <xf numFmtId="0" fontId="30" fillId="8" borderId="51" xfId="0" applyFont="1" applyFill="1" applyBorder="1" applyAlignment="1">
      <alignment horizontal="center"/>
    </xf>
    <xf numFmtId="0" fontId="30" fillId="8" borderId="53" xfId="0" applyFont="1" applyFill="1" applyBorder="1" applyAlignment="1">
      <alignment horizontal="center"/>
    </xf>
    <xf numFmtId="3" fontId="18" fillId="0" borderId="25" xfId="5" applyNumberFormat="1" applyFont="1" applyBorder="1" applyAlignment="1">
      <alignment horizontal="center"/>
    </xf>
    <xf numFmtId="0" fontId="7" fillId="10" borderId="35" xfId="12" applyFont="1" applyFill="1" applyBorder="1" applyAlignment="1">
      <alignment horizontal="left"/>
    </xf>
    <xf numFmtId="3" fontId="18" fillId="0" borderId="25" xfId="6" applyNumberFormat="1" applyFont="1" applyBorder="1" applyAlignment="1">
      <alignment horizontal="center"/>
    </xf>
    <xf numFmtId="165" fontId="18" fillId="0" borderId="25" xfId="6" applyNumberFormat="1" applyFont="1" applyBorder="1" applyAlignment="1">
      <alignment horizontal="center"/>
    </xf>
    <xf numFmtId="3" fontId="20" fillId="11" borderId="25" xfId="6" applyNumberFormat="1" applyFon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8" fillId="0" borderId="25" xfId="5" applyNumberFormat="1" applyFont="1" applyFill="1" applyBorder="1" applyAlignment="1">
      <alignment horizontal="center"/>
    </xf>
    <xf numFmtId="0" fontId="0" fillId="0" borderId="0" xfId="0" applyFill="1"/>
    <xf numFmtId="0" fontId="18" fillId="0" borderId="0" xfId="5" applyFont="1" applyFill="1"/>
    <xf numFmtId="3" fontId="20" fillId="0" borderId="0" xfId="6" applyNumberFormat="1" applyFont="1" applyFill="1" applyBorder="1" applyAlignment="1">
      <alignment horizontal="center"/>
    </xf>
    <xf numFmtId="0" fontId="17" fillId="0" borderId="0" xfId="6" applyFill="1"/>
    <xf numFmtId="3" fontId="20" fillId="5" borderId="25" xfId="6" applyNumberFormat="1" applyFont="1" applyFill="1" applyBorder="1" applyAlignment="1">
      <alignment horizontal="center"/>
    </xf>
    <xf numFmtId="3" fontId="18" fillId="0" borderId="25" xfId="6" applyNumberFormat="1" applyFont="1" applyFill="1" applyBorder="1" applyAlignment="1">
      <alignment horizontal="center"/>
    </xf>
    <xf numFmtId="3" fontId="28" fillId="5" borderId="10" xfId="0" applyNumberFormat="1" applyFont="1" applyFill="1" applyBorder="1" applyAlignment="1">
      <alignment horizontal="center"/>
    </xf>
    <xf numFmtId="3" fontId="7" fillId="5" borderId="55" xfId="0" applyNumberFormat="1" applyFont="1" applyFill="1" applyBorder="1" applyAlignment="1">
      <alignment horizontal="center"/>
    </xf>
    <xf numFmtId="0" fontId="13" fillId="5" borderId="8" xfId="0" applyNumberFormat="1" applyFont="1" applyFill="1" applyBorder="1"/>
    <xf numFmtId="0" fontId="13" fillId="5" borderId="5" xfId="0" applyNumberFormat="1" applyFont="1" applyFill="1" applyBorder="1"/>
    <xf numFmtId="3" fontId="0" fillId="5" borderId="92" xfId="0" applyNumberFormat="1" applyFill="1" applyBorder="1" applyAlignment="1">
      <alignment horizontal="center"/>
    </xf>
    <xf numFmtId="3" fontId="0" fillId="5" borderId="19" xfId="0" applyNumberFormat="1" applyFill="1" applyBorder="1" applyAlignment="1">
      <alignment horizontal="center"/>
    </xf>
    <xf numFmtId="3" fontId="0" fillId="5" borderId="3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3" fontId="0" fillId="5" borderId="51" xfId="0" applyNumberFormat="1" applyFill="1" applyBorder="1" applyAlignment="1">
      <alignment horizontal="center"/>
    </xf>
    <xf numFmtId="3" fontId="0" fillId="5" borderId="93" xfId="0" applyNumberFormat="1" applyFill="1" applyBorder="1" applyAlignment="1">
      <alignment horizontal="center"/>
    </xf>
    <xf numFmtId="3" fontId="0" fillId="5" borderId="94" xfId="0" applyNumberFormat="1" applyFill="1" applyBorder="1" applyAlignment="1">
      <alignment horizontal="center"/>
    </xf>
    <xf numFmtId="0" fontId="13" fillId="5" borderId="9" xfId="0" applyNumberFormat="1" applyFont="1" applyFill="1" applyBorder="1"/>
    <xf numFmtId="3" fontId="0" fillId="3" borderId="95" xfId="0" applyNumberFormat="1" applyFill="1" applyBorder="1" applyAlignment="1">
      <alignment horizontal="center"/>
    </xf>
    <xf numFmtId="3" fontId="0" fillId="3" borderId="84" xfId="0" applyNumberFormat="1" applyFill="1" applyBorder="1" applyAlignment="1">
      <alignment horizontal="center"/>
    </xf>
    <xf numFmtId="3" fontId="0" fillId="3" borderId="82" xfId="0" applyNumberFormat="1" applyFill="1" applyBorder="1" applyAlignment="1">
      <alignment horizontal="center"/>
    </xf>
    <xf numFmtId="3" fontId="0" fillId="3" borderId="96" xfId="0" applyNumberFormat="1" applyFill="1" applyBorder="1" applyAlignment="1">
      <alignment horizontal="center"/>
    </xf>
    <xf numFmtId="3" fontId="28" fillId="3" borderId="0" xfId="19" applyNumberFormat="1" applyFont="1" applyFill="1" applyBorder="1" applyAlignment="1"/>
    <xf numFmtId="0" fontId="53" fillId="9" borderId="0" xfId="0" applyFont="1" applyFill="1"/>
    <xf numFmtId="172" fontId="18" fillId="0" borderId="0" xfId="5" applyNumberFormat="1" applyFont="1" applyFill="1" applyBorder="1" applyAlignment="1">
      <alignment horizontal="center"/>
    </xf>
    <xf numFmtId="172" fontId="18" fillId="0" borderId="0" xfId="5" applyNumberFormat="1" applyFont="1" applyFill="1" applyBorder="1" applyAlignment="1">
      <alignment horizontal="left"/>
    </xf>
    <xf numFmtId="172" fontId="0" fillId="0" borderId="0" xfId="0" applyNumberFormat="1" applyFill="1"/>
    <xf numFmtId="3" fontId="0" fillId="0" borderId="0" xfId="0" applyNumberFormat="1" applyBorder="1"/>
    <xf numFmtId="3" fontId="0" fillId="0" borderId="0" xfId="0" applyNumberFormat="1" applyFill="1" applyBorder="1"/>
    <xf numFmtId="172" fontId="1" fillId="0" borderId="0" xfId="0" applyNumberFormat="1" applyFont="1" applyFill="1" applyAlignment="1">
      <alignment horizontal="center"/>
    </xf>
    <xf numFmtId="172" fontId="0" fillId="12" borderId="0" xfId="0" applyNumberFormat="1" applyFill="1"/>
    <xf numFmtId="0" fontId="8" fillId="0" borderId="0" xfId="14" applyFont="1" applyFill="1" applyBorder="1" applyAlignment="1">
      <alignment horizontal="center"/>
    </xf>
    <xf numFmtId="0" fontId="0" fillId="0" borderId="0" xfId="0" applyFill="1" applyBorder="1"/>
    <xf numFmtId="3" fontId="3" fillId="0" borderId="0" xfId="14" quotePrefix="1" applyNumberFormat="1" applyFont="1" applyFill="1" applyBorder="1" applyAlignment="1"/>
    <xf numFmtId="3" fontId="3" fillId="0" borderId="0" xfId="14" applyNumberFormat="1" applyFont="1" applyFill="1" applyBorder="1" applyAlignment="1"/>
    <xf numFmtId="0" fontId="10" fillId="0" borderId="0" xfId="14" applyFont="1" applyFill="1" applyBorder="1"/>
    <xf numFmtId="2" fontId="0" fillId="0" borderId="0" xfId="0" quotePrefix="1" applyNumberFormat="1" applyFill="1" applyBorder="1"/>
    <xf numFmtId="2" fontId="0" fillId="0" borderId="0" xfId="0" applyNumberFormat="1" applyFill="1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0" xfId="0" applyBorder="1"/>
    <xf numFmtId="0" fontId="0" fillId="0" borderId="1" xfId="0" applyBorder="1"/>
    <xf numFmtId="4" fontId="0" fillId="0" borderId="15" xfId="0" applyNumberFormat="1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3" fontId="18" fillId="0" borderId="13" xfId="5" applyNumberFormat="1" applyFont="1" applyFill="1" applyBorder="1" applyAlignment="1">
      <alignment horizontal="center"/>
    </xf>
    <xf numFmtId="3" fontId="0" fillId="0" borderId="0" xfId="0" applyNumberFormat="1" applyFill="1"/>
    <xf numFmtId="0" fontId="54" fillId="10" borderId="35" xfId="0" applyFont="1" applyFill="1" applyBorder="1" applyAlignment="1">
      <alignment horizontal="right"/>
    </xf>
    <xf numFmtId="0" fontId="7" fillId="5" borderId="9" xfId="0" applyFont="1" applyFill="1" applyBorder="1"/>
    <xf numFmtId="0" fontId="1" fillId="3" borderId="0" xfId="0" applyFont="1" applyFill="1"/>
    <xf numFmtId="164" fontId="55" fillId="0" borderId="0" xfId="0" applyNumberFormat="1" applyFont="1"/>
    <xf numFmtId="164" fontId="52" fillId="0" borderId="0" xfId="0" applyNumberFormat="1" applyFont="1" applyAlignment="1">
      <alignment horizontal="center"/>
    </xf>
    <xf numFmtId="164" fontId="52" fillId="0" borderId="0" xfId="0" applyNumberFormat="1" applyFont="1"/>
    <xf numFmtId="9" fontId="52" fillId="0" borderId="0" xfId="0" applyNumberFormat="1" applyFont="1" applyAlignment="1">
      <alignment horizontal="center"/>
    </xf>
    <xf numFmtId="3" fontId="7" fillId="3" borderId="0" xfId="0" applyNumberFormat="1" applyFont="1" applyFill="1" applyBorder="1" applyAlignment="1">
      <alignment horizontal="center" vertical="center"/>
    </xf>
    <xf numFmtId="3" fontId="28" fillId="3" borderId="0" xfId="0" applyNumberFormat="1" applyFont="1" applyFill="1" applyBorder="1"/>
    <xf numFmtId="1" fontId="7" fillId="3" borderId="0" xfId="4" applyNumberFormat="1" applyFont="1" applyFill="1"/>
    <xf numFmtId="164" fontId="20" fillId="13" borderId="52" xfId="5" applyNumberFormat="1" applyFont="1" applyFill="1" applyBorder="1" applyAlignment="1">
      <alignment horizontal="center" vertical="center" wrapText="1"/>
    </xf>
    <xf numFmtId="164" fontId="5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3" fontId="28" fillId="3" borderId="0" xfId="19" applyNumberFormat="1" applyFont="1" applyFill="1" applyBorder="1" applyAlignment="1">
      <alignment horizontal="center" vertical="center"/>
    </xf>
    <xf numFmtId="3" fontId="28" fillId="3" borderId="12" xfId="19" applyNumberFormat="1" applyFont="1" applyFill="1" applyBorder="1" applyAlignment="1">
      <alignment horizontal="center" vertical="center"/>
    </xf>
    <xf numFmtId="3" fontId="28" fillId="9" borderId="0" xfId="0" applyNumberFormat="1" applyFont="1" applyFill="1"/>
    <xf numFmtId="3" fontId="28" fillId="8" borderId="9" xfId="19" applyNumberFormat="1" applyFont="1" applyFill="1" applyBorder="1"/>
    <xf numFmtId="3" fontId="28" fillId="8" borderId="2" xfId="19" applyNumberFormat="1" applyFont="1" applyFill="1" applyBorder="1"/>
    <xf numFmtId="3" fontId="28" fillId="8" borderId="10" xfId="19" applyNumberFormat="1" applyFont="1" applyFill="1" applyBorder="1"/>
    <xf numFmtId="3" fontId="59" fillId="4" borderId="9" xfId="19" applyNumberFormat="1" applyFont="1" applyFill="1" applyBorder="1" applyAlignment="1">
      <alignment horizontal="left"/>
    </xf>
    <xf numFmtId="3" fontId="60" fillId="4" borderId="2" xfId="19" applyNumberFormat="1" applyFont="1" applyFill="1" applyBorder="1" applyAlignment="1">
      <alignment horizontal="right"/>
    </xf>
    <xf numFmtId="3" fontId="60" fillId="4" borderId="2" xfId="19" applyNumberFormat="1" applyFont="1" applyFill="1" applyBorder="1" applyAlignment="1">
      <alignment horizontal="center"/>
    </xf>
    <xf numFmtId="3" fontId="61" fillId="4" borderId="2" xfId="19" applyNumberFormat="1" applyFont="1" applyFill="1" applyBorder="1" applyAlignment="1">
      <alignment horizontal="right"/>
    </xf>
    <xf numFmtId="3" fontId="60" fillId="4" borderId="10" xfId="19" applyNumberFormat="1" applyFont="1" applyFill="1" applyBorder="1" applyAlignment="1">
      <alignment horizontal="right"/>
    </xf>
    <xf numFmtId="3" fontId="59" fillId="4" borderId="8" xfId="19" applyNumberFormat="1" applyFont="1" applyFill="1" applyBorder="1" applyAlignment="1">
      <alignment horizontal="left"/>
    </xf>
    <xf numFmtId="3" fontId="60" fillId="4" borderId="0" xfId="19" applyNumberFormat="1" applyFont="1" applyFill="1" applyBorder="1" applyAlignment="1">
      <alignment horizontal="right"/>
    </xf>
    <xf numFmtId="3" fontId="60" fillId="4" borderId="0" xfId="19" applyNumberFormat="1" applyFont="1" applyFill="1" applyBorder="1" applyAlignment="1">
      <alignment horizontal="center"/>
    </xf>
    <xf numFmtId="3" fontId="61" fillId="4" borderId="0" xfId="19" applyNumberFormat="1" applyFont="1" applyFill="1" applyBorder="1" applyAlignment="1">
      <alignment horizontal="right"/>
    </xf>
    <xf numFmtId="3" fontId="60" fillId="4" borderId="12" xfId="19" applyNumberFormat="1" applyFont="1" applyFill="1" applyBorder="1" applyAlignment="1">
      <alignment horizontal="right"/>
    </xf>
    <xf numFmtId="3" fontId="60" fillId="4" borderId="12" xfId="19" applyNumberFormat="1" applyFont="1" applyFill="1" applyBorder="1" applyAlignment="1">
      <alignment horizontal="center"/>
    </xf>
    <xf numFmtId="3" fontId="59" fillId="4" borderId="5" xfId="19" applyNumberFormat="1" applyFont="1" applyFill="1" applyBorder="1" applyAlignment="1">
      <alignment horizontal="left"/>
    </xf>
    <xf numFmtId="3" fontId="60" fillId="4" borderId="6" xfId="19" applyNumberFormat="1" applyFont="1" applyFill="1" applyBorder="1" applyAlignment="1">
      <alignment horizontal="center"/>
    </xf>
    <xf numFmtId="3" fontId="60" fillId="4" borderId="11" xfId="19" applyNumberFormat="1" applyFont="1" applyFill="1" applyBorder="1" applyAlignment="1">
      <alignment horizontal="center"/>
    </xf>
    <xf numFmtId="3" fontId="27" fillId="10" borderId="97" xfId="19" applyNumberFormat="1" applyFont="1" applyFill="1" applyBorder="1" applyAlignment="1">
      <alignment horizontal="left" vertical="center"/>
    </xf>
    <xf numFmtId="3" fontId="7" fillId="3" borderId="0" xfId="19" applyNumberFormat="1" applyFont="1" applyFill="1" applyBorder="1" applyAlignment="1">
      <alignment horizontal="center" vertical="center"/>
    </xf>
    <xf numFmtId="3" fontId="7" fillId="3" borderId="12" xfId="19" applyNumberFormat="1" applyFont="1" applyFill="1" applyBorder="1" applyAlignment="1">
      <alignment horizontal="center" vertical="center"/>
    </xf>
    <xf numFmtId="3" fontId="27" fillId="10" borderId="35" xfId="19" applyNumberFormat="1" applyFont="1" applyFill="1" applyBorder="1" applyAlignment="1">
      <alignment horizontal="left" vertical="center"/>
    </xf>
    <xf numFmtId="3" fontId="62" fillId="10" borderId="98" xfId="19" applyNumberFormat="1" applyFont="1" applyFill="1" applyBorder="1" applyAlignment="1">
      <alignment horizontal="left"/>
    </xf>
    <xf numFmtId="3" fontId="7" fillId="3" borderId="99" xfId="19" applyNumberFormat="1" applyFont="1" applyFill="1" applyBorder="1" applyAlignment="1">
      <alignment horizontal="center"/>
    </xf>
    <xf numFmtId="3" fontId="7" fillId="3" borderId="100" xfId="19" applyNumberFormat="1" applyFont="1" applyFill="1" applyBorder="1" applyAlignment="1">
      <alignment horizontal="center"/>
    </xf>
    <xf numFmtId="3" fontId="62" fillId="14" borderId="0" xfId="19" applyNumberFormat="1" applyFont="1" applyFill="1" applyBorder="1" applyAlignment="1">
      <alignment horizontal="left"/>
    </xf>
    <xf numFmtId="3" fontId="7" fillId="3" borderId="0" xfId="19" applyNumberFormat="1" applyFont="1" applyFill="1" applyBorder="1" applyAlignment="1"/>
    <xf numFmtId="3" fontId="34" fillId="3" borderId="0" xfId="19" applyNumberFormat="1" applyFont="1" applyFill="1"/>
    <xf numFmtId="3" fontId="28" fillId="3" borderId="0" xfId="19" applyNumberFormat="1" applyFont="1" applyFill="1"/>
    <xf numFmtId="3" fontId="28" fillId="9" borderId="0" xfId="19" applyNumberFormat="1" applyFont="1" applyFill="1" applyBorder="1" applyAlignment="1"/>
    <xf numFmtId="3" fontId="21" fillId="3" borderId="0" xfId="10" applyNumberFormat="1" applyFont="1" applyFill="1"/>
    <xf numFmtId="3" fontId="23" fillId="3" borderId="0" xfId="4" applyNumberFormat="1" applyFont="1" applyFill="1" applyBorder="1" applyAlignment="1">
      <alignment horizontal="center"/>
    </xf>
    <xf numFmtId="3" fontId="34" fillId="3" borderId="0" xfId="4" applyNumberFormat="1" applyFont="1" applyFill="1"/>
    <xf numFmtId="3" fontId="7" fillId="9" borderId="0" xfId="4" applyNumberFormat="1" applyFont="1" applyFill="1" applyBorder="1"/>
    <xf numFmtId="1" fontId="34" fillId="3" borderId="0" xfId="4" applyNumberFormat="1" applyFont="1" applyFill="1"/>
    <xf numFmtId="3" fontId="34" fillId="3" borderId="0" xfId="4" applyNumberFormat="1" applyFont="1" applyFill="1" applyBorder="1"/>
    <xf numFmtId="3" fontId="28" fillId="3" borderId="0" xfId="19" applyNumberFormat="1" applyFont="1" applyFill="1" applyBorder="1"/>
    <xf numFmtId="3" fontId="28" fillId="3" borderId="0" xfId="0" applyNumberFormat="1" applyFont="1" applyFill="1"/>
    <xf numFmtId="0" fontId="28" fillId="9" borderId="0" xfId="0" applyFont="1" applyFill="1"/>
    <xf numFmtId="1" fontId="59" fillId="4" borderId="9" xfId="4" applyNumberFormat="1" applyFont="1" applyFill="1" applyBorder="1" applyAlignment="1">
      <alignment horizontal="left"/>
    </xf>
    <xf numFmtId="1" fontId="61" fillId="4" borderId="2" xfId="4" applyNumberFormat="1" applyFont="1" applyFill="1" applyBorder="1" applyAlignment="1">
      <alignment horizontal="right"/>
    </xf>
    <xf numFmtId="1" fontId="61" fillId="4" borderId="2" xfId="4" applyNumberFormat="1" applyFont="1" applyFill="1" applyBorder="1" applyAlignment="1">
      <alignment horizontal="center"/>
    </xf>
    <xf numFmtId="1" fontId="60" fillId="4" borderId="10" xfId="4" applyNumberFormat="1" applyFont="1" applyFill="1" applyBorder="1" applyAlignment="1">
      <alignment horizontal="right"/>
    </xf>
    <xf numFmtId="0" fontId="63" fillId="3" borderId="0" xfId="1" applyFont="1" applyFill="1" applyAlignment="1" applyProtection="1"/>
    <xf numFmtId="1" fontId="59" fillId="4" borderId="8" xfId="4" applyNumberFormat="1" applyFont="1" applyFill="1" applyBorder="1" applyAlignment="1">
      <alignment horizontal="left"/>
    </xf>
    <xf numFmtId="1" fontId="61" fillId="4" borderId="0" xfId="4" applyNumberFormat="1" applyFont="1" applyFill="1" applyBorder="1" applyAlignment="1">
      <alignment horizontal="right"/>
    </xf>
    <xf numFmtId="1" fontId="61" fillId="4" borderId="0" xfId="4" applyNumberFormat="1" applyFont="1" applyFill="1" applyBorder="1" applyAlignment="1">
      <alignment horizontal="center"/>
    </xf>
    <xf numFmtId="1" fontId="60" fillId="4" borderId="12" xfId="4" applyNumberFormat="1" applyFont="1" applyFill="1" applyBorder="1" applyAlignment="1">
      <alignment horizontal="right"/>
    </xf>
    <xf numFmtId="1" fontId="59" fillId="4" borderId="5" xfId="4" applyNumberFormat="1" applyFont="1" applyFill="1" applyBorder="1" applyAlignment="1">
      <alignment horizontal="left"/>
    </xf>
    <xf numFmtId="1" fontId="61" fillId="4" borderId="6" xfId="4" applyNumberFormat="1" applyFont="1" applyFill="1" applyBorder="1" applyAlignment="1">
      <alignment horizontal="right"/>
    </xf>
    <xf numFmtId="1" fontId="60" fillId="4" borderId="11" xfId="4" applyNumberFormat="1" applyFont="1" applyFill="1" applyBorder="1" applyAlignment="1">
      <alignment horizontal="right"/>
    </xf>
    <xf numFmtId="1" fontId="64" fillId="10" borderId="101" xfId="4" applyNumberFormat="1" applyFont="1" applyFill="1" applyBorder="1" applyAlignment="1">
      <alignment horizontal="left"/>
    </xf>
    <xf numFmtId="3" fontId="7" fillId="3" borderId="24" xfId="4" applyNumberFormat="1" applyFont="1" applyFill="1" applyBorder="1" applyAlignment="1">
      <alignment horizontal="center"/>
    </xf>
    <xf numFmtId="3" fontId="7" fillId="3" borderId="102" xfId="4" applyNumberFormat="1" applyFont="1" applyFill="1" applyBorder="1" applyAlignment="1">
      <alignment horizontal="center"/>
    </xf>
    <xf numFmtId="1" fontId="64" fillId="10" borderId="98" xfId="4" applyNumberFormat="1" applyFont="1" applyFill="1" applyBorder="1" applyAlignment="1">
      <alignment horizontal="left"/>
    </xf>
    <xf numFmtId="165" fontId="28" fillId="3" borderId="99" xfId="4" applyNumberFormat="1" applyFont="1" applyFill="1" applyBorder="1" applyAlignment="1">
      <alignment horizontal="center"/>
    </xf>
    <xf numFmtId="166" fontId="28" fillId="3" borderId="99" xfId="4" applyNumberFormat="1" applyFont="1" applyFill="1" applyBorder="1" applyAlignment="1">
      <alignment horizontal="center"/>
    </xf>
    <xf numFmtId="3" fontId="28" fillId="3" borderId="100" xfId="4" applyNumberFormat="1" applyFont="1" applyFill="1" applyBorder="1" applyAlignment="1">
      <alignment horizontal="center"/>
    </xf>
    <xf numFmtId="0" fontId="21" fillId="3" borderId="0" xfId="10" applyFont="1" applyFill="1"/>
    <xf numFmtId="3" fontId="21" fillId="3" borderId="0" xfId="10" applyNumberFormat="1" applyFont="1" applyFill="1" applyAlignment="1">
      <alignment horizontal="center"/>
    </xf>
    <xf numFmtId="1" fontId="34" fillId="3" borderId="0" xfId="4" applyNumberFormat="1" applyFont="1" applyFill="1" applyAlignment="1">
      <alignment horizontal="center"/>
    </xf>
    <xf numFmtId="3" fontId="34" fillId="3" borderId="0" xfId="0" applyNumberFormat="1" applyFont="1" applyFill="1"/>
    <xf numFmtId="3" fontId="34" fillId="3" borderId="0" xfId="4" applyNumberFormat="1" applyFont="1" applyFill="1" applyAlignment="1">
      <alignment horizontal="center"/>
    </xf>
    <xf numFmtId="9" fontId="34" fillId="3" borderId="0" xfId="26" applyFont="1" applyFill="1"/>
    <xf numFmtId="4" fontId="21" fillId="3" borderId="0" xfId="10" applyNumberFormat="1" applyFont="1" applyFill="1" applyAlignment="1">
      <alignment horizontal="left"/>
    </xf>
    <xf numFmtId="3" fontId="21" fillId="3" borderId="0" xfId="10" applyNumberFormat="1" applyFont="1" applyFill="1" applyAlignment="1">
      <alignment horizontal="left"/>
    </xf>
    <xf numFmtId="165" fontId="23" fillId="3" borderId="0" xfId="4" applyNumberFormat="1" applyFont="1" applyFill="1" applyBorder="1" applyAlignment="1">
      <alignment horizontal="center"/>
    </xf>
    <xf numFmtId="166" fontId="23" fillId="3" borderId="0" xfId="4" applyNumberFormat="1" applyFont="1" applyFill="1" applyBorder="1" applyAlignment="1">
      <alignment horizontal="center"/>
    </xf>
    <xf numFmtId="3" fontId="7" fillId="3" borderId="0" xfId="4" applyNumberFormat="1" applyFont="1" applyFill="1"/>
    <xf numFmtId="1" fontId="27" fillId="10" borderId="35" xfId="4" applyNumberFormat="1" applyFont="1" applyFill="1" applyBorder="1" applyAlignment="1">
      <alignment horizontal="left"/>
    </xf>
    <xf numFmtId="3" fontId="7" fillId="3" borderId="0" xfId="4" applyNumberFormat="1" applyFont="1" applyFill="1" applyBorder="1" applyAlignment="1">
      <alignment horizontal="center"/>
    </xf>
    <xf numFmtId="3" fontId="7" fillId="3" borderId="12" xfId="4" applyNumberFormat="1" applyFont="1" applyFill="1" applyBorder="1" applyAlignment="1">
      <alignment horizontal="center"/>
    </xf>
    <xf numFmtId="0" fontId="28" fillId="8" borderId="9" xfId="18" applyFont="1" applyFill="1" applyBorder="1"/>
    <xf numFmtId="0" fontId="28" fillId="8" borderId="2" xfId="18" applyFont="1" applyFill="1" applyBorder="1"/>
    <xf numFmtId="0" fontId="28" fillId="8" borderId="10" xfId="18" applyFont="1" applyFill="1" applyBorder="1"/>
    <xf numFmtId="0" fontId="28" fillId="3" borderId="0" xfId="18" applyFont="1" applyFill="1"/>
    <xf numFmtId="165" fontId="28" fillId="3" borderId="0" xfId="18" applyNumberFormat="1" applyFont="1" applyFill="1"/>
    <xf numFmtId="0" fontId="28" fillId="4" borderId="9" xfId="18" applyFont="1" applyFill="1" applyBorder="1" applyAlignment="1"/>
    <xf numFmtId="0" fontId="61" fillId="4" borderId="2" xfId="18" applyFont="1" applyFill="1" applyBorder="1" applyAlignment="1">
      <alignment horizontal="center"/>
    </xf>
    <xf numFmtId="0" fontId="61" fillId="4" borderId="2" xfId="18" applyFont="1" applyFill="1" applyBorder="1" applyAlignment="1">
      <alignment horizontal="right"/>
    </xf>
    <xf numFmtId="0" fontId="60" fillId="4" borderId="10" xfId="18" applyFont="1" applyFill="1" applyBorder="1" applyAlignment="1">
      <alignment horizontal="right"/>
    </xf>
    <xf numFmtId="0" fontId="28" fillId="4" borderId="8" xfId="18" applyFont="1" applyFill="1" applyBorder="1" applyAlignment="1"/>
    <xf numFmtId="0" fontId="61" fillId="4" borderId="0" xfId="18" applyFont="1" applyFill="1" applyBorder="1" applyAlignment="1">
      <alignment horizontal="center"/>
    </xf>
    <xf numFmtId="0" fontId="61" fillId="4" borderId="0" xfId="18" applyFont="1" applyFill="1" applyBorder="1" applyAlignment="1">
      <alignment horizontal="right"/>
    </xf>
    <xf numFmtId="0" fontId="60" fillId="4" borderId="12" xfId="18" applyFont="1" applyFill="1" applyBorder="1" applyAlignment="1">
      <alignment horizontal="right"/>
    </xf>
    <xf numFmtId="0" fontId="61" fillId="4" borderId="0" xfId="18" applyFont="1" applyFill="1" applyBorder="1" applyAlignment="1">
      <alignment horizontal="centerContinuous"/>
    </xf>
    <xf numFmtId="0" fontId="60" fillId="4" borderId="12" xfId="18" applyFont="1" applyFill="1" applyBorder="1" applyAlignment="1">
      <alignment horizontal="center"/>
    </xf>
    <xf numFmtId="0" fontId="65" fillId="4" borderId="5" xfId="18" applyFont="1" applyFill="1" applyBorder="1" applyAlignment="1">
      <alignment horizontal="left"/>
    </xf>
    <xf numFmtId="0" fontId="60" fillId="4" borderId="11" xfId="18" applyFont="1" applyFill="1" applyBorder="1" applyAlignment="1">
      <alignment horizontal="center"/>
    </xf>
    <xf numFmtId="0" fontId="64" fillId="10" borderId="35" xfId="18" applyFont="1" applyFill="1" applyBorder="1" applyAlignment="1">
      <alignment horizontal="left"/>
    </xf>
    <xf numFmtId="0" fontId="7" fillId="3" borderId="0" xfId="18" applyFont="1" applyFill="1" applyBorder="1" applyAlignment="1">
      <alignment horizontal="center"/>
    </xf>
    <xf numFmtId="0" fontId="7" fillId="3" borderId="12" xfId="18" applyFont="1" applyFill="1" applyBorder="1" applyAlignment="1">
      <alignment horizontal="center"/>
    </xf>
    <xf numFmtId="3" fontId="7" fillId="3" borderId="0" xfId="18" applyNumberFormat="1" applyFont="1" applyFill="1" applyBorder="1" applyAlignment="1">
      <alignment horizontal="center"/>
    </xf>
    <xf numFmtId="165" fontId="7" fillId="3" borderId="12" xfId="18" applyNumberFormat="1" applyFont="1" applyFill="1" applyBorder="1" applyAlignment="1">
      <alignment horizontal="center"/>
    </xf>
    <xf numFmtId="10" fontId="28" fillId="3" borderId="0" xfId="18" applyNumberFormat="1" applyFont="1" applyFill="1"/>
    <xf numFmtId="0" fontId="27" fillId="10" borderId="35" xfId="18" applyFont="1" applyFill="1" applyBorder="1" applyAlignment="1">
      <alignment horizontal="left"/>
    </xf>
    <xf numFmtId="0" fontId="64" fillId="10" borderId="101" xfId="18" applyFont="1" applyFill="1" applyBorder="1" applyAlignment="1">
      <alignment horizontal="left"/>
    </xf>
    <xf numFmtId="3" fontId="7" fillId="3" borderId="24" xfId="18" applyNumberFormat="1" applyFont="1" applyFill="1" applyBorder="1" applyAlignment="1">
      <alignment horizontal="center"/>
    </xf>
    <xf numFmtId="165" fontId="7" fillId="3" borderId="102" xfId="18" applyNumberFormat="1" applyFont="1" applyFill="1" applyBorder="1" applyAlignment="1">
      <alignment horizontal="center"/>
    </xf>
    <xf numFmtId="0" fontId="64" fillId="10" borderId="38" xfId="18" applyFont="1" applyFill="1" applyBorder="1" applyAlignment="1">
      <alignment horizontal="left"/>
    </xf>
    <xf numFmtId="3" fontId="28" fillId="3" borderId="6" xfId="18" applyNumberFormat="1" applyFont="1" applyFill="1" applyBorder="1" applyAlignment="1"/>
    <xf numFmtId="0" fontId="28" fillId="3" borderId="11" xfId="18" applyFont="1" applyFill="1" applyBorder="1" applyAlignment="1"/>
    <xf numFmtId="0" fontId="28" fillId="9" borderId="0" xfId="0" applyFont="1" applyFill="1" applyBorder="1"/>
    <xf numFmtId="0" fontId="28" fillId="8" borderId="9" xfId="0" applyFont="1" applyFill="1" applyBorder="1"/>
    <xf numFmtId="0" fontId="28" fillId="8" borderId="2" xfId="0" applyFont="1" applyFill="1" applyBorder="1"/>
    <xf numFmtId="0" fontId="28" fillId="8" borderId="10" xfId="0" applyFont="1" applyFill="1" applyBorder="1"/>
    <xf numFmtId="0" fontId="63" fillId="3" borderId="0" xfId="1" applyFont="1" applyFill="1" applyBorder="1" applyAlignment="1" applyProtection="1"/>
    <xf numFmtId="0" fontId="59" fillId="4" borderId="9" xfId="8" applyFont="1" applyFill="1" applyBorder="1" applyAlignment="1">
      <alignment horizontal="left"/>
    </xf>
    <xf numFmtId="0" fontId="61" fillId="4" borderId="2" xfId="8" applyFont="1" applyFill="1" applyBorder="1" applyAlignment="1">
      <alignment horizontal="center"/>
    </xf>
    <xf numFmtId="0" fontId="61" fillId="4" borderId="2" xfId="8" applyFont="1" applyFill="1" applyBorder="1" applyAlignment="1">
      <alignment horizontal="right"/>
    </xf>
    <xf numFmtId="0" fontId="60" fillId="4" borderId="10" xfId="8" applyFont="1" applyFill="1" applyBorder="1" applyAlignment="1">
      <alignment horizontal="right"/>
    </xf>
    <xf numFmtId="0" fontId="59" fillId="4" borderId="8" xfId="8" applyFont="1" applyFill="1" applyBorder="1" applyAlignment="1">
      <alignment horizontal="left"/>
    </xf>
    <xf numFmtId="0" fontId="61" fillId="4" borderId="0" xfId="8" applyFont="1" applyFill="1" applyBorder="1" applyAlignment="1">
      <alignment horizontal="right"/>
    </xf>
    <xf numFmtId="0" fontId="60" fillId="4" borderId="12" xfId="8" applyFont="1" applyFill="1" applyBorder="1" applyAlignment="1">
      <alignment horizontal="right"/>
    </xf>
    <xf numFmtId="0" fontId="61" fillId="4" borderId="0" xfId="8" applyFont="1" applyFill="1" applyBorder="1" applyAlignment="1">
      <alignment horizontal="left"/>
    </xf>
    <xf numFmtId="0" fontId="60" fillId="4" borderId="12" xfId="8" applyFont="1" applyFill="1" applyBorder="1" applyAlignment="1">
      <alignment horizontal="center"/>
    </xf>
    <xf numFmtId="0" fontId="59" fillId="4" borderId="83" xfId="8" applyFont="1" applyFill="1" applyBorder="1" applyAlignment="1">
      <alignment horizontal="left"/>
    </xf>
    <xf numFmtId="0" fontId="60" fillId="4" borderId="84" xfId="8" applyFont="1" applyFill="1" applyBorder="1" applyAlignment="1">
      <alignment horizontal="center"/>
    </xf>
    <xf numFmtId="0" fontId="64" fillId="4" borderId="5" xfId="8" applyFont="1" applyFill="1" applyBorder="1" applyAlignment="1">
      <alignment horizontal="left"/>
    </xf>
    <xf numFmtId="0" fontId="28" fillId="2" borderId="6" xfId="8" applyFont="1" applyFill="1" applyBorder="1" applyAlignment="1"/>
    <xf numFmtId="0" fontId="28" fillId="2" borderId="6" xfId="0" applyFont="1" applyFill="1" applyBorder="1"/>
    <xf numFmtId="0" fontId="28" fillId="2" borderId="11" xfId="8" applyFont="1" applyFill="1" applyBorder="1" applyAlignment="1"/>
    <xf numFmtId="0" fontId="27" fillId="10" borderId="97" xfId="8" applyFont="1" applyFill="1" applyBorder="1" applyAlignment="1">
      <alignment horizontal="left" vertical="center"/>
    </xf>
    <xf numFmtId="3" fontId="7" fillId="3" borderId="0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0" fontId="27" fillId="10" borderId="35" xfId="8" applyFont="1" applyFill="1" applyBorder="1" applyAlignment="1">
      <alignment horizontal="left" vertical="center"/>
    </xf>
    <xf numFmtId="0" fontId="64" fillId="10" borderId="101" xfId="8" applyFont="1" applyFill="1" applyBorder="1" applyAlignment="1">
      <alignment horizontal="left" vertical="center"/>
    </xf>
    <xf numFmtId="3" fontId="7" fillId="3" borderId="24" xfId="2" applyNumberFormat="1" applyFont="1" applyFill="1" applyBorder="1" applyAlignment="1">
      <alignment horizontal="center" vertical="center"/>
    </xf>
    <xf numFmtId="164" fontId="7" fillId="3" borderId="102" xfId="2" applyNumberFormat="1" applyFont="1" applyFill="1" applyBorder="1" applyAlignment="1">
      <alignment horizontal="center" vertical="center"/>
    </xf>
    <xf numFmtId="3" fontId="7" fillId="3" borderId="0" xfId="2" applyNumberFormat="1" applyFont="1" applyFill="1" applyBorder="1" applyAlignment="1"/>
    <xf numFmtId="0" fontId="64" fillId="10" borderId="38" xfId="8" applyFont="1" applyFill="1" applyBorder="1" applyAlignment="1">
      <alignment horizontal="left"/>
    </xf>
    <xf numFmtId="0" fontId="28" fillId="3" borderId="6" xfId="8" applyFont="1" applyFill="1" applyBorder="1" applyAlignment="1"/>
    <xf numFmtId="3" fontId="28" fillId="3" borderId="6" xfId="8" applyNumberFormat="1" applyFont="1" applyFill="1" applyBorder="1" applyAlignment="1"/>
    <xf numFmtId="0" fontId="28" fillId="3" borderId="11" xfId="8" applyFont="1" applyFill="1" applyBorder="1" applyAlignment="1"/>
    <xf numFmtId="0" fontId="66" fillId="3" borderId="0" xfId="0" applyFont="1" applyFill="1"/>
    <xf numFmtId="0" fontId="67" fillId="3" borderId="0" xfId="0" applyFont="1" applyFill="1"/>
    <xf numFmtId="0" fontId="68" fillId="3" borderId="0" xfId="0" applyFont="1" applyFill="1"/>
    <xf numFmtId="0" fontId="69" fillId="3" borderId="0" xfId="0" applyFont="1" applyFill="1"/>
    <xf numFmtId="0" fontId="48" fillId="3" borderId="0" xfId="1" applyFont="1" applyFill="1" applyAlignment="1" applyProtection="1"/>
    <xf numFmtId="0" fontId="59" fillId="4" borderId="9" xfId="20" applyFont="1" applyFill="1" applyBorder="1" applyAlignment="1">
      <alignment horizontal="left"/>
    </xf>
    <xf numFmtId="0" fontId="61" fillId="4" borderId="2" xfId="20" applyFont="1" applyFill="1" applyBorder="1" applyAlignment="1">
      <alignment horizontal="right"/>
    </xf>
    <xf numFmtId="0" fontId="61" fillId="4" borderId="2" xfId="20" applyFont="1" applyFill="1" applyBorder="1" applyAlignment="1">
      <alignment horizontal="center"/>
    </xf>
    <xf numFmtId="0" fontId="61" fillId="4" borderId="10" xfId="20" applyFont="1" applyFill="1" applyBorder="1" applyAlignment="1">
      <alignment horizontal="right"/>
    </xf>
    <xf numFmtId="0" fontId="59" fillId="4" borderId="8" xfId="20" applyFont="1" applyFill="1" applyBorder="1" applyAlignment="1">
      <alignment horizontal="left"/>
    </xf>
    <xf numFmtId="0" fontId="61" fillId="4" borderId="0" xfId="20" applyFont="1" applyFill="1" applyBorder="1" applyAlignment="1">
      <alignment horizontal="right"/>
    </xf>
    <xf numFmtId="0" fontId="61" fillId="4" borderId="0" xfId="20" applyFont="1" applyFill="1" applyBorder="1" applyAlignment="1">
      <alignment horizontal="center"/>
    </xf>
    <xf numFmtId="0" fontId="61" fillId="4" borderId="12" xfId="20" applyFont="1" applyFill="1" applyBorder="1" applyAlignment="1">
      <alignment horizontal="right"/>
    </xf>
    <xf numFmtId="0" fontId="23" fillId="3" borderId="0" xfId="20" applyFont="1" applyFill="1" applyBorder="1"/>
    <xf numFmtId="0" fontId="61" fillId="4" borderId="12" xfId="20" applyFont="1" applyFill="1" applyBorder="1" applyAlignment="1">
      <alignment horizontal="center"/>
    </xf>
    <xf numFmtId="0" fontId="59" fillId="4" borderId="5" xfId="20" applyFont="1" applyFill="1" applyBorder="1" applyAlignment="1">
      <alignment horizontal="left"/>
    </xf>
    <xf numFmtId="0" fontId="61" fillId="4" borderId="6" xfId="20" applyFont="1" applyFill="1" applyBorder="1" applyAlignment="1">
      <alignment horizontal="center"/>
    </xf>
    <xf numFmtId="0" fontId="61" fillId="4" borderId="11" xfId="20" applyFont="1" applyFill="1" applyBorder="1" applyAlignment="1">
      <alignment horizontal="center"/>
    </xf>
    <xf numFmtId="0" fontId="28" fillId="3" borderId="0" xfId="20" applyFont="1" applyFill="1"/>
    <xf numFmtId="3" fontId="7" fillId="3" borderId="0" xfId="20" applyNumberFormat="1" applyFont="1" applyFill="1" applyBorder="1" applyAlignment="1">
      <alignment horizontal="center" vertical="center"/>
    </xf>
    <xf numFmtId="0" fontId="28" fillId="3" borderId="12" xfId="20" applyFont="1" applyFill="1" applyBorder="1" applyAlignment="1"/>
    <xf numFmtId="3" fontId="28" fillId="3" borderId="0" xfId="20" applyNumberFormat="1" applyFont="1" applyFill="1" applyBorder="1" applyAlignment="1">
      <alignment horizontal="center" vertical="center"/>
    </xf>
    <xf numFmtId="166" fontId="28" fillId="3" borderId="12" xfId="20" applyNumberFormat="1" applyFont="1" applyFill="1" applyBorder="1" applyAlignment="1"/>
    <xf numFmtId="3" fontId="28" fillId="3" borderId="0" xfId="20" applyNumberFormat="1" applyFont="1" applyFill="1"/>
    <xf numFmtId="3" fontId="7" fillId="3" borderId="24" xfId="20" applyNumberFormat="1" applyFont="1" applyFill="1" applyBorder="1" applyAlignment="1">
      <alignment horizontal="center" vertical="center"/>
    </xf>
    <xf numFmtId="166" fontId="28" fillId="3" borderId="102" xfId="20" applyNumberFormat="1" applyFont="1" applyFill="1" applyBorder="1" applyAlignment="1"/>
    <xf numFmtId="0" fontId="64" fillId="10" borderId="98" xfId="20" applyFont="1" applyFill="1" applyBorder="1" applyAlignment="1">
      <alignment horizontal="left"/>
    </xf>
    <xf numFmtId="3" fontId="28" fillId="3" borderId="99" xfId="20" applyNumberFormat="1" applyFont="1" applyFill="1" applyBorder="1" applyAlignment="1"/>
    <xf numFmtId="3" fontId="28" fillId="3" borderId="100" xfId="20" applyNumberFormat="1" applyFont="1" applyFill="1" applyBorder="1" applyAlignment="1"/>
    <xf numFmtId="0" fontId="34" fillId="3" borderId="0" xfId="19" applyFont="1" applyFill="1"/>
    <xf numFmtId="0" fontId="28" fillId="3" borderId="0" xfId="19" applyFont="1" applyFill="1" applyBorder="1" applyAlignment="1"/>
    <xf numFmtId="9" fontId="28" fillId="3" borderId="0" xfId="19" applyNumberFormat="1" applyFont="1" applyFill="1" applyBorder="1" applyAlignment="1"/>
    <xf numFmtId="0" fontId="28" fillId="3" borderId="0" xfId="19" applyFont="1" applyFill="1"/>
    <xf numFmtId="0" fontId="28" fillId="3" borderId="14" xfId="19" applyFont="1" applyFill="1" applyBorder="1" applyAlignment="1"/>
    <xf numFmtId="3" fontId="54" fillId="10" borderId="35" xfId="19" applyNumberFormat="1" applyFont="1" applyFill="1" applyBorder="1" applyAlignment="1">
      <alignment horizontal="right" vertical="center"/>
    </xf>
    <xf numFmtId="0" fontId="27" fillId="10" borderId="97" xfId="19" applyFont="1" applyFill="1" applyBorder="1" applyAlignment="1">
      <alignment horizontal="left" vertical="center"/>
    </xf>
    <xf numFmtId="0" fontId="54" fillId="10" borderId="35" xfId="20" applyFont="1" applyFill="1" applyBorder="1" applyAlignment="1">
      <alignment horizontal="right" vertical="center"/>
    </xf>
    <xf numFmtId="0" fontId="27" fillId="10" borderId="35" xfId="20" applyFont="1" applyFill="1" applyBorder="1" applyAlignment="1">
      <alignment horizontal="left" vertical="center"/>
    </xf>
    <xf numFmtId="0" fontId="64" fillId="10" borderId="101" xfId="20" applyFont="1" applyFill="1" applyBorder="1" applyAlignment="1">
      <alignment horizontal="left" vertical="center"/>
    </xf>
    <xf numFmtId="0" fontId="28" fillId="8" borderId="9" xfId="21" applyFont="1" applyFill="1" applyBorder="1"/>
    <xf numFmtId="0" fontId="28" fillId="8" borderId="2" xfId="21" applyFont="1" applyFill="1" applyBorder="1"/>
    <xf numFmtId="0" fontId="28" fillId="8" borderId="10" xfId="21" applyFont="1" applyFill="1" applyBorder="1"/>
    <xf numFmtId="0" fontId="59" fillId="4" borderId="9" xfId="21" applyFont="1" applyFill="1" applyBorder="1" applyAlignment="1">
      <alignment horizontal="left"/>
    </xf>
    <xf numFmtId="0" fontId="61" fillId="4" borderId="2" xfId="21" applyFont="1" applyFill="1" applyBorder="1" applyAlignment="1">
      <alignment horizontal="right"/>
    </xf>
    <xf numFmtId="0" fontId="61" fillId="4" borderId="10" xfId="21" applyFont="1" applyFill="1" applyBorder="1" applyAlignment="1">
      <alignment horizontal="right"/>
    </xf>
    <xf numFmtId="0" fontId="28" fillId="3" borderId="0" xfId="21" applyFont="1" applyFill="1"/>
    <xf numFmtId="0" fontId="59" fillId="4" borderId="8" xfId="21" applyFont="1" applyFill="1" applyBorder="1" applyAlignment="1">
      <alignment horizontal="left"/>
    </xf>
    <xf numFmtId="0" fontId="61" fillId="4" borderId="0" xfId="21" applyFont="1" applyFill="1" applyBorder="1" applyAlignment="1">
      <alignment horizontal="right"/>
    </xf>
    <xf numFmtId="0" fontId="61" fillId="4" borderId="0" xfId="21" applyFont="1" applyFill="1" applyBorder="1" applyAlignment="1">
      <alignment horizontal="center"/>
    </xf>
    <xf numFmtId="0" fontId="61" fillId="4" borderId="12" xfId="21" applyFont="1" applyFill="1" applyBorder="1" applyAlignment="1">
      <alignment horizontal="right"/>
    </xf>
    <xf numFmtId="0" fontId="61" fillId="4" borderId="0" xfId="21" quotePrefix="1" applyFont="1" applyFill="1" applyBorder="1" applyAlignment="1">
      <alignment horizontal="center"/>
    </xf>
    <xf numFmtId="0" fontId="59" fillId="4" borderId="5" xfId="21" applyFont="1" applyFill="1" applyBorder="1" applyAlignment="1">
      <alignment horizontal="left"/>
    </xf>
    <xf numFmtId="3" fontId="28" fillId="3" borderId="0" xfId="21" applyNumberFormat="1" applyFont="1" applyFill="1"/>
    <xf numFmtId="0" fontId="64" fillId="10" borderId="98" xfId="21" applyFont="1" applyFill="1" applyBorder="1" applyAlignment="1">
      <alignment horizontal="left"/>
    </xf>
    <xf numFmtId="3" fontId="28" fillId="3" borderId="99" xfId="21" applyNumberFormat="1" applyFont="1" applyFill="1" applyBorder="1" applyAlignment="1"/>
    <xf numFmtId="3" fontId="28" fillId="3" borderId="100" xfId="21" applyNumberFormat="1" applyFont="1" applyFill="1" applyBorder="1" applyAlignment="1"/>
    <xf numFmtId="0" fontId="54" fillId="10" borderId="35" xfId="21" applyFont="1" applyFill="1" applyBorder="1" applyAlignment="1">
      <alignment horizontal="right" vertical="center"/>
    </xf>
    <xf numFmtId="0" fontId="27" fillId="10" borderId="35" xfId="21" applyFont="1" applyFill="1" applyBorder="1" applyAlignment="1">
      <alignment horizontal="left" vertical="center"/>
    </xf>
    <xf numFmtId="0" fontId="64" fillId="10" borderId="101" xfId="21" applyFont="1" applyFill="1" applyBorder="1" applyAlignment="1">
      <alignment horizontal="left" vertical="center"/>
    </xf>
    <xf numFmtId="0" fontId="61" fillId="4" borderId="6" xfId="21" applyFont="1" applyFill="1" applyBorder="1" applyAlignment="1">
      <alignment horizontal="center"/>
    </xf>
    <xf numFmtId="0" fontId="61" fillId="4" borderId="11" xfId="21" applyFont="1" applyFill="1" applyBorder="1" applyAlignment="1">
      <alignment horizontal="center"/>
    </xf>
    <xf numFmtId="3" fontId="7" fillId="3" borderId="2" xfId="21" applyNumberFormat="1" applyFont="1" applyFill="1" applyBorder="1" applyAlignment="1">
      <alignment horizontal="center" vertical="center"/>
    </xf>
    <xf numFmtId="3" fontId="7" fillId="3" borderId="10" xfId="21" applyNumberFormat="1" applyFont="1" applyFill="1" applyBorder="1" applyAlignment="1">
      <alignment horizontal="center" vertical="center"/>
    </xf>
    <xf numFmtId="3" fontId="28" fillId="3" borderId="0" xfId="21" applyNumberFormat="1" applyFont="1" applyFill="1" applyBorder="1" applyAlignment="1">
      <alignment horizontal="center" vertical="center"/>
    </xf>
    <xf numFmtId="3" fontId="28" fillId="3" borderId="12" xfId="21" applyNumberFormat="1" applyFont="1" applyFill="1" applyBorder="1" applyAlignment="1">
      <alignment horizontal="center" vertical="center"/>
    </xf>
    <xf numFmtId="3" fontId="7" fillId="3" borderId="0" xfId="21" applyNumberFormat="1" applyFont="1" applyFill="1" applyBorder="1" applyAlignment="1">
      <alignment horizontal="center" vertical="center"/>
    </xf>
    <xf numFmtId="3" fontId="7" fillId="3" borderId="12" xfId="21" applyNumberFormat="1" applyFont="1" applyFill="1" applyBorder="1" applyAlignment="1">
      <alignment horizontal="center" vertical="center"/>
    </xf>
    <xf numFmtId="3" fontId="7" fillId="3" borderId="99" xfId="21" applyNumberFormat="1" applyFont="1" applyFill="1" applyBorder="1" applyAlignment="1">
      <alignment horizontal="center" vertical="center"/>
    </xf>
    <xf numFmtId="3" fontId="7" fillId="3" borderId="100" xfId="21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/>
    </xf>
    <xf numFmtId="3" fontId="7" fillId="3" borderId="10" xfId="0" applyNumberFormat="1" applyFont="1" applyFill="1" applyBorder="1" applyAlignment="1">
      <alignment horizontal="center"/>
    </xf>
    <xf numFmtId="3" fontId="28" fillId="9" borderId="0" xfId="0" applyNumberFormat="1" applyFont="1" applyFill="1" applyBorder="1" applyAlignment="1">
      <alignment horizontal="center"/>
    </xf>
    <xf numFmtId="3" fontId="28" fillId="9" borderId="12" xfId="0" applyNumberFormat="1" applyFont="1" applyFill="1" applyBorder="1" applyAlignment="1">
      <alignment horizontal="center"/>
    </xf>
    <xf numFmtId="3" fontId="28" fillId="3" borderId="0" xfId="0" applyNumberFormat="1" applyFont="1" applyFill="1" applyBorder="1" applyAlignment="1">
      <alignment horizontal="center"/>
    </xf>
    <xf numFmtId="3" fontId="7" fillId="9" borderId="12" xfId="0" applyNumberFormat="1" applyFont="1" applyFill="1" applyBorder="1" applyAlignment="1">
      <alignment horizontal="center"/>
    </xf>
    <xf numFmtId="3" fontId="7" fillId="3" borderId="24" xfId="0" applyNumberFormat="1" applyFont="1" applyFill="1" applyBorder="1" applyAlignment="1">
      <alignment horizontal="center"/>
    </xf>
    <xf numFmtId="3" fontId="7" fillId="3" borderId="102" xfId="0" applyNumberFormat="1" applyFont="1" applyFill="1" applyBorder="1" applyAlignment="1">
      <alignment horizontal="center"/>
    </xf>
    <xf numFmtId="0" fontId="54" fillId="10" borderId="35" xfId="0" applyFont="1" applyFill="1" applyBorder="1" applyAlignment="1">
      <alignment horizontal="right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3" borderId="10" xfId="0" applyNumberFormat="1" applyFont="1" applyFill="1" applyBorder="1" applyAlignment="1">
      <alignment horizontal="center" vertical="center"/>
    </xf>
    <xf numFmtId="0" fontId="28" fillId="8" borderId="9" xfId="10" applyFont="1" applyFill="1" applyBorder="1"/>
    <xf numFmtId="0" fontId="28" fillId="8" borderId="2" xfId="10" applyFont="1" applyFill="1" applyBorder="1"/>
    <xf numFmtId="0" fontId="28" fillId="8" borderId="10" xfId="10" applyFont="1" applyFill="1" applyBorder="1"/>
    <xf numFmtId="0" fontId="59" fillId="4" borderId="9" xfId="10" applyFont="1" applyFill="1" applyBorder="1" applyAlignment="1">
      <alignment horizontal="left"/>
    </xf>
    <xf numFmtId="0" fontId="59" fillId="4" borderId="2" xfId="10" applyFont="1" applyFill="1" applyBorder="1" applyAlignment="1"/>
    <xf numFmtId="0" fontId="61" fillId="4" borderId="2" xfId="10" applyFont="1" applyFill="1" applyBorder="1" applyAlignment="1">
      <alignment horizontal="right"/>
    </xf>
    <xf numFmtId="0" fontId="60" fillId="4" borderId="10" xfId="10" applyFont="1" applyFill="1" applyBorder="1" applyAlignment="1">
      <alignment horizontal="right"/>
    </xf>
    <xf numFmtId="0" fontId="59" fillId="4" borderId="8" xfId="10" applyFont="1" applyFill="1" applyBorder="1" applyAlignment="1">
      <alignment horizontal="left"/>
    </xf>
    <xf numFmtId="0" fontId="59" fillId="4" borderId="0" xfId="10" applyFont="1" applyFill="1" applyBorder="1" applyAlignment="1">
      <alignment horizontal="left"/>
    </xf>
    <xf numFmtId="0" fontId="61" fillId="4" borderId="0" xfId="10" applyFont="1" applyFill="1" applyBorder="1" applyAlignment="1">
      <alignment horizontal="right"/>
    </xf>
    <xf numFmtId="0" fontId="60" fillId="4" borderId="12" xfId="10" applyFont="1" applyFill="1" applyBorder="1" applyAlignment="1">
      <alignment horizontal="right"/>
    </xf>
    <xf numFmtId="0" fontId="61" fillId="4" borderId="0" xfId="10" applyFont="1" applyFill="1" applyBorder="1" applyAlignment="1">
      <alignment horizontal="center"/>
    </xf>
    <xf numFmtId="0" fontId="60" fillId="4" borderId="12" xfId="10" applyFont="1" applyFill="1" applyBorder="1" applyAlignment="1">
      <alignment horizontal="center"/>
    </xf>
    <xf numFmtId="0" fontId="59" fillId="4" borderId="5" xfId="10" applyFont="1" applyFill="1" applyBorder="1" applyAlignment="1">
      <alignment horizontal="left"/>
    </xf>
    <xf numFmtId="0" fontId="61" fillId="4" borderId="6" xfId="10" applyFont="1" applyFill="1" applyBorder="1" applyAlignment="1">
      <alignment horizontal="center"/>
    </xf>
    <xf numFmtId="0" fontId="60" fillId="4" borderId="11" xfId="10" applyFont="1" applyFill="1" applyBorder="1" applyAlignment="1">
      <alignment horizontal="center"/>
    </xf>
    <xf numFmtId="0" fontId="27" fillId="10" borderId="97" xfId="10" applyFont="1" applyFill="1" applyBorder="1" applyAlignment="1">
      <alignment horizontal="left" vertical="center"/>
    </xf>
    <xf numFmtId="0" fontId="27" fillId="10" borderId="35" xfId="10" applyFont="1" applyFill="1" applyBorder="1" applyAlignment="1">
      <alignment horizontal="left" vertical="center"/>
    </xf>
    <xf numFmtId="3" fontId="7" fillId="3" borderId="0" xfId="3" applyNumberFormat="1" applyFont="1" applyFill="1" applyBorder="1" applyAlignment="1">
      <alignment horizontal="center" vertical="center"/>
    </xf>
    <xf numFmtId="3" fontId="7" fillId="3" borderId="12" xfId="3" applyNumberFormat="1" applyFont="1" applyFill="1" applyBorder="1" applyAlignment="1">
      <alignment horizontal="center" vertical="center"/>
    </xf>
    <xf numFmtId="0" fontId="27" fillId="10" borderId="38" xfId="10" applyFont="1" applyFill="1" applyBorder="1" applyAlignment="1">
      <alignment horizontal="left" vertical="center"/>
    </xf>
    <xf numFmtId="3" fontId="7" fillId="3" borderId="6" xfId="3" applyNumberFormat="1" applyFont="1" applyFill="1" applyBorder="1" applyAlignment="1">
      <alignment horizontal="center" vertical="center"/>
    </xf>
    <xf numFmtId="3" fontId="7" fillId="3" borderId="11" xfId="3" applyNumberFormat="1" applyFont="1" applyFill="1" applyBorder="1" applyAlignment="1">
      <alignment horizontal="center" vertical="center"/>
    </xf>
    <xf numFmtId="0" fontId="21" fillId="3" borderId="0" xfId="10" applyFont="1" applyFill="1" applyAlignment="1">
      <alignment horizontal="left"/>
    </xf>
    <xf numFmtId="0" fontId="54" fillId="3" borderId="0" xfId="10" applyFont="1" applyFill="1"/>
    <xf numFmtId="0" fontId="27" fillId="3" borderId="0" xfId="10" applyFont="1" applyFill="1"/>
    <xf numFmtId="164" fontId="21" fillId="3" borderId="0" xfId="10" applyNumberFormat="1" applyFont="1" applyFill="1" applyAlignment="1">
      <alignment horizontal="left"/>
    </xf>
    <xf numFmtId="1" fontId="21" fillId="3" borderId="0" xfId="4" applyNumberFormat="1" applyFont="1" applyFill="1"/>
    <xf numFmtId="0" fontId="28" fillId="3" borderId="0" xfId="10" applyFont="1" applyFill="1"/>
    <xf numFmtId="3" fontId="28" fillId="3" borderId="0" xfId="10" applyNumberFormat="1" applyFont="1" applyFill="1"/>
    <xf numFmtId="0" fontId="28" fillId="8" borderId="23" xfId="10" applyFont="1" applyFill="1" applyBorder="1"/>
    <xf numFmtId="0" fontId="28" fillId="8" borderId="24" xfId="10" applyFont="1" applyFill="1" applyBorder="1"/>
    <xf numFmtId="0" fontId="28" fillId="8" borderId="26" xfId="10" applyFont="1" applyFill="1" applyBorder="1"/>
    <xf numFmtId="0" fontId="61" fillId="15" borderId="8" xfId="10" applyFont="1" applyFill="1" applyBorder="1" applyAlignment="1">
      <alignment horizontal="right"/>
    </xf>
    <xf numFmtId="0" fontId="61" fillId="15" borderId="0" xfId="10" applyFont="1" applyFill="1" applyBorder="1" applyAlignment="1">
      <alignment horizontal="right"/>
    </xf>
    <xf numFmtId="0" fontId="61" fillId="15" borderId="12" xfId="10" applyFont="1" applyFill="1" applyBorder="1" applyAlignment="1">
      <alignment horizontal="right"/>
    </xf>
    <xf numFmtId="0" fontId="64" fillId="10" borderId="9" xfId="10" applyFont="1" applyFill="1" applyBorder="1" applyAlignment="1">
      <alignment horizontal="left"/>
    </xf>
    <xf numFmtId="0" fontId="28" fillId="3" borderId="2" xfId="10" applyFont="1" applyFill="1" applyBorder="1" applyAlignment="1"/>
    <xf numFmtId="0" fontId="28" fillId="3" borderId="10" xfId="10" applyFont="1" applyFill="1" applyBorder="1" applyAlignment="1"/>
    <xf numFmtId="0" fontId="70" fillId="3" borderId="0" xfId="10" applyFont="1" applyFill="1"/>
    <xf numFmtId="0" fontId="64" fillId="10" borderId="8" xfId="10" applyFont="1" applyFill="1" applyBorder="1" applyAlignment="1">
      <alignment horizontal="left"/>
    </xf>
    <xf numFmtId="165" fontId="7" fillId="3" borderId="0" xfId="10" applyNumberFormat="1" applyFont="1" applyFill="1" applyBorder="1" applyAlignment="1"/>
    <xf numFmtId="0" fontId="28" fillId="3" borderId="12" xfId="10" applyFont="1" applyFill="1" applyBorder="1" applyAlignment="1"/>
    <xf numFmtId="0" fontId="64" fillId="10" borderId="5" xfId="10" applyFont="1" applyFill="1" applyBorder="1" applyAlignment="1">
      <alignment horizontal="left"/>
    </xf>
    <xf numFmtId="165" fontId="7" fillId="3" borderId="6" xfId="10" applyNumberFormat="1" applyFont="1" applyFill="1" applyBorder="1" applyAlignment="1"/>
    <xf numFmtId="0" fontId="28" fillId="3" borderId="11" xfId="10" applyFont="1" applyFill="1" applyBorder="1" applyAlignment="1"/>
    <xf numFmtId="0" fontId="28" fillId="8" borderId="9" xfId="12" applyFont="1" applyFill="1" applyBorder="1"/>
    <xf numFmtId="0" fontId="28" fillId="8" borderId="2" xfId="12" applyFont="1" applyFill="1" applyBorder="1"/>
    <xf numFmtId="0" fontId="28" fillId="8" borderId="10" xfId="12" applyFont="1" applyFill="1" applyBorder="1"/>
    <xf numFmtId="0" fontId="61" fillId="4" borderId="9" xfId="12" applyFont="1" applyFill="1" applyBorder="1" applyAlignment="1">
      <alignment horizontal="right"/>
    </xf>
    <xf numFmtId="0" fontId="61" fillId="4" borderId="2" xfId="12" applyFont="1" applyFill="1" applyBorder="1" applyAlignment="1">
      <alignment horizontal="right"/>
    </xf>
    <xf numFmtId="0" fontId="5" fillId="4" borderId="2" xfId="20" applyFont="1" applyFill="1" applyBorder="1" applyAlignment="1">
      <alignment horizontal="center"/>
    </xf>
    <xf numFmtId="3" fontId="61" fillId="4" borderId="10" xfId="12" applyNumberFormat="1" applyFont="1" applyFill="1" applyBorder="1" applyAlignment="1">
      <alignment horizontal="right"/>
    </xf>
    <xf numFmtId="0" fontId="61" fillId="4" borderId="8" xfId="12" applyFont="1" applyFill="1" applyBorder="1" applyAlignment="1">
      <alignment horizontal="right"/>
    </xf>
    <xf numFmtId="0" fontId="61" fillId="4" borderId="0" xfId="12" applyFont="1" applyFill="1" applyBorder="1" applyAlignment="1">
      <alignment horizontal="right"/>
    </xf>
    <xf numFmtId="0" fontId="61" fillId="4" borderId="0" xfId="12" applyFont="1" applyFill="1" applyBorder="1" applyAlignment="1">
      <alignment horizontal="center"/>
    </xf>
    <xf numFmtId="3" fontId="61" fillId="4" borderId="12" xfId="12" applyNumberFormat="1" applyFont="1" applyFill="1" applyBorder="1" applyAlignment="1">
      <alignment horizontal="right"/>
    </xf>
    <xf numFmtId="0" fontId="61" fillId="4" borderId="8" xfId="12" applyFont="1" applyFill="1" applyBorder="1" applyAlignment="1">
      <alignment horizontal="left"/>
    </xf>
    <xf numFmtId="3" fontId="61" fillId="4" borderId="12" xfId="12" applyNumberFormat="1" applyFont="1" applyFill="1" applyBorder="1" applyAlignment="1">
      <alignment horizontal="center"/>
    </xf>
    <xf numFmtId="0" fontId="61" fillId="4" borderId="5" xfId="12" applyFont="1" applyFill="1" applyBorder="1" applyAlignment="1">
      <alignment horizontal="right"/>
    </xf>
    <xf numFmtId="0" fontId="61" fillId="4" borderId="6" xfId="12" applyFont="1" applyFill="1" applyBorder="1" applyAlignment="1">
      <alignment horizontal="center"/>
    </xf>
    <xf numFmtId="3" fontId="61" fillId="4" borderId="11" xfId="12" applyNumberFormat="1" applyFont="1" applyFill="1" applyBorder="1" applyAlignment="1">
      <alignment horizontal="center"/>
    </xf>
    <xf numFmtId="0" fontId="64" fillId="10" borderId="35" xfId="12" applyFont="1" applyFill="1" applyBorder="1" applyAlignment="1">
      <alignment horizontal="left"/>
    </xf>
    <xf numFmtId="3" fontId="7" fillId="3" borderId="0" xfId="12" applyNumberFormat="1" applyFont="1" applyFill="1" applyBorder="1" applyAlignment="1">
      <alignment horizontal="center"/>
    </xf>
    <xf numFmtId="3" fontId="7" fillId="3" borderId="0" xfId="12" quotePrefix="1" applyNumberFormat="1" applyFont="1" applyFill="1" applyBorder="1" applyAlignment="1">
      <alignment horizontal="center"/>
    </xf>
    <xf numFmtId="3" fontId="7" fillId="3" borderId="12" xfId="12" quotePrefix="1" applyNumberFormat="1" applyFont="1" applyFill="1" applyBorder="1" applyAlignment="1">
      <alignment horizontal="center"/>
    </xf>
    <xf numFmtId="0" fontId="27" fillId="10" borderId="35" xfId="12" applyFont="1" applyFill="1" applyBorder="1" applyAlignment="1">
      <alignment horizontal="left"/>
    </xf>
    <xf numFmtId="3" fontId="7" fillId="3" borderId="12" xfId="12" applyNumberFormat="1" applyFont="1" applyFill="1" applyBorder="1" applyAlignment="1">
      <alignment horizontal="center"/>
    </xf>
    <xf numFmtId="0" fontId="27" fillId="10" borderId="38" xfId="12" applyFont="1" applyFill="1" applyBorder="1" applyAlignment="1">
      <alignment horizontal="left"/>
    </xf>
    <xf numFmtId="3" fontId="28" fillId="3" borderId="6" xfId="12" applyNumberFormat="1" applyFont="1" applyFill="1" applyBorder="1" applyAlignment="1">
      <alignment horizontal="center"/>
    </xf>
    <xf numFmtId="3" fontId="28" fillId="3" borderId="11" xfId="12" applyNumberFormat="1" applyFont="1" applyFill="1" applyBorder="1" applyAlignment="1">
      <alignment horizontal="center"/>
    </xf>
    <xf numFmtId="0" fontId="71" fillId="3" borderId="0" xfId="11" applyFont="1" applyFill="1"/>
    <xf numFmtId="3" fontId="28" fillId="3" borderId="0" xfId="12" applyNumberFormat="1" applyFont="1" applyFill="1" applyBorder="1" applyAlignment="1"/>
    <xf numFmtId="0" fontId="28" fillId="3" borderId="0" xfId="12" applyFont="1" applyFill="1"/>
    <xf numFmtId="0" fontId="28" fillId="8" borderId="9" xfId="11" applyFont="1" applyFill="1" applyBorder="1"/>
    <xf numFmtId="0" fontId="28" fillId="8" borderId="2" xfId="11" applyFont="1" applyFill="1" applyBorder="1"/>
    <xf numFmtId="0" fontId="28" fillId="8" borderId="10" xfId="11" applyFont="1" applyFill="1" applyBorder="1"/>
    <xf numFmtId="0" fontId="28" fillId="3" borderId="0" xfId="11" applyFont="1" applyFill="1"/>
    <xf numFmtId="0" fontId="59" fillId="4" borderId="9" xfId="11" applyFont="1" applyFill="1" applyBorder="1" applyAlignment="1">
      <alignment horizontal="left"/>
    </xf>
    <xf numFmtId="0" fontId="59" fillId="4" borderId="2" xfId="11" applyFont="1" applyFill="1" applyBorder="1" applyAlignment="1">
      <alignment horizontal="left"/>
    </xf>
    <xf numFmtId="0" fontId="65" fillId="4" borderId="2" xfId="11" applyFont="1" applyFill="1" applyBorder="1" applyAlignment="1">
      <alignment horizontal="right"/>
    </xf>
    <xf numFmtId="0" fontId="59" fillId="4" borderId="10" xfId="11" applyFont="1" applyFill="1" applyBorder="1" applyAlignment="1">
      <alignment horizontal="right"/>
    </xf>
    <xf numFmtId="0" fontId="59" fillId="4" borderId="8" xfId="11" applyFont="1" applyFill="1" applyBorder="1" applyAlignment="1">
      <alignment horizontal="left"/>
    </xf>
    <xf numFmtId="0" fontId="59" fillId="4" borderId="0" xfId="11" applyFont="1" applyFill="1" applyBorder="1" applyAlignment="1">
      <alignment horizontal="left"/>
    </xf>
    <xf numFmtId="0" fontId="59" fillId="4" borderId="0" xfId="11" applyFont="1" applyFill="1" applyBorder="1" applyAlignment="1"/>
    <xf numFmtId="0" fontId="65" fillId="4" borderId="0" xfId="11" applyFont="1" applyFill="1" applyBorder="1" applyAlignment="1">
      <alignment horizontal="right"/>
    </xf>
    <xf numFmtId="0" fontId="59" fillId="4" borderId="12" xfId="11" applyFont="1" applyFill="1" applyBorder="1" applyAlignment="1">
      <alignment horizontal="right"/>
    </xf>
    <xf numFmtId="0" fontId="72" fillId="3" borderId="0" xfId="11" applyFont="1" applyFill="1" applyBorder="1"/>
    <xf numFmtId="0" fontId="59" fillId="4" borderId="0" xfId="11" applyFont="1" applyFill="1" applyBorder="1" applyAlignment="1">
      <alignment horizontal="center"/>
    </xf>
    <xf numFmtId="0" fontId="59" fillId="4" borderId="12" xfId="11" applyFont="1" applyFill="1" applyBorder="1" applyAlignment="1">
      <alignment horizontal="center"/>
    </xf>
    <xf numFmtId="0" fontId="59" fillId="4" borderId="5" xfId="11" applyFont="1" applyFill="1" applyBorder="1" applyAlignment="1">
      <alignment horizontal="left"/>
    </xf>
    <xf numFmtId="0" fontId="59" fillId="4" borderId="6" xfId="11" applyFont="1" applyFill="1" applyBorder="1" applyAlignment="1">
      <alignment horizontal="center"/>
    </xf>
    <xf numFmtId="0" fontId="59" fillId="4" borderId="11" xfId="11" applyFont="1" applyFill="1" applyBorder="1" applyAlignment="1">
      <alignment horizontal="center"/>
    </xf>
    <xf numFmtId="0" fontId="72" fillId="3" borderId="0" xfId="11" applyFont="1" applyFill="1"/>
    <xf numFmtId="0" fontId="73" fillId="10" borderId="35" xfId="11" applyFont="1" applyFill="1" applyBorder="1" applyAlignment="1">
      <alignment horizontal="left"/>
    </xf>
    <xf numFmtId="3" fontId="74" fillId="3" borderId="0" xfId="11" applyNumberFormat="1" applyFont="1" applyFill="1" applyBorder="1" applyAlignment="1">
      <alignment horizontal="center"/>
    </xf>
    <xf numFmtId="3" fontId="74" fillId="3" borderId="12" xfId="11" applyNumberFormat="1" applyFont="1" applyFill="1" applyBorder="1" applyAlignment="1">
      <alignment horizontal="center"/>
    </xf>
    <xf numFmtId="3" fontId="28" fillId="3" borderId="0" xfId="11" applyNumberFormat="1" applyFont="1" applyFill="1"/>
    <xf numFmtId="0" fontId="30" fillId="10" borderId="35" xfId="11" applyFont="1" applyFill="1" applyBorder="1" applyAlignment="1">
      <alignment horizontal="left"/>
    </xf>
    <xf numFmtId="0" fontId="30" fillId="10" borderId="38" xfId="11" applyFont="1" applyFill="1" applyBorder="1" applyAlignment="1">
      <alignment horizontal="left"/>
    </xf>
    <xf numFmtId="166" fontId="75" fillId="3" borderId="6" xfId="11" applyNumberFormat="1" applyFont="1" applyFill="1" applyBorder="1" applyAlignment="1">
      <alignment horizontal="center"/>
    </xf>
    <xf numFmtId="166" fontId="75" fillId="3" borderId="11" xfId="11" applyNumberFormat="1" applyFont="1" applyFill="1" applyBorder="1" applyAlignment="1">
      <alignment horizontal="center"/>
    </xf>
    <xf numFmtId="0" fontId="7" fillId="3" borderId="0" xfId="11" applyFont="1" applyFill="1"/>
    <xf numFmtId="9" fontId="28" fillId="3" borderId="0" xfId="11" applyNumberFormat="1" applyFont="1" applyFill="1"/>
    <xf numFmtId="4" fontId="7" fillId="3" borderId="0" xfId="11" applyNumberFormat="1" applyFont="1" applyFill="1"/>
    <xf numFmtId="165" fontId="7" fillId="3" borderId="0" xfId="11" applyNumberFormat="1" applyFont="1" applyFill="1"/>
    <xf numFmtId="0" fontId="37" fillId="3" borderId="0" xfId="11" applyFont="1" applyFill="1"/>
    <xf numFmtId="1" fontId="28" fillId="3" borderId="0" xfId="3" applyNumberFormat="1" applyFont="1" applyFill="1"/>
    <xf numFmtId="0" fontId="28" fillId="8" borderId="9" xfId="13" applyFont="1" applyFill="1" applyBorder="1"/>
    <xf numFmtId="0" fontId="28" fillId="8" borderId="2" xfId="13" applyFont="1" applyFill="1" applyBorder="1"/>
    <xf numFmtId="0" fontId="28" fillId="8" borderId="10" xfId="13" applyFont="1" applyFill="1" applyBorder="1"/>
    <xf numFmtId="0" fontId="28" fillId="3" borderId="0" xfId="13" applyFont="1" applyFill="1"/>
    <xf numFmtId="0" fontId="59" fillId="4" borderId="9" xfId="13" applyFont="1" applyFill="1" applyBorder="1" applyAlignment="1">
      <alignment horizontal="left"/>
    </xf>
    <xf numFmtId="0" fontId="61" fillId="4" borderId="2" xfId="13" applyFont="1" applyFill="1" applyBorder="1" applyAlignment="1">
      <alignment horizontal="right"/>
    </xf>
    <xf numFmtId="0" fontId="60" fillId="4" borderId="10" xfId="13" applyFont="1" applyFill="1" applyBorder="1" applyAlignment="1">
      <alignment horizontal="right"/>
    </xf>
    <xf numFmtId="0" fontId="59" fillId="4" borderId="8" xfId="13" applyFont="1" applyFill="1" applyBorder="1" applyAlignment="1">
      <alignment horizontal="left"/>
    </xf>
    <xf numFmtId="0" fontId="61" fillId="4" borderId="0" xfId="13" applyFont="1" applyFill="1" applyBorder="1" applyAlignment="1">
      <alignment horizontal="right"/>
    </xf>
    <xf numFmtId="0" fontId="61" fillId="4" borderId="0" xfId="13" applyFont="1" applyFill="1" applyBorder="1" applyAlignment="1">
      <alignment horizontal="center"/>
    </xf>
    <xf numFmtId="0" fontId="60" fillId="4" borderId="12" xfId="13" applyFont="1" applyFill="1" applyBorder="1" applyAlignment="1">
      <alignment horizontal="right"/>
    </xf>
    <xf numFmtId="0" fontId="59" fillId="4" borderId="5" xfId="13" applyFont="1" applyFill="1" applyBorder="1" applyAlignment="1">
      <alignment horizontal="left"/>
    </xf>
    <xf numFmtId="0" fontId="61" fillId="4" borderId="6" xfId="13" applyFont="1" applyFill="1" applyBorder="1" applyAlignment="1">
      <alignment horizontal="center"/>
    </xf>
    <xf numFmtId="0" fontId="60" fillId="4" borderId="11" xfId="13" applyFont="1" applyFill="1" applyBorder="1" applyAlignment="1">
      <alignment horizontal="center"/>
    </xf>
    <xf numFmtId="0" fontId="27" fillId="10" borderId="35" xfId="13" applyFont="1" applyFill="1" applyBorder="1" applyAlignment="1">
      <alignment horizontal="left"/>
    </xf>
    <xf numFmtId="3" fontId="7" fillId="3" borderId="0" xfId="13" applyNumberFormat="1" applyFont="1" applyFill="1" applyBorder="1" applyAlignment="1"/>
    <xf numFmtId="3" fontId="7" fillId="3" borderId="12" xfId="13" applyNumberFormat="1" applyFont="1" applyFill="1" applyBorder="1" applyAlignment="1"/>
    <xf numFmtId="3" fontId="28" fillId="3" borderId="0" xfId="13" applyNumberFormat="1" applyFont="1" applyFill="1"/>
    <xf numFmtId="0" fontId="64" fillId="10" borderId="35" xfId="13" applyFont="1" applyFill="1" applyBorder="1" applyAlignment="1">
      <alignment horizontal="left"/>
    </xf>
    <xf numFmtId="0" fontId="28" fillId="3" borderId="0" xfId="13" applyFont="1" applyFill="1" applyAlignment="1">
      <alignment horizontal="center"/>
    </xf>
    <xf numFmtId="0" fontId="64" fillId="10" borderId="38" xfId="13" applyFont="1" applyFill="1" applyBorder="1" applyAlignment="1">
      <alignment horizontal="left"/>
    </xf>
    <xf numFmtId="3" fontId="28" fillId="3" borderId="6" xfId="13" applyNumberFormat="1" applyFont="1" applyFill="1" applyBorder="1" applyAlignment="1"/>
    <xf numFmtId="3" fontId="28" fillId="3" borderId="11" xfId="13" applyNumberFormat="1" applyFont="1" applyFill="1" applyBorder="1" applyAlignment="1"/>
    <xf numFmtId="3" fontId="28" fillId="3" borderId="0" xfId="13" applyNumberFormat="1" applyFont="1" applyFill="1" applyBorder="1" applyAlignment="1"/>
    <xf numFmtId="0" fontId="34" fillId="3" borderId="0" xfId="11" applyFont="1" applyFill="1"/>
    <xf numFmtId="3" fontId="7" fillId="3" borderId="0" xfId="13" applyNumberFormat="1" applyFont="1" applyFill="1" applyBorder="1" applyAlignment="1">
      <alignment horizontal="center"/>
    </xf>
    <xf numFmtId="3" fontId="7" fillId="3" borderId="12" xfId="13" applyNumberFormat="1" applyFont="1" applyFill="1" applyBorder="1" applyAlignment="1">
      <alignment horizontal="center"/>
    </xf>
    <xf numFmtId="0" fontId="28" fillId="0" borderId="0" xfId="0" applyFont="1"/>
    <xf numFmtId="0" fontId="23" fillId="8" borderId="9" xfId="14" applyFont="1" applyFill="1" applyBorder="1"/>
    <xf numFmtId="0" fontId="23" fillId="8" borderId="2" xfId="14" applyFont="1" applyFill="1" applyBorder="1"/>
    <xf numFmtId="0" fontId="23" fillId="8" borderId="10" xfId="14" applyFont="1" applyFill="1" applyBorder="1"/>
    <xf numFmtId="0" fontId="23" fillId="3" borderId="0" xfId="14" applyFont="1" applyFill="1"/>
    <xf numFmtId="0" fontId="59" fillId="4" borderId="9" xfId="14" applyFont="1" applyFill="1" applyBorder="1" applyAlignment="1">
      <alignment horizontal="left"/>
    </xf>
    <xf numFmtId="0" fontId="61" fillId="4" borderId="2" xfId="14" applyFont="1" applyFill="1" applyBorder="1" applyAlignment="1">
      <alignment horizontal="right"/>
    </xf>
    <xf numFmtId="0" fontId="61" fillId="4" borderId="2" xfId="14" applyFont="1" applyFill="1" applyBorder="1" applyAlignment="1">
      <alignment horizontal="left"/>
    </xf>
    <xf numFmtId="0" fontId="60" fillId="4" borderId="10" xfId="14" applyFont="1" applyFill="1" applyBorder="1" applyAlignment="1">
      <alignment horizontal="right"/>
    </xf>
    <xf numFmtId="0" fontId="28" fillId="3" borderId="0" xfId="14" applyFont="1" applyFill="1"/>
    <xf numFmtId="0" fontId="59" fillId="4" borderId="8" xfId="14" applyFont="1" applyFill="1" applyBorder="1" applyAlignment="1">
      <alignment horizontal="left"/>
    </xf>
    <xf numFmtId="0" fontId="61" fillId="4" borderId="0" xfId="14" applyFont="1" applyFill="1" applyBorder="1" applyAlignment="1">
      <alignment horizontal="right"/>
    </xf>
    <xf numFmtId="0" fontId="61" fillId="4" borderId="0" xfId="14" applyFont="1" applyFill="1" applyBorder="1" applyAlignment="1">
      <alignment horizontal="left"/>
    </xf>
    <xf numFmtId="0" fontId="60" fillId="4" borderId="12" xfId="14" applyFont="1" applyFill="1" applyBorder="1" applyAlignment="1">
      <alignment horizontal="right"/>
    </xf>
    <xf numFmtId="0" fontId="61" fillId="4" borderId="0" xfId="14" applyFont="1" applyFill="1" applyBorder="1" applyAlignment="1">
      <alignment horizontal="center"/>
    </xf>
    <xf numFmtId="0" fontId="60" fillId="4" borderId="12" xfId="14" applyFont="1" applyFill="1" applyBorder="1" applyAlignment="1">
      <alignment horizontal="center"/>
    </xf>
    <xf numFmtId="0" fontId="28" fillId="0" borderId="0" xfId="14" applyFont="1" applyFill="1" applyBorder="1"/>
    <xf numFmtId="0" fontId="59" fillId="4" borderId="5" xfId="14" applyFont="1" applyFill="1" applyBorder="1" applyAlignment="1">
      <alignment horizontal="left"/>
    </xf>
    <xf numFmtId="0" fontId="61" fillId="4" borderId="6" xfId="14" applyFont="1" applyFill="1" applyBorder="1" applyAlignment="1">
      <alignment horizontal="center"/>
    </xf>
    <xf numFmtId="0" fontId="60" fillId="4" borderId="11" xfId="14" applyFont="1" applyFill="1" applyBorder="1" applyAlignment="1">
      <alignment horizontal="center"/>
    </xf>
    <xf numFmtId="0" fontId="27" fillId="10" borderId="35" xfId="14" applyFont="1" applyFill="1" applyBorder="1" applyAlignment="1">
      <alignment horizontal="left"/>
    </xf>
    <xf numFmtId="3" fontId="7" fillId="3" borderId="0" xfId="14" quotePrefix="1" applyNumberFormat="1" applyFont="1" applyFill="1" applyBorder="1" applyAlignment="1"/>
    <xf numFmtId="3" fontId="7" fillId="3" borderId="0" xfId="14" applyNumberFormat="1" applyFont="1" applyFill="1" applyBorder="1" applyAlignment="1"/>
    <xf numFmtId="3" fontId="7" fillId="3" borderId="12" xfId="14" applyNumberFormat="1" applyFont="1" applyFill="1" applyBorder="1" applyAlignment="1"/>
    <xf numFmtId="3" fontId="7" fillId="0" borderId="0" xfId="14" quotePrefix="1" applyNumberFormat="1" applyFont="1" applyFill="1" applyBorder="1" applyAlignment="1"/>
    <xf numFmtId="0" fontId="64" fillId="10" borderId="35" xfId="14" applyFont="1" applyFill="1" applyBorder="1" applyAlignment="1">
      <alignment horizontal="left"/>
    </xf>
    <xf numFmtId="3" fontId="7" fillId="0" borderId="0" xfId="14" applyNumberFormat="1" applyFont="1" applyFill="1" applyBorder="1" applyAlignment="1"/>
    <xf numFmtId="0" fontId="28" fillId="3" borderId="12" xfId="0" applyFont="1" applyFill="1" applyBorder="1"/>
    <xf numFmtId="0" fontId="28" fillId="0" borderId="0" xfId="0" applyFont="1" applyFill="1" applyBorder="1"/>
    <xf numFmtId="0" fontId="64" fillId="10" borderId="38" xfId="14" applyFont="1" applyFill="1" applyBorder="1" applyAlignment="1">
      <alignment horizontal="left"/>
    </xf>
    <xf numFmtId="3" fontId="7" fillId="3" borderId="6" xfId="14" applyNumberFormat="1" applyFont="1" applyFill="1" applyBorder="1" applyAlignment="1"/>
    <xf numFmtId="3" fontId="7" fillId="3" borderId="11" xfId="14" applyNumberFormat="1" applyFont="1" applyFill="1" applyBorder="1" applyAlignment="1"/>
    <xf numFmtId="1" fontId="7" fillId="0" borderId="0" xfId="4" applyNumberFormat="1" applyFont="1" applyFill="1" applyBorder="1"/>
    <xf numFmtId="1" fontId="63" fillId="3" borderId="0" xfId="1" applyNumberFormat="1" applyFont="1" applyFill="1" applyAlignment="1" applyProtection="1"/>
    <xf numFmtId="0" fontId="23" fillId="0" borderId="0" xfId="14" applyFont="1" applyFill="1" applyBorder="1"/>
    <xf numFmtId="0" fontId="28" fillId="8" borderId="9" xfId="15" applyFont="1" applyFill="1" applyBorder="1"/>
    <xf numFmtId="0" fontId="28" fillId="8" borderId="2" xfId="15" applyFont="1" applyFill="1" applyBorder="1"/>
    <xf numFmtId="0" fontId="28" fillId="8" borderId="10" xfId="15" applyFont="1" applyFill="1" applyBorder="1"/>
    <xf numFmtId="0" fontId="28" fillId="3" borderId="0" xfId="15" applyFont="1" applyFill="1"/>
    <xf numFmtId="0" fontId="59" fillId="4" borderId="9" xfId="15" applyFont="1" applyFill="1" applyBorder="1" applyAlignment="1">
      <alignment horizontal="left"/>
    </xf>
    <xf numFmtId="0" fontId="61" fillId="4" borderId="2" xfId="15" applyFont="1" applyFill="1" applyBorder="1" applyAlignment="1">
      <alignment horizontal="right"/>
    </xf>
    <xf numFmtId="0" fontId="60" fillId="4" borderId="10" xfId="15" applyFont="1" applyFill="1" applyBorder="1" applyAlignment="1">
      <alignment horizontal="right"/>
    </xf>
    <xf numFmtId="0" fontId="59" fillId="4" borderId="8" xfId="15" applyFont="1" applyFill="1" applyBorder="1" applyAlignment="1">
      <alignment horizontal="left"/>
    </xf>
    <xf numFmtId="0" fontId="61" fillId="4" borderId="0" xfId="15" applyFont="1" applyFill="1" applyBorder="1" applyAlignment="1">
      <alignment horizontal="center"/>
    </xf>
    <xf numFmtId="0" fontId="61" fillId="4" borderId="0" xfId="15" applyFont="1" applyFill="1" applyBorder="1" applyAlignment="1">
      <alignment horizontal="left"/>
    </xf>
    <xf numFmtId="0" fontId="61" fillId="4" borderId="0" xfId="15" applyFont="1" applyFill="1" applyBorder="1" applyAlignment="1">
      <alignment horizontal="right"/>
    </xf>
    <xf numFmtId="0" fontId="60" fillId="4" borderId="12" xfId="15" applyFont="1" applyFill="1" applyBorder="1" applyAlignment="1">
      <alignment horizontal="right"/>
    </xf>
    <xf numFmtId="0" fontId="59" fillId="4" borderId="83" xfId="15" applyFont="1" applyFill="1" applyBorder="1" applyAlignment="1">
      <alignment horizontal="left"/>
    </xf>
    <xf numFmtId="0" fontId="64" fillId="4" borderId="5" xfId="15" applyFont="1" applyFill="1" applyBorder="1" applyAlignment="1">
      <alignment horizontal="left"/>
    </xf>
    <xf numFmtId="0" fontId="28" fillId="2" borderId="6" xfId="15" applyFont="1" applyFill="1" applyBorder="1" applyAlignment="1"/>
    <xf numFmtId="0" fontId="28" fillId="2" borderId="11" xfId="15" applyFont="1" applyFill="1" applyBorder="1" applyAlignment="1"/>
    <xf numFmtId="0" fontId="27" fillId="10" borderId="35" xfId="15" applyFont="1" applyFill="1" applyBorder="1" applyAlignment="1">
      <alignment horizontal="left"/>
    </xf>
    <xf numFmtId="3" fontId="7" fillId="3" borderId="0" xfId="15" applyNumberFormat="1" applyFont="1" applyFill="1" applyBorder="1" applyAlignment="1"/>
    <xf numFmtId="3" fontId="7" fillId="3" borderId="12" xfId="15" applyNumberFormat="1" applyFont="1" applyFill="1" applyBorder="1" applyAlignment="1"/>
    <xf numFmtId="3" fontId="28" fillId="3" borderId="0" xfId="15" applyNumberFormat="1" applyFont="1" applyFill="1"/>
    <xf numFmtId="0" fontId="64" fillId="10" borderId="35" xfId="15" applyFont="1" applyFill="1" applyBorder="1" applyAlignment="1">
      <alignment horizontal="left"/>
    </xf>
    <xf numFmtId="0" fontId="64" fillId="10" borderId="38" xfId="15" applyFont="1" applyFill="1" applyBorder="1" applyAlignment="1">
      <alignment horizontal="left"/>
    </xf>
    <xf numFmtId="3" fontId="7" fillId="3" borderId="6" xfId="15" applyNumberFormat="1" applyFont="1" applyFill="1" applyBorder="1" applyAlignment="1"/>
    <xf numFmtId="3" fontId="7" fillId="3" borderId="11" xfId="15" applyNumberFormat="1" applyFont="1" applyFill="1" applyBorder="1" applyAlignment="1"/>
    <xf numFmtId="3" fontId="7" fillId="3" borderId="0" xfId="15" applyNumberFormat="1" applyFont="1" applyFill="1" applyBorder="1" applyAlignment="1">
      <alignment horizontal="center"/>
    </xf>
    <xf numFmtId="3" fontId="7" fillId="3" borderId="12" xfId="15" applyNumberFormat="1" applyFont="1" applyFill="1" applyBorder="1" applyAlignment="1">
      <alignment horizontal="center"/>
    </xf>
    <xf numFmtId="0" fontId="61" fillId="4" borderId="1" xfId="15" applyFont="1" applyFill="1" applyBorder="1" applyAlignment="1">
      <alignment horizontal="center"/>
    </xf>
    <xf numFmtId="0" fontId="60" fillId="4" borderId="84" xfId="15" applyFont="1" applyFill="1" applyBorder="1" applyAlignment="1">
      <alignment horizontal="center"/>
    </xf>
    <xf numFmtId="0" fontId="28" fillId="8" borderId="9" xfId="16" applyFont="1" applyFill="1" applyBorder="1"/>
    <xf numFmtId="0" fontId="28" fillId="8" borderId="2" xfId="16" applyFont="1" applyFill="1" applyBorder="1"/>
    <xf numFmtId="0" fontId="28" fillId="8" borderId="10" xfId="16" applyFont="1" applyFill="1" applyBorder="1"/>
    <xf numFmtId="0" fontId="59" fillId="4" borderId="9" xfId="16" applyFont="1" applyFill="1" applyBorder="1" applyAlignment="1">
      <alignment horizontal="left"/>
    </xf>
    <xf numFmtId="0" fontId="61" fillId="4" borderId="2" xfId="16" applyFont="1" applyFill="1" applyBorder="1" applyAlignment="1">
      <alignment horizontal="right"/>
    </xf>
    <xf numFmtId="0" fontId="60" fillId="4" borderId="10" xfId="16" applyFont="1" applyFill="1" applyBorder="1" applyAlignment="1">
      <alignment horizontal="right"/>
    </xf>
    <xf numFmtId="0" fontId="59" fillId="4" borderId="8" xfId="16" applyFont="1" applyFill="1" applyBorder="1" applyAlignment="1">
      <alignment horizontal="left"/>
    </xf>
    <xf numFmtId="0" fontId="61" fillId="4" borderId="0" xfId="16" applyFont="1" applyFill="1" applyBorder="1" applyAlignment="1">
      <alignment horizontal="right"/>
    </xf>
    <xf numFmtId="0" fontId="61" fillId="4" borderId="0" xfId="16" applyFont="1" applyFill="1" applyBorder="1" applyAlignment="1">
      <alignment horizontal="left"/>
    </xf>
    <xf numFmtId="0" fontId="60" fillId="4" borderId="12" xfId="16" applyFont="1" applyFill="1" applyBorder="1" applyAlignment="1">
      <alignment horizontal="right"/>
    </xf>
    <xf numFmtId="0" fontId="61" fillId="4" borderId="0" xfId="16" applyFont="1" applyFill="1" applyBorder="1" applyAlignment="1">
      <alignment horizontal="center"/>
    </xf>
    <xf numFmtId="0" fontId="60" fillId="4" borderId="12" xfId="16" applyFont="1" applyFill="1" applyBorder="1" applyAlignment="1">
      <alignment horizontal="center"/>
    </xf>
    <xf numFmtId="0" fontId="76" fillId="4" borderId="0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0" fontId="59" fillId="4" borderId="5" xfId="16" applyFont="1" applyFill="1" applyBorder="1" applyAlignment="1">
      <alignment horizontal="left"/>
    </xf>
    <xf numFmtId="0" fontId="76" fillId="4" borderId="6" xfId="0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3" fontId="31" fillId="3" borderId="6" xfId="16" applyNumberFormat="1" applyFont="1" applyFill="1" applyBorder="1" applyAlignment="1"/>
    <xf numFmtId="3" fontId="31" fillId="3" borderId="11" xfId="16" applyNumberFormat="1" applyFont="1" applyFill="1" applyBorder="1" applyAlignment="1"/>
    <xf numFmtId="0" fontId="28" fillId="0" borderId="0" xfId="0" applyFont="1" applyFill="1"/>
    <xf numFmtId="3" fontId="31" fillId="0" borderId="0" xfId="16" applyNumberFormat="1" applyFont="1" applyFill="1" applyBorder="1" applyAlignment="1"/>
    <xf numFmtId="0" fontId="28" fillId="3" borderId="0" xfId="16" applyFont="1" applyFill="1"/>
    <xf numFmtId="0" fontId="23" fillId="3" borderId="0" xfId="16" applyFont="1" applyFill="1"/>
    <xf numFmtId="0" fontId="27" fillId="10" borderId="35" xfId="16" applyFont="1" applyFill="1" applyBorder="1" applyAlignment="1">
      <alignment horizontal="left"/>
    </xf>
    <xf numFmtId="3" fontId="7" fillId="3" borderId="0" xfId="16" applyNumberFormat="1" applyFont="1" applyFill="1" applyBorder="1" applyAlignment="1">
      <alignment horizontal="center"/>
    </xf>
    <xf numFmtId="3" fontId="7" fillId="3" borderId="0" xfId="16" quotePrefix="1" applyNumberFormat="1" applyFont="1" applyFill="1" applyBorder="1" applyAlignment="1">
      <alignment horizontal="center"/>
    </xf>
    <xf numFmtId="3" fontId="7" fillId="3" borderId="12" xfId="16" quotePrefix="1" applyNumberFormat="1" applyFont="1" applyFill="1" applyBorder="1" applyAlignment="1">
      <alignment horizontal="center"/>
    </xf>
    <xf numFmtId="3" fontId="28" fillId="3" borderId="0" xfId="16" applyNumberFormat="1" applyFont="1" applyFill="1"/>
    <xf numFmtId="0" fontId="64" fillId="10" borderId="35" xfId="16" applyFont="1" applyFill="1" applyBorder="1" applyAlignment="1">
      <alignment horizontal="left"/>
    </xf>
    <xf numFmtId="3" fontId="7" fillId="3" borderId="12" xfId="16" applyNumberFormat="1" applyFont="1" applyFill="1" applyBorder="1" applyAlignment="1">
      <alignment horizontal="center"/>
    </xf>
    <xf numFmtId="0" fontId="64" fillId="10" borderId="38" xfId="16" applyFont="1" applyFill="1" applyBorder="1" applyAlignment="1">
      <alignment horizontal="left"/>
    </xf>
    <xf numFmtId="0" fontId="5" fillId="2" borderId="47" xfId="0" applyFont="1" applyFill="1" applyBorder="1" applyAlignment="1">
      <alignment horizontal="center"/>
    </xf>
    <xf numFmtId="0" fontId="5" fillId="2" borderId="96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3" fontId="7" fillId="5" borderId="95" xfId="0" applyNumberFormat="1" applyFont="1" applyFill="1" applyBorder="1" applyAlignment="1">
      <alignment horizontal="center"/>
    </xf>
    <xf numFmtId="166" fontId="7" fillId="5" borderId="52" xfId="26" applyNumberFormat="1" applyFont="1" applyFill="1" applyBorder="1" applyAlignment="1">
      <alignment horizontal="center"/>
    </xf>
    <xf numFmtId="166" fontId="7" fillId="5" borderId="95" xfId="26" applyNumberFormat="1" applyFont="1" applyFill="1" applyBorder="1" applyAlignment="1">
      <alignment horizontal="center"/>
    </xf>
    <xf numFmtId="166" fontId="7" fillId="5" borderId="103" xfId="26" applyNumberFormat="1" applyFont="1" applyFill="1" applyBorder="1" applyAlignment="1">
      <alignment horizontal="center"/>
    </xf>
    <xf numFmtId="3" fontId="7" fillId="5" borderId="17" xfId="0" applyNumberFormat="1" applyFont="1" applyFill="1" applyBorder="1" applyAlignment="1">
      <alignment horizontal="center"/>
    </xf>
    <xf numFmtId="166" fontId="7" fillId="5" borderId="18" xfId="26" applyNumberFormat="1" applyFont="1" applyFill="1" applyBorder="1" applyAlignment="1">
      <alignment horizontal="center"/>
    </xf>
    <xf numFmtId="166" fontId="7" fillId="5" borderId="17" xfId="26" applyNumberFormat="1" applyFont="1" applyFill="1" applyBorder="1" applyAlignment="1">
      <alignment horizontal="center"/>
    </xf>
    <xf numFmtId="166" fontId="7" fillId="5" borderId="44" xfId="26" applyNumberFormat="1" applyFont="1" applyFill="1" applyBorder="1" applyAlignment="1">
      <alignment horizontal="center"/>
    </xf>
    <xf numFmtId="3" fontId="7" fillId="5" borderId="46" xfId="0" applyNumberFormat="1" applyFont="1" applyFill="1" applyBorder="1" applyAlignment="1">
      <alignment horizontal="center"/>
    </xf>
    <xf numFmtId="0" fontId="7" fillId="5" borderId="47" xfId="0" applyFont="1" applyFill="1" applyBorder="1" applyAlignment="1">
      <alignment horizontal="center"/>
    </xf>
    <xf numFmtId="166" fontId="7" fillId="5" borderId="47" xfId="0" applyNumberFormat="1" applyFont="1" applyFill="1" applyBorder="1" applyAlignment="1">
      <alignment horizontal="center"/>
    </xf>
    <xf numFmtId="3" fontId="7" fillId="5" borderId="104" xfId="0" applyNumberFormat="1" applyFont="1" applyFill="1" applyBorder="1" applyAlignment="1">
      <alignment horizontal="center"/>
    </xf>
    <xf numFmtId="166" fontId="7" fillId="5" borderId="96" xfId="0" applyNumberFormat="1" applyFont="1" applyFill="1" applyBorder="1" applyAlignment="1">
      <alignment horizontal="center"/>
    </xf>
    <xf numFmtId="166" fontId="7" fillId="5" borderId="41" xfId="0" applyNumberFormat="1" applyFont="1" applyFill="1" applyBorder="1" applyAlignment="1">
      <alignment horizontal="center"/>
    </xf>
    <xf numFmtId="0" fontId="7" fillId="5" borderId="96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1" fillId="0" borderId="0" xfId="0" applyFont="1"/>
    <xf numFmtId="0" fontId="78" fillId="3" borderId="0" xfId="0" applyFont="1" applyFill="1"/>
    <xf numFmtId="0" fontId="79" fillId="3" borderId="0" xfId="0" applyFont="1" applyFill="1" applyAlignment="1">
      <alignment horizontal="center"/>
    </xf>
    <xf numFmtId="0" fontId="79" fillId="3" borderId="0" xfId="0" applyFont="1" applyFill="1"/>
    <xf numFmtId="0" fontId="48" fillId="3" borderId="0" xfId="1" applyFont="1" applyFill="1" applyAlignment="1" applyProtection="1">
      <alignment horizontal="center"/>
    </xf>
    <xf numFmtId="0" fontId="67" fillId="3" borderId="0" xfId="0" applyFont="1" applyFill="1" applyAlignment="1">
      <alignment horizontal="center"/>
    </xf>
    <xf numFmtId="0" fontId="67" fillId="0" borderId="0" xfId="0" applyFont="1"/>
    <xf numFmtId="0" fontId="80" fillId="3" borderId="0" xfId="0" applyFont="1" applyFill="1"/>
    <xf numFmtId="0" fontId="80" fillId="3" borderId="0" xfId="0" applyFont="1" applyFill="1" applyAlignment="1">
      <alignment horizontal="center"/>
    </xf>
    <xf numFmtId="0" fontId="81" fillId="3" borderId="0" xfId="0" applyFont="1" applyFill="1" applyAlignment="1">
      <alignment horizontal="center"/>
    </xf>
    <xf numFmtId="0" fontId="82" fillId="3" borderId="0" xfId="0" applyFont="1" applyFill="1" applyAlignment="1">
      <alignment horizontal="center"/>
    </xf>
    <xf numFmtId="0" fontId="82" fillId="3" borderId="0" xfId="0" applyFont="1" applyFill="1"/>
    <xf numFmtId="0" fontId="82" fillId="0" borderId="0" xfId="0" applyFont="1"/>
    <xf numFmtId="0" fontId="81" fillId="3" borderId="0" xfId="0" applyFont="1" applyFill="1"/>
    <xf numFmtId="0" fontId="83" fillId="2" borderId="9" xfId="0" applyFont="1" applyFill="1" applyBorder="1"/>
    <xf numFmtId="0" fontId="84" fillId="2" borderId="48" xfId="0" applyFont="1" applyFill="1" applyBorder="1" applyAlignment="1">
      <alignment horizontal="center"/>
    </xf>
    <xf numFmtId="0" fontId="84" fillId="2" borderId="2" xfId="0" applyFont="1" applyFill="1" applyBorder="1" applyAlignment="1">
      <alignment horizontal="center"/>
    </xf>
    <xf numFmtId="0" fontId="85" fillId="3" borderId="0" xfId="0" applyFont="1" applyFill="1"/>
    <xf numFmtId="0" fontId="85" fillId="0" borderId="0" xfId="0" applyFont="1"/>
    <xf numFmtId="0" fontId="83" fillId="2" borderId="8" xfId="0" applyFont="1" applyFill="1" applyBorder="1"/>
    <xf numFmtId="0" fontId="83" fillId="2" borderId="49" xfId="0" applyFont="1" applyFill="1" applyBorder="1" applyAlignment="1">
      <alignment horizontal="center"/>
    </xf>
    <xf numFmtId="0" fontId="83" fillId="2" borderId="0" xfId="0" applyFont="1" applyFill="1" applyBorder="1" applyAlignment="1">
      <alignment horizontal="center"/>
    </xf>
    <xf numFmtId="0" fontId="84" fillId="2" borderId="49" xfId="0" applyFont="1" applyFill="1" applyBorder="1" applyAlignment="1">
      <alignment horizontal="center"/>
    </xf>
    <xf numFmtId="0" fontId="84" fillId="2" borderId="0" xfId="0" applyFont="1" applyFill="1" applyBorder="1" applyAlignment="1">
      <alignment horizontal="center"/>
    </xf>
    <xf numFmtId="0" fontId="86" fillId="7" borderId="48" xfId="0" applyFont="1" applyFill="1" applyBorder="1" applyAlignment="1">
      <alignment horizontal="center"/>
    </xf>
    <xf numFmtId="164" fontId="86" fillId="7" borderId="2" xfId="0" applyNumberFormat="1" applyFont="1" applyFill="1" applyBorder="1" applyAlignment="1">
      <alignment horizontal="center"/>
    </xf>
    <xf numFmtId="164" fontId="86" fillId="7" borderId="48" xfId="0" applyNumberFormat="1" applyFont="1" applyFill="1" applyBorder="1" applyAlignment="1">
      <alignment horizontal="center"/>
    </xf>
    <xf numFmtId="0" fontId="87" fillId="3" borderId="0" xfId="0" applyFont="1" applyFill="1"/>
    <xf numFmtId="0" fontId="87" fillId="0" borderId="0" xfId="0" applyFont="1"/>
    <xf numFmtId="0" fontId="86" fillId="7" borderId="8" xfId="0" applyFont="1" applyFill="1" applyBorder="1"/>
    <xf numFmtId="166" fontId="86" fillId="7" borderId="49" xfId="0" applyNumberFormat="1" applyFont="1" applyFill="1" applyBorder="1" applyAlignment="1">
      <alignment horizontal="center"/>
    </xf>
    <xf numFmtId="166" fontId="86" fillId="7" borderId="0" xfId="0" applyNumberFormat="1" applyFont="1" applyFill="1" applyBorder="1" applyAlignment="1">
      <alignment horizontal="center"/>
    </xf>
    <xf numFmtId="166" fontId="86" fillId="7" borderId="49" xfId="0" applyNumberFormat="1" applyFont="1" applyFill="1" applyBorder="1" applyAlignment="1">
      <alignment horizontal="right"/>
    </xf>
    <xf numFmtId="166" fontId="86" fillId="7" borderId="49" xfId="0" applyNumberFormat="1" applyFont="1" applyFill="1" applyBorder="1"/>
    <xf numFmtId="0" fontId="86" fillId="7" borderId="49" xfId="0" applyFont="1" applyFill="1" applyBorder="1" applyAlignment="1">
      <alignment horizontal="center"/>
    </xf>
    <xf numFmtId="0" fontId="86" fillId="7" borderId="0" xfId="0" applyFont="1" applyFill="1" applyBorder="1" applyAlignment="1">
      <alignment horizontal="center"/>
    </xf>
    <xf numFmtId="0" fontId="86" fillId="7" borderId="49" xfId="0" applyFont="1" applyFill="1" applyBorder="1"/>
    <xf numFmtId="164" fontId="86" fillId="7" borderId="0" xfId="0" applyNumberFormat="1" applyFont="1" applyFill="1" applyBorder="1" applyAlignment="1">
      <alignment horizontal="center"/>
    </xf>
    <xf numFmtId="164" fontId="86" fillId="7" borderId="49" xfId="0" applyNumberFormat="1" applyFont="1" applyFill="1" applyBorder="1" applyAlignment="1">
      <alignment horizontal="center"/>
    </xf>
    <xf numFmtId="0" fontId="86" fillId="7" borderId="8" xfId="0" applyFont="1" applyFill="1" applyBorder="1" applyAlignment="1">
      <alignment horizontal="left"/>
    </xf>
    <xf numFmtId="0" fontId="86" fillId="7" borderId="5" xfId="0" applyFont="1" applyFill="1" applyBorder="1" applyAlignment="1">
      <alignment horizontal="left"/>
    </xf>
    <xf numFmtId="166" fontId="86" fillId="7" borderId="50" xfId="0" applyNumberFormat="1" applyFont="1" applyFill="1" applyBorder="1" applyAlignment="1">
      <alignment horizontal="center"/>
    </xf>
    <xf numFmtId="166" fontId="86" fillId="7" borderId="6" xfId="0" applyNumberFormat="1" applyFont="1" applyFill="1" applyBorder="1" applyAlignment="1">
      <alignment horizontal="center"/>
    </xf>
    <xf numFmtId="0" fontId="86" fillId="6" borderId="0" xfId="0" applyFont="1" applyFill="1" applyBorder="1" applyAlignment="1">
      <alignment horizontal="left"/>
    </xf>
    <xf numFmtId="166" fontId="86" fillId="6" borderId="0" xfId="0" applyNumberFormat="1" applyFont="1" applyFill="1" applyBorder="1" applyAlignment="1">
      <alignment horizontal="center"/>
    </xf>
    <xf numFmtId="166" fontId="86" fillId="6" borderId="0" xfId="0" applyNumberFormat="1" applyFont="1" applyFill="1" applyBorder="1" applyAlignment="1">
      <alignment horizontal="right"/>
    </xf>
    <xf numFmtId="0" fontId="51" fillId="3" borderId="0" xfId="0" applyFont="1" applyFill="1"/>
    <xf numFmtId="3" fontId="67" fillId="3" borderId="0" xfId="0" applyNumberFormat="1" applyFont="1" applyFill="1" applyAlignment="1">
      <alignment horizontal="center"/>
    </xf>
    <xf numFmtId="0" fontId="51" fillId="3" borderId="0" xfId="0" applyFont="1" applyFill="1" applyAlignment="1">
      <alignment horizontal="center"/>
    </xf>
    <xf numFmtId="0" fontId="88" fillId="3" borderId="0" xfId="0" applyFont="1" applyFill="1"/>
    <xf numFmtId="0" fontId="81" fillId="8" borderId="51" xfId="0" applyFont="1" applyFill="1" applyBorder="1"/>
    <xf numFmtId="0" fontId="81" fillId="8" borderId="53" xfId="0" applyFont="1" applyFill="1" applyBorder="1" applyAlignment="1">
      <alignment horizontal="center"/>
    </xf>
    <xf numFmtId="0" fontId="81" fillId="8" borderId="53" xfId="0" applyFont="1" applyFill="1" applyBorder="1"/>
    <xf numFmtId="0" fontId="81" fillId="8" borderId="55" xfId="0" applyFont="1" applyFill="1" applyBorder="1" applyAlignment="1">
      <alignment horizontal="center"/>
    </xf>
    <xf numFmtId="0" fontId="51" fillId="0" borderId="0" xfId="0" applyFont="1"/>
    <xf numFmtId="49" fontId="51" fillId="3" borderId="0" xfId="0" applyNumberFormat="1" applyFont="1" applyFill="1"/>
    <xf numFmtId="0" fontId="86" fillId="7" borderId="9" xfId="0" applyFont="1" applyFill="1" applyBorder="1" applyAlignment="1">
      <alignment horizontal="left"/>
    </xf>
    <xf numFmtId="49" fontId="89" fillId="6" borderId="0" xfId="0" applyNumberFormat="1" applyFont="1" applyFill="1" applyBorder="1" applyAlignment="1">
      <alignment horizontal="left"/>
    </xf>
    <xf numFmtId="164" fontId="55" fillId="16" borderId="105" xfId="0" applyNumberFormat="1" applyFont="1" applyFill="1" applyBorder="1" applyAlignment="1">
      <alignment horizontal="center" vertical="center" wrapText="1"/>
    </xf>
    <xf numFmtId="164" fontId="55" fillId="16" borderId="54" xfId="0" applyNumberFormat="1" applyFont="1" applyFill="1" applyBorder="1" applyAlignment="1">
      <alignment horizontal="center" vertical="center" wrapText="1"/>
    </xf>
    <xf numFmtId="164" fontId="55" fillId="16" borderId="93" xfId="0" applyNumberFormat="1" applyFont="1" applyFill="1" applyBorder="1" applyAlignment="1">
      <alignment horizontal="center" vertical="center" wrapText="1"/>
    </xf>
    <xf numFmtId="164" fontId="55" fillId="17" borderId="105" xfId="0" applyNumberFormat="1" applyFont="1" applyFill="1" applyBorder="1" applyAlignment="1">
      <alignment horizontal="center" vertical="center" wrapText="1"/>
    </xf>
    <xf numFmtId="164" fontId="55" fillId="17" borderId="54" xfId="0" quotePrefix="1" applyNumberFormat="1" applyFont="1" applyFill="1" applyBorder="1" applyAlignment="1">
      <alignment horizontal="center" vertical="center" wrapText="1"/>
    </xf>
    <xf numFmtId="164" fontId="55" fillId="17" borderId="54" xfId="0" applyNumberFormat="1" applyFont="1" applyFill="1" applyBorder="1" applyAlignment="1">
      <alignment horizontal="center" vertical="center" wrapText="1"/>
    </xf>
    <xf numFmtId="164" fontId="55" fillId="17" borderId="93" xfId="0" applyNumberFormat="1" applyFont="1" applyFill="1" applyBorder="1" applyAlignment="1">
      <alignment horizontal="center" vertical="center" wrapText="1"/>
    </xf>
    <xf numFmtId="164" fontId="20" fillId="13" borderId="92" xfId="5" applyNumberFormat="1" applyFont="1" applyFill="1" applyBorder="1" applyAlignment="1">
      <alignment horizontal="center" vertical="center" wrapText="1"/>
    </xf>
    <xf numFmtId="164" fontId="20" fillId="13" borderId="95" xfId="5" applyNumberFormat="1" applyFont="1" applyFill="1" applyBorder="1" applyAlignment="1">
      <alignment horizontal="center" vertical="center" wrapText="1"/>
    </xf>
    <xf numFmtId="164" fontId="58" fillId="3" borderId="48" xfId="1" applyNumberFormat="1" applyFont="1" applyFill="1" applyBorder="1" applyAlignment="1" applyProtection="1">
      <alignment vertical="center"/>
    </xf>
    <xf numFmtId="3" fontId="52" fillId="0" borderId="106" xfId="0" applyNumberFormat="1" applyFont="1" applyBorder="1" applyAlignment="1">
      <alignment horizontal="center" vertical="center"/>
    </xf>
    <xf numFmtId="3" fontId="52" fillId="0" borderId="107" xfId="0" applyNumberFormat="1" applyFont="1" applyBorder="1" applyAlignment="1">
      <alignment horizontal="center" vertical="center"/>
    </xf>
    <xf numFmtId="3" fontId="52" fillId="0" borderId="108" xfId="0" applyNumberFormat="1" applyFont="1" applyBorder="1" applyAlignment="1">
      <alignment horizontal="center" vertical="center"/>
    </xf>
    <xf numFmtId="3" fontId="52" fillId="5" borderId="109" xfId="0" applyNumberFormat="1" applyFont="1" applyFill="1" applyBorder="1" applyAlignment="1">
      <alignment horizontal="center" vertical="center"/>
    </xf>
    <xf numFmtId="164" fontId="58" fillId="3" borderId="49" xfId="1" applyNumberFormat="1" applyFont="1" applyFill="1" applyBorder="1" applyAlignment="1" applyProtection="1">
      <alignment vertical="center"/>
    </xf>
    <xf numFmtId="3" fontId="52" fillId="0" borderId="101" xfId="0" applyNumberFormat="1" applyFont="1" applyBorder="1" applyAlignment="1">
      <alignment horizontal="center" vertical="center"/>
    </xf>
    <xf numFmtId="3" fontId="52" fillId="0" borderId="25" xfId="0" applyNumberFormat="1" applyFont="1" applyBorder="1" applyAlignment="1">
      <alignment horizontal="center" vertical="center"/>
    </xf>
    <xf numFmtId="3" fontId="52" fillId="0" borderId="23" xfId="0" applyNumberFormat="1" applyFont="1" applyBorder="1" applyAlignment="1">
      <alignment horizontal="center" vertical="center"/>
    </xf>
    <xf numFmtId="3" fontId="52" fillId="5" borderId="110" xfId="0" applyNumberFormat="1" applyFont="1" applyFill="1" applyBorder="1" applyAlignment="1">
      <alignment horizontal="center" vertical="center"/>
    </xf>
    <xf numFmtId="164" fontId="58" fillId="3" borderId="50" xfId="1" applyNumberFormat="1" applyFont="1" applyFill="1" applyBorder="1" applyAlignment="1" applyProtection="1">
      <alignment vertical="center"/>
    </xf>
    <xf numFmtId="3" fontId="52" fillId="0" borderId="98" xfId="0" applyNumberFormat="1" applyFont="1" applyBorder="1" applyAlignment="1">
      <alignment horizontal="center" vertical="center"/>
    </xf>
    <xf numFmtId="3" fontId="52" fillId="0" borderId="46" xfId="0" applyNumberFormat="1" applyFont="1" applyBorder="1" applyAlignment="1">
      <alignment horizontal="center" vertical="center"/>
    </xf>
    <xf numFmtId="3" fontId="52" fillId="0" borderId="104" xfId="0" applyNumberFormat="1" applyFont="1" applyBorder="1" applyAlignment="1">
      <alignment horizontal="center" vertical="center"/>
    </xf>
    <xf numFmtId="3" fontId="52" fillId="5" borderId="111" xfId="0" applyNumberFormat="1" applyFont="1" applyFill="1" applyBorder="1" applyAlignment="1">
      <alignment horizontal="center" vertical="center"/>
    </xf>
    <xf numFmtId="164" fontId="55" fillId="5" borderId="57" xfId="1" applyNumberFormat="1" applyFont="1" applyFill="1" applyBorder="1" applyAlignment="1" applyProtection="1">
      <alignment vertical="center"/>
    </xf>
    <xf numFmtId="3" fontId="55" fillId="5" borderId="97" xfId="0" applyNumberFormat="1" applyFont="1" applyFill="1" applyBorder="1" applyAlignment="1">
      <alignment horizontal="center" vertical="center"/>
    </xf>
    <xf numFmtId="3" fontId="55" fillId="5" borderId="52" xfId="0" applyNumberFormat="1" applyFont="1" applyFill="1" applyBorder="1" applyAlignment="1">
      <alignment horizontal="center" vertical="center"/>
    </xf>
    <xf numFmtId="3" fontId="55" fillId="5" borderId="95" xfId="0" applyNumberFormat="1" applyFont="1" applyFill="1" applyBorder="1" applyAlignment="1">
      <alignment horizontal="center" vertical="center"/>
    </xf>
    <xf numFmtId="3" fontId="55" fillId="5" borderId="57" xfId="0" applyNumberFormat="1" applyFont="1" applyFill="1" applyBorder="1" applyAlignment="1">
      <alignment horizontal="center" vertical="center"/>
    </xf>
    <xf numFmtId="164" fontId="52" fillId="3" borderId="48" xfId="1" applyNumberFormat="1" applyFont="1" applyFill="1" applyBorder="1" applyAlignment="1" applyProtection="1">
      <alignment vertical="center"/>
    </xf>
    <xf numFmtId="164" fontId="52" fillId="3" borderId="49" xfId="1" applyNumberFormat="1" applyFont="1" applyFill="1" applyBorder="1" applyAlignment="1" applyProtection="1">
      <alignment vertical="center"/>
    </xf>
    <xf numFmtId="3" fontId="52" fillId="0" borderId="18" xfId="0" applyNumberFormat="1" applyFont="1" applyFill="1" applyBorder="1" applyAlignment="1">
      <alignment horizontal="center" vertical="center"/>
    </xf>
    <xf numFmtId="0" fontId="18" fillId="0" borderId="49" xfId="5" applyFont="1" applyBorder="1" applyAlignment="1">
      <alignment vertical="center"/>
    </xf>
    <xf numFmtId="3" fontId="52" fillId="0" borderId="29" xfId="0" applyNumberFormat="1" applyFont="1" applyBorder="1" applyAlignment="1">
      <alignment horizontal="center" vertical="center"/>
    </xf>
    <xf numFmtId="3" fontId="52" fillId="0" borderId="15" xfId="0" applyNumberFormat="1" applyFont="1" applyBorder="1" applyAlignment="1">
      <alignment horizontal="center" vertical="center"/>
    </xf>
    <xf numFmtId="164" fontId="52" fillId="3" borderId="50" xfId="1" applyNumberFormat="1" applyFont="1" applyFill="1" applyBorder="1" applyAlignment="1" applyProtection="1">
      <alignment vertical="center"/>
    </xf>
    <xf numFmtId="3" fontId="55" fillId="5" borderId="38" xfId="0" applyNumberFormat="1" applyFont="1" applyFill="1" applyBorder="1" applyAlignment="1">
      <alignment horizontal="center" vertical="center"/>
    </xf>
    <xf numFmtId="3" fontId="55" fillId="5" borderId="47" xfId="0" applyNumberFormat="1" applyFont="1" applyFill="1" applyBorder="1" applyAlignment="1">
      <alignment horizontal="center" vertical="center"/>
    </xf>
    <xf numFmtId="3" fontId="55" fillId="5" borderId="96" xfId="0" applyNumberFormat="1" applyFont="1" applyFill="1" applyBorder="1" applyAlignment="1">
      <alignment horizontal="center" vertical="center"/>
    </xf>
    <xf numFmtId="3" fontId="55" fillId="5" borderId="105" xfId="0" applyNumberFormat="1" applyFont="1" applyFill="1" applyBorder="1" applyAlignment="1">
      <alignment horizontal="center" vertical="center"/>
    </xf>
    <xf numFmtId="3" fontId="55" fillId="5" borderId="54" xfId="0" applyNumberFormat="1" applyFont="1" applyFill="1" applyBorder="1" applyAlignment="1">
      <alignment horizontal="center" vertical="center"/>
    </xf>
    <xf numFmtId="3" fontId="55" fillId="5" borderId="94" xfId="0" applyNumberFormat="1" applyFont="1" applyFill="1" applyBorder="1" applyAlignment="1">
      <alignment horizontal="center" vertical="center"/>
    </xf>
    <xf numFmtId="164" fontId="18" fillId="0" borderId="49" xfId="5" applyNumberFormat="1" applyFont="1" applyBorder="1" applyAlignment="1">
      <alignment vertical="center"/>
    </xf>
    <xf numFmtId="3" fontId="52" fillId="0" borderId="32" xfId="0" applyNumberFormat="1" applyFont="1" applyBorder="1" applyAlignment="1">
      <alignment horizontal="center" vertical="center"/>
    </xf>
    <xf numFmtId="3" fontId="52" fillId="0" borderId="21" xfId="0" applyNumberFormat="1" applyFont="1" applyBorder="1" applyAlignment="1">
      <alignment horizontal="center" vertical="center"/>
    </xf>
    <xf numFmtId="3" fontId="52" fillId="0" borderId="20" xfId="0" applyNumberFormat="1" applyFont="1" applyBorder="1" applyAlignment="1">
      <alignment horizontal="center" vertical="center"/>
    </xf>
    <xf numFmtId="3" fontId="52" fillId="5" borderId="112" xfId="0" applyNumberFormat="1" applyFont="1" applyFill="1" applyBorder="1" applyAlignment="1">
      <alignment horizontal="center" vertical="center"/>
    </xf>
    <xf numFmtId="3" fontId="52" fillId="0" borderId="13" xfId="0" applyNumberFormat="1" applyFont="1" applyBorder="1" applyAlignment="1">
      <alignment horizontal="center" vertical="center"/>
    </xf>
    <xf numFmtId="3" fontId="52" fillId="5" borderId="113" xfId="0" applyNumberFormat="1" applyFont="1" applyFill="1" applyBorder="1" applyAlignment="1">
      <alignment horizontal="center" vertical="center"/>
    </xf>
    <xf numFmtId="164" fontId="55" fillId="5" borderId="57" xfId="0" applyNumberFormat="1" applyFont="1" applyFill="1" applyBorder="1" applyAlignment="1">
      <alignment vertical="center" wrapText="1"/>
    </xf>
    <xf numFmtId="0" fontId="69" fillId="3" borderId="0" xfId="0" applyFont="1" applyFill="1" applyAlignment="1">
      <alignment vertical="center"/>
    </xf>
    <xf numFmtId="0" fontId="48" fillId="3" borderId="0" xfId="1" applyFont="1" applyFill="1" applyAlignment="1" applyProtection="1">
      <alignment vertical="center"/>
    </xf>
    <xf numFmtId="0" fontId="67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6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48" fillId="3" borderId="0" xfId="1" quotePrefix="1" applyFont="1" applyFill="1" applyAlignment="1" applyProtection="1">
      <alignment vertical="center"/>
    </xf>
    <xf numFmtId="0" fontId="48" fillId="3" borderId="0" xfId="1" applyFill="1" applyAlignment="1" applyProtection="1">
      <alignment vertical="center"/>
    </xf>
    <xf numFmtId="0" fontId="36" fillId="3" borderId="0" xfId="0" applyFont="1" applyFill="1"/>
    <xf numFmtId="0" fontId="90" fillId="3" borderId="114" xfId="0" applyFont="1" applyFill="1" applyBorder="1"/>
    <xf numFmtId="0" fontId="69" fillId="3" borderId="114" xfId="0" applyFont="1" applyFill="1" applyBorder="1"/>
    <xf numFmtId="0" fontId="90" fillId="3" borderId="114" xfId="0" applyFont="1" applyFill="1" applyBorder="1" applyAlignment="1">
      <alignment vertical="center"/>
    </xf>
    <xf numFmtId="0" fontId="69" fillId="3" borderId="114" xfId="0" applyFont="1" applyFill="1" applyBorder="1" applyAlignment="1">
      <alignment vertical="center"/>
    </xf>
    <xf numFmtId="0" fontId="68" fillId="3" borderId="114" xfId="0" applyFont="1" applyFill="1" applyBorder="1" applyAlignment="1">
      <alignment vertical="center"/>
    </xf>
    <xf numFmtId="0" fontId="21" fillId="3" borderId="0" xfId="10" applyFont="1" applyFill="1" applyBorder="1"/>
    <xf numFmtId="0" fontId="23" fillId="3" borderId="0" xfId="0" applyFont="1" applyFill="1" applyBorder="1"/>
    <xf numFmtId="3" fontId="23" fillId="3" borderId="0" xfId="0" applyNumberFormat="1" applyFont="1" applyFill="1" applyBorder="1"/>
    <xf numFmtId="1" fontId="34" fillId="3" borderId="0" xfId="4" applyNumberFormat="1" applyFont="1" applyFill="1" applyBorder="1"/>
    <xf numFmtId="0" fontId="23" fillId="3" borderId="0" xfId="18" applyFont="1" applyFill="1"/>
    <xf numFmtId="3" fontId="23" fillId="3" borderId="0" xfId="18" applyNumberFormat="1" applyFont="1" applyFill="1"/>
    <xf numFmtId="0" fontId="1" fillId="9" borderId="0" xfId="0" applyFont="1" applyFill="1"/>
    <xf numFmtId="1" fontId="68" fillId="8" borderId="9" xfId="4" applyNumberFormat="1" applyFont="1" applyFill="1" applyBorder="1"/>
    <xf numFmtId="1" fontId="68" fillId="8" borderId="2" xfId="4" applyNumberFormat="1" applyFont="1" applyFill="1" applyBorder="1"/>
    <xf numFmtId="1" fontId="68" fillId="8" borderId="10" xfId="4" applyNumberFormat="1" applyFont="1" applyFill="1" applyBorder="1"/>
    <xf numFmtId="0" fontId="69" fillId="9" borderId="0" xfId="0" applyFont="1" applyFill="1"/>
    <xf numFmtId="1" fontId="91" fillId="4" borderId="9" xfId="4" applyNumberFormat="1" applyFont="1" applyFill="1" applyBorder="1" applyAlignment="1">
      <alignment horizontal="left"/>
    </xf>
    <xf numFmtId="1" fontId="92" fillId="4" borderId="2" xfId="4" applyNumberFormat="1" applyFont="1" applyFill="1" applyBorder="1" applyAlignment="1">
      <alignment horizontal="right"/>
    </xf>
    <xf numFmtId="1" fontId="92" fillId="4" borderId="2" xfId="4" applyNumberFormat="1" applyFont="1" applyFill="1" applyBorder="1" applyAlignment="1">
      <alignment horizontal="center"/>
    </xf>
    <xf numFmtId="1" fontId="93" fillId="4" borderId="10" xfId="4" applyNumberFormat="1" applyFont="1" applyFill="1" applyBorder="1" applyAlignment="1">
      <alignment horizontal="right"/>
    </xf>
    <xf numFmtId="0" fontId="94" fillId="3" borderId="0" xfId="0" applyFont="1" applyFill="1"/>
    <xf numFmtId="0" fontId="67" fillId="9" borderId="0" xfId="0" applyFont="1" applyFill="1"/>
    <xf numFmtId="1" fontId="91" fillId="4" borderId="8" xfId="4" applyNumberFormat="1" applyFont="1" applyFill="1" applyBorder="1" applyAlignment="1">
      <alignment horizontal="left"/>
    </xf>
    <xf numFmtId="1" fontId="92" fillId="4" borderId="0" xfId="4" applyNumberFormat="1" applyFont="1" applyFill="1" applyBorder="1" applyAlignment="1">
      <alignment horizontal="right"/>
    </xf>
    <xf numFmtId="1" fontId="92" fillId="4" borderId="0" xfId="4" applyNumberFormat="1" applyFont="1" applyFill="1" applyBorder="1" applyAlignment="1">
      <alignment horizontal="center"/>
    </xf>
    <xf numFmtId="1" fontId="93" fillId="4" borderId="12" xfId="4" applyNumberFormat="1" applyFont="1" applyFill="1" applyBorder="1" applyAlignment="1">
      <alignment horizontal="right"/>
    </xf>
    <xf numFmtId="0" fontId="94" fillId="9" borderId="0" xfId="0" applyFont="1" applyFill="1"/>
    <xf numFmtId="1" fontId="91" fillId="4" borderId="5" xfId="4" applyNumberFormat="1" applyFont="1" applyFill="1" applyBorder="1" applyAlignment="1">
      <alignment horizontal="left"/>
    </xf>
    <xf numFmtId="1" fontId="92" fillId="4" borderId="6" xfId="4" applyNumberFormat="1" applyFont="1" applyFill="1" applyBorder="1" applyAlignment="1">
      <alignment horizontal="right"/>
    </xf>
    <xf numFmtId="1" fontId="93" fillId="4" borderId="11" xfId="4" applyNumberFormat="1" applyFont="1" applyFill="1" applyBorder="1" applyAlignment="1">
      <alignment horizontal="right"/>
    </xf>
    <xf numFmtId="1" fontId="13" fillId="10" borderId="35" xfId="4" applyNumberFormat="1" applyFont="1" applyFill="1" applyBorder="1" applyAlignment="1">
      <alignment horizontal="left" vertical="center"/>
    </xf>
    <xf numFmtId="3" fontId="68" fillId="3" borderId="0" xfId="4" applyNumberFormat="1" applyFont="1" applyFill="1" applyBorder="1" applyAlignment="1">
      <alignment horizontal="center" vertical="center"/>
    </xf>
    <xf numFmtId="3" fontId="68" fillId="3" borderId="12" xfId="4" applyNumberFormat="1" applyFont="1" applyFill="1" applyBorder="1" applyAlignment="1">
      <alignment horizontal="center" vertical="center"/>
    </xf>
    <xf numFmtId="3" fontId="69" fillId="3" borderId="0" xfId="0" applyNumberFormat="1" applyFont="1" applyFill="1"/>
    <xf numFmtId="171" fontId="69" fillId="3" borderId="0" xfId="0" applyNumberFormat="1" applyFont="1" applyFill="1"/>
    <xf numFmtId="1" fontId="12" fillId="10" borderId="101" xfId="4" applyNumberFormat="1" applyFont="1" applyFill="1" applyBorder="1" applyAlignment="1">
      <alignment horizontal="left"/>
    </xf>
    <xf numFmtId="3" fontId="68" fillId="3" borderId="24" xfId="4" applyNumberFormat="1" applyFont="1" applyFill="1" applyBorder="1" applyAlignment="1">
      <alignment horizontal="center"/>
    </xf>
    <xf numFmtId="3" fontId="68" fillId="3" borderId="102" xfId="4" applyNumberFormat="1" applyFont="1" applyFill="1" applyBorder="1" applyAlignment="1">
      <alignment horizontal="center"/>
    </xf>
    <xf numFmtId="1" fontId="12" fillId="10" borderId="98" xfId="4" applyNumberFormat="1" applyFont="1" applyFill="1" applyBorder="1" applyAlignment="1">
      <alignment horizontal="left"/>
    </xf>
    <xf numFmtId="165" fontId="67" fillId="3" borderId="99" xfId="4" applyNumberFormat="1" applyFont="1" applyFill="1" applyBorder="1" applyAlignment="1">
      <alignment horizontal="center"/>
    </xf>
    <xf numFmtId="166" fontId="67" fillId="3" borderId="99" xfId="4" applyNumberFormat="1" applyFont="1" applyFill="1" applyBorder="1" applyAlignment="1">
      <alignment horizontal="center"/>
    </xf>
    <xf numFmtId="3" fontId="67" fillId="3" borderId="100" xfId="4" applyNumberFormat="1" applyFont="1" applyFill="1" applyBorder="1" applyAlignment="1">
      <alignment horizontal="center"/>
    </xf>
    <xf numFmtId="0" fontId="51" fillId="9" borderId="0" xfId="0" applyFont="1" applyFill="1"/>
    <xf numFmtId="1" fontId="95" fillId="3" borderId="0" xfId="4" applyNumberFormat="1" applyFont="1" applyFill="1"/>
    <xf numFmtId="0" fontId="86" fillId="3" borderId="0" xfId="10" applyFont="1" applyFill="1"/>
    <xf numFmtId="3" fontId="86" fillId="3" borderId="0" xfId="10" applyNumberFormat="1" applyFont="1" applyFill="1" applyAlignment="1">
      <alignment horizontal="center"/>
    </xf>
    <xf numFmtId="1" fontId="95" fillId="3" borderId="0" xfId="4" applyNumberFormat="1" applyFont="1" applyFill="1" applyAlignment="1">
      <alignment horizontal="center"/>
    </xf>
    <xf numFmtId="3" fontId="95" fillId="3" borderId="0" xfId="0" applyNumberFormat="1" applyFont="1" applyFill="1"/>
    <xf numFmtId="3" fontId="51" fillId="3" borderId="0" xfId="0" applyNumberFormat="1" applyFont="1" applyFill="1"/>
    <xf numFmtId="3" fontId="95" fillId="3" borderId="0" xfId="4" applyNumberFormat="1" applyFont="1" applyFill="1" applyAlignment="1">
      <alignment horizontal="center"/>
    </xf>
    <xf numFmtId="9" fontId="95" fillId="3" borderId="0" xfId="26" applyFont="1" applyFill="1"/>
    <xf numFmtId="4" fontId="86" fillId="3" borderId="0" xfId="10" applyNumberFormat="1" applyFont="1" applyFill="1" applyAlignment="1">
      <alignment horizontal="left"/>
    </xf>
    <xf numFmtId="3" fontId="86" fillId="3" borderId="0" xfId="10" applyNumberFormat="1" applyFont="1" applyFill="1" applyAlignment="1">
      <alignment horizontal="left"/>
    </xf>
    <xf numFmtId="0" fontId="86" fillId="0" borderId="0" xfId="10" applyFont="1" applyFill="1"/>
    <xf numFmtId="165" fontId="51" fillId="3" borderId="0" xfId="4" applyNumberFormat="1" applyFont="1" applyFill="1" applyBorder="1" applyAlignment="1">
      <alignment horizontal="center"/>
    </xf>
    <xf numFmtId="166" fontId="51" fillId="3" borderId="0" xfId="4" applyNumberFormat="1" applyFont="1" applyFill="1" applyBorder="1" applyAlignment="1">
      <alignment horizontal="center"/>
    </xf>
    <xf numFmtId="3" fontId="51" fillId="3" borderId="0" xfId="4" applyNumberFormat="1" applyFont="1" applyFill="1" applyBorder="1" applyAlignment="1">
      <alignment horizontal="center"/>
    </xf>
    <xf numFmtId="0" fontId="96" fillId="9" borderId="0" xfId="0" applyFont="1" applyFill="1"/>
    <xf numFmtId="1" fontId="68" fillId="3" borderId="0" xfId="4" applyNumberFormat="1" applyFont="1" applyFill="1"/>
    <xf numFmtId="3" fontId="63" fillId="3" borderId="0" xfId="1" applyNumberFormat="1" applyFont="1" applyFill="1" applyAlignment="1" applyProtection="1"/>
    <xf numFmtId="3" fontId="23" fillId="3" borderId="0" xfId="19" applyNumberFormat="1" applyFont="1" applyFill="1" applyBorder="1"/>
    <xf numFmtId="3" fontId="28" fillId="9" borderId="0" xfId="19" applyNumberFormat="1" applyFont="1" applyFill="1" applyBorder="1"/>
    <xf numFmtId="10" fontId="7" fillId="9" borderId="0" xfId="4" applyNumberFormat="1" applyFont="1" applyFill="1" applyBorder="1"/>
    <xf numFmtId="0" fontId="23" fillId="8" borderId="9" xfId="22" applyFont="1" applyFill="1" applyBorder="1"/>
    <xf numFmtId="0" fontId="23" fillId="8" borderId="2" xfId="22" applyFont="1" applyFill="1" applyBorder="1"/>
    <xf numFmtId="0" fontId="23" fillId="8" borderId="10" xfId="22" applyFont="1" applyFill="1" applyBorder="1"/>
    <xf numFmtId="0" fontId="59" fillId="4" borderId="9" xfId="22" applyFont="1" applyFill="1" applyBorder="1" applyAlignment="1">
      <alignment horizontal="left"/>
    </xf>
    <xf numFmtId="0" fontId="61" fillId="4" borderId="2" xfId="22" applyFont="1" applyFill="1" applyBorder="1" applyAlignment="1">
      <alignment horizontal="right"/>
    </xf>
    <xf numFmtId="0" fontId="61" fillId="4" borderId="2" xfId="22" applyFont="1" applyFill="1" applyBorder="1" applyAlignment="1">
      <alignment horizontal="center"/>
    </xf>
    <xf numFmtId="0" fontId="60" fillId="4" borderId="10" xfId="22" applyFont="1" applyFill="1" applyBorder="1" applyAlignment="1">
      <alignment horizontal="right"/>
    </xf>
    <xf numFmtId="0" fontId="59" fillId="4" borderId="8" xfId="22" applyFont="1" applyFill="1" applyBorder="1" applyAlignment="1">
      <alignment horizontal="left"/>
    </xf>
    <xf numFmtId="0" fontId="61" fillId="4" borderId="0" xfId="22" applyFont="1" applyFill="1" applyBorder="1" applyAlignment="1">
      <alignment horizontal="right"/>
    </xf>
    <xf numFmtId="0" fontId="61" fillId="4" borderId="0" xfId="22" applyFont="1" applyFill="1" applyBorder="1" applyAlignment="1">
      <alignment horizontal="center"/>
    </xf>
    <xf numFmtId="0" fontId="60" fillId="4" borderId="12" xfId="22" applyFont="1" applyFill="1" applyBorder="1" applyAlignment="1">
      <alignment horizontal="right"/>
    </xf>
    <xf numFmtId="0" fontId="61" fillId="4" borderId="0" xfId="22" applyFont="1" applyFill="1" applyBorder="1" applyAlignment="1">
      <alignment horizontal="left"/>
    </xf>
    <xf numFmtId="0" fontId="60" fillId="4" borderId="12" xfId="22" applyFont="1" applyFill="1" applyBorder="1" applyAlignment="1">
      <alignment horizontal="center"/>
    </xf>
    <xf numFmtId="0" fontId="59" fillId="4" borderId="5" xfId="22" applyFont="1" applyFill="1" applyBorder="1" applyAlignment="1">
      <alignment horizontal="left"/>
    </xf>
    <xf numFmtId="0" fontId="61" fillId="4" borderId="6" xfId="22" applyFont="1" applyFill="1" applyBorder="1" applyAlignment="1">
      <alignment horizontal="center"/>
    </xf>
    <xf numFmtId="0" fontId="60" fillId="4" borderId="11" xfId="22" applyFont="1" applyFill="1" applyBorder="1" applyAlignment="1">
      <alignment horizontal="center"/>
    </xf>
    <xf numFmtId="0" fontId="27" fillId="10" borderId="97" xfId="19" applyFont="1" applyFill="1" applyBorder="1" applyAlignment="1">
      <alignment horizontal="left"/>
    </xf>
    <xf numFmtId="3" fontId="7" fillId="3" borderId="2" xfId="22" applyNumberFormat="1" applyFont="1" applyFill="1" applyBorder="1" applyAlignment="1">
      <alignment horizontal="center"/>
    </xf>
    <xf numFmtId="3" fontId="7" fillId="3" borderId="10" xfId="22" applyNumberFormat="1" applyFont="1" applyFill="1" applyBorder="1" applyAlignment="1">
      <alignment horizontal="center"/>
    </xf>
    <xf numFmtId="0" fontId="54" fillId="10" borderId="35" xfId="22" applyFont="1" applyFill="1" applyBorder="1" applyAlignment="1">
      <alignment horizontal="right"/>
    </xf>
    <xf numFmtId="3" fontId="28" fillId="3" borderId="0" xfId="22" quotePrefix="1" applyNumberFormat="1" applyFont="1" applyFill="1" applyBorder="1" applyAlignment="1">
      <alignment horizontal="center"/>
    </xf>
    <xf numFmtId="3" fontId="28" fillId="3" borderId="12" xfId="22" applyNumberFormat="1" applyFont="1" applyFill="1" applyBorder="1" applyAlignment="1">
      <alignment horizontal="center"/>
    </xf>
    <xf numFmtId="0" fontId="54" fillId="10" borderId="35" xfId="20" applyFont="1" applyFill="1" applyBorder="1" applyAlignment="1">
      <alignment horizontal="right"/>
    </xf>
    <xf numFmtId="0" fontId="27" fillId="10" borderId="35" xfId="22" applyFont="1" applyFill="1" applyBorder="1" applyAlignment="1">
      <alignment horizontal="left"/>
    </xf>
    <xf numFmtId="3" fontId="7" fillId="3" borderId="0" xfId="22" quotePrefix="1" applyNumberFormat="1" applyFont="1" applyFill="1" applyBorder="1" applyAlignment="1">
      <alignment horizontal="center"/>
    </xf>
    <xf numFmtId="3" fontId="7" fillId="3" borderId="12" xfId="22" applyNumberFormat="1" applyFont="1" applyFill="1" applyBorder="1" applyAlignment="1">
      <alignment horizontal="center"/>
    </xf>
    <xf numFmtId="0" fontId="64" fillId="10" borderId="101" xfId="22" applyFont="1" applyFill="1" applyBorder="1" applyAlignment="1">
      <alignment horizontal="left"/>
    </xf>
    <xf numFmtId="3" fontId="7" fillId="3" borderId="24" xfId="22" applyNumberFormat="1" applyFont="1" applyFill="1" applyBorder="1" applyAlignment="1">
      <alignment horizontal="center"/>
    </xf>
    <xf numFmtId="3" fontId="7" fillId="3" borderId="102" xfId="22" applyNumberFormat="1" applyFont="1" applyFill="1" applyBorder="1" applyAlignment="1">
      <alignment horizontal="center"/>
    </xf>
    <xf numFmtId="0" fontId="64" fillId="10" borderId="98" xfId="22" applyFont="1" applyFill="1" applyBorder="1" applyAlignment="1">
      <alignment horizontal="left"/>
    </xf>
    <xf numFmtId="3" fontId="28" fillId="3" borderId="99" xfId="22" applyNumberFormat="1" applyFont="1" applyFill="1" applyBorder="1" applyAlignment="1"/>
    <xf numFmtId="3" fontId="28" fillId="3" borderId="100" xfId="22" applyNumberFormat="1" applyFont="1" applyFill="1" applyBorder="1" applyAlignment="1"/>
    <xf numFmtId="3" fontId="28" fillId="3" borderId="0" xfId="22" applyNumberFormat="1" applyFont="1" applyFill="1" applyBorder="1" applyAlignment="1"/>
    <xf numFmtId="0" fontId="23" fillId="3" borderId="0" xfId="22" applyFont="1" applyFill="1"/>
    <xf numFmtId="0" fontId="28" fillId="8" borderId="9" xfId="23" applyFont="1" applyFill="1" applyBorder="1"/>
    <xf numFmtId="0" fontId="28" fillId="8" borderId="2" xfId="23" applyFont="1" applyFill="1" applyBorder="1"/>
    <xf numFmtId="0" fontId="28" fillId="8" borderId="10" xfId="23" applyFont="1" applyFill="1" applyBorder="1"/>
    <xf numFmtId="0" fontId="28" fillId="3" borderId="0" xfId="23" applyFont="1" applyFill="1"/>
    <xf numFmtId="0" fontId="59" fillId="4" borderId="9" xfId="23" applyFont="1" applyFill="1" applyBorder="1" applyAlignment="1">
      <alignment horizontal="left"/>
    </xf>
    <xf numFmtId="0" fontId="61" fillId="4" borderId="2" xfId="23" applyFont="1" applyFill="1" applyBorder="1" applyAlignment="1">
      <alignment horizontal="left"/>
    </xf>
    <xf numFmtId="0" fontId="61" fillId="4" borderId="2" xfId="23" applyFont="1" applyFill="1" applyBorder="1" applyAlignment="1">
      <alignment horizontal="right"/>
    </xf>
    <xf numFmtId="0" fontId="60" fillId="4" borderId="2" xfId="23" applyFont="1" applyFill="1" applyBorder="1" applyAlignment="1">
      <alignment horizontal="right"/>
    </xf>
    <xf numFmtId="0" fontId="60" fillId="4" borderId="10" xfId="23" applyFont="1" applyFill="1" applyBorder="1" applyAlignment="1">
      <alignment horizontal="right"/>
    </xf>
    <xf numFmtId="0" fontId="59" fillId="4" borderId="8" xfId="23" applyFont="1" applyFill="1" applyBorder="1" applyAlignment="1">
      <alignment horizontal="left"/>
    </xf>
    <xf numFmtId="0" fontId="61" fillId="4" borderId="0" xfId="23" applyFont="1" applyFill="1" applyBorder="1" applyAlignment="1">
      <alignment horizontal="right"/>
    </xf>
    <xf numFmtId="0" fontId="61" fillId="4" borderId="0" xfId="23" applyFont="1" applyFill="1" applyBorder="1" applyAlignment="1">
      <alignment horizontal="center"/>
    </xf>
    <xf numFmtId="0" fontId="60" fillId="4" borderId="0" xfId="23" applyFont="1" applyFill="1" applyBorder="1" applyAlignment="1">
      <alignment horizontal="right"/>
    </xf>
    <xf numFmtId="0" fontId="60" fillId="4" borderId="12" xfId="23" applyFont="1" applyFill="1" applyBorder="1" applyAlignment="1">
      <alignment horizontal="right"/>
    </xf>
    <xf numFmtId="0" fontId="7" fillId="3" borderId="0" xfId="23" applyFont="1" applyFill="1"/>
    <xf numFmtId="0" fontId="61" fillId="4" borderId="0" xfId="23" applyFont="1" applyFill="1" applyBorder="1" applyAlignment="1">
      <alignment horizontal="left"/>
    </xf>
    <xf numFmtId="0" fontId="7" fillId="3" borderId="0" xfId="23" applyFont="1" applyFill="1" applyAlignment="1">
      <alignment horizontal="left"/>
    </xf>
    <xf numFmtId="0" fontId="28" fillId="3" borderId="0" xfId="23" applyFont="1" applyFill="1" applyAlignment="1">
      <alignment horizontal="center"/>
    </xf>
    <xf numFmtId="0" fontId="59" fillId="4" borderId="5" xfId="23" applyFont="1" applyFill="1" applyBorder="1" applyAlignment="1">
      <alignment horizontal="left"/>
    </xf>
    <xf numFmtId="0" fontId="61" fillId="4" borderId="6" xfId="23" applyFont="1" applyFill="1" applyBorder="1" applyAlignment="1">
      <alignment horizontal="center"/>
    </xf>
    <xf numFmtId="0" fontId="60" fillId="4" borderId="6" xfId="23" applyFont="1" applyFill="1" applyBorder="1" applyAlignment="1">
      <alignment horizontal="center"/>
    </xf>
    <xf numFmtId="0" fontId="60" fillId="4" borderId="11" xfId="23" applyFont="1" applyFill="1" applyBorder="1" applyAlignment="1">
      <alignment horizontal="center"/>
    </xf>
    <xf numFmtId="3" fontId="7" fillId="3" borderId="0" xfId="23" applyNumberFormat="1" applyFont="1" applyFill="1" applyBorder="1" applyAlignment="1">
      <alignment horizontal="center"/>
    </xf>
    <xf numFmtId="0" fontId="28" fillId="3" borderId="12" xfId="23" applyFont="1" applyFill="1" applyBorder="1" applyAlignment="1"/>
    <xf numFmtId="0" fontId="54" fillId="10" borderId="35" xfId="23" applyFont="1" applyFill="1" applyBorder="1" applyAlignment="1">
      <alignment horizontal="right"/>
    </xf>
    <xf numFmtId="3" fontId="28" fillId="3" borderId="0" xfId="23" applyNumberFormat="1" applyFont="1" applyFill="1" applyBorder="1" applyAlignment="1">
      <alignment horizontal="center"/>
    </xf>
    <xf numFmtId="166" fontId="28" fillId="3" borderId="12" xfId="26" applyNumberFormat="1" applyFont="1" applyFill="1" applyBorder="1" applyAlignment="1"/>
    <xf numFmtId="3" fontId="28" fillId="3" borderId="0" xfId="23" applyNumberFormat="1" applyFont="1" applyFill="1"/>
    <xf numFmtId="0" fontId="27" fillId="10" borderId="35" xfId="23" applyFont="1" applyFill="1" applyBorder="1" applyAlignment="1">
      <alignment horizontal="left"/>
    </xf>
    <xf numFmtId="0" fontId="64" fillId="10" borderId="101" xfId="23" applyFont="1" applyFill="1" applyBorder="1" applyAlignment="1">
      <alignment horizontal="left"/>
    </xf>
    <xf numFmtId="3" fontId="7" fillId="3" borderId="24" xfId="26" applyNumberFormat="1" applyFont="1" applyFill="1" applyBorder="1" applyAlignment="1">
      <alignment horizontal="center"/>
    </xf>
    <xf numFmtId="3" fontId="28" fillId="3" borderId="102" xfId="26" applyNumberFormat="1" applyFont="1" applyFill="1" applyBorder="1"/>
    <xf numFmtId="0" fontId="64" fillId="10" borderId="98" xfId="23" applyFont="1" applyFill="1" applyBorder="1" applyAlignment="1">
      <alignment horizontal="left"/>
    </xf>
    <xf numFmtId="3" fontId="28" fillId="3" borderId="99" xfId="26" applyNumberFormat="1" applyFont="1" applyFill="1" applyBorder="1" applyAlignment="1"/>
    <xf numFmtId="0" fontId="28" fillId="3" borderId="100" xfId="23" applyFont="1" applyFill="1" applyBorder="1" applyAlignment="1"/>
    <xf numFmtId="3" fontId="28" fillId="3" borderId="0" xfId="23" applyNumberFormat="1" applyFont="1" applyFill="1" applyAlignment="1">
      <alignment horizontal="center"/>
    </xf>
    <xf numFmtId="0" fontId="34" fillId="9" borderId="0" xfId="0" applyFont="1" applyFill="1"/>
    <xf numFmtId="0" fontId="97" fillId="4" borderId="9" xfId="0" applyFont="1" applyFill="1" applyBorder="1" applyAlignment="1">
      <alignment horizontal="left"/>
    </xf>
    <xf numFmtId="0" fontId="76" fillId="4" borderId="2" xfId="0" applyFont="1" applyFill="1" applyBorder="1" applyAlignment="1">
      <alignment horizontal="right"/>
    </xf>
    <xf numFmtId="0" fontId="77" fillId="4" borderId="10" xfId="0" applyFont="1" applyFill="1" applyBorder="1" applyAlignment="1">
      <alignment horizontal="right"/>
    </xf>
    <xf numFmtId="0" fontId="97" fillId="4" borderId="8" xfId="0" applyFont="1" applyFill="1" applyBorder="1" applyAlignment="1">
      <alignment horizontal="left"/>
    </xf>
    <xf numFmtId="0" fontId="76" fillId="4" borderId="0" xfId="0" applyFont="1" applyFill="1" applyBorder="1" applyAlignment="1">
      <alignment horizontal="right"/>
    </xf>
    <xf numFmtId="0" fontId="77" fillId="4" borderId="12" xfId="0" applyFont="1" applyFill="1" applyBorder="1" applyAlignment="1">
      <alignment horizontal="right"/>
    </xf>
    <xf numFmtId="0" fontId="97" fillId="4" borderId="5" xfId="0" applyFont="1" applyFill="1" applyBorder="1" applyAlignment="1">
      <alignment horizontal="left"/>
    </xf>
    <xf numFmtId="0" fontId="27" fillId="10" borderId="35" xfId="0" applyFont="1" applyFill="1" applyBorder="1" applyAlignment="1">
      <alignment horizontal="left"/>
    </xf>
    <xf numFmtId="0" fontId="64" fillId="10" borderId="101" xfId="0" applyFont="1" applyFill="1" applyBorder="1" applyAlignment="1">
      <alignment horizontal="left"/>
    </xf>
    <xf numFmtId="0" fontId="64" fillId="10" borderId="38" xfId="0" applyFont="1" applyFill="1" applyBorder="1" applyAlignment="1">
      <alignment horizontal="left"/>
    </xf>
    <xf numFmtId="3" fontId="28" fillId="3" borderId="6" xfId="0" applyNumberFormat="1" applyFont="1" applyFill="1" applyBorder="1" applyAlignment="1"/>
    <xf numFmtId="3" fontId="28" fillId="3" borderId="11" xfId="0" applyNumberFormat="1" applyFont="1" applyFill="1" applyBorder="1" applyAlignment="1"/>
    <xf numFmtId="0" fontId="23" fillId="0" borderId="0" xfId="0" applyFont="1"/>
    <xf numFmtId="3" fontId="23" fillId="3" borderId="0" xfId="0" applyNumberFormat="1" applyFont="1" applyFill="1" applyBorder="1" applyAlignment="1"/>
    <xf numFmtId="3" fontId="28" fillId="3" borderId="0" xfId="0" applyNumberFormat="1" applyFont="1" applyFill="1" applyBorder="1" applyAlignment="1"/>
    <xf numFmtId="0" fontId="27" fillId="10" borderId="35" xfId="0" applyFont="1" applyFill="1" applyBorder="1" applyAlignment="1">
      <alignment horizontal="left" vertical="center"/>
    </xf>
    <xf numFmtId="0" fontId="28" fillId="8" borderId="9" xfId="9" applyFont="1" applyFill="1" applyBorder="1"/>
    <xf numFmtId="0" fontId="28" fillId="8" borderId="10" xfId="9" applyFont="1" applyFill="1" applyBorder="1"/>
    <xf numFmtId="0" fontId="28" fillId="3" borderId="0" xfId="9" applyFont="1" applyFill="1"/>
    <xf numFmtId="0" fontId="59" fillId="4" borderId="9" xfId="9" applyFont="1" applyFill="1" applyBorder="1" applyAlignment="1">
      <alignment horizontal="center"/>
    </xf>
    <xf numFmtId="0" fontId="61" fillId="4" borderId="10" xfId="9" applyFont="1" applyFill="1" applyBorder="1" applyAlignment="1">
      <alignment horizontal="right"/>
    </xf>
    <xf numFmtId="0" fontId="59" fillId="4" borderId="8" xfId="9" applyFont="1" applyFill="1" applyBorder="1" applyAlignment="1">
      <alignment horizontal="center"/>
    </xf>
    <xf numFmtId="0" fontId="61" fillId="4" borderId="12" xfId="9" applyFont="1" applyFill="1" applyBorder="1" applyAlignment="1">
      <alignment horizontal="right"/>
    </xf>
    <xf numFmtId="0" fontId="59" fillId="4" borderId="8" xfId="9" applyFont="1" applyFill="1" applyBorder="1" applyAlignment="1">
      <alignment horizontal="centerContinuous"/>
    </xf>
    <xf numFmtId="0" fontId="61" fillId="4" borderId="12" xfId="9" applyFont="1" applyFill="1" applyBorder="1" applyAlignment="1">
      <alignment horizontal="centerContinuous"/>
    </xf>
    <xf numFmtId="0" fontId="59" fillId="4" borderId="8" xfId="9" applyFont="1" applyFill="1" applyBorder="1" applyAlignment="1">
      <alignment horizontal="left"/>
    </xf>
    <xf numFmtId="0" fontId="59" fillId="4" borderId="5" xfId="9" applyFont="1" applyFill="1" applyBorder="1" applyAlignment="1">
      <alignment horizontal="left"/>
    </xf>
    <xf numFmtId="0" fontId="61" fillId="4" borderId="11" xfId="9" applyFont="1" applyFill="1" applyBorder="1" applyAlignment="1">
      <alignment horizontal="center"/>
    </xf>
    <xf numFmtId="0" fontId="27" fillId="10" borderId="35" xfId="9" applyFont="1" applyFill="1" applyBorder="1" applyAlignment="1">
      <alignment horizontal="left"/>
    </xf>
    <xf numFmtId="164" fontId="7" fillId="3" borderId="12" xfId="9" applyNumberFormat="1" applyFont="1" applyFill="1" applyBorder="1" applyAlignment="1">
      <alignment horizontal="center"/>
    </xf>
    <xf numFmtId="3" fontId="27" fillId="10" borderId="35" xfId="9" applyNumberFormat="1" applyFont="1" applyFill="1" applyBorder="1" applyAlignment="1">
      <alignment horizontal="left"/>
    </xf>
    <xf numFmtId="3" fontId="64" fillId="10" borderId="101" xfId="9" applyNumberFormat="1" applyFont="1" applyFill="1" applyBorder="1" applyAlignment="1">
      <alignment horizontal="left"/>
    </xf>
    <xf numFmtId="164" fontId="7" fillId="3" borderId="102" xfId="9" applyNumberFormat="1" applyFont="1" applyFill="1" applyBorder="1" applyAlignment="1">
      <alignment horizontal="center"/>
    </xf>
    <xf numFmtId="3" fontId="64" fillId="10" borderId="38" xfId="9" applyNumberFormat="1" applyFont="1" applyFill="1" applyBorder="1" applyAlignment="1">
      <alignment horizontal="left"/>
    </xf>
    <xf numFmtId="164" fontId="7" fillId="3" borderId="11" xfId="9" applyNumberFormat="1" applyFont="1" applyFill="1" applyBorder="1" applyAlignment="1"/>
    <xf numFmtId="0" fontId="56" fillId="0" borderId="0" xfId="5" applyFont="1"/>
    <xf numFmtId="0" fontId="58" fillId="0" borderId="0" xfId="5" applyFont="1" applyAlignment="1">
      <alignment horizontal="center"/>
    </xf>
    <xf numFmtId="3" fontId="58" fillId="0" borderId="0" xfId="5" applyNumberFormat="1" applyFont="1" applyAlignment="1">
      <alignment horizontal="center"/>
    </xf>
    <xf numFmtId="3" fontId="58" fillId="0" borderId="1" xfId="5" applyNumberFormat="1" applyFont="1" applyBorder="1" applyAlignment="1">
      <alignment horizontal="center"/>
    </xf>
    <xf numFmtId="3" fontId="49" fillId="0" borderId="1" xfId="5" applyNumberFormat="1" applyFont="1" applyBorder="1" applyAlignment="1">
      <alignment horizontal="center"/>
    </xf>
    <xf numFmtId="3" fontId="58" fillId="0" borderId="1" xfId="5" applyNumberFormat="1" applyFont="1" applyFill="1" applyBorder="1" applyAlignment="1">
      <alignment horizontal="center"/>
    </xf>
    <xf numFmtId="3" fontId="58" fillId="0" borderId="0" xfId="5" applyNumberFormat="1" applyFont="1" applyFill="1" applyAlignment="1">
      <alignment horizontal="center"/>
    </xf>
    <xf numFmtId="0" fontId="58" fillId="0" borderId="3" xfId="5" applyFont="1" applyBorder="1" applyAlignment="1">
      <alignment horizontal="center"/>
    </xf>
    <xf numFmtId="3" fontId="58" fillId="0" borderId="3" xfId="5" applyNumberFormat="1" applyFont="1" applyBorder="1" applyAlignment="1">
      <alignment horizontal="left"/>
    </xf>
    <xf numFmtId="3" fontId="58" fillId="0" borderId="3" xfId="5" applyNumberFormat="1" applyFont="1" applyBorder="1" applyAlignment="1">
      <alignment horizontal="center"/>
    </xf>
    <xf numFmtId="3" fontId="58" fillId="0" borderId="3" xfId="5" applyNumberFormat="1" applyFont="1" applyFill="1" applyBorder="1" applyAlignment="1">
      <alignment horizontal="left"/>
    </xf>
    <xf numFmtId="0" fontId="58" fillId="0" borderId="0" xfId="5" applyFont="1" applyBorder="1" applyAlignment="1">
      <alignment horizontal="center"/>
    </xf>
    <xf numFmtId="3" fontId="58" fillId="0" borderId="0" xfId="5" applyNumberFormat="1" applyFont="1" applyBorder="1" applyAlignment="1">
      <alignment horizontal="center"/>
    </xf>
    <xf numFmtId="3" fontId="58" fillId="0" borderId="0" xfId="5" applyNumberFormat="1" applyFont="1" applyBorder="1" applyAlignment="1">
      <alignment horizontal="left"/>
    </xf>
    <xf numFmtId="3" fontId="58" fillId="0" borderId="0" xfId="5" applyNumberFormat="1" applyFont="1" applyFill="1" applyBorder="1" applyAlignment="1">
      <alignment horizontal="center"/>
    </xf>
    <xf numFmtId="0" fontId="58" fillId="0" borderId="4" xfId="5" applyFont="1" applyBorder="1" applyAlignment="1">
      <alignment horizontal="center"/>
    </xf>
    <xf numFmtId="3" fontId="58" fillId="0" borderId="4" xfId="5" applyNumberFormat="1" applyFont="1" applyBorder="1" applyAlignment="1">
      <alignment horizontal="center"/>
    </xf>
    <xf numFmtId="3" fontId="58" fillId="0" borderId="4" xfId="5" applyNumberFormat="1" applyFont="1" applyFill="1" applyBorder="1" applyAlignment="1">
      <alignment horizontal="center"/>
    </xf>
    <xf numFmtId="0" fontId="58" fillId="0" borderId="0" xfId="5" applyFont="1"/>
    <xf numFmtId="0" fontId="55" fillId="0" borderId="0" xfId="5" applyFont="1"/>
    <xf numFmtId="3" fontId="58" fillId="0" borderId="25" xfId="5" applyNumberFormat="1" applyFont="1" applyBorder="1" applyAlignment="1">
      <alignment horizontal="center"/>
    </xf>
    <xf numFmtId="3" fontId="58" fillId="0" borderId="25" xfId="5" applyNumberFormat="1" applyFont="1" applyFill="1" applyBorder="1" applyAlignment="1">
      <alignment horizontal="center"/>
    </xf>
    <xf numFmtId="3" fontId="58" fillId="11" borderId="25" xfId="5" applyNumberFormat="1" applyFont="1" applyFill="1" applyBorder="1" applyAlignment="1">
      <alignment horizontal="center"/>
    </xf>
    <xf numFmtId="3" fontId="58" fillId="7" borderId="25" xfId="5" applyNumberFormat="1" applyFont="1" applyFill="1" applyBorder="1" applyAlignment="1">
      <alignment horizontal="center"/>
    </xf>
    <xf numFmtId="3" fontId="55" fillId="11" borderId="25" xfId="5" applyNumberFormat="1" applyFont="1" applyFill="1" applyBorder="1" applyAlignment="1">
      <alignment horizontal="center"/>
    </xf>
    <xf numFmtId="3" fontId="55" fillId="5" borderId="25" xfId="5" applyNumberFormat="1" applyFont="1" applyFill="1" applyBorder="1" applyAlignment="1">
      <alignment horizontal="center"/>
    </xf>
    <xf numFmtId="0" fontId="58" fillId="0" borderId="0" xfId="5" applyFont="1" applyFill="1"/>
    <xf numFmtId="3" fontId="55" fillId="0" borderId="0" xfId="5" applyNumberFormat="1" applyFont="1" applyFill="1" applyBorder="1" applyAlignment="1">
      <alignment horizontal="center"/>
    </xf>
    <xf numFmtId="0" fontId="58" fillId="0" borderId="0" xfId="0" applyFont="1" applyFill="1" applyAlignment="1">
      <alignment horizontal="center"/>
    </xf>
    <xf numFmtId="0" fontId="23" fillId="3" borderId="0" xfId="12" applyFont="1" applyFill="1" applyBorder="1"/>
    <xf numFmtId="3" fontId="28" fillId="3" borderId="0" xfId="12" applyNumberFormat="1" applyFont="1" applyFill="1"/>
    <xf numFmtId="0" fontId="28" fillId="8" borderId="9" xfId="17" applyFont="1" applyFill="1" applyBorder="1"/>
    <xf numFmtId="0" fontId="28" fillId="8" borderId="2" xfId="17" applyFont="1" applyFill="1" applyBorder="1"/>
    <xf numFmtId="0" fontId="28" fillId="8" borderId="10" xfId="17" applyFont="1" applyFill="1" applyBorder="1"/>
    <xf numFmtId="0" fontId="28" fillId="3" borderId="0" xfId="17" applyFont="1" applyFill="1"/>
    <xf numFmtId="0" fontId="59" fillId="4" borderId="9" xfId="17" applyFont="1" applyFill="1" applyBorder="1" applyAlignment="1">
      <alignment horizontal="left"/>
    </xf>
    <xf numFmtId="0" fontId="59" fillId="4" borderId="2" xfId="17" applyFont="1" applyFill="1" applyBorder="1" applyAlignment="1">
      <alignment horizontal="left"/>
    </xf>
    <xf numFmtId="0" fontId="61" fillId="4" borderId="10" xfId="17" applyFont="1" applyFill="1" applyBorder="1" applyAlignment="1">
      <alignment horizontal="right"/>
    </xf>
    <xf numFmtId="0" fontId="59" fillId="4" borderId="8" xfId="17" applyFont="1" applyFill="1" applyBorder="1" applyAlignment="1">
      <alignment horizontal="left"/>
    </xf>
    <xf numFmtId="0" fontId="59" fillId="4" borderId="0" xfId="17" applyFont="1" applyFill="1" applyBorder="1" applyAlignment="1">
      <alignment horizontal="left"/>
    </xf>
    <xf numFmtId="0" fontId="61" fillId="4" borderId="12" xfId="17" applyFont="1" applyFill="1" applyBorder="1" applyAlignment="1">
      <alignment horizontal="right"/>
    </xf>
    <xf numFmtId="0" fontId="59" fillId="4" borderId="8" xfId="17" applyFont="1" applyFill="1" applyBorder="1" applyAlignment="1">
      <alignment horizontal="right"/>
    </xf>
    <xf numFmtId="0" fontId="61" fillId="4" borderId="12" xfId="17" applyFont="1" applyFill="1" applyBorder="1" applyAlignment="1">
      <alignment horizontal="center"/>
    </xf>
    <xf numFmtId="0" fontId="59" fillId="4" borderId="5" xfId="17" applyFont="1" applyFill="1" applyBorder="1" applyAlignment="1">
      <alignment horizontal="left"/>
    </xf>
    <xf numFmtId="0" fontId="59" fillId="4" borderId="6" xfId="17" applyFont="1" applyFill="1" applyBorder="1" applyAlignment="1">
      <alignment horizontal="left"/>
    </xf>
    <xf numFmtId="0" fontId="61" fillId="4" borderId="11" xfId="17" applyFont="1" applyFill="1" applyBorder="1" applyAlignment="1">
      <alignment horizontal="center"/>
    </xf>
    <xf numFmtId="0" fontId="27" fillId="10" borderId="8" xfId="17" applyFont="1" applyFill="1" applyBorder="1" applyAlignment="1">
      <alignment horizontal="left"/>
    </xf>
    <xf numFmtId="0" fontId="27" fillId="10" borderId="19" xfId="17" applyFont="1" applyFill="1" applyBorder="1" applyAlignment="1">
      <alignment horizontal="left"/>
    </xf>
    <xf numFmtId="165" fontId="7" fillId="3" borderId="12" xfId="17" applyNumberFormat="1" applyFont="1" applyFill="1" applyBorder="1" applyAlignment="1">
      <alignment horizontal="center"/>
    </xf>
    <xf numFmtId="3" fontId="27" fillId="10" borderId="8" xfId="17" applyNumberFormat="1" applyFont="1" applyFill="1" applyBorder="1" applyAlignment="1">
      <alignment horizontal="left"/>
    </xf>
    <xf numFmtId="3" fontId="27" fillId="10" borderId="19" xfId="17" applyNumberFormat="1" applyFont="1" applyFill="1" applyBorder="1" applyAlignment="1">
      <alignment horizontal="left"/>
    </xf>
    <xf numFmtId="3" fontId="64" fillId="10" borderId="115" xfId="17" applyNumberFormat="1" applyFont="1" applyFill="1" applyBorder="1" applyAlignment="1">
      <alignment horizontal="left"/>
    </xf>
    <xf numFmtId="3" fontId="64" fillId="10" borderId="26" xfId="17" applyNumberFormat="1" applyFont="1" applyFill="1" applyBorder="1" applyAlignment="1">
      <alignment horizontal="left"/>
    </xf>
    <xf numFmtId="165" fontId="7" fillId="3" borderId="102" xfId="17" applyNumberFormat="1" applyFont="1" applyFill="1" applyBorder="1" applyAlignment="1">
      <alignment horizontal="center"/>
    </xf>
    <xf numFmtId="0" fontId="28" fillId="3" borderId="0" xfId="17" applyFont="1" applyFill="1" applyBorder="1"/>
    <xf numFmtId="0" fontId="99" fillId="3" borderId="0" xfId="0" applyFont="1" applyFill="1"/>
    <xf numFmtId="0" fontId="99" fillId="9" borderId="0" xfId="0" applyFont="1" applyFill="1"/>
    <xf numFmtId="0" fontId="101" fillId="3" borderId="0" xfId="0" applyFont="1" applyFill="1"/>
    <xf numFmtId="0" fontId="101" fillId="9" borderId="0" xfId="0" applyFont="1" applyFill="1"/>
    <xf numFmtId="0" fontId="100" fillId="8" borderId="51" xfId="0" applyFont="1" applyFill="1" applyBorder="1" applyAlignment="1">
      <alignment horizontal="center"/>
    </xf>
    <xf numFmtId="0" fontId="100" fillId="8" borderId="53" xfId="0" applyFont="1" applyFill="1" applyBorder="1" applyAlignment="1">
      <alignment horizontal="center"/>
    </xf>
    <xf numFmtId="0" fontId="101" fillId="8" borderId="53" xfId="0" applyFont="1" applyFill="1" applyBorder="1"/>
    <xf numFmtId="0" fontId="101" fillId="8" borderId="55" xfId="0" applyFont="1" applyFill="1" applyBorder="1"/>
    <xf numFmtId="0" fontId="83" fillId="2" borderId="83" xfId="0" applyFont="1" applyFill="1" applyBorder="1"/>
    <xf numFmtId="0" fontId="83" fillId="2" borderId="17" xfId="0" applyFont="1" applyFill="1" applyBorder="1" applyAlignment="1">
      <alignment horizontal="center"/>
    </xf>
    <xf numFmtId="0" fontId="102" fillId="2" borderId="35" xfId="0" applyFont="1" applyFill="1" applyBorder="1" applyAlignment="1">
      <alignment horizontal="center"/>
    </xf>
    <xf numFmtId="0" fontId="102" fillId="2" borderId="19" xfId="0" applyFont="1" applyFill="1" applyBorder="1" applyAlignment="1">
      <alignment horizontal="center"/>
    </xf>
    <xf numFmtId="0" fontId="102" fillId="2" borderId="12" xfId="0" applyFont="1" applyFill="1" applyBorder="1" applyAlignment="1">
      <alignment horizontal="center"/>
    </xf>
    <xf numFmtId="0" fontId="103" fillId="3" borderId="0" xfId="0" applyFont="1" applyFill="1"/>
    <xf numFmtId="0" fontId="103" fillId="9" borderId="0" xfId="0" applyFont="1" applyFill="1"/>
    <xf numFmtId="0" fontId="68" fillId="5" borderId="7" xfId="0" applyFont="1" applyFill="1" applyBorder="1"/>
    <xf numFmtId="9" fontId="104" fillId="5" borderId="13" xfId="26" applyFont="1" applyFill="1" applyBorder="1" applyAlignment="1">
      <alignment horizontal="center"/>
    </xf>
    <xf numFmtId="9" fontId="104" fillId="5" borderId="14" xfId="26" applyFont="1" applyFill="1" applyBorder="1" applyAlignment="1">
      <alignment horizontal="center"/>
    </xf>
    <xf numFmtId="9" fontId="105" fillId="18" borderId="29" xfId="26" applyNumberFormat="1" applyFont="1" applyFill="1" applyBorder="1" applyAlignment="1">
      <alignment horizontal="center"/>
    </xf>
    <xf numFmtId="9" fontId="105" fillId="18" borderId="16" xfId="26" applyFont="1" applyFill="1" applyBorder="1" applyAlignment="1">
      <alignment horizontal="center"/>
    </xf>
    <xf numFmtId="9" fontId="105" fillId="18" borderId="82" xfId="26" applyFont="1" applyFill="1" applyBorder="1" applyAlignment="1">
      <alignment horizontal="center"/>
    </xf>
    <xf numFmtId="0" fontId="106" fillId="3" borderId="0" xfId="0" applyFont="1" applyFill="1"/>
    <xf numFmtId="0" fontId="106" fillId="9" borderId="0" xfId="0" applyFont="1" applyFill="1"/>
    <xf numFmtId="0" fontId="68" fillId="5" borderId="8" xfId="0" applyFont="1" applyFill="1" applyBorder="1"/>
    <xf numFmtId="9" fontId="104" fillId="5" borderId="17" xfId="26" applyFont="1" applyFill="1" applyBorder="1" applyAlignment="1">
      <alignment horizontal="center"/>
    </xf>
    <xf numFmtId="9" fontId="104" fillId="5" borderId="0" xfId="26" applyFont="1" applyFill="1" applyBorder="1" applyAlignment="1">
      <alignment horizontal="center"/>
    </xf>
    <xf numFmtId="9" fontId="105" fillId="18" borderId="35" xfId="26" applyNumberFormat="1" applyFont="1" applyFill="1" applyBorder="1" applyAlignment="1">
      <alignment horizontal="center"/>
    </xf>
    <xf numFmtId="9" fontId="105" fillId="18" borderId="19" xfId="26" applyFont="1" applyFill="1" applyBorder="1" applyAlignment="1">
      <alignment horizontal="center"/>
    </xf>
    <xf numFmtId="9" fontId="105" fillId="18" borderId="12" xfId="26" applyFont="1" applyFill="1" applyBorder="1" applyAlignment="1">
      <alignment horizontal="center"/>
    </xf>
    <xf numFmtId="9" fontId="104" fillId="5" borderId="20" xfId="26" applyFont="1" applyFill="1" applyBorder="1" applyAlignment="1">
      <alignment horizontal="center"/>
    </xf>
    <xf numFmtId="9" fontId="104" fillId="5" borderId="1" xfId="26" applyFont="1" applyFill="1" applyBorder="1" applyAlignment="1">
      <alignment horizontal="center"/>
    </xf>
    <xf numFmtId="9" fontId="105" fillId="18" borderId="32" xfId="26" applyNumberFormat="1" applyFont="1" applyFill="1" applyBorder="1" applyAlignment="1">
      <alignment horizontal="center"/>
    </xf>
    <xf numFmtId="9" fontId="105" fillId="18" borderId="22" xfId="26" applyFont="1" applyFill="1" applyBorder="1" applyAlignment="1">
      <alignment horizontal="center"/>
    </xf>
    <xf numFmtId="9" fontId="105" fillId="18" borderId="84" xfId="26" applyFont="1" applyFill="1" applyBorder="1" applyAlignment="1">
      <alignment horizontal="center"/>
    </xf>
    <xf numFmtId="0" fontId="83" fillId="2" borderId="115" xfId="0" applyFont="1" applyFill="1" applyBorder="1"/>
    <xf numFmtId="3" fontId="83" fillId="2" borderId="20" xfId="0" applyNumberFormat="1" applyFont="1" applyFill="1" applyBorder="1" applyAlignment="1">
      <alignment horizontal="center"/>
    </xf>
    <xf numFmtId="3" fontId="83" fillId="2" borderId="1" xfId="0" applyNumberFormat="1" applyFont="1" applyFill="1" applyBorder="1" applyAlignment="1">
      <alignment horizontal="center"/>
    </xf>
    <xf numFmtId="3" fontId="107" fillId="18" borderId="97" xfId="0" applyNumberFormat="1" applyFont="1" applyFill="1" applyBorder="1" applyAlignment="1">
      <alignment horizontal="center"/>
    </xf>
    <xf numFmtId="3" fontId="107" fillId="18" borderId="92" xfId="0" applyNumberFormat="1" applyFont="1" applyFill="1" applyBorder="1" applyAlignment="1">
      <alignment horizontal="center"/>
    </xf>
    <xf numFmtId="3" fontId="107" fillId="18" borderId="10" xfId="0" applyNumberFormat="1" applyFont="1" applyFill="1" applyBorder="1" applyAlignment="1">
      <alignment horizontal="center"/>
    </xf>
    <xf numFmtId="0" fontId="108" fillId="3" borderId="0" xfId="0" applyFont="1" applyFill="1"/>
    <xf numFmtId="0" fontId="108" fillId="9" borderId="0" xfId="0" applyFont="1" applyFill="1"/>
    <xf numFmtId="0" fontId="108" fillId="5" borderId="115" xfId="0" applyFont="1" applyFill="1" applyBorder="1"/>
    <xf numFmtId="4" fontId="109" fillId="5" borderId="23" xfId="0" applyNumberFormat="1" applyFont="1" applyFill="1" applyBorder="1" applyAlignment="1">
      <alignment horizontal="center"/>
    </xf>
    <xf numFmtId="4" fontId="109" fillId="5" borderId="24" xfId="0" applyNumberFormat="1" applyFont="1" applyFill="1" applyBorder="1" applyAlignment="1">
      <alignment horizontal="center"/>
    </xf>
    <xf numFmtId="4" fontId="105" fillId="18" borderId="101" xfId="0" applyNumberFormat="1" applyFont="1" applyFill="1" applyBorder="1" applyAlignment="1">
      <alignment horizontal="center"/>
    </xf>
    <xf numFmtId="4" fontId="105" fillId="18" borderId="26" xfId="0" applyNumberFormat="1" applyFont="1" applyFill="1" applyBorder="1" applyAlignment="1">
      <alignment horizontal="center"/>
    </xf>
    <xf numFmtId="4" fontId="105" fillId="18" borderId="102" xfId="0" applyNumberFormat="1" applyFont="1" applyFill="1" applyBorder="1" applyAlignment="1">
      <alignment horizontal="center"/>
    </xf>
    <xf numFmtId="0" fontId="106" fillId="3" borderId="0" xfId="0" applyFont="1" applyFill="1" applyBorder="1"/>
    <xf numFmtId="0" fontId="83" fillId="2" borderId="45" xfId="0" applyFont="1" applyFill="1" applyBorder="1"/>
    <xf numFmtId="0" fontId="83" fillId="2" borderId="104" xfId="0" applyFont="1" applyFill="1" applyBorder="1" applyAlignment="1">
      <alignment horizontal="right"/>
    </xf>
    <xf numFmtId="166" fontId="83" fillId="2" borderId="99" xfId="0" applyNumberFormat="1" applyFont="1" applyFill="1" applyBorder="1" applyAlignment="1">
      <alignment horizontal="right"/>
    </xf>
    <xf numFmtId="166" fontId="107" fillId="18" borderId="105" xfId="0" applyNumberFormat="1" applyFont="1" applyFill="1" applyBorder="1" applyAlignment="1">
      <alignment horizontal="center"/>
    </xf>
    <xf numFmtId="166" fontId="107" fillId="18" borderId="56" xfId="0" applyNumberFormat="1" applyFont="1" applyFill="1" applyBorder="1" applyAlignment="1">
      <alignment horizontal="center"/>
    </xf>
    <xf numFmtId="166" fontId="107" fillId="18" borderId="55" xfId="0" applyNumberFormat="1" applyFont="1" applyFill="1" applyBorder="1" applyAlignment="1">
      <alignment horizontal="center"/>
    </xf>
    <xf numFmtId="0" fontId="108" fillId="3" borderId="0" xfId="0" applyFont="1" applyFill="1" applyBorder="1"/>
    <xf numFmtId="4" fontId="105" fillId="3" borderId="0" xfId="0" applyNumberFormat="1" applyFont="1" applyFill="1" applyBorder="1" applyAlignment="1">
      <alignment horizontal="right"/>
    </xf>
    <xf numFmtId="2" fontId="106" fillId="3" borderId="0" xfId="0" applyNumberFormat="1" applyFont="1" applyFill="1"/>
    <xf numFmtId="0" fontId="110" fillId="19" borderId="51" xfId="0" applyFont="1" applyFill="1" applyBorder="1" applyAlignment="1">
      <alignment horizontal="center"/>
    </xf>
    <xf numFmtId="0" fontId="110" fillId="19" borderId="53" xfId="0" applyFont="1" applyFill="1" applyBorder="1" applyAlignment="1">
      <alignment horizontal="center"/>
    </xf>
    <xf numFmtId="0" fontId="111" fillId="19" borderId="53" xfId="0" applyFont="1" applyFill="1" applyBorder="1"/>
    <xf numFmtId="0" fontId="112" fillId="19" borderId="53" xfId="0" applyFont="1" applyFill="1" applyBorder="1"/>
    <xf numFmtId="0" fontId="112" fillId="19" borderId="55" xfId="0" applyFont="1" applyFill="1" applyBorder="1"/>
    <xf numFmtId="0" fontId="112" fillId="3" borderId="0" xfId="0" applyFont="1" applyFill="1"/>
    <xf numFmtId="0" fontId="112" fillId="9" borderId="0" xfId="0" applyFont="1" applyFill="1"/>
    <xf numFmtId="0" fontId="83" fillId="2" borderId="35" xfId="0" applyFont="1" applyFill="1" applyBorder="1" applyAlignment="1">
      <alignment horizontal="right"/>
    </xf>
    <xf numFmtId="0" fontId="83" fillId="2" borderId="19" xfId="0" applyFont="1" applyFill="1" applyBorder="1" applyAlignment="1">
      <alignment horizontal="right"/>
    </xf>
    <xf numFmtId="0" fontId="83" fillId="2" borderId="12" xfId="0" applyFont="1" applyFill="1" applyBorder="1" applyAlignment="1">
      <alignment horizontal="right"/>
    </xf>
    <xf numFmtId="0" fontId="83" fillId="2" borderId="0" xfId="0" applyFont="1" applyFill="1" applyBorder="1" applyAlignment="1">
      <alignment horizontal="right"/>
    </xf>
    <xf numFmtId="0" fontId="85" fillId="9" borderId="0" xfId="0" applyFont="1" applyFill="1"/>
    <xf numFmtId="3" fontId="104" fillId="5" borderId="29" xfId="26" applyNumberFormat="1" applyFont="1" applyFill="1" applyBorder="1" applyAlignment="1">
      <alignment horizontal="left"/>
    </xf>
    <xf numFmtId="3" fontId="104" fillId="5" borderId="16" xfId="26" applyNumberFormat="1" applyFont="1" applyFill="1" applyBorder="1" applyAlignment="1">
      <alignment horizontal="right"/>
    </xf>
    <xf numFmtId="166" fontId="104" fillId="5" borderId="16" xfId="26" applyNumberFormat="1" applyFont="1" applyFill="1" applyBorder="1" applyAlignment="1">
      <alignment horizontal="right"/>
    </xf>
    <xf numFmtId="166" fontId="104" fillId="5" borderId="82" xfId="26" applyNumberFormat="1" applyFont="1" applyFill="1" applyBorder="1" applyAlignment="1">
      <alignment horizontal="right"/>
    </xf>
    <xf numFmtId="166" fontId="104" fillId="5" borderId="14" xfId="26" applyNumberFormat="1" applyFont="1" applyFill="1" applyBorder="1" applyAlignment="1">
      <alignment horizontal="right"/>
    </xf>
    <xf numFmtId="3" fontId="104" fillId="5" borderId="29" xfId="26" applyNumberFormat="1" applyFont="1" applyFill="1" applyBorder="1" applyAlignment="1">
      <alignment horizontal="right"/>
    </xf>
    <xf numFmtId="3" fontId="83" fillId="2" borderId="104" xfId="0" applyNumberFormat="1" applyFont="1" applyFill="1" applyBorder="1" applyAlignment="1">
      <alignment horizontal="right"/>
    </xf>
    <xf numFmtId="3" fontId="83" fillId="2" borderId="99" xfId="0" applyNumberFormat="1" applyFont="1" applyFill="1" applyBorder="1" applyAlignment="1">
      <alignment horizontal="right"/>
    </xf>
    <xf numFmtId="3" fontId="83" fillId="2" borderId="116" xfId="0" applyNumberFormat="1" applyFont="1" applyFill="1" applyBorder="1" applyAlignment="1">
      <alignment horizontal="right"/>
    </xf>
    <xf numFmtId="3" fontId="83" fillId="2" borderId="100" xfId="0" applyNumberFormat="1" applyFont="1" applyFill="1" applyBorder="1" applyAlignment="1">
      <alignment horizontal="right"/>
    </xf>
    <xf numFmtId="3" fontId="83" fillId="2" borderId="98" xfId="0" applyNumberFormat="1" applyFont="1" applyFill="1" applyBorder="1" applyAlignment="1">
      <alignment horizontal="right"/>
    </xf>
    <xf numFmtId="166" fontId="85" fillId="3" borderId="0" xfId="0" applyNumberFormat="1" applyFont="1" applyFill="1"/>
    <xf numFmtId="3" fontId="85" fillId="3" borderId="0" xfId="0" applyNumberFormat="1" applyFont="1" applyFill="1"/>
    <xf numFmtId="0" fontId="83" fillId="2" borderId="18" xfId="0" applyFont="1" applyFill="1" applyBorder="1"/>
    <xf numFmtId="0" fontId="83" fillId="2" borderId="44" xfId="0" applyFont="1" applyFill="1" applyBorder="1"/>
    <xf numFmtId="0" fontId="83" fillId="2" borderId="0" xfId="0" applyFont="1" applyFill="1" applyBorder="1"/>
    <xf numFmtId="0" fontId="83" fillId="2" borderId="8" xfId="0" applyFont="1" applyFill="1" applyBorder="1" applyAlignment="1">
      <alignment horizontal="right"/>
    </xf>
    <xf numFmtId="3" fontId="104" fillId="5" borderId="13" xfId="0" applyNumberFormat="1" applyFont="1" applyFill="1" applyBorder="1" applyAlignment="1">
      <alignment horizontal="right"/>
    </xf>
    <xf numFmtId="9" fontId="104" fillId="5" borderId="15" xfId="26" applyFont="1" applyFill="1" applyBorder="1"/>
    <xf numFmtId="3" fontId="104" fillId="5" borderId="14" xfId="0" applyNumberFormat="1" applyFont="1" applyFill="1" applyBorder="1" applyAlignment="1">
      <alignment horizontal="right"/>
    </xf>
    <xf numFmtId="9" fontId="104" fillId="5" borderId="31" xfId="26" applyFont="1" applyFill="1" applyBorder="1"/>
    <xf numFmtId="9" fontId="104" fillId="5" borderId="14" xfId="26" applyFont="1" applyFill="1" applyBorder="1"/>
    <xf numFmtId="3" fontId="104" fillId="5" borderId="7" xfId="0" applyNumberFormat="1" applyFont="1" applyFill="1" applyBorder="1" applyAlignment="1">
      <alignment horizontal="right"/>
    </xf>
    <xf numFmtId="3" fontId="104" fillId="5" borderId="17" xfId="0" applyNumberFormat="1" applyFont="1" applyFill="1" applyBorder="1" applyAlignment="1">
      <alignment horizontal="right"/>
    </xf>
    <xf numFmtId="9" fontId="104" fillId="5" borderId="18" xfId="26" applyFont="1" applyFill="1" applyBorder="1"/>
    <xf numFmtId="3" fontId="104" fillId="5" borderId="0" xfId="0" applyNumberFormat="1" applyFont="1" applyFill="1" applyBorder="1" applyAlignment="1">
      <alignment horizontal="right"/>
    </xf>
    <xf numFmtId="9" fontId="104" fillId="5" borderId="44" xfId="26" applyFont="1" applyFill="1" applyBorder="1"/>
    <xf numFmtId="9" fontId="104" fillId="5" borderId="0" xfId="26" applyFont="1" applyFill="1" applyBorder="1"/>
    <xf numFmtId="3" fontId="104" fillId="5" borderId="8" xfId="0" applyNumberFormat="1" applyFont="1" applyFill="1" applyBorder="1" applyAlignment="1">
      <alignment horizontal="right"/>
    </xf>
    <xf numFmtId="0" fontId="68" fillId="5" borderId="45" xfId="0" applyFont="1" applyFill="1" applyBorder="1"/>
    <xf numFmtId="3" fontId="104" fillId="5" borderId="46" xfId="0" applyNumberFormat="1" applyFont="1" applyFill="1" applyBorder="1" applyAlignment="1">
      <alignment horizontal="right"/>
    </xf>
    <xf numFmtId="0" fontId="104" fillId="5" borderId="47" xfId="0" applyFont="1" applyFill="1" applyBorder="1"/>
    <xf numFmtId="3" fontId="104" fillId="5" borderId="116" xfId="0" applyNumberFormat="1" applyFont="1" applyFill="1" applyBorder="1" applyAlignment="1">
      <alignment horizontal="right"/>
    </xf>
    <xf numFmtId="0" fontId="104" fillId="5" borderId="41" xfId="0" applyFont="1" applyFill="1" applyBorder="1"/>
    <xf numFmtId="0" fontId="104" fillId="5" borderId="6" xfId="0" applyFont="1" applyFill="1" applyBorder="1"/>
    <xf numFmtId="3" fontId="104" fillId="5" borderId="98" xfId="0" applyNumberFormat="1" applyFont="1" applyFill="1" applyBorder="1" applyAlignment="1">
      <alignment horizontal="right"/>
    </xf>
    <xf numFmtId="3" fontId="106" fillId="3" borderId="0" xfId="0" applyNumberFormat="1" applyFont="1" applyFill="1"/>
    <xf numFmtId="169" fontId="28" fillId="8" borderId="9" xfId="0" applyNumberFormat="1" applyFont="1" applyFill="1" applyBorder="1" applyAlignment="1"/>
    <xf numFmtId="1" fontId="28" fillId="8" borderId="2" xfId="0" applyNumberFormat="1" applyFont="1" applyFill="1" applyBorder="1"/>
    <xf numFmtId="169" fontId="28" fillId="8" borderId="117" xfId="0" applyNumberFormat="1" applyFont="1" applyFill="1" applyBorder="1" applyAlignment="1"/>
    <xf numFmtId="1" fontId="28" fillId="8" borderId="10" xfId="0" applyNumberFormat="1" applyFont="1" applyFill="1" applyBorder="1"/>
    <xf numFmtId="166" fontId="28" fillId="3" borderId="0" xfId="0" applyNumberFormat="1" applyFont="1" applyFill="1"/>
    <xf numFmtId="0" fontId="28" fillId="7" borderId="38" xfId="0" applyFont="1" applyFill="1" applyBorder="1" applyAlignment="1">
      <alignment horizontal="center" wrapText="1"/>
    </xf>
    <xf numFmtId="0" fontId="28" fillId="7" borderId="39" xfId="0" applyFont="1" applyFill="1" applyBorder="1" applyAlignment="1">
      <alignment horizontal="center" wrapText="1"/>
    </xf>
    <xf numFmtId="166" fontId="28" fillId="7" borderId="6" xfId="0" applyNumberFormat="1" applyFont="1" applyFill="1" applyBorder="1" applyAlignment="1">
      <alignment horizontal="center" wrapText="1"/>
    </xf>
    <xf numFmtId="3" fontId="28" fillId="7" borderId="118" xfId="0" applyNumberFormat="1" applyFont="1" applyFill="1" applyBorder="1" applyAlignment="1">
      <alignment horizontal="center" wrapText="1"/>
    </xf>
    <xf numFmtId="0" fontId="28" fillId="7" borderId="11" xfId="0" applyFont="1" applyFill="1" applyBorder="1" applyAlignment="1">
      <alignment horizontal="center" wrapText="1"/>
    </xf>
    <xf numFmtId="0" fontId="28" fillId="8" borderId="53" xfId="0" applyFont="1" applyFill="1" applyBorder="1"/>
    <xf numFmtId="0" fontId="28" fillId="8" borderId="55" xfId="0" applyFont="1" applyFill="1" applyBorder="1"/>
    <xf numFmtId="0" fontId="28" fillId="9" borderId="0" xfId="0" applyFont="1" applyFill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8" fillId="8" borderId="10" xfId="7" applyFont="1" applyFill="1" applyBorder="1"/>
    <xf numFmtId="0" fontId="28" fillId="3" borderId="0" xfId="7" applyFont="1" applyFill="1"/>
    <xf numFmtId="1" fontId="113" fillId="4" borderId="8" xfId="7" applyNumberFormat="1" applyFont="1" applyFill="1" applyBorder="1" applyAlignment="1">
      <alignment horizontal="left"/>
    </xf>
    <xf numFmtId="3" fontId="60" fillId="4" borderId="0" xfId="7" applyNumberFormat="1" applyFont="1" applyFill="1" applyBorder="1" applyAlignment="1">
      <alignment horizontal="center"/>
    </xf>
    <xf numFmtId="9" fontId="60" fillId="4" borderId="0" xfId="7" applyNumberFormat="1" applyFont="1" applyFill="1" applyBorder="1" applyAlignment="1">
      <alignment horizontal="center"/>
    </xf>
    <xf numFmtId="0" fontId="28" fillId="2" borderId="12" xfId="7" applyFont="1" applyFill="1" applyBorder="1"/>
    <xf numFmtId="1" fontId="113" fillId="4" borderId="8" xfId="7" applyNumberFormat="1" applyFont="1" applyFill="1" applyBorder="1" applyAlignment="1"/>
    <xf numFmtId="168" fontId="113" fillId="4" borderId="0" xfId="7" applyNumberFormat="1" applyFont="1" applyFill="1" applyBorder="1" applyAlignment="1">
      <alignment horizontal="center"/>
    </xf>
    <xf numFmtId="9" fontId="60" fillId="4" borderId="0" xfId="7" applyNumberFormat="1" applyFont="1" applyFill="1" applyBorder="1" applyAlignment="1">
      <alignment horizontal="center" wrapText="1"/>
    </xf>
    <xf numFmtId="1" fontId="62" fillId="10" borderId="97" xfId="7" applyNumberFormat="1" applyFont="1" applyFill="1" applyBorder="1" applyAlignment="1">
      <alignment horizontal="left"/>
    </xf>
    <xf numFmtId="3" fontId="7" fillId="3" borderId="2" xfId="7" applyNumberFormat="1" applyFont="1" applyFill="1" applyBorder="1" applyAlignment="1">
      <alignment horizontal="center"/>
    </xf>
    <xf numFmtId="9" fontId="28" fillId="3" borderId="2" xfId="7" applyNumberFormat="1" applyFont="1" applyFill="1" applyBorder="1" applyAlignment="1">
      <alignment horizontal="center"/>
    </xf>
    <xf numFmtId="0" fontId="28" fillId="3" borderId="10" xfId="7" applyFont="1" applyFill="1" applyBorder="1"/>
    <xf numFmtId="1" fontId="64" fillId="10" borderId="35" xfId="7" applyNumberFormat="1" applyFont="1" applyFill="1" applyBorder="1" applyAlignment="1">
      <alignment horizontal="left"/>
    </xf>
    <xf numFmtId="3" fontId="28" fillId="3" borderId="0" xfId="7" applyNumberFormat="1" applyFont="1" applyFill="1" applyBorder="1" applyAlignment="1">
      <alignment horizontal="center"/>
    </xf>
    <xf numFmtId="9" fontId="28" fillId="3" borderId="0" xfId="7" applyNumberFormat="1" applyFont="1" applyFill="1" applyBorder="1" applyAlignment="1">
      <alignment horizontal="center"/>
    </xf>
    <xf numFmtId="0" fontId="28" fillId="3" borderId="12" xfId="7" applyFont="1" applyFill="1" applyBorder="1"/>
    <xf numFmtId="3" fontId="7" fillId="3" borderId="0" xfId="7" applyNumberFormat="1" applyFont="1" applyFill="1" applyBorder="1" applyAlignment="1">
      <alignment horizontal="center"/>
    </xf>
    <xf numFmtId="3" fontId="28" fillId="3" borderId="0" xfId="7" applyNumberFormat="1" applyFont="1" applyFill="1"/>
    <xf numFmtId="1" fontId="27" fillId="10" borderId="35" xfId="7" applyNumberFormat="1" applyFont="1" applyFill="1" applyBorder="1" applyAlignment="1">
      <alignment horizontal="left"/>
    </xf>
    <xf numFmtId="1" fontId="62" fillId="10" borderId="35" xfId="7" applyNumberFormat="1" applyFont="1" applyFill="1" applyBorder="1" applyAlignment="1">
      <alignment horizontal="left"/>
    </xf>
    <xf numFmtId="166" fontId="28" fillId="3" borderId="0" xfId="7" applyNumberFormat="1" applyFont="1" applyFill="1"/>
    <xf numFmtId="3" fontId="62" fillId="10" borderId="35" xfId="7" applyNumberFormat="1" applyFont="1" applyFill="1" applyBorder="1" applyAlignment="1">
      <alignment horizontal="left"/>
    </xf>
    <xf numFmtId="9" fontId="28" fillId="3" borderId="0" xfId="26" applyFont="1" applyFill="1" applyBorder="1" applyAlignment="1">
      <alignment horizontal="center"/>
    </xf>
    <xf numFmtId="1" fontId="64" fillId="10" borderId="35" xfId="7" quotePrefix="1" applyNumberFormat="1" applyFont="1" applyFill="1" applyBorder="1" applyAlignment="1">
      <alignment horizontal="left"/>
    </xf>
    <xf numFmtId="3" fontId="28" fillId="3" borderId="12" xfId="7" applyNumberFormat="1" applyFont="1" applyFill="1" applyBorder="1"/>
    <xf numFmtId="166" fontId="28" fillId="3" borderId="0" xfId="26" applyNumberFormat="1" applyFont="1" applyFill="1" applyBorder="1" applyAlignment="1">
      <alignment horizontal="center"/>
    </xf>
    <xf numFmtId="9" fontId="28" fillId="3" borderId="12" xfId="7" applyNumberFormat="1" applyFont="1" applyFill="1" applyBorder="1"/>
    <xf numFmtId="3" fontId="28" fillId="3" borderId="12" xfId="7" applyNumberFormat="1" applyFont="1" applyFill="1" applyBorder="1" applyAlignment="1"/>
    <xf numFmtId="0" fontId="62" fillId="10" borderId="35" xfId="7" applyFont="1" applyFill="1" applyBorder="1" applyAlignment="1">
      <alignment horizontal="left"/>
    </xf>
    <xf numFmtId="1" fontId="62" fillId="10" borderId="38" xfId="7" quotePrefix="1" applyNumberFormat="1" applyFont="1" applyFill="1" applyBorder="1" applyAlignment="1">
      <alignment horizontal="left"/>
    </xf>
    <xf numFmtId="3" fontId="28" fillId="3" borderId="6" xfId="7" applyNumberFormat="1" applyFont="1" applyFill="1" applyBorder="1" applyAlignment="1">
      <alignment horizontal="center"/>
    </xf>
    <xf numFmtId="166" fontId="28" fillId="3" borderId="6" xfId="7" applyNumberFormat="1" applyFont="1" applyFill="1" applyBorder="1" applyAlignment="1">
      <alignment horizontal="center"/>
    </xf>
    <xf numFmtId="9" fontId="28" fillId="3" borderId="6" xfId="7" applyNumberFormat="1" applyFont="1" applyFill="1" applyBorder="1" applyAlignment="1">
      <alignment horizontal="center"/>
    </xf>
    <xf numFmtId="0" fontId="28" fillId="3" borderId="11" xfId="7" applyFont="1" applyFill="1" applyBorder="1"/>
    <xf numFmtId="0" fontId="28" fillId="3" borderId="0" xfId="7" applyFont="1" applyFill="1" applyAlignment="1">
      <alignment horizontal="center"/>
    </xf>
    <xf numFmtId="0" fontId="81" fillId="8" borderId="9" xfId="0" applyFont="1" applyFill="1" applyBorder="1"/>
    <xf numFmtId="0" fontId="81" fillId="8" borderId="2" xfId="0" applyFont="1" applyFill="1" applyBorder="1"/>
    <xf numFmtId="0" fontId="81" fillId="8" borderId="10" xfId="0" applyFont="1" applyFill="1" applyBorder="1"/>
    <xf numFmtId="0" fontId="84" fillId="2" borderId="10" xfId="0" applyFont="1" applyFill="1" applyBorder="1" applyAlignment="1">
      <alignment horizontal="center"/>
    </xf>
    <xf numFmtId="0" fontId="84" fillId="2" borderId="0" xfId="0" applyFont="1" applyFill="1" applyBorder="1"/>
    <xf numFmtId="0" fontId="83" fillId="2" borderId="12" xfId="0" applyFont="1" applyFill="1" applyBorder="1"/>
    <xf numFmtId="0" fontId="13" fillId="7" borderId="9" xfId="0" applyFont="1" applyFill="1" applyBorder="1" applyAlignment="1">
      <alignment horizontal="left"/>
    </xf>
    <xf numFmtId="164" fontId="13" fillId="7" borderId="48" xfId="0" applyNumberFormat="1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3" fontId="13" fillId="7" borderId="10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left"/>
    </xf>
    <xf numFmtId="166" fontId="13" fillId="7" borderId="49" xfId="0" applyNumberFormat="1" applyFont="1" applyFill="1" applyBorder="1" applyAlignment="1">
      <alignment horizontal="center"/>
    </xf>
    <xf numFmtId="166" fontId="13" fillId="7" borderId="0" xfId="0" applyNumberFormat="1" applyFont="1" applyFill="1" applyBorder="1" applyAlignment="1">
      <alignment horizontal="center"/>
    </xf>
    <xf numFmtId="166" fontId="13" fillId="7" borderId="12" xfId="0" applyNumberFormat="1" applyFont="1" applyFill="1" applyBorder="1" applyAlignment="1">
      <alignment horizontal="center"/>
    </xf>
    <xf numFmtId="0" fontId="13" fillId="7" borderId="49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164" fontId="13" fillId="7" borderId="49" xfId="0" applyNumberFormat="1" applyFont="1" applyFill="1" applyBorder="1" applyAlignment="1">
      <alignment horizontal="center"/>
    </xf>
    <xf numFmtId="164" fontId="13" fillId="7" borderId="0" xfId="0" applyNumberFormat="1" applyFont="1" applyFill="1" applyBorder="1" applyAlignment="1">
      <alignment horizontal="center"/>
    </xf>
    <xf numFmtId="3" fontId="13" fillId="7" borderId="12" xfId="0" applyNumberFormat="1" applyFont="1" applyFill="1" applyBorder="1" applyAlignment="1">
      <alignment horizontal="center"/>
    </xf>
    <xf numFmtId="0" fontId="13" fillId="7" borderId="5" xfId="0" applyFont="1" applyFill="1" applyBorder="1" applyAlignment="1">
      <alignment horizontal="left"/>
    </xf>
    <xf numFmtId="166" fontId="13" fillId="7" borderId="50" xfId="0" applyNumberFormat="1" applyFont="1" applyFill="1" applyBorder="1" applyAlignment="1">
      <alignment horizontal="center"/>
    </xf>
    <xf numFmtId="166" fontId="13" fillId="7" borderId="6" xfId="0" applyNumberFormat="1" applyFont="1" applyFill="1" applyBorder="1" applyAlignment="1">
      <alignment horizontal="center"/>
    </xf>
    <xf numFmtId="166" fontId="13" fillId="7" borderId="11" xfId="0" applyNumberFormat="1" applyFont="1" applyFill="1" applyBorder="1" applyAlignment="1">
      <alignment horizontal="center"/>
    </xf>
    <xf numFmtId="166" fontId="13" fillId="6" borderId="0" xfId="0" applyNumberFormat="1" applyFont="1" applyFill="1" applyBorder="1" applyAlignment="1">
      <alignment horizontal="center"/>
    </xf>
    <xf numFmtId="0" fontId="69" fillId="3" borderId="0" xfId="0" applyFont="1" applyFill="1" applyAlignment="1">
      <alignment horizontal="left" vertical="center"/>
    </xf>
    <xf numFmtId="0" fontId="34" fillId="9" borderId="0" xfId="0" applyFont="1" applyFill="1" applyBorder="1" applyAlignment="1">
      <alignment horizontal="left" wrapText="1"/>
    </xf>
    <xf numFmtId="164" fontId="20" fillId="5" borderId="48" xfId="5" applyNumberFormat="1" applyFont="1" applyFill="1" applyBorder="1" applyAlignment="1">
      <alignment horizontal="center" vertical="center" wrapText="1"/>
    </xf>
    <xf numFmtId="164" fontId="20" fillId="5" borderId="50" xfId="5" applyNumberFormat="1" applyFont="1" applyFill="1" applyBorder="1" applyAlignment="1">
      <alignment horizontal="center" vertical="center" wrapText="1"/>
    </xf>
    <xf numFmtId="164" fontId="55" fillId="0" borderId="48" xfId="0" applyNumberFormat="1" applyFont="1" applyFill="1" applyBorder="1" applyAlignment="1">
      <alignment horizontal="center" vertical="center" wrapText="1"/>
    </xf>
    <xf numFmtId="164" fontId="55" fillId="0" borderId="50" xfId="0" applyNumberFormat="1" applyFont="1" applyFill="1" applyBorder="1" applyAlignment="1">
      <alignment horizontal="center" vertical="center" wrapText="1"/>
    </xf>
    <xf numFmtId="0" fontId="7" fillId="5" borderId="48" xfId="0" applyFont="1" applyFill="1" applyBorder="1" applyAlignment="1">
      <alignment horizontal="center" vertical="center" textRotation="90"/>
    </xf>
    <xf numFmtId="0" fontId="7" fillId="5" borderId="49" xfId="0" applyFont="1" applyFill="1" applyBorder="1" applyAlignment="1">
      <alignment horizontal="center" vertical="center" textRotation="90"/>
    </xf>
    <xf numFmtId="0" fontId="7" fillId="5" borderId="50" xfId="0" applyFont="1" applyFill="1" applyBorder="1" applyAlignment="1">
      <alignment horizontal="center" vertical="center" textRotation="90"/>
    </xf>
    <xf numFmtId="164" fontId="20" fillId="20" borderId="48" xfId="5" applyNumberFormat="1" applyFont="1" applyFill="1" applyBorder="1" applyAlignment="1">
      <alignment horizontal="center" vertical="center" wrapText="1"/>
    </xf>
    <xf numFmtId="164" fontId="20" fillId="20" borderId="50" xfId="5" applyNumberFormat="1" applyFont="1" applyFill="1" applyBorder="1" applyAlignment="1">
      <alignment horizontal="center" vertical="center" wrapText="1"/>
    </xf>
    <xf numFmtId="164" fontId="57" fillId="13" borderId="53" xfId="0" applyNumberFormat="1" applyFont="1" applyFill="1" applyBorder="1" applyAlignment="1">
      <alignment horizontal="center"/>
    </xf>
    <xf numFmtId="164" fontId="20" fillId="21" borderId="48" xfId="5" applyNumberFormat="1" applyFont="1" applyFill="1" applyBorder="1" applyAlignment="1">
      <alignment horizontal="center" vertical="center" wrapText="1"/>
    </xf>
    <xf numFmtId="164" fontId="20" fillId="21" borderId="50" xfId="5" applyNumberFormat="1" applyFont="1" applyFill="1" applyBorder="1" applyAlignment="1">
      <alignment horizontal="center" vertical="center" wrapText="1"/>
    </xf>
    <xf numFmtId="164" fontId="20" fillId="3" borderId="48" xfId="5" applyNumberFormat="1" applyFont="1" applyFill="1" applyBorder="1" applyAlignment="1">
      <alignment horizontal="center" vertical="center" wrapText="1"/>
    </xf>
    <xf numFmtId="164" fontId="20" fillId="3" borderId="50" xfId="5" applyNumberFormat="1" applyFont="1" applyFill="1" applyBorder="1" applyAlignment="1">
      <alignment horizontal="center" vertical="center" wrapText="1"/>
    </xf>
    <xf numFmtId="164" fontId="55" fillId="16" borderId="51" xfId="0" applyNumberFormat="1" applyFont="1" applyFill="1" applyBorder="1" applyAlignment="1">
      <alignment horizontal="center"/>
    </xf>
    <xf numFmtId="164" fontId="55" fillId="16" borderId="53" xfId="0" applyNumberFormat="1" applyFont="1" applyFill="1" applyBorder="1" applyAlignment="1">
      <alignment horizontal="center"/>
    </xf>
    <xf numFmtId="164" fontId="55" fillId="16" borderId="55" xfId="0" applyNumberFormat="1" applyFont="1" applyFill="1" applyBorder="1" applyAlignment="1">
      <alignment horizontal="center"/>
    </xf>
    <xf numFmtId="164" fontId="55" fillId="17" borderId="51" xfId="0" applyNumberFormat="1" applyFont="1" applyFill="1" applyBorder="1" applyAlignment="1">
      <alignment horizontal="center"/>
    </xf>
    <xf numFmtId="164" fontId="55" fillId="17" borderId="53" xfId="0" applyNumberFormat="1" applyFont="1" applyFill="1" applyBorder="1" applyAlignment="1">
      <alignment horizontal="center"/>
    </xf>
    <xf numFmtId="164" fontId="55" fillId="17" borderId="55" xfId="0" applyNumberFormat="1" applyFont="1" applyFill="1" applyBorder="1" applyAlignment="1">
      <alignment horizontal="center"/>
    </xf>
    <xf numFmtId="0" fontId="98" fillId="3" borderId="0" xfId="0" applyFont="1" applyFill="1" applyAlignment="1">
      <alignment horizontal="center"/>
    </xf>
    <xf numFmtId="0" fontId="100" fillId="3" borderId="0" xfId="0" applyFont="1" applyFill="1" applyAlignment="1">
      <alignment horizontal="center"/>
    </xf>
    <xf numFmtId="0" fontId="29" fillId="22" borderId="0" xfId="0" applyFont="1" applyFill="1" applyAlignment="1">
      <alignment horizontal="left"/>
    </xf>
    <xf numFmtId="0" fontId="30" fillId="3" borderId="0" xfId="0" applyFont="1" applyFill="1" applyAlignment="1">
      <alignment horizontal="center"/>
    </xf>
    <xf numFmtId="0" fontId="29" fillId="3" borderId="0" xfId="0" applyFont="1" applyFill="1" applyAlignment="1">
      <alignment horizontal="left"/>
    </xf>
    <xf numFmtId="0" fontId="0" fillId="3" borderId="104" xfId="0" applyNumberFormat="1" applyFill="1" applyBorder="1" applyAlignment="1">
      <alignment horizontal="center"/>
    </xf>
    <xf numFmtId="0" fontId="0" fillId="3" borderId="99" xfId="0" applyNumberFormat="1" applyFill="1" applyBorder="1" applyAlignment="1">
      <alignment horizontal="center"/>
    </xf>
    <xf numFmtId="0" fontId="0" fillId="3" borderId="116" xfId="0" applyNumberFormat="1" applyFill="1" applyBorder="1" applyAlignment="1">
      <alignment horizontal="center"/>
    </xf>
    <xf numFmtId="0" fontId="0" fillId="3" borderId="9" xfId="0" applyNumberFormat="1" applyFill="1" applyBorder="1" applyAlignment="1">
      <alignment horizontal="center" textRotation="90"/>
    </xf>
    <xf numFmtId="0" fontId="0" fillId="3" borderId="8" xfId="0" applyNumberFormat="1" applyFill="1" applyBorder="1" applyAlignment="1">
      <alignment horizontal="center" textRotation="90"/>
    </xf>
    <xf numFmtId="0" fontId="0" fillId="3" borderId="5" xfId="0" applyNumberFormat="1" applyFill="1" applyBorder="1" applyAlignment="1">
      <alignment horizontal="center" textRotation="90"/>
    </xf>
    <xf numFmtId="0" fontId="0" fillId="3" borderId="48" xfId="0" applyNumberFormat="1" applyFill="1" applyBorder="1" applyAlignment="1">
      <alignment horizontal="center" textRotation="90"/>
    </xf>
    <xf numFmtId="0" fontId="0" fillId="3" borderId="49" xfId="0" applyNumberFormat="1" applyFill="1" applyBorder="1" applyAlignment="1">
      <alignment horizontal="center" textRotation="90"/>
    </xf>
    <xf numFmtId="0" fontId="0" fillId="3" borderId="50" xfId="0" applyNumberFormat="1" applyFill="1" applyBorder="1" applyAlignment="1">
      <alignment horizontal="center" textRotation="90"/>
    </xf>
  </cellXfs>
  <cellStyles count="27">
    <cellStyle name="Hipervínculo" xfId="1" builtinId="8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57150</xdr:rowOff>
    </xdr:from>
    <xdr:to>
      <xdr:col>2</xdr:col>
      <xdr:colOff>2105025</xdr:colOff>
      <xdr:row>8</xdr:row>
      <xdr:rowOff>95250</xdr:rowOff>
    </xdr:to>
    <xdr:pic>
      <xdr:nvPicPr>
        <xdr:cNvPr id="51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95275"/>
          <a:ext cx="21431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8</xdr:col>
      <xdr:colOff>266700</xdr:colOff>
      <xdr:row>72</xdr:row>
      <xdr:rowOff>28575</xdr:rowOff>
    </xdr:to>
    <xdr:pic>
      <xdr:nvPicPr>
        <xdr:cNvPr id="104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5591175" cy="1172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workbookViewId="0"/>
  </sheetViews>
  <sheetFormatPr baseColWidth="10" defaultRowHeight="12.75"/>
  <cols>
    <col min="1" max="1" width="1.85546875" style="3" customWidth="1"/>
    <col min="2" max="2" width="2.140625" style="3" customWidth="1"/>
    <col min="3" max="3" width="98.42578125" style="3" customWidth="1"/>
    <col min="4" max="4" width="1.85546875" style="3" customWidth="1"/>
    <col min="5" max="16384" width="11.42578125" style="3"/>
  </cols>
  <sheetData>
    <row r="1" spans="1:5" ht="18.75" thickBot="1">
      <c r="A1" s="62"/>
      <c r="B1" s="62"/>
      <c r="C1" s="242"/>
      <c r="D1" s="243"/>
      <c r="E1" s="62"/>
    </row>
    <row r="2" spans="1:5" ht="16.5" thickTop="1">
      <c r="A2" s="62"/>
      <c r="B2" s="244"/>
      <c r="C2" s="245"/>
      <c r="D2" s="183"/>
      <c r="E2" s="62"/>
    </row>
    <row r="3" spans="1:5" ht="15.75">
      <c r="A3" s="62"/>
      <c r="B3" s="246"/>
      <c r="C3" s="247"/>
      <c r="D3" s="183"/>
      <c r="E3" s="62"/>
    </row>
    <row r="4" spans="1:5" ht="15.75">
      <c r="A4" s="62"/>
      <c r="B4" s="246"/>
      <c r="C4" s="247"/>
      <c r="D4" s="246"/>
      <c r="E4" s="62"/>
    </row>
    <row r="5" spans="1:5" ht="15.75">
      <c r="A5" s="62"/>
      <c r="B5" s="248"/>
      <c r="D5" s="246"/>
      <c r="E5" s="62"/>
    </row>
    <row r="6" spans="1:5" ht="14.25">
      <c r="A6" s="62"/>
      <c r="B6" s="248"/>
      <c r="D6" s="248"/>
      <c r="E6" s="62"/>
    </row>
    <row r="7" spans="1:5" ht="33.75">
      <c r="A7" s="62"/>
      <c r="B7" s="248"/>
      <c r="C7" s="250"/>
      <c r="D7" s="183"/>
      <c r="E7" s="62"/>
    </row>
    <row r="8" spans="1:5" ht="14.25">
      <c r="A8" s="62"/>
      <c r="B8" s="248"/>
      <c r="C8" s="251"/>
      <c r="D8" s="183"/>
      <c r="E8" s="62"/>
    </row>
    <row r="9" spans="1:5" ht="14.25">
      <c r="A9" s="62"/>
      <c r="B9" s="248"/>
      <c r="C9" s="251"/>
      <c r="D9" s="183"/>
      <c r="E9" s="62"/>
    </row>
    <row r="10" spans="1:5" ht="14.25">
      <c r="A10" s="62"/>
      <c r="B10" s="248"/>
      <c r="C10" s="251"/>
      <c r="D10" s="183"/>
      <c r="E10" s="62"/>
    </row>
    <row r="11" spans="1:5" ht="33.75">
      <c r="A11" s="62"/>
      <c r="B11" s="248"/>
      <c r="C11" s="249" t="s">
        <v>546</v>
      </c>
      <c r="D11" s="183"/>
      <c r="E11" s="62"/>
    </row>
    <row r="12" spans="1:5" ht="33.75">
      <c r="A12" s="62"/>
      <c r="B12" s="248"/>
      <c r="C12" s="249" t="s">
        <v>547</v>
      </c>
      <c r="D12" s="183"/>
      <c r="E12" s="62"/>
    </row>
    <row r="13" spans="1:5" ht="26.25">
      <c r="A13" s="62"/>
      <c r="B13" s="248"/>
      <c r="C13" s="257">
        <v>2008</v>
      </c>
      <c r="D13" s="183"/>
      <c r="E13" s="62"/>
    </row>
    <row r="14" spans="1:5" ht="30">
      <c r="A14" s="62"/>
      <c r="B14" s="248"/>
      <c r="C14" s="252"/>
      <c r="D14" s="183"/>
      <c r="E14" s="62"/>
    </row>
    <row r="15" spans="1:5" ht="30">
      <c r="A15" s="62"/>
      <c r="B15" s="248"/>
      <c r="C15" s="252"/>
      <c r="D15" s="183"/>
      <c r="E15" s="62"/>
    </row>
    <row r="16" spans="1:5" ht="30">
      <c r="A16" s="62"/>
      <c r="B16" s="248"/>
      <c r="C16" s="252"/>
      <c r="D16" s="183"/>
      <c r="E16" s="62"/>
    </row>
    <row r="17" spans="1:5" ht="30">
      <c r="A17" s="62"/>
      <c r="B17" s="248"/>
      <c r="C17" s="252"/>
      <c r="D17" s="183"/>
      <c r="E17" s="62"/>
    </row>
    <row r="18" spans="1:5" ht="18">
      <c r="A18" s="62"/>
      <c r="B18" s="253"/>
      <c r="C18" s="254"/>
      <c r="D18" s="183"/>
      <c r="E18" s="62"/>
    </row>
    <row r="19" spans="1:5" ht="18">
      <c r="A19" s="62"/>
      <c r="B19" s="253"/>
      <c r="C19" s="254" t="s">
        <v>548</v>
      </c>
      <c r="D19" s="183"/>
      <c r="E19" s="62"/>
    </row>
    <row r="20" spans="1:5" ht="18">
      <c r="A20" s="62"/>
      <c r="B20" s="253"/>
      <c r="C20" s="254">
        <v>2008</v>
      </c>
      <c r="D20" s="183"/>
      <c r="E20" s="62"/>
    </row>
    <row r="21" spans="1:5" ht="15" thickBot="1">
      <c r="A21" s="62"/>
      <c r="B21" s="255"/>
      <c r="C21" s="256"/>
      <c r="D21" s="183"/>
      <c r="E21" s="62"/>
    </row>
    <row r="22" spans="1:5" ht="13.5" thickTop="1">
      <c r="A22" s="62"/>
      <c r="B22" s="183"/>
      <c r="C22" s="183"/>
      <c r="D22" s="183"/>
      <c r="E22" s="183"/>
    </row>
    <row r="23" spans="1:5">
      <c r="A23" s="62"/>
      <c r="B23" s="62"/>
      <c r="C23" s="62"/>
      <c r="D23" s="243"/>
      <c r="E23" s="62"/>
    </row>
  </sheetData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B31" sqref="B31"/>
    </sheetView>
  </sheetViews>
  <sheetFormatPr baseColWidth="10" defaultRowHeight="12.75" outlineLevelRow="1"/>
  <cols>
    <col min="1" max="1" width="1.5703125" style="296" customWidth="1"/>
    <col min="2" max="2" width="31" style="296" customWidth="1"/>
    <col min="3" max="6" width="11.42578125" style="296"/>
    <col min="7" max="7" width="11.5703125" style="296" customWidth="1"/>
    <col min="8" max="17" width="11.42578125" style="3"/>
    <col min="18" max="16384" width="11.42578125" style="296"/>
  </cols>
  <sheetData>
    <row r="1" spans="1:10" ht="6.75" customHeight="1" thickBot="1">
      <c r="A1" s="504"/>
      <c r="B1" s="504"/>
      <c r="C1" s="504"/>
      <c r="D1" s="504"/>
      <c r="E1" s="504"/>
      <c r="F1" s="504"/>
      <c r="G1" s="504"/>
      <c r="H1" s="62"/>
    </row>
    <row r="2" spans="1:10" ht="13.5" thickBot="1">
      <c r="A2" s="504"/>
      <c r="B2" s="639"/>
      <c r="C2" s="640"/>
      <c r="D2" s="640"/>
      <c r="E2" s="640"/>
      <c r="F2" s="640"/>
      <c r="G2" s="641"/>
      <c r="H2" s="572" t="s">
        <v>649</v>
      </c>
      <c r="I2" s="11"/>
      <c r="J2" s="11"/>
    </row>
    <row r="3" spans="1:10" ht="15.75">
      <c r="A3" s="504"/>
      <c r="B3" s="642"/>
      <c r="C3" s="607"/>
      <c r="D3" s="607" t="s">
        <v>94</v>
      </c>
      <c r="E3" s="643"/>
      <c r="F3" s="643"/>
      <c r="G3" s="644"/>
      <c r="H3" s="645"/>
      <c r="I3" s="13"/>
      <c r="J3" s="13"/>
    </row>
    <row r="4" spans="1:10" ht="15.75">
      <c r="A4" s="504"/>
      <c r="B4" s="646"/>
      <c r="C4" s="647"/>
      <c r="D4" s="648" t="s">
        <v>106</v>
      </c>
      <c r="E4" s="647"/>
      <c r="F4" s="647"/>
      <c r="G4" s="649"/>
      <c r="H4" s="645"/>
      <c r="I4" s="13"/>
      <c r="J4" s="13"/>
    </row>
    <row r="5" spans="1:10" ht="15.75">
      <c r="A5" s="504"/>
      <c r="B5" s="646"/>
      <c r="C5" s="647"/>
      <c r="D5" s="650" t="s">
        <v>812</v>
      </c>
      <c r="E5" s="647"/>
      <c r="F5" s="647"/>
      <c r="G5" s="649"/>
      <c r="H5" s="645"/>
      <c r="I5" s="13"/>
      <c r="J5" s="13"/>
    </row>
    <row r="6" spans="1:10" ht="15.75">
      <c r="A6" s="504"/>
      <c r="B6" s="646"/>
      <c r="C6" s="647"/>
      <c r="D6" s="648" t="s">
        <v>107</v>
      </c>
      <c r="E6" s="647"/>
      <c r="F6" s="647"/>
      <c r="G6" s="649"/>
      <c r="H6" s="645"/>
      <c r="I6" s="13"/>
      <c r="J6" s="13"/>
    </row>
    <row r="7" spans="1:10" ht="15.75">
      <c r="A7" s="504"/>
      <c r="B7" s="646"/>
      <c r="C7" s="647"/>
      <c r="D7" s="647"/>
      <c r="E7" s="647"/>
      <c r="F7" s="647"/>
      <c r="G7" s="649"/>
      <c r="H7" s="645"/>
      <c r="I7" s="13"/>
      <c r="J7" s="13"/>
    </row>
    <row r="8" spans="1:10" ht="15.75">
      <c r="A8" s="504"/>
      <c r="B8" s="646"/>
      <c r="C8" s="647"/>
      <c r="D8" s="647"/>
      <c r="E8" s="647"/>
      <c r="F8" s="647"/>
      <c r="G8" s="649"/>
      <c r="H8" s="645"/>
      <c r="I8" s="13"/>
      <c r="J8" s="13"/>
    </row>
    <row r="9" spans="1:10" ht="16.5" thickBot="1">
      <c r="A9" s="504"/>
      <c r="B9" s="651" t="s">
        <v>23</v>
      </c>
      <c r="C9" s="659" t="s">
        <v>108</v>
      </c>
      <c r="D9" s="659" t="s">
        <v>109</v>
      </c>
      <c r="E9" s="659" t="s">
        <v>110</v>
      </c>
      <c r="F9" s="659" t="s">
        <v>111</v>
      </c>
      <c r="G9" s="660" t="s">
        <v>31</v>
      </c>
      <c r="H9" s="645"/>
      <c r="I9" s="13"/>
      <c r="J9" s="13"/>
    </row>
    <row r="10" spans="1:10" ht="16.5" customHeight="1">
      <c r="A10" s="504"/>
      <c r="B10" s="635" t="s">
        <v>105</v>
      </c>
      <c r="C10" s="661">
        <f>SUM(C11:C18)</f>
        <v>60743.478718076309</v>
      </c>
      <c r="D10" s="661">
        <f>SUM(D11:D18)</f>
        <v>485.3107676759999</v>
      </c>
      <c r="E10" s="661">
        <f>SUM(E11:E18)</f>
        <v>18654.6792654235</v>
      </c>
      <c r="F10" s="661">
        <f>SUM(F11:F18)</f>
        <v>9553.4890709115607</v>
      </c>
      <c r="G10" s="662">
        <f>SUM(G11:G18)</f>
        <v>89436.957822087381</v>
      </c>
      <c r="H10" s="645"/>
      <c r="I10" s="11"/>
      <c r="J10" s="11"/>
    </row>
    <row r="11" spans="1:10" ht="16.5" customHeight="1" outlineLevel="1">
      <c r="A11" s="504"/>
      <c r="B11" s="656" t="s">
        <v>75</v>
      </c>
      <c r="C11" s="663">
        <f>CONS_TERAC!D7</f>
        <v>1.9218181500000002</v>
      </c>
      <c r="D11" s="663">
        <f>CONS_TERAC!D8</f>
        <v>0</v>
      </c>
      <c r="E11" s="663">
        <f>CONS_TERAC!D9</f>
        <v>14988.3147935955</v>
      </c>
      <c r="F11" s="663">
        <f>CONS_TERAC!D10</f>
        <v>0</v>
      </c>
      <c r="G11" s="664">
        <f>SUM(C11:F11)</f>
        <v>14990.2366117455</v>
      </c>
      <c r="H11" s="652"/>
      <c r="I11" s="12"/>
      <c r="J11" s="11"/>
    </row>
    <row r="12" spans="1:10" ht="16.5" customHeight="1" outlineLevel="1">
      <c r="A12" s="504"/>
      <c r="B12" s="656" t="s">
        <v>76</v>
      </c>
      <c r="C12" s="663">
        <f>CONS_TERAC!C7</f>
        <v>35006.317872819127</v>
      </c>
      <c r="D12" s="663">
        <f>CONS_TERAC!C8</f>
        <v>485.3107676759999</v>
      </c>
      <c r="E12" s="663">
        <f>CONS_TERAC!C9</f>
        <v>3616.2953373959995</v>
      </c>
      <c r="F12" s="663">
        <f>CONS_TERAC!C10</f>
        <v>7.4309318655599998</v>
      </c>
      <c r="G12" s="664">
        <f t="shared" ref="G12:G20" si="0">SUM(C12:F12)</f>
        <v>39115.354909756679</v>
      </c>
      <c r="H12" s="652"/>
      <c r="I12" s="12"/>
      <c r="J12" s="11"/>
    </row>
    <row r="13" spans="1:10" ht="16.5" customHeight="1" outlineLevel="1">
      <c r="A13" s="504"/>
      <c r="B13" s="634" t="s">
        <v>811</v>
      </c>
      <c r="C13" s="663">
        <f>CONS_TERAC!E7</f>
        <v>25681.920290164559</v>
      </c>
      <c r="D13" s="663">
        <f>CONS_TERAC!E8</f>
        <v>0</v>
      </c>
      <c r="E13" s="663">
        <f>CONS_TERAC!E9</f>
        <v>48.900304431999999</v>
      </c>
      <c r="F13" s="663">
        <f>CONS_TERAC!E10</f>
        <v>0</v>
      </c>
      <c r="G13" s="664">
        <f t="shared" si="0"/>
        <v>25730.82059459656</v>
      </c>
      <c r="H13" s="652"/>
      <c r="I13" s="12"/>
      <c r="J13" s="11"/>
    </row>
    <row r="14" spans="1:10" ht="16.5" customHeight="1" outlineLevel="1">
      <c r="A14" s="504"/>
      <c r="B14" s="656" t="s">
        <v>79</v>
      </c>
      <c r="C14" s="663">
        <f>CONS_TERAC!H7</f>
        <v>0.47879999999999995</v>
      </c>
      <c r="D14" s="663">
        <f>CONS_TERAC!H8</f>
        <v>0</v>
      </c>
      <c r="E14" s="663">
        <f>CONS_TERAC!H9</f>
        <v>0</v>
      </c>
      <c r="F14" s="663">
        <f>CONS_TERAC!H10</f>
        <v>46.764667319999994</v>
      </c>
      <c r="G14" s="664">
        <f t="shared" si="0"/>
        <v>47.243467319999993</v>
      </c>
      <c r="H14" s="652"/>
      <c r="I14" s="12"/>
      <c r="J14" s="11"/>
    </row>
    <row r="15" spans="1:10" ht="16.5" customHeight="1" outlineLevel="1">
      <c r="A15" s="504"/>
      <c r="B15" s="656" t="s">
        <v>80</v>
      </c>
      <c r="C15" s="663">
        <f>CONS_TERAC!I7</f>
        <v>1.6813170000000002</v>
      </c>
      <c r="D15" s="663">
        <f>CONS_TERAC!I8</f>
        <v>0</v>
      </c>
      <c r="E15" s="663">
        <f>CONS_TERAC!I9</f>
        <v>0</v>
      </c>
      <c r="F15" s="663">
        <f>CONS_TERAC!I10</f>
        <v>9499.2934717260014</v>
      </c>
      <c r="G15" s="664">
        <f t="shared" si="0"/>
        <v>9500.9747887260019</v>
      </c>
      <c r="H15" s="652"/>
      <c r="I15" s="12"/>
      <c r="J15" s="11"/>
    </row>
    <row r="16" spans="1:10" ht="16.5" customHeight="1" outlineLevel="1">
      <c r="A16" s="504"/>
      <c r="B16" s="636" t="s">
        <v>77</v>
      </c>
      <c r="C16" s="663">
        <f>CONS_TERAC!F7</f>
        <v>12.780706500000001</v>
      </c>
      <c r="D16" s="663">
        <f>CONS_TERAC!F8</f>
        <v>0</v>
      </c>
      <c r="E16" s="663">
        <f>CONS_TERAC!F9</f>
        <v>1.1688300000000003</v>
      </c>
      <c r="F16" s="663">
        <f>CONS_TERAC!F10</f>
        <v>0</v>
      </c>
      <c r="G16" s="664">
        <f>SUM(C16:F16)</f>
        <v>13.949536500000001</v>
      </c>
      <c r="H16" s="652"/>
      <c r="I16" s="11"/>
      <c r="J16" s="11"/>
    </row>
    <row r="17" spans="1:10" ht="16.5" customHeight="1" outlineLevel="1">
      <c r="A17" s="504"/>
      <c r="B17" s="636" t="s">
        <v>81</v>
      </c>
      <c r="C17" s="663">
        <f>CONS_TERAC!J7</f>
        <v>2.4602409999999999</v>
      </c>
      <c r="D17" s="663">
        <f>CONS_TERAC!J8</f>
        <v>0</v>
      </c>
      <c r="E17" s="663">
        <f>CONS_TERAC!J9</f>
        <v>0</v>
      </c>
      <c r="F17" s="663">
        <f>CONS_TERAC!J10</f>
        <v>0</v>
      </c>
      <c r="G17" s="664">
        <f>SUM(C17:F17)</f>
        <v>2.4602409999999999</v>
      </c>
      <c r="H17" s="652"/>
      <c r="I17" s="11"/>
      <c r="J17" s="11"/>
    </row>
    <row r="18" spans="1:10" ht="16.5" customHeight="1" outlineLevel="1">
      <c r="A18" s="504"/>
      <c r="B18" s="636" t="s">
        <v>78</v>
      </c>
      <c r="C18" s="663">
        <f>CONS_TERAC!G7</f>
        <v>35.91767244263</v>
      </c>
      <c r="D18" s="663">
        <f>CONS_TERAC!G8</f>
        <v>0</v>
      </c>
      <c r="E18" s="663">
        <f>CONS_TERAC!G9</f>
        <v>0</v>
      </c>
      <c r="F18" s="663">
        <f>CONS_TERAC!G10</f>
        <v>0</v>
      </c>
      <c r="G18" s="664">
        <f t="shared" si="0"/>
        <v>35.91767244263</v>
      </c>
      <c r="H18" s="652"/>
      <c r="I18" s="11"/>
      <c r="J18" s="11"/>
    </row>
    <row r="19" spans="1:10" ht="16.5" customHeight="1">
      <c r="A19" s="504"/>
      <c r="B19" s="657" t="s">
        <v>38</v>
      </c>
      <c r="C19" s="665">
        <f>CONS_TERAC!M7</f>
        <v>320.82861144292281</v>
      </c>
      <c r="D19" s="665">
        <f>CONS_TERAC!M8</f>
        <v>45.834668360000002</v>
      </c>
      <c r="E19" s="665">
        <f>CONS_TERAC!M9</f>
        <v>0</v>
      </c>
      <c r="F19" s="665">
        <f>CONS_TERAC!M10</f>
        <v>0</v>
      </c>
      <c r="G19" s="666">
        <f t="shared" si="0"/>
        <v>366.66327980292283</v>
      </c>
      <c r="H19" s="652"/>
      <c r="I19" s="12"/>
      <c r="J19" s="11"/>
    </row>
    <row r="20" spans="1:10" ht="16.5" customHeight="1">
      <c r="A20" s="504"/>
      <c r="B20" s="637" t="s">
        <v>88</v>
      </c>
      <c r="C20" s="665">
        <f>CONS_TERAC!S7</f>
        <v>143.62281876539927</v>
      </c>
      <c r="D20" s="665">
        <f>CONS_TERAC!S8</f>
        <v>0</v>
      </c>
      <c r="E20" s="665">
        <f>CONS_TERAC!S9</f>
        <v>0</v>
      </c>
      <c r="F20" s="665">
        <f>CONS_TERAC!S10</f>
        <v>0</v>
      </c>
      <c r="G20" s="666">
        <f t="shared" si="0"/>
        <v>143.62281876539927</v>
      </c>
      <c r="H20" s="652"/>
      <c r="I20" s="12"/>
      <c r="J20" s="11"/>
    </row>
    <row r="21" spans="1:10" ht="13.5" thickBot="1">
      <c r="A21" s="504"/>
      <c r="B21" s="658" t="s">
        <v>31</v>
      </c>
      <c r="C21" s="667">
        <f>C10+C19+C20</f>
        <v>61207.930148284628</v>
      </c>
      <c r="D21" s="667">
        <f>D10+D19+D20</f>
        <v>531.14543603599986</v>
      </c>
      <c r="E21" s="667">
        <f>E10+E19+E20</f>
        <v>18654.6792654235</v>
      </c>
      <c r="F21" s="667">
        <f>F10+F19+F20</f>
        <v>9553.4890709115607</v>
      </c>
      <c r="G21" s="668">
        <f>G10+G19+G20</f>
        <v>89947.243920655703</v>
      </c>
      <c r="H21" s="652"/>
      <c r="I21" s="258"/>
      <c r="J21" s="11"/>
    </row>
    <row r="22" spans="1:10" ht="13.5" thickBot="1">
      <c r="A22" s="504"/>
      <c r="B22" s="653"/>
      <c r="C22" s="654"/>
      <c r="D22" s="654"/>
      <c r="E22" s="654"/>
      <c r="F22" s="654"/>
      <c r="G22" s="655"/>
      <c r="H22" s="652"/>
      <c r="I22" s="259"/>
      <c r="J22" s="11"/>
    </row>
    <row r="23" spans="1:10">
      <c r="A23" s="504"/>
      <c r="B23" s="493" t="s">
        <v>14</v>
      </c>
      <c r="C23" s="630"/>
      <c r="D23" s="630"/>
      <c r="E23" s="630"/>
      <c r="F23" s="631"/>
      <c r="G23" s="632"/>
      <c r="H23" s="420"/>
      <c r="I23" s="10"/>
      <c r="J23" s="8"/>
    </row>
    <row r="24" spans="1:10">
      <c r="A24" s="504"/>
      <c r="B24" s="629" t="s">
        <v>89</v>
      </c>
      <c r="C24" s="630"/>
      <c r="D24" s="630"/>
      <c r="E24" s="630"/>
      <c r="F24" s="630"/>
      <c r="G24" s="630"/>
      <c r="H24" s="630"/>
      <c r="I24" s="10"/>
      <c r="J24" s="9"/>
    </row>
    <row r="25" spans="1:10">
      <c r="A25" s="504"/>
      <c r="B25" s="524" t="s">
        <v>62</v>
      </c>
      <c r="C25" s="532"/>
      <c r="D25" s="533"/>
      <c r="E25" s="533"/>
      <c r="F25" s="533"/>
      <c r="G25" s="497"/>
      <c r="H25" s="500"/>
      <c r="I25" s="6"/>
      <c r="J25" s="6"/>
    </row>
    <row r="26" spans="1:10">
      <c r="A26" s="504"/>
      <c r="B26" s="524" t="s">
        <v>63</v>
      </c>
      <c r="C26" s="500"/>
      <c r="D26" s="500"/>
      <c r="E26" s="500"/>
      <c r="F26" s="500"/>
      <c r="G26" s="500"/>
      <c r="H26" s="500"/>
      <c r="I26" s="6"/>
      <c r="J26" s="6"/>
    </row>
    <row r="27" spans="1:10">
      <c r="A27" s="504"/>
      <c r="B27" s="500" t="s">
        <v>34</v>
      </c>
      <c r="C27" s="500"/>
      <c r="D27" s="500"/>
      <c r="E27" s="500"/>
      <c r="F27" s="500"/>
      <c r="G27" s="500"/>
      <c r="H27" s="500"/>
      <c r="I27" s="6"/>
      <c r="J27" s="6"/>
    </row>
    <row r="28" spans="1:10">
      <c r="A28" s="504"/>
      <c r="B28" s="500" t="s">
        <v>769</v>
      </c>
      <c r="C28" s="500"/>
      <c r="D28" s="500"/>
      <c r="E28" s="500"/>
      <c r="F28" s="500"/>
      <c r="G28" s="500"/>
      <c r="H28" s="500"/>
      <c r="I28" s="6"/>
      <c r="J28" s="6"/>
    </row>
    <row r="29" spans="1:10">
      <c r="A29" s="504"/>
      <c r="B29" s="645"/>
      <c r="C29" s="645"/>
      <c r="D29" s="645"/>
      <c r="E29" s="645"/>
      <c r="F29" s="645"/>
      <c r="G29" s="645"/>
      <c r="H29" s="645"/>
      <c r="I29" s="11"/>
      <c r="J29" s="11"/>
    </row>
    <row r="30" spans="1:10">
      <c r="A30" s="504"/>
      <c r="B30" s="62"/>
      <c r="C30" s="62"/>
      <c r="D30" s="62"/>
      <c r="E30" s="62"/>
      <c r="F30" s="62"/>
      <c r="G30" s="62"/>
      <c r="H30" s="62"/>
    </row>
    <row r="31" spans="1:10">
      <c r="A31" s="504"/>
      <c r="B31" s="62"/>
      <c r="C31" s="62"/>
      <c r="D31" s="62"/>
      <c r="E31" s="62"/>
      <c r="F31" s="62"/>
      <c r="G31" s="62"/>
      <c r="H31" s="62"/>
    </row>
    <row r="32" spans="1:10">
      <c r="A32" s="504"/>
      <c r="B32" s="62"/>
      <c r="C32" s="62"/>
      <c r="D32" s="62"/>
      <c r="E32" s="62"/>
      <c r="F32" s="62"/>
      <c r="G32" s="62"/>
      <c r="H32" s="62"/>
    </row>
    <row r="33" spans="2:7">
      <c r="B33" s="3"/>
      <c r="C33" s="3"/>
      <c r="D33" s="3"/>
      <c r="E33" s="3"/>
      <c r="F33" s="3"/>
      <c r="G33" s="3"/>
    </row>
    <row r="34" spans="2:7">
      <c r="B34" s="3"/>
      <c r="C34" s="3"/>
      <c r="D34" s="3"/>
      <c r="E34" s="3"/>
      <c r="F34" s="3"/>
      <c r="G34" s="3"/>
    </row>
    <row r="35" spans="2:7">
      <c r="B35" s="3"/>
      <c r="C35" s="3"/>
      <c r="D35" s="3"/>
      <c r="E35" s="3"/>
      <c r="F35" s="3"/>
      <c r="G35" s="3"/>
    </row>
    <row r="36" spans="2:7" s="3" customFormat="1"/>
    <row r="37" spans="2:7" s="3" customFormat="1"/>
    <row r="38" spans="2:7" s="3" customFormat="1"/>
    <row r="39" spans="2:7" s="3" customFormat="1"/>
    <row r="40" spans="2:7" s="3" customFormat="1"/>
    <row r="41" spans="2:7" s="3" customFormat="1"/>
    <row r="42" spans="2:7" s="3" customFormat="1"/>
    <row r="43" spans="2:7" s="3" customFormat="1"/>
    <row r="44" spans="2:7" s="3" customFormat="1"/>
    <row r="45" spans="2:7" s="3" customFormat="1"/>
    <row r="46" spans="2:7" s="3" customFormat="1"/>
    <row r="47" spans="2:7" s="3" customFormat="1"/>
    <row r="48" spans="2:7" s="3" customFormat="1"/>
    <row r="49" spans="3:7">
      <c r="C49" s="3"/>
      <c r="D49" s="3"/>
      <c r="E49" s="3"/>
      <c r="F49" s="3"/>
      <c r="G49" s="3"/>
    </row>
    <row r="50" spans="3:7">
      <c r="C50" s="3"/>
      <c r="D50" s="3"/>
      <c r="E50" s="3"/>
      <c r="F50" s="3"/>
      <c r="G50" s="3"/>
    </row>
    <row r="51" spans="3:7">
      <c r="C51" s="3"/>
      <c r="D51" s="3"/>
      <c r="E51" s="3"/>
      <c r="F51" s="3"/>
      <c r="G51" s="3"/>
    </row>
    <row r="52" spans="3:7">
      <c r="C52" s="3"/>
      <c r="D52" s="3"/>
      <c r="E52" s="3"/>
      <c r="F52" s="3"/>
      <c r="G52" s="3"/>
    </row>
    <row r="53" spans="3:7">
      <c r="C53" s="3"/>
      <c r="D53" s="3"/>
      <c r="E53" s="3"/>
      <c r="F53" s="3"/>
      <c r="G53" s="3"/>
    </row>
    <row r="54" spans="3:7">
      <c r="C54" s="3"/>
      <c r="D54" s="3"/>
      <c r="E54" s="3"/>
      <c r="F54" s="3"/>
      <c r="G54" s="3"/>
    </row>
    <row r="55" spans="3:7">
      <c r="C55" s="3"/>
      <c r="D55" s="3"/>
      <c r="E55" s="3"/>
      <c r="F55" s="3"/>
      <c r="G55" s="3"/>
    </row>
    <row r="56" spans="3:7">
      <c r="C56" s="3"/>
      <c r="D56" s="3"/>
      <c r="E56" s="3"/>
      <c r="F56" s="3"/>
      <c r="G56" s="3"/>
    </row>
    <row r="57" spans="3:7">
      <c r="C57" s="3"/>
      <c r="D57" s="3"/>
      <c r="E57" s="3"/>
      <c r="F57" s="3"/>
      <c r="G57" s="3"/>
    </row>
    <row r="58" spans="3:7">
      <c r="C58" s="3"/>
      <c r="D58" s="3"/>
      <c r="E58" s="3"/>
      <c r="F58" s="3"/>
      <c r="G58" s="3"/>
    </row>
    <row r="59" spans="3:7">
      <c r="C59" s="3"/>
      <c r="D59" s="3"/>
      <c r="E59" s="3"/>
      <c r="F59" s="3"/>
      <c r="G59" s="3"/>
    </row>
    <row r="60" spans="3:7">
      <c r="C60" s="3"/>
      <c r="D60" s="3"/>
      <c r="E60" s="3"/>
      <c r="F60" s="3"/>
      <c r="G60" s="3"/>
    </row>
    <row r="61" spans="3:7">
      <c r="C61" s="3"/>
      <c r="D61" s="3"/>
      <c r="E61" s="3"/>
      <c r="F61" s="3"/>
      <c r="G61" s="3"/>
    </row>
    <row r="62" spans="3:7">
      <c r="C62" s="3"/>
      <c r="D62" s="3"/>
      <c r="E62" s="3"/>
      <c r="F62" s="3"/>
      <c r="G62" s="3"/>
    </row>
    <row r="63" spans="3:7">
      <c r="C63" s="3"/>
      <c r="D63" s="3"/>
      <c r="E63" s="3"/>
      <c r="F63" s="3"/>
      <c r="G63" s="3"/>
    </row>
    <row r="64" spans="3:7">
      <c r="C64" s="3"/>
      <c r="D64" s="3"/>
      <c r="E64" s="3"/>
      <c r="F64" s="3"/>
      <c r="G64" s="3"/>
    </row>
    <row r="65" spans="3:7">
      <c r="C65" s="3"/>
      <c r="D65" s="3"/>
      <c r="E65" s="3"/>
      <c r="F65" s="3"/>
      <c r="G65" s="3"/>
    </row>
    <row r="66" spans="3:7">
      <c r="C66" s="3"/>
      <c r="D66" s="3"/>
      <c r="E66" s="3"/>
      <c r="F66" s="3"/>
      <c r="G66" s="3"/>
    </row>
    <row r="67" spans="3:7">
      <c r="C67" s="3"/>
      <c r="D67" s="3"/>
      <c r="E67" s="3"/>
      <c r="F67" s="3"/>
      <c r="G67" s="3"/>
    </row>
    <row r="68" spans="3:7">
      <c r="C68" s="3"/>
      <c r="D68" s="3"/>
      <c r="E68" s="3"/>
      <c r="F68" s="3"/>
      <c r="G68" s="3"/>
    </row>
    <row r="69" spans="3:7">
      <c r="C69" s="3"/>
      <c r="D69" s="3"/>
      <c r="E69" s="3"/>
      <c r="F69" s="3"/>
      <c r="G69" s="3"/>
    </row>
    <row r="70" spans="3:7">
      <c r="C70" s="3"/>
      <c r="D70" s="3"/>
      <c r="E70" s="3"/>
      <c r="F70" s="3"/>
      <c r="G70" s="3"/>
    </row>
    <row r="71" spans="3:7">
      <c r="C71" s="3"/>
      <c r="D71" s="3"/>
      <c r="E71" s="3"/>
      <c r="F71" s="3"/>
      <c r="G71" s="3"/>
    </row>
    <row r="72" spans="3:7">
      <c r="C72" s="3"/>
      <c r="D72" s="3"/>
      <c r="E72" s="3"/>
      <c r="F72" s="3"/>
      <c r="G72" s="3"/>
    </row>
    <row r="73" spans="3:7">
      <c r="C73" s="3"/>
      <c r="D73" s="3"/>
      <c r="E73" s="3"/>
      <c r="F73" s="3"/>
      <c r="G73" s="3"/>
    </row>
    <row r="74" spans="3:7">
      <c r="C74" s="3"/>
      <c r="D74" s="3"/>
      <c r="E74" s="3"/>
      <c r="F74" s="3"/>
      <c r="G74" s="3"/>
    </row>
    <row r="75" spans="3:7">
      <c r="C75" s="3"/>
      <c r="D75" s="3"/>
      <c r="E75" s="3"/>
      <c r="F75" s="3"/>
      <c r="G75" s="3"/>
    </row>
    <row r="76" spans="3:7">
      <c r="C76" s="3"/>
      <c r="D76" s="3"/>
      <c r="E76" s="3"/>
      <c r="F76" s="3"/>
      <c r="G76" s="3"/>
    </row>
    <row r="77" spans="3:7">
      <c r="C77" s="3"/>
      <c r="D77" s="3"/>
      <c r="E77" s="3"/>
      <c r="F77" s="3"/>
      <c r="G77" s="3"/>
    </row>
    <row r="78" spans="3:7">
      <c r="C78" s="3"/>
      <c r="D78" s="3"/>
      <c r="E78" s="3"/>
      <c r="F78" s="3"/>
      <c r="G78" s="3"/>
    </row>
    <row r="79" spans="3:7">
      <c r="C79" s="3"/>
      <c r="D79" s="3"/>
      <c r="E79" s="3"/>
      <c r="F79" s="3"/>
      <c r="G79" s="3"/>
    </row>
    <row r="80" spans="3:7">
      <c r="C80" s="3"/>
      <c r="D80" s="3"/>
      <c r="E80" s="3"/>
      <c r="F80" s="3"/>
      <c r="G80" s="3"/>
    </row>
    <row r="81" spans="3:7">
      <c r="C81" s="3"/>
      <c r="D81" s="3"/>
      <c r="E81" s="3"/>
      <c r="F81" s="3"/>
      <c r="G81" s="3"/>
    </row>
    <row r="82" spans="3:7">
      <c r="C82" s="3"/>
      <c r="D82" s="3"/>
      <c r="E82" s="3"/>
      <c r="F82" s="3"/>
      <c r="G82" s="3"/>
    </row>
    <row r="83" spans="3:7">
      <c r="C83" s="3"/>
      <c r="D83" s="3"/>
      <c r="E83" s="3"/>
      <c r="F83" s="3"/>
      <c r="G83" s="3"/>
    </row>
    <row r="84" spans="3:7">
      <c r="C84" s="3"/>
      <c r="D84" s="3"/>
      <c r="E84" s="3"/>
      <c r="F84" s="3"/>
      <c r="G84" s="3"/>
    </row>
    <row r="85" spans="3:7">
      <c r="C85" s="3"/>
      <c r="D85" s="3"/>
      <c r="E85" s="3"/>
      <c r="F85" s="3"/>
      <c r="G85" s="3"/>
    </row>
    <row r="86" spans="3:7">
      <c r="C86" s="3"/>
      <c r="D86" s="3"/>
      <c r="E86" s="3"/>
      <c r="F86" s="3"/>
      <c r="G86" s="3"/>
    </row>
    <row r="87" spans="3:7">
      <c r="C87" s="3"/>
      <c r="D87" s="3"/>
      <c r="E87" s="3"/>
      <c r="F87" s="3"/>
      <c r="G87" s="3"/>
    </row>
  </sheetData>
  <phoneticPr fontId="0" type="noConversion"/>
  <hyperlinks>
    <hyperlink ref="H2" location="INDICE!A1" display="VOLVER A INDICE"/>
  </hyperlink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workbookViewId="0">
      <selection activeCell="I33" sqref="I33"/>
    </sheetView>
  </sheetViews>
  <sheetFormatPr baseColWidth="10" defaultRowHeight="12.75" outlineLevelRow="1"/>
  <cols>
    <col min="1" max="1" width="1.85546875" style="296" customWidth="1"/>
    <col min="2" max="2" width="26.5703125" style="296" customWidth="1"/>
    <col min="3" max="14" width="11.42578125" style="296"/>
    <col min="15" max="25" width="11.42578125" style="3"/>
    <col min="26" max="16384" width="11.42578125" style="296"/>
  </cols>
  <sheetData>
    <row r="1" spans="1:17" ht="8.25" customHeight="1" thickBot="1">
      <c r="A1" s="504"/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</row>
    <row r="2" spans="1:17" ht="15.75" customHeight="1" thickBot="1">
      <c r="A2" s="504"/>
      <c r="B2" s="1108"/>
      <c r="C2" s="1109"/>
      <c r="D2" s="1109"/>
      <c r="E2" s="1109"/>
      <c r="F2" s="1109"/>
      <c r="G2" s="1109"/>
      <c r="H2" s="1109"/>
      <c r="I2" s="1109"/>
      <c r="J2" s="1109"/>
      <c r="K2" s="1109"/>
      <c r="L2" s="1109"/>
      <c r="M2" s="1109"/>
      <c r="N2" s="1110"/>
      <c r="O2" s="14"/>
      <c r="P2" s="16"/>
      <c r="Q2" s="16"/>
    </row>
    <row r="3" spans="1:17" ht="15.75">
      <c r="A3" s="504"/>
      <c r="B3" s="1111"/>
      <c r="C3" s="1112"/>
      <c r="D3" s="1112"/>
      <c r="E3" s="1113"/>
      <c r="F3" s="1113"/>
      <c r="G3" s="607" t="s">
        <v>94</v>
      </c>
      <c r="H3" s="1113"/>
      <c r="I3" s="1113"/>
      <c r="J3" s="1112"/>
      <c r="K3" s="1112"/>
      <c r="L3" s="1112"/>
      <c r="M3" s="1112"/>
      <c r="N3" s="1114"/>
      <c r="O3" s="14"/>
      <c r="P3" s="16"/>
      <c r="Q3" s="16"/>
    </row>
    <row r="4" spans="1:17" ht="15.75">
      <c r="A4" s="504"/>
      <c r="B4" s="1115"/>
      <c r="C4" s="1116"/>
      <c r="D4" s="1116"/>
      <c r="E4" s="1117"/>
      <c r="F4" s="1117"/>
      <c r="G4" s="1117" t="s">
        <v>95</v>
      </c>
      <c r="H4" s="1117"/>
      <c r="I4" s="1117"/>
      <c r="J4" s="1116"/>
      <c r="K4" s="1116"/>
      <c r="L4" s="1116"/>
      <c r="M4" s="1116"/>
      <c r="N4" s="1118"/>
      <c r="O4" s="572" t="s">
        <v>649</v>
      </c>
      <c r="P4" s="16"/>
      <c r="Q4" s="16"/>
    </row>
    <row r="5" spans="1:17" ht="15.75">
      <c r="A5" s="504"/>
      <c r="B5" s="1115"/>
      <c r="C5" s="1116"/>
      <c r="D5" s="1116"/>
      <c r="E5" s="1117"/>
      <c r="F5" s="1117"/>
      <c r="G5" s="1117" t="s">
        <v>772</v>
      </c>
      <c r="H5" s="1117"/>
      <c r="I5" s="1117"/>
      <c r="J5" s="1116"/>
      <c r="K5" s="1116"/>
      <c r="L5" s="1116"/>
      <c r="M5" s="1116"/>
      <c r="N5" s="1118"/>
      <c r="O5" s="14"/>
      <c r="P5" s="16"/>
      <c r="Q5" s="16"/>
    </row>
    <row r="6" spans="1:17" ht="15.75">
      <c r="A6" s="504"/>
      <c r="B6" s="1115"/>
      <c r="C6" s="1116"/>
      <c r="D6" s="1116"/>
      <c r="E6" s="1116"/>
      <c r="F6" s="1119" t="s">
        <v>112</v>
      </c>
      <c r="G6" s="1116"/>
      <c r="H6" s="1116"/>
      <c r="I6" s="1116"/>
      <c r="J6" s="1116"/>
      <c r="K6" s="1116"/>
      <c r="L6" s="1116"/>
      <c r="M6" s="1116"/>
      <c r="N6" s="1118"/>
      <c r="O6" s="14"/>
      <c r="P6" s="16"/>
      <c r="Q6" s="16"/>
    </row>
    <row r="7" spans="1:17" ht="15.75">
      <c r="A7" s="504"/>
      <c r="B7" s="1115" t="s">
        <v>23</v>
      </c>
      <c r="C7" s="1117" t="s">
        <v>113</v>
      </c>
      <c r="D7" s="1117" t="s">
        <v>114</v>
      </c>
      <c r="E7" s="1117" t="s">
        <v>115</v>
      </c>
      <c r="F7" s="1117" t="s">
        <v>116</v>
      </c>
      <c r="G7" s="1117" t="s">
        <v>117</v>
      </c>
      <c r="H7" s="1117" t="s">
        <v>118</v>
      </c>
      <c r="I7" s="1117" t="s">
        <v>119</v>
      </c>
      <c r="J7" s="1117" t="s">
        <v>120</v>
      </c>
      <c r="K7" s="1117" t="s">
        <v>121</v>
      </c>
      <c r="L7" s="1117" t="s">
        <v>122</v>
      </c>
      <c r="M7" s="1117" t="s">
        <v>123</v>
      </c>
      <c r="N7" s="1120" t="s">
        <v>31</v>
      </c>
      <c r="O7" s="14"/>
      <c r="P7" s="16"/>
      <c r="Q7" s="16"/>
    </row>
    <row r="8" spans="1:17" ht="16.5" thickBot="1">
      <c r="A8" s="504"/>
      <c r="B8" s="1121"/>
      <c r="C8" s="1122"/>
      <c r="D8" s="1122"/>
      <c r="E8" s="1122"/>
      <c r="F8" s="1122" t="s">
        <v>124</v>
      </c>
      <c r="G8" s="1122" t="s">
        <v>125</v>
      </c>
      <c r="H8" s="1122" t="s">
        <v>126</v>
      </c>
      <c r="I8" s="1122"/>
      <c r="J8" s="1122"/>
      <c r="K8" s="1122"/>
      <c r="L8" s="1122" t="s">
        <v>127</v>
      </c>
      <c r="M8" s="1122" t="s">
        <v>127</v>
      </c>
      <c r="N8" s="1123"/>
      <c r="O8" s="14"/>
      <c r="P8" s="16"/>
      <c r="Q8" s="16"/>
    </row>
    <row r="9" spans="1:17" ht="17.25" customHeight="1">
      <c r="A9" s="504"/>
      <c r="B9" s="1124" t="s">
        <v>105</v>
      </c>
      <c r="C9" s="1125">
        <f t="shared" ref="C9:N9" si="0">SUM(C10:C17)</f>
        <v>11342.657882205713</v>
      </c>
      <c r="D9" s="1125">
        <f t="shared" si="0"/>
        <v>806.1040031</v>
      </c>
      <c r="E9" s="1125">
        <f t="shared" si="0"/>
        <v>75.746133455999995</v>
      </c>
      <c r="F9" s="1125">
        <f t="shared" si="0"/>
        <v>2553.590628934413</v>
      </c>
      <c r="G9" s="1125">
        <f t="shared" si="0"/>
        <v>535.44572145750021</v>
      </c>
      <c r="H9" s="1125">
        <f t="shared" si="0"/>
        <v>16.991719355000001</v>
      </c>
      <c r="I9" s="1125">
        <f t="shared" si="0"/>
        <v>280.47071474130001</v>
      </c>
      <c r="J9" s="1125">
        <f t="shared" si="0"/>
        <v>191.72350920984536</v>
      </c>
      <c r="K9" s="1125">
        <f t="shared" si="0"/>
        <v>1366.66093483996</v>
      </c>
      <c r="L9" s="1125">
        <f t="shared" si="0"/>
        <v>15465.700398455294</v>
      </c>
      <c r="M9" s="1125">
        <f t="shared" si="0"/>
        <v>3193.406921420004</v>
      </c>
      <c r="N9" s="1126">
        <f t="shared" si="0"/>
        <v>35828.498567175033</v>
      </c>
      <c r="O9" s="14"/>
      <c r="P9" s="15"/>
      <c r="Q9" s="16"/>
    </row>
    <row r="10" spans="1:17" ht="17.25" customHeight="1" outlineLevel="1">
      <c r="A10" s="504"/>
      <c r="B10" s="1127" t="s">
        <v>75</v>
      </c>
      <c r="C10" s="1128">
        <f>CONS_TERAC!D14</f>
        <v>1516.7968563691122</v>
      </c>
      <c r="D10" s="1128">
        <f>CONS_TERAC!D15</f>
        <v>407.44200000000001</v>
      </c>
      <c r="E10" s="1128">
        <f>CONS_TERAC!D16</f>
        <v>38.209499999999998</v>
      </c>
      <c r="F10" s="1128">
        <f>CONS_TERAC!D17</f>
        <v>2259.7470463144127</v>
      </c>
      <c r="G10" s="1128">
        <f>CONS_TERAC!D18</f>
        <v>447.51200000000006</v>
      </c>
      <c r="H10" s="1128">
        <f>CONS_TERAC!D19</f>
        <v>11.196347715</v>
      </c>
      <c r="I10" s="1128">
        <f>CONS_TERAC!D20</f>
        <v>163.75732453500004</v>
      </c>
      <c r="J10" s="1128">
        <f>CONS_TERAC!D21</f>
        <v>185.37579841433336</v>
      </c>
      <c r="K10" s="1128">
        <f>CONS_TERAC!D22</f>
        <v>618.42721245899997</v>
      </c>
      <c r="L10" s="1128">
        <f>CONS_TERAC!D23</f>
        <v>3754.0645093076646</v>
      </c>
      <c r="M10" s="1128">
        <f>CONS_TERAC!D24</f>
        <v>281.50788709338798</v>
      </c>
      <c r="N10" s="1129">
        <f t="shared" ref="N10:N26" si="1">SUM(C10:M10)</f>
        <v>9684.0364822079118</v>
      </c>
      <c r="O10" s="17"/>
      <c r="P10" s="15"/>
      <c r="Q10" s="16"/>
    </row>
    <row r="11" spans="1:17" ht="17.25" customHeight="1" outlineLevel="1">
      <c r="A11" s="504"/>
      <c r="B11" s="1127" t="s">
        <v>76</v>
      </c>
      <c r="C11" s="1128">
        <f>CONS_TERAC!C14</f>
        <v>9664.9535187047077</v>
      </c>
      <c r="D11" s="1128">
        <f>CONS_TERAC!C15</f>
        <v>396.17096400000003</v>
      </c>
      <c r="E11" s="1128">
        <f>CONS_TERAC!C16</f>
        <v>37.536633455999997</v>
      </c>
      <c r="F11" s="1128">
        <f>CONS_TERAC!C17</f>
        <v>103.70487361746027</v>
      </c>
      <c r="G11" s="1128">
        <f>CONS_TERAC!C18</f>
        <v>24.080124348000002</v>
      </c>
      <c r="H11" s="1128">
        <f>CONS_TERAC!C19</f>
        <v>2.7210716399999995</v>
      </c>
      <c r="I11" s="1128">
        <f>CONS_TERAC!C20</f>
        <v>111.7423995828</v>
      </c>
      <c r="J11" s="1128">
        <f>CONS_TERAC!C21</f>
        <v>3.2174660295120003</v>
      </c>
      <c r="K11" s="1128">
        <f>CONS_TERAC!C22</f>
        <v>721.38046503600003</v>
      </c>
      <c r="L11" s="1128">
        <f>CONS_TERAC!C23</f>
        <v>8463.1853559359442</v>
      </c>
      <c r="M11" s="1128">
        <f>CONS_TERAC!C24</f>
        <v>2833.054057401816</v>
      </c>
      <c r="N11" s="1129">
        <f t="shared" si="1"/>
        <v>22361.74692975224</v>
      </c>
      <c r="O11" s="17"/>
      <c r="P11" s="15"/>
      <c r="Q11" s="16"/>
    </row>
    <row r="12" spans="1:17" ht="17.25" customHeight="1" outlineLevel="1">
      <c r="A12" s="504"/>
      <c r="B12" s="1127" t="s">
        <v>77</v>
      </c>
      <c r="C12" s="1128">
        <f>CONS_TERAC!F14</f>
        <v>80.078008833000013</v>
      </c>
      <c r="D12" s="1128">
        <f>CONS_TERAC!F15</f>
        <v>0</v>
      </c>
      <c r="E12" s="1128">
        <f>CONS_TERAC!F16</f>
        <v>0</v>
      </c>
      <c r="F12" s="1128">
        <f>CONS_TERAC!F17</f>
        <v>6.5850084000000003E-2</v>
      </c>
      <c r="G12" s="1128">
        <f>CONS_TERAC!F18</f>
        <v>0</v>
      </c>
      <c r="H12" s="1128">
        <f>CONS_TERAC!F19</f>
        <v>0</v>
      </c>
      <c r="I12" s="1128">
        <f>CONS_TERAC!F20</f>
        <v>0</v>
      </c>
      <c r="J12" s="1128">
        <f>CONS_TERAC!F21</f>
        <v>0</v>
      </c>
      <c r="K12" s="1128">
        <f>CONS_TERAC!F22</f>
        <v>0</v>
      </c>
      <c r="L12" s="1128">
        <f>CONS_TERAC!F23</f>
        <v>148.45737801600001</v>
      </c>
      <c r="M12" s="1128">
        <f>CONS_TERAC!F24</f>
        <v>57.351584006999985</v>
      </c>
      <c r="N12" s="1129">
        <f t="shared" si="1"/>
        <v>285.95282094000004</v>
      </c>
      <c r="O12" s="17"/>
      <c r="P12" s="15"/>
      <c r="Q12" s="16"/>
    </row>
    <row r="13" spans="1:17" ht="17.25" customHeight="1" outlineLevel="1">
      <c r="A13" s="504"/>
      <c r="B13" s="1127" t="s">
        <v>78</v>
      </c>
      <c r="C13" s="1128">
        <f>CONS_TERAC!G14</f>
        <v>64.265753898892683</v>
      </c>
      <c r="D13" s="1128">
        <f>CONS_TERAC!G15</f>
        <v>2.4910391000000001</v>
      </c>
      <c r="E13" s="1128">
        <f>CONS_TERAC!G16</f>
        <v>0</v>
      </c>
      <c r="F13" s="1128">
        <f>CONS_TERAC!G17</f>
        <v>190.04468391854007</v>
      </c>
      <c r="G13" s="1128">
        <f>CONS_TERAC!G18</f>
        <v>63.853597109500122</v>
      </c>
      <c r="H13" s="1128">
        <f>CONS_TERAC!G19</f>
        <v>0</v>
      </c>
      <c r="I13" s="1128">
        <f>CONS_TERAC!G20</f>
        <v>4.9709906234999996</v>
      </c>
      <c r="J13" s="1128">
        <f>CONS_TERAC!G21</f>
        <v>3.1302447659999997</v>
      </c>
      <c r="K13" s="1128">
        <f>CONS_TERAC!G22</f>
        <v>26.161585244959994</v>
      </c>
      <c r="L13" s="1128">
        <f>CONS_TERAC!G23</f>
        <v>3099.9931551956856</v>
      </c>
      <c r="M13" s="1128">
        <f>CONS_TERAC!G24</f>
        <v>20.567642917800004</v>
      </c>
      <c r="N13" s="1129">
        <f t="shared" si="1"/>
        <v>3475.4786927748787</v>
      </c>
      <c r="O13" s="17"/>
      <c r="P13" s="15"/>
      <c r="Q13" s="16"/>
    </row>
    <row r="14" spans="1:17" ht="17.25" customHeight="1" outlineLevel="1">
      <c r="A14" s="504"/>
      <c r="B14" s="1127" t="s">
        <v>81</v>
      </c>
      <c r="C14" s="1128">
        <f>CONS_TERAC!J14</f>
        <v>16.563744400000001</v>
      </c>
      <c r="D14" s="1128">
        <f>CONS_TERAC!J15</f>
        <v>0</v>
      </c>
      <c r="E14" s="1128">
        <f>CONS_TERAC!J16</f>
        <v>0</v>
      </c>
      <c r="F14" s="1128">
        <f>CONS_TERAC!J17</f>
        <v>2.8174999999999995E-2</v>
      </c>
      <c r="G14" s="1128">
        <f>CONS_TERAC!J18</f>
        <v>0</v>
      </c>
      <c r="H14" s="1128">
        <f>CONS_TERAC!J19</f>
        <v>0</v>
      </c>
      <c r="I14" s="1128">
        <f>CONS_TERAC!J20</f>
        <v>0</v>
      </c>
      <c r="J14" s="1128">
        <f>CONS_TERAC!J21</f>
        <v>0</v>
      </c>
      <c r="K14" s="1128">
        <f>CONS_TERAC!J22</f>
        <v>0.6916720999999999</v>
      </c>
      <c r="L14" s="1128">
        <f>CONS_TERAC!J23</f>
        <v>0</v>
      </c>
      <c r="M14" s="1128">
        <f>CONS_TERAC!J24</f>
        <v>0.92574999999999996</v>
      </c>
      <c r="N14" s="1129">
        <f t="shared" si="1"/>
        <v>18.209341500000001</v>
      </c>
      <c r="O14" s="17"/>
      <c r="P14" s="15"/>
      <c r="Q14" s="16"/>
    </row>
    <row r="15" spans="1:17" ht="17.25" customHeight="1" outlineLevel="1">
      <c r="A15" s="504"/>
      <c r="B15" s="1127" t="s">
        <v>82</v>
      </c>
      <c r="C15" s="1128">
        <f>CONS_TERAC!K14</f>
        <v>0</v>
      </c>
      <c r="D15" s="1128">
        <f>CONS_TERAC!K15</f>
        <v>0</v>
      </c>
      <c r="E15" s="1128">
        <f>CONS_TERAC!K16</f>
        <v>0</v>
      </c>
      <c r="F15" s="1128">
        <f>CONS_TERAC!K17</f>
        <v>0</v>
      </c>
      <c r="G15" s="1128">
        <f>CONS_TERAC!K18</f>
        <v>0</v>
      </c>
      <c r="H15" s="1128">
        <f>CONS_TERAC!K19</f>
        <v>3.0743</v>
      </c>
      <c r="I15" s="1128">
        <f>CONS_TERAC!K20</f>
        <v>0</v>
      </c>
      <c r="J15" s="1128">
        <f>CONS_TERAC!K21</f>
        <v>0</v>
      </c>
      <c r="K15" s="1128">
        <f>CONS_TERAC!K22</f>
        <v>0</v>
      </c>
      <c r="L15" s="1128">
        <f>CONS_TERAC!K23</f>
        <v>0</v>
      </c>
      <c r="M15" s="1128">
        <f>CONS_TERAC!K24</f>
        <v>0</v>
      </c>
      <c r="N15" s="1129">
        <f t="shared" si="1"/>
        <v>3.0743</v>
      </c>
      <c r="O15" s="17"/>
      <c r="P15" s="15"/>
      <c r="Q15" s="16"/>
    </row>
    <row r="16" spans="1:17" ht="17.25" customHeight="1" outlineLevel="1">
      <c r="A16" s="504"/>
      <c r="B16" s="1130" t="s">
        <v>80</v>
      </c>
      <c r="C16" s="1128">
        <f>CONS_TERAC!I14</f>
        <v>0</v>
      </c>
      <c r="D16" s="1128">
        <f>CONS_TERAC!I15</f>
        <v>0</v>
      </c>
      <c r="E16" s="1128">
        <f>CONS_TERAC!I16</f>
        <v>0</v>
      </c>
      <c r="F16" s="1128">
        <f>CONS_TERAC!I17</f>
        <v>0</v>
      </c>
      <c r="G16" s="1128">
        <f>CONS_TERAC!I18</f>
        <v>0</v>
      </c>
      <c r="H16" s="1128">
        <f>CONS_TERAC!I19</f>
        <v>0</v>
      </c>
      <c r="I16" s="1128">
        <f>CONS_TERAC!I20</f>
        <v>0</v>
      </c>
      <c r="J16" s="1128">
        <f>CONS_TERAC!I21</f>
        <v>0</v>
      </c>
      <c r="K16" s="1128">
        <f>CONS_TERAC!I22</f>
        <v>0</v>
      </c>
      <c r="L16" s="1128">
        <f>CONS_TERAC!I23</f>
        <v>0</v>
      </c>
      <c r="M16" s="1128">
        <f>CONS_TERAC!I24</f>
        <v>0</v>
      </c>
      <c r="N16" s="1129">
        <f t="shared" si="1"/>
        <v>0</v>
      </c>
      <c r="O16" s="17"/>
      <c r="P16" s="15"/>
      <c r="Q16" s="16"/>
    </row>
    <row r="17" spans="1:17" ht="17.25" customHeight="1" outlineLevel="1">
      <c r="A17" s="504"/>
      <c r="B17" s="634" t="s">
        <v>811</v>
      </c>
      <c r="C17" s="1128">
        <f>CONS_TERAC!E14</f>
        <v>0</v>
      </c>
      <c r="D17" s="1128">
        <f>CONS_TERAC!E15</f>
        <v>0</v>
      </c>
      <c r="E17" s="1128">
        <f>CONS_TERAC!E16</f>
        <v>0</v>
      </c>
      <c r="F17" s="1128">
        <f>CONS_TERAC!E17</f>
        <v>0</v>
      </c>
      <c r="G17" s="1128">
        <f>CONS_TERAC!E18</f>
        <v>0</v>
      </c>
      <c r="H17" s="1128">
        <f>CONS_TERAC!E19</f>
        <v>0</v>
      </c>
      <c r="I17" s="1128">
        <f>CONS_TERAC!E20</f>
        <v>0</v>
      </c>
      <c r="J17" s="1128">
        <f>CONS_TERAC!E21</f>
        <v>0</v>
      </c>
      <c r="K17" s="1128">
        <f>CONS_TERAC!E22</f>
        <v>0</v>
      </c>
      <c r="L17" s="1128">
        <f>CONS_TERAC!E23</f>
        <v>0</v>
      </c>
      <c r="M17" s="1128">
        <f>CONS_TERAC!E24</f>
        <v>0</v>
      </c>
      <c r="N17" s="1129">
        <f t="shared" si="1"/>
        <v>0</v>
      </c>
      <c r="O17" s="17"/>
      <c r="P17" s="15"/>
      <c r="Q17" s="16"/>
    </row>
    <row r="18" spans="1:17" ht="17.25" customHeight="1">
      <c r="A18" s="504"/>
      <c r="B18" s="1131" t="s">
        <v>38</v>
      </c>
      <c r="C18" s="1132">
        <f>CONS_TERAC!M14</f>
        <v>15348.885172215905</v>
      </c>
      <c r="D18" s="1132">
        <f>CONS_TERAC!M15</f>
        <v>347.89861284618638</v>
      </c>
      <c r="E18" s="1132">
        <f>CONS_TERAC!M16</f>
        <v>406.98452348000001</v>
      </c>
      <c r="F18" s="1132">
        <f>CONS_TERAC!M17</f>
        <v>4596.6617832998036</v>
      </c>
      <c r="G18" s="1132">
        <f>CONS_TERAC!M18</f>
        <v>520.62925702000007</v>
      </c>
      <c r="H18" s="1132">
        <f>CONS_TERAC!M19</f>
        <v>461.00530323258073</v>
      </c>
      <c r="I18" s="1132">
        <f>CONS_TERAC!M20</f>
        <v>522.23823995200007</v>
      </c>
      <c r="J18" s="1132">
        <f>CONS_TERAC!M21</f>
        <v>62.781676999999995</v>
      </c>
      <c r="K18" s="1132">
        <f>CONS_TERAC!M22</f>
        <v>162.10516782852307</v>
      </c>
      <c r="L18" s="1132">
        <f>CONS_TERAC!M23</f>
        <v>7739.3075128776645</v>
      </c>
      <c r="M18" s="1132">
        <f>CONS_TERAC!M24</f>
        <v>1336.4564479391929</v>
      </c>
      <c r="N18" s="1133">
        <f t="shared" si="1"/>
        <v>31504.953697691853</v>
      </c>
      <c r="O18" s="17"/>
      <c r="P18" s="15"/>
      <c r="Q18" s="16"/>
    </row>
    <row r="19" spans="1:17" ht="17.25" customHeight="1">
      <c r="A19" s="504"/>
      <c r="B19" s="1131" t="s">
        <v>83</v>
      </c>
      <c r="C19" s="1132">
        <f>CONS_TERAC!N14</f>
        <v>1.266524</v>
      </c>
      <c r="D19" s="1132">
        <f>CONS_TERAC!N15</f>
        <v>0</v>
      </c>
      <c r="E19" s="1132">
        <f>CONS_TERAC!N16</f>
        <v>584.93520000000001</v>
      </c>
      <c r="F19" s="1132">
        <f>CONS_TERAC!N17</f>
        <v>0.3253664</v>
      </c>
      <c r="G19" s="1132">
        <f>CONS_TERAC!N18</f>
        <v>0</v>
      </c>
      <c r="H19" s="1132">
        <f>CONS_TERAC!N19</f>
        <v>0</v>
      </c>
      <c r="I19" s="1132">
        <f>CONS_TERAC!N20</f>
        <v>2143.0135004008066</v>
      </c>
      <c r="J19" s="1132">
        <f>CONS_TERAC!N21</f>
        <v>409.11007475181833</v>
      </c>
      <c r="K19" s="1132">
        <f>CONS_TERAC!N22</f>
        <v>72.607682032497465</v>
      </c>
      <c r="L19" s="1132">
        <f>CONS_TERAC!N23</f>
        <v>737.63725923042784</v>
      </c>
      <c r="M19" s="1132">
        <f>CONS_TERAC!N24</f>
        <v>0</v>
      </c>
      <c r="N19" s="1133">
        <f t="shared" si="1"/>
        <v>3948.8956068155503</v>
      </c>
      <c r="O19" s="17"/>
      <c r="P19" s="15"/>
      <c r="Q19" s="16"/>
    </row>
    <row r="20" spans="1:17" ht="17.25" customHeight="1">
      <c r="A20" s="504"/>
      <c r="B20" s="1131" t="s">
        <v>128</v>
      </c>
      <c r="C20" s="1132">
        <f>CONS_TERAC!O14</f>
        <v>110.696113</v>
      </c>
      <c r="D20" s="1132">
        <f>CONS_TERAC!O15</f>
        <v>0</v>
      </c>
      <c r="E20" s="1132">
        <f>CONS_TERAC!O16</f>
        <v>0</v>
      </c>
      <c r="F20" s="1132">
        <f>CONS_TERAC!O17</f>
        <v>0</v>
      </c>
      <c r="G20" s="1132">
        <f>CONS_TERAC!O18</f>
        <v>2282.3105329999999</v>
      </c>
      <c r="H20" s="1132">
        <f>CONS_TERAC!O19</f>
        <v>0</v>
      </c>
      <c r="I20" s="1132">
        <f>CONS_TERAC!O20</f>
        <v>464.78165400000006</v>
      </c>
      <c r="J20" s="1132">
        <f>CONS_TERAC!O21</f>
        <v>22.144452685825044</v>
      </c>
      <c r="K20" s="1132">
        <f>CONS_TERAC!O22</f>
        <v>0</v>
      </c>
      <c r="L20" s="1132">
        <f>CONS_TERAC!O23</f>
        <v>13.007617</v>
      </c>
      <c r="M20" s="1132">
        <f>CONS_TERAC!O24</f>
        <v>29.197500000000002</v>
      </c>
      <c r="N20" s="1133">
        <f t="shared" si="1"/>
        <v>2922.1378696858251</v>
      </c>
      <c r="O20" s="17"/>
      <c r="P20" s="15"/>
      <c r="Q20" s="16"/>
    </row>
    <row r="21" spans="1:17" ht="17.25" customHeight="1">
      <c r="A21" s="504"/>
      <c r="B21" s="1131" t="s">
        <v>815</v>
      </c>
      <c r="C21" s="1132">
        <f>CONS_TERAC!P14</f>
        <v>0</v>
      </c>
      <c r="D21" s="1132">
        <f>CONS_TERAC!P15</f>
        <v>0</v>
      </c>
      <c r="E21" s="1132">
        <f>CONS_TERAC!P16</f>
        <v>0</v>
      </c>
      <c r="F21" s="1132">
        <f>CONS_TERAC!P17</f>
        <v>0</v>
      </c>
      <c r="G21" s="1132">
        <f>CONS_TERAC!P18</f>
        <v>0</v>
      </c>
      <c r="H21" s="1132">
        <f>CONS_TERAC!P19</f>
        <v>0</v>
      </c>
      <c r="I21" s="1132">
        <f>CONS_TERAC!P20</f>
        <v>0</v>
      </c>
      <c r="J21" s="1132">
        <f>CONS_TERAC!P21</f>
        <v>0</v>
      </c>
      <c r="K21" s="1132">
        <f>CONS_TERAC!P22</f>
        <v>0</v>
      </c>
      <c r="L21" s="1132">
        <f>CONS_TERAC!P23</f>
        <v>0</v>
      </c>
      <c r="M21" s="1132">
        <f>CONS_TERAC!P24</f>
        <v>0</v>
      </c>
      <c r="N21" s="1133">
        <f t="shared" si="1"/>
        <v>0</v>
      </c>
      <c r="O21" s="17"/>
      <c r="P21" s="15"/>
      <c r="Q21" s="16"/>
    </row>
    <row r="22" spans="1:17" ht="17.25" customHeight="1">
      <c r="A22" s="504"/>
      <c r="B22" s="1131" t="s">
        <v>40</v>
      </c>
      <c r="C22" s="1132">
        <f>CONS_TERAC!Q14</f>
        <v>0</v>
      </c>
      <c r="D22" s="1132">
        <f>CONS_TERAC!Q15</f>
        <v>0</v>
      </c>
      <c r="E22" s="1132">
        <f>CONS_TERAC!Q16</f>
        <v>0</v>
      </c>
      <c r="F22" s="1132">
        <f>CONS_TERAC!Q17</f>
        <v>0</v>
      </c>
      <c r="G22" s="1132">
        <f>CONS_TERAC!Q18</f>
        <v>748.90588981446251</v>
      </c>
      <c r="H22" s="1132">
        <f>CONS_TERAC!Q19</f>
        <v>0</v>
      </c>
      <c r="I22" s="1132">
        <f>CONS_TERAC!Q20</f>
        <v>0</v>
      </c>
      <c r="J22" s="1132">
        <f>CONS_TERAC!Q21</f>
        <v>0</v>
      </c>
      <c r="K22" s="1132">
        <f>CONS_TERAC!Q22</f>
        <v>0</v>
      </c>
      <c r="L22" s="1132">
        <f>CONS_TERAC!Q23</f>
        <v>0</v>
      </c>
      <c r="M22" s="1132">
        <f>CONS_TERAC!Q24</f>
        <v>0</v>
      </c>
      <c r="N22" s="1133">
        <f t="shared" si="1"/>
        <v>748.90588981446251</v>
      </c>
      <c r="O22" s="17"/>
      <c r="P22" s="15"/>
      <c r="Q22" s="16"/>
    </row>
    <row r="23" spans="1:17" ht="17.25" customHeight="1">
      <c r="A23" s="504"/>
      <c r="B23" s="1131" t="s">
        <v>87</v>
      </c>
      <c r="C23" s="1132">
        <f>CONS_TERAC!R14</f>
        <v>0</v>
      </c>
      <c r="D23" s="1132">
        <f>CONS_TERAC!R15</f>
        <v>0</v>
      </c>
      <c r="E23" s="1132">
        <f>CONS_TERAC!R16</f>
        <v>0</v>
      </c>
      <c r="F23" s="1132">
        <f>CONS_TERAC!R17</f>
        <v>0</v>
      </c>
      <c r="G23" s="1132">
        <f>CONS_TERAC!R18</f>
        <v>175.06315199999997</v>
      </c>
      <c r="H23" s="1132">
        <f>CONS_TERAC!R19</f>
        <v>0</v>
      </c>
      <c r="I23" s="1132">
        <f>CONS_TERAC!R20</f>
        <v>0</v>
      </c>
      <c r="J23" s="1132">
        <f>CONS_TERAC!R21</f>
        <v>0</v>
      </c>
      <c r="K23" s="1132">
        <f>CONS_TERAC!R22</f>
        <v>0</v>
      </c>
      <c r="L23" s="1132">
        <f>CONS_TERAC!R23</f>
        <v>0</v>
      </c>
      <c r="M23" s="1132">
        <f>CONS_TERAC!R24</f>
        <v>0</v>
      </c>
      <c r="N23" s="1133">
        <f t="shared" si="1"/>
        <v>175.06315199999997</v>
      </c>
      <c r="O23" s="17"/>
      <c r="P23" s="15"/>
      <c r="Q23" s="16"/>
    </row>
    <row r="24" spans="1:17" ht="17.25" customHeight="1">
      <c r="A24" s="504"/>
      <c r="B24" s="1131" t="s">
        <v>88</v>
      </c>
      <c r="C24" s="1132">
        <f>CONS_TERAC!S14</f>
        <v>241.76237201850856</v>
      </c>
      <c r="D24" s="1132">
        <f>CONS_TERAC!S15</f>
        <v>39.094174094719598</v>
      </c>
      <c r="E24" s="1132">
        <f>CONS_TERAC!S16</f>
        <v>0</v>
      </c>
      <c r="F24" s="1132">
        <f>CONS_TERAC!S17</f>
        <v>18.19528546611124</v>
      </c>
      <c r="G24" s="1132">
        <f>CONS_TERAC!S18</f>
        <v>0</v>
      </c>
      <c r="H24" s="1132">
        <f>CONS_TERAC!S19</f>
        <v>0</v>
      </c>
      <c r="I24" s="1132">
        <f>CONS_TERAC!S20</f>
        <v>4.6225277999999985</v>
      </c>
      <c r="J24" s="1132">
        <f>CONS_TERAC!S21</f>
        <v>0</v>
      </c>
      <c r="K24" s="1132">
        <f>CONS_TERAC!S22</f>
        <v>8.6281401000000013</v>
      </c>
      <c r="L24" s="1132">
        <f>CONS_TERAC!S23</f>
        <v>350.1114724268582</v>
      </c>
      <c r="M24" s="1132">
        <f>CONS_TERAC!S24</f>
        <v>2.3139236490000004</v>
      </c>
      <c r="N24" s="1133">
        <f t="shared" si="1"/>
        <v>664.72789555519751</v>
      </c>
      <c r="O24" s="17"/>
      <c r="P24" s="15"/>
      <c r="Q24" s="16"/>
    </row>
    <row r="25" spans="1:17" ht="17.25" customHeight="1">
      <c r="A25" s="504"/>
      <c r="B25" s="1131" t="s">
        <v>42</v>
      </c>
      <c r="C25" s="1132">
        <f>CONS_TERAC!T14</f>
        <v>0</v>
      </c>
      <c r="D25" s="1132">
        <f>CONS_TERAC!T15</f>
        <v>0</v>
      </c>
      <c r="E25" s="1132">
        <f>CONS_TERAC!T16</f>
        <v>0</v>
      </c>
      <c r="F25" s="1132">
        <f>CONS_TERAC!T17</f>
        <v>0</v>
      </c>
      <c r="G25" s="1132">
        <f>CONS_TERAC!T18</f>
        <v>0</v>
      </c>
      <c r="H25" s="1132">
        <f>CONS_TERAC!T19</f>
        <v>0</v>
      </c>
      <c r="I25" s="1132">
        <f>CONS_TERAC!T20</f>
        <v>0</v>
      </c>
      <c r="J25" s="1132">
        <f>CONS_TERAC!T21</f>
        <v>0</v>
      </c>
      <c r="K25" s="1132">
        <f>CONS_TERAC!T22</f>
        <v>0</v>
      </c>
      <c r="L25" s="1132">
        <f>CONS_TERAC!T23</f>
        <v>516.3526738600001</v>
      </c>
      <c r="M25" s="1132">
        <f>CONS_TERAC!T24</f>
        <v>0</v>
      </c>
      <c r="N25" s="1133">
        <f t="shared" si="1"/>
        <v>516.3526738600001</v>
      </c>
      <c r="O25" s="17"/>
      <c r="P25" s="15"/>
      <c r="Q25" s="16"/>
    </row>
    <row r="26" spans="1:17" ht="17.25" customHeight="1">
      <c r="A26" s="504"/>
      <c r="B26" s="1131" t="s">
        <v>29</v>
      </c>
      <c r="C26" s="1132">
        <f>CONS_TERAC!V14</f>
        <v>0</v>
      </c>
      <c r="D26" s="1132">
        <f>CONS_TERAC!V15</f>
        <v>0</v>
      </c>
      <c r="E26" s="1132">
        <f>CONS_TERAC!V16</f>
        <v>0</v>
      </c>
      <c r="F26" s="1132">
        <f>CONS_TERAC!V17</f>
        <v>12390.451238242773</v>
      </c>
      <c r="G26" s="1132">
        <f>CONS_TERAC!V18</f>
        <v>0</v>
      </c>
      <c r="H26" s="1132">
        <f>CONS_TERAC!V19</f>
        <v>0</v>
      </c>
      <c r="I26" s="1132">
        <f>CONS_TERAC!V20</f>
        <v>0</v>
      </c>
      <c r="J26" s="1132">
        <f>CONS_TERAC!V21</f>
        <v>0</v>
      </c>
      <c r="K26" s="1132">
        <f>CONS_TERAC!V22</f>
        <v>0</v>
      </c>
      <c r="L26" s="1132">
        <f>CONS_TERAC!V23</f>
        <v>3881.7683249335955</v>
      </c>
      <c r="M26" s="1132">
        <f>CONS_TERAC!V24</f>
        <v>0</v>
      </c>
      <c r="N26" s="1133">
        <f t="shared" si="1"/>
        <v>16272.219563176368</v>
      </c>
      <c r="O26" s="17"/>
      <c r="P26" s="15"/>
      <c r="Q26" s="16"/>
    </row>
    <row r="27" spans="1:17" ht="17.25" customHeight="1">
      <c r="A27" s="504"/>
      <c r="B27" s="1134" t="s">
        <v>31</v>
      </c>
      <c r="C27" s="1135">
        <f t="shared" ref="C27:N27" si="2">SUM(C18:C26)+C9</f>
        <v>27045.268063440126</v>
      </c>
      <c r="D27" s="1135">
        <f t="shared" si="2"/>
        <v>1193.0967900409059</v>
      </c>
      <c r="E27" s="1135">
        <f t="shared" si="2"/>
        <v>1067.665856936</v>
      </c>
      <c r="F27" s="1135">
        <f t="shared" si="2"/>
        <v>19559.2243023431</v>
      </c>
      <c r="G27" s="1135">
        <f t="shared" si="2"/>
        <v>4262.3545532919634</v>
      </c>
      <c r="H27" s="1135">
        <f t="shared" si="2"/>
        <v>477.99702258758072</v>
      </c>
      <c r="I27" s="1135">
        <f t="shared" si="2"/>
        <v>3415.1266368941069</v>
      </c>
      <c r="J27" s="1135">
        <f t="shared" si="2"/>
        <v>685.75971364748875</v>
      </c>
      <c r="K27" s="1135">
        <f t="shared" si="2"/>
        <v>1610.0019248009805</v>
      </c>
      <c r="L27" s="1135">
        <f t="shared" si="2"/>
        <v>28703.885258783837</v>
      </c>
      <c r="M27" s="1135">
        <f t="shared" si="2"/>
        <v>4561.3747930081972</v>
      </c>
      <c r="N27" s="1136">
        <f t="shared" si="2"/>
        <v>92581.754915774291</v>
      </c>
      <c r="O27" s="17"/>
      <c r="P27" s="15"/>
      <c r="Q27" s="16"/>
    </row>
    <row r="28" spans="1:17" ht="13.5" thickBot="1">
      <c r="A28" s="504"/>
      <c r="B28" s="1137"/>
      <c r="C28" s="1138"/>
      <c r="D28" s="1138"/>
      <c r="E28" s="1138"/>
      <c r="F28" s="1138"/>
      <c r="G28" s="1138"/>
      <c r="H28" s="1138"/>
      <c r="I28" s="1138"/>
      <c r="J28" s="1138"/>
      <c r="K28" s="1138"/>
      <c r="L28" s="1138"/>
      <c r="M28" s="1138"/>
      <c r="N28" s="1139"/>
      <c r="O28" s="17"/>
      <c r="P28" s="16"/>
      <c r="Q28" s="16"/>
    </row>
    <row r="29" spans="1:17">
      <c r="A29" s="504"/>
      <c r="B29" s="493" t="s">
        <v>14</v>
      </c>
      <c r="C29" s="1140"/>
      <c r="D29" s="1140"/>
      <c r="E29" s="1140"/>
      <c r="F29" s="1140"/>
      <c r="G29" s="1140"/>
      <c r="H29" s="1140"/>
      <c r="I29" s="1140"/>
      <c r="J29" s="1140"/>
      <c r="K29" s="1140"/>
      <c r="L29" s="1140"/>
      <c r="M29" s="1140"/>
      <c r="N29" s="1140"/>
      <c r="O29" s="17"/>
      <c r="P29" s="16"/>
      <c r="Q29" s="16"/>
    </row>
    <row r="30" spans="1:17">
      <c r="A30" s="504"/>
      <c r="B30" s="629" t="s">
        <v>89</v>
      </c>
      <c r="C30" s="630"/>
      <c r="D30" s="630"/>
      <c r="E30" s="630"/>
      <c r="F30" s="630"/>
      <c r="G30" s="630"/>
      <c r="H30" s="630"/>
      <c r="I30" s="630"/>
      <c r="J30" s="509"/>
      <c r="K30" s="632"/>
      <c r="L30" s="632"/>
      <c r="M30" s="632"/>
      <c r="N30" s="632"/>
      <c r="O30" s="9"/>
      <c r="P30" s="9"/>
      <c r="Q30" s="9"/>
    </row>
    <row r="31" spans="1:17">
      <c r="A31" s="504"/>
      <c r="B31" s="629" t="s">
        <v>816</v>
      </c>
      <c r="C31" s="630"/>
      <c r="D31" s="630"/>
      <c r="E31" s="630"/>
      <c r="F31" s="630"/>
      <c r="G31" s="630"/>
      <c r="H31" s="630"/>
      <c r="I31" s="630"/>
      <c r="J31" s="632"/>
      <c r="K31" s="632"/>
      <c r="L31" s="632"/>
      <c r="M31" s="632"/>
      <c r="N31" s="632"/>
      <c r="O31" s="9"/>
      <c r="P31" s="9"/>
      <c r="Q31" s="9"/>
    </row>
    <row r="32" spans="1:17">
      <c r="A32" s="504"/>
      <c r="B32" s="524" t="s">
        <v>62</v>
      </c>
      <c r="C32" s="532"/>
      <c r="D32" s="533"/>
      <c r="E32" s="533"/>
      <c r="F32" s="533"/>
      <c r="G32" s="497"/>
      <c r="H32" s="500"/>
      <c r="I32" s="459"/>
      <c r="J32" s="459"/>
      <c r="K32" s="459"/>
      <c r="L32" s="459"/>
      <c r="M32" s="459"/>
      <c r="N32" s="459"/>
      <c r="O32" s="6"/>
      <c r="P32" s="6"/>
      <c r="Q32" s="6"/>
    </row>
    <row r="33" spans="1:17">
      <c r="A33" s="504"/>
      <c r="B33" s="524" t="s">
        <v>63</v>
      </c>
      <c r="C33" s="500"/>
      <c r="D33" s="500"/>
      <c r="E33" s="500"/>
      <c r="F33" s="500"/>
      <c r="G33" s="500"/>
      <c r="H33" s="500"/>
      <c r="I33" s="459"/>
      <c r="J33" s="459"/>
      <c r="K33" s="459"/>
      <c r="L33" s="459"/>
      <c r="M33" s="459"/>
      <c r="N33" s="459"/>
      <c r="O33" s="6"/>
      <c r="P33" s="6"/>
      <c r="Q33" s="6"/>
    </row>
    <row r="34" spans="1:17">
      <c r="A34" s="504"/>
      <c r="B34" s="500" t="s">
        <v>34</v>
      </c>
      <c r="C34" s="500"/>
      <c r="D34" s="500"/>
      <c r="E34" s="500"/>
      <c r="F34" s="500"/>
      <c r="G34" s="500"/>
      <c r="H34" s="500"/>
      <c r="I34" s="459"/>
      <c r="J34" s="459"/>
      <c r="K34" s="459"/>
      <c r="L34" s="459"/>
      <c r="M34" s="459"/>
      <c r="N34" s="459"/>
      <c r="O34" s="6"/>
      <c r="P34" s="6"/>
      <c r="Q34" s="6"/>
    </row>
    <row r="35" spans="1:17">
      <c r="A35" s="504"/>
      <c r="B35" s="500" t="s">
        <v>770</v>
      </c>
      <c r="C35" s="500"/>
      <c r="D35" s="500"/>
      <c r="E35" s="500"/>
      <c r="F35" s="500"/>
      <c r="G35" s="500"/>
      <c r="H35" s="500"/>
      <c r="I35" s="459"/>
      <c r="J35" s="459"/>
      <c r="K35" s="459"/>
      <c r="L35" s="459"/>
      <c r="M35" s="459"/>
      <c r="N35" s="459"/>
      <c r="O35" s="6"/>
      <c r="P35" s="6"/>
      <c r="Q35" s="6"/>
    </row>
    <row r="36" spans="1:17">
      <c r="A36" s="504"/>
      <c r="B36" s="1141"/>
      <c r="C36" s="1141"/>
      <c r="D36" s="1141"/>
      <c r="E36" s="1141"/>
      <c r="F36" s="1141"/>
      <c r="G36" s="1141"/>
      <c r="H36" s="1141"/>
      <c r="I36" s="1141"/>
      <c r="J36" s="1141"/>
      <c r="K36" s="1141"/>
      <c r="L36" s="1141"/>
      <c r="M36" s="1141"/>
      <c r="N36" s="1141"/>
      <c r="O36" s="14"/>
      <c r="P36" s="16"/>
      <c r="Q36" s="16"/>
    </row>
    <row r="37" spans="1:17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4"/>
      <c r="P37" s="16"/>
      <c r="Q37" s="16"/>
    </row>
    <row r="38" spans="1:17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4"/>
      <c r="P38" s="16"/>
      <c r="Q38" s="16"/>
    </row>
    <row r="39" spans="1:17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4"/>
      <c r="P39" s="16"/>
      <c r="Q39" s="16"/>
    </row>
    <row r="40" spans="1:17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4"/>
      <c r="P40" s="16"/>
      <c r="Q40" s="16"/>
    </row>
    <row r="41" spans="1:17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4"/>
      <c r="P41" s="16"/>
      <c r="Q41" s="16"/>
    </row>
    <row r="42" spans="1:17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4"/>
      <c r="P42" s="16"/>
      <c r="Q42" s="16"/>
    </row>
    <row r="43" spans="1:17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4"/>
      <c r="P43" s="16"/>
      <c r="Q43" s="16"/>
    </row>
    <row r="44" spans="1:17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4"/>
      <c r="P44" s="16"/>
      <c r="Q44" s="16"/>
    </row>
    <row r="45" spans="1:17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4"/>
      <c r="P45" s="16"/>
      <c r="Q45" s="16"/>
    </row>
    <row r="46" spans="1:17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4"/>
      <c r="P46" s="16"/>
      <c r="Q46" s="16"/>
    </row>
    <row r="47" spans="1:17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4"/>
      <c r="P47" s="16"/>
      <c r="Q47" s="16"/>
    </row>
    <row r="48" spans="1:17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4"/>
      <c r="P48" s="16"/>
      <c r="Q48" s="16"/>
    </row>
    <row r="49" spans="2:17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4"/>
      <c r="P49" s="16"/>
      <c r="Q49" s="16"/>
    </row>
    <row r="50" spans="2:17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4"/>
      <c r="P50" s="16"/>
      <c r="Q50" s="16"/>
    </row>
    <row r="51" spans="2:17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4"/>
      <c r="P51" s="16"/>
      <c r="Q51" s="16"/>
    </row>
    <row r="52" spans="2:1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7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7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17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7" s="3" customFormat="1"/>
    <row r="62" spans="2:17" s="3" customFormat="1"/>
    <row r="63" spans="2:17" s="3" customFormat="1"/>
    <row r="64" spans="2:17" s="3" customFormat="1"/>
    <row r="65" spans="3:14" s="3" customFormat="1"/>
    <row r="66" spans="3:14" s="3" customFormat="1"/>
    <row r="67" spans="3:14" s="3" customFormat="1"/>
    <row r="68" spans="3:14" s="3" customFormat="1"/>
    <row r="69" spans="3:14" s="3" customFormat="1"/>
    <row r="70" spans="3:14" s="3" customFormat="1"/>
    <row r="71" spans="3:14" s="3" customFormat="1"/>
    <row r="72" spans="3:14" s="3" customFormat="1"/>
    <row r="73" spans="3:14" s="3" customFormat="1"/>
    <row r="74" spans="3:14" s="3" customFormat="1"/>
    <row r="75" spans="3:14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</sheetData>
  <phoneticPr fontId="0" type="noConversion"/>
  <hyperlinks>
    <hyperlink ref="O4" location="INDICE!A1" display="VOLVER A INDICE"/>
  </hyperlink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B28" sqref="B28"/>
    </sheetView>
  </sheetViews>
  <sheetFormatPr baseColWidth="10" defaultRowHeight="12.75" outlineLevelRow="1"/>
  <cols>
    <col min="1" max="1" width="1.42578125" style="296" customWidth="1"/>
    <col min="2" max="2" width="28.28515625" style="296" customWidth="1"/>
    <col min="3" max="7" width="11.42578125" style="296"/>
    <col min="8" max="14" width="11.42578125" style="3"/>
    <col min="15" max="16384" width="11.42578125" style="296"/>
  </cols>
  <sheetData>
    <row r="1" spans="1:21" ht="6.75" customHeight="1" thickBot="1">
      <c r="A1" s="504"/>
      <c r="B1" s="504"/>
      <c r="C1" s="504"/>
      <c r="D1" s="504"/>
      <c r="E1" s="504"/>
      <c r="F1" s="504"/>
      <c r="G1" s="504"/>
      <c r="H1" s="62"/>
    </row>
    <row r="2" spans="1:21" ht="15.75" customHeight="1" thickBot="1">
      <c r="A2" s="504"/>
      <c r="B2" s="1142"/>
      <c r="C2" s="1143"/>
      <c r="D2" s="1143"/>
      <c r="E2" s="1143"/>
      <c r="F2" s="1143"/>
      <c r="G2" s="1144"/>
      <c r="H2" s="1145"/>
      <c r="I2" s="18"/>
      <c r="J2" s="18"/>
    </row>
    <row r="3" spans="1:21" ht="15.75">
      <c r="A3" s="504"/>
      <c r="B3" s="1146"/>
      <c r="C3" s="1147"/>
      <c r="D3" s="607" t="s">
        <v>554</v>
      </c>
      <c r="E3" s="1148"/>
      <c r="F3" s="1149"/>
      <c r="G3" s="1150"/>
      <c r="H3" s="572" t="s">
        <v>649</v>
      </c>
      <c r="I3" s="18"/>
      <c r="J3" s="18"/>
    </row>
    <row r="4" spans="1:21" ht="15.75">
      <c r="A4" s="504"/>
      <c r="B4" s="1151"/>
      <c r="C4" s="1152"/>
      <c r="D4" s="1153" t="s">
        <v>772</v>
      </c>
      <c r="E4" s="1152"/>
      <c r="F4" s="1154"/>
      <c r="G4" s="1155"/>
      <c r="H4" s="1156"/>
      <c r="I4" s="18"/>
      <c r="J4" s="18"/>
    </row>
    <row r="5" spans="1:21" ht="15.75">
      <c r="A5" s="504"/>
      <c r="B5" s="1151"/>
      <c r="C5" s="1157" t="s">
        <v>555</v>
      </c>
      <c r="D5" s="1152"/>
      <c r="E5" s="1152"/>
      <c r="F5" s="1154"/>
      <c r="G5" s="1155"/>
      <c r="H5" s="1158"/>
      <c r="I5" s="18"/>
      <c r="J5" s="18"/>
    </row>
    <row r="6" spans="1:21" ht="15.75">
      <c r="A6" s="504"/>
      <c r="B6" s="1151"/>
      <c r="C6" s="1153" t="s">
        <v>131</v>
      </c>
      <c r="D6" s="1152"/>
      <c r="E6" s="1152"/>
      <c r="F6" s="1154"/>
      <c r="G6" s="1155"/>
      <c r="H6" s="1145"/>
      <c r="I6" s="18"/>
      <c r="J6" s="18"/>
    </row>
    <row r="7" spans="1:21" ht="15.75">
      <c r="A7" s="504"/>
      <c r="B7" s="1151"/>
      <c r="C7" s="1157" t="s">
        <v>813</v>
      </c>
      <c r="D7" s="1152"/>
      <c r="E7" s="1152"/>
      <c r="F7" s="1154"/>
      <c r="G7" s="1155"/>
      <c r="H7" s="1159"/>
      <c r="I7" s="18"/>
      <c r="J7" s="18"/>
    </row>
    <row r="8" spans="1:21" ht="15.75">
      <c r="A8" s="504"/>
      <c r="B8" s="1151"/>
      <c r="C8" s="1152"/>
      <c r="D8" s="1152"/>
      <c r="E8" s="1152"/>
      <c r="F8" s="1154"/>
      <c r="G8" s="1155"/>
      <c r="H8" s="1159"/>
      <c r="I8" s="18"/>
      <c r="J8" s="18"/>
    </row>
    <row r="9" spans="1:21" ht="16.5" thickBot="1">
      <c r="A9" s="504"/>
      <c r="B9" s="1160" t="s">
        <v>23</v>
      </c>
      <c r="C9" s="1161" t="s">
        <v>132</v>
      </c>
      <c r="D9" s="1161" t="s">
        <v>133</v>
      </c>
      <c r="E9" s="1161" t="s">
        <v>134</v>
      </c>
      <c r="F9" s="1162" t="s">
        <v>31</v>
      </c>
      <c r="G9" s="1163"/>
      <c r="H9" s="1145"/>
      <c r="I9" s="18"/>
      <c r="J9" s="18"/>
    </row>
    <row r="10" spans="1:21" ht="16.5" customHeight="1">
      <c r="A10" s="504"/>
      <c r="B10" s="1124" t="s">
        <v>105</v>
      </c>
      <c r="C10" s="1164">
        <f>SUM(C11:C15)</f>
        <v>3354.8754878222303</v>
      </c>
      <c r="D10" s="1164">
        <f>SUM(D11:D15)</f>
        <v>299.95826873432878</v>
      </c>
      <c r="E10" s="1164">
        <f>SUM(E11:E15)</f>
        <v>9589.1560719579211</v>
      </c>
      <c r="F10" s="1164">
        <f>SUM(F11:F15)</f>
        <v>13243.989828514479</v>
      </c>
      <c r="G10" s="1165"/>
      <c r="H10" s="1145"/>
      <c r="I10" s="18"/>
      <c r="J10" s="18"/>
      <c r="O10" s="3"/>
      <c r="P10" s="3"/>
      <c r="Q10" s="3"/>
      <c r="R10" s="3"/>
      <c r="S10" s="3"/>
      <c r="T10" s="3"/>
      <c r="U10" s="3"/>
    </row>
    <row r="11" spans="1:21" ht="16.5" customHeight="1" outlineLevel="1">
      <c r="A11" s="504"/>
      <c r="B11" s="1166" t="s">
        <v>135</v>
      </c>
      <c r="C11" s="1167">
        <f>CONS_TERAC!D29</f>
        <v>590.53695873900006</v>
      </c>
      <c r="D11" s="1167">
        <f>CONS_TERAC!D30</f>
        <v>38.369894724000005</v>
      </c>
      <c r="E11" s="1167">
        <f>CONS_TERAC!D31</f>
        <v>0</v>
      </c>
      <c r="F11" s="1167">
        <f t="shared" ref="F11:F20" si="0">SUM(C11:E11)</f>
        <v>628.90685346300006</v>
      </c>
      <c r="G11" s="1168"/>
      <c r="H11" s="1169"/>
      <c r="I11" s="19"/>
      <c r="J11" s="18"/>
      <c r="O11" s="3"/>
      <c r="P11" s="3"/>
      <c r="Q11" s="3"/>
      <c r="R11" s="3"/>
      <c r="S11" s="3"/>
      <c r="T11" s="3"/>
      <c r="U11" s="3"/>
    </row>
    <row r="12" spans="1:21" ht="16.5" customHeight="1" outlineLevel="1">
      <c r="A12" s="504"/>
      <c r="B12" s="1166" t="s">
        <v>136</v>
      </c>
      <c r="C12" s="1167">
        <f>CONS_TERAC!C29</f>
        <v>1700.3757147694798</v>
      </c>
      <c r="D12" s="1167">
        <f>CONS_TERAC!C30</f>
        <v>62.796064521119995</v>
      </c>
      <c r="E12" s="1167">
        <f>CONS_TERAC!C31</f>
        <v>52.553194857240008</v>
      </c>
      <c r="F12" s="1167">
        <f t="shared" si="0"/>
        <v>1815.7249741478397</v>
      </c>
      <c r="G12" s="1168"/>
      <c r="H12" s="1169"/>
      <c r="I12" s="19"/>
      <c r="J12" s="18"/>
      <c r="O12" s="3"/>
      <c r="P12" s="3"/>
      <c r="Q12" s="3"/>
      <c r="R12" s="3"/>
      <c r="S12" s="3"/>
      <c r="T12" s="3"/>
      <c r="U12" s="3"/>
    </row>
    <row r="13" spans="1:21" ht="16.5" customHeight="1" outlineLevel="1">
      <c r="A13" s="504"/>
      <c r="B13" s="1166" t="s">
        <v>77</v>
      </c>
      <c r="C13" s="1167">
        <f>CONS_TERAC!F29</f>
        <v>3.6719244</v>
      </c>
      <c r="D13" s="1167">
        <f>CONS_TERAC!F30</f>
        <v>2.5174800000000004</v>
      </c>
      <c r="E13" s="1167">
        <f>CONS_TERAC!F31</f>
        <v>570.933058437</v>
      </c>
      <c r="F13" s="1167">
        <f t="shared" si="0"/>
        <v>577.12246283700006</v>
      </c>
      <c r="G13" s="1168"/>
      <c r="H13" s="1169"/>
      <c r="I13" s="19"/>
      <c r="J13" s="18"/>
      <c r="O13" s="3"/>
      <c r="P13" s="3"/>
      <c r="Q13" s="3"/>
      <c r="R13" s="3"/>
      <c r="S13" s="3"/>
      <c r="T13" s="3"/>
      <c r="U13" s="3"/>
    </row>
    <row r="14" spans="1:21" ht="16.5" customHeight="1" outlineLevel="1">
      <c r="A14" s="504"/>
      <c r="B14" s="1166" t="s">
        <v>78</v>
      </c>
      <c r="C14" s="1167">
        <f>CONS_TERAC!G29</f>
        <v>1060.2908899137501</v>
      </c>
      <c r="D14" s="1167">
        <f>CONS_TERAC!G30</f>
        <v>196.27482948920877</v>
      </c>
      <c r="E14" s="1167">
        <f>CONS_TERAC!G31</f>
        <v>8965.6698186636804</v>
      </c>
      <c r="F14" s="1167">
        <f t="shared" si="0"/>
        <v>10222.235538066639</v>
      </c>
      <c r="G14" s="1168"/>
      <c r="H14" s="1169"/>
      <c r="I14" s="19"/>
      <c r="J14" s="18"/>
      <c r="O14" s="3"/>
      <c r="P14" s="3"/>
      <c r="Q14" s="3"/>
      <c r="R14" s="3"/>
      <c r="S14" s="3"/>
      <c r="T14" s="3"/>
      <c r="U14" s="3"/>
    </row>
    <row r="15" spans="1:21" ht="16.5" customHeight="1" outlineLevel="1">
      <c r="A15" s="504"/>
      <c r="B15" s="1130" t="s">
        <v>81</v>
      </c>
      <c r="C15" s="1167">
        <f>CONS_TERAC!J29</f>
        <v>0</v>
      </c>
      <c r="D15" s="1167">
        <f>CONS_TERAC!J30</f>
        <v>0</v>
      </c>
      <c r="E15" s="1167">
        <f>CONS_TERAC!J31</f>
        <v>0</v>
      </c>
      <c r="F15" s="1167">
        <f t="shared" si="0"/>
        <v>0</v>
      </c>
      <c r="G15" s="1168"/>
      <c r="H15" s="1169"/>
      <c r="I15" s="19"/>
      <c r="J15" s="18"/>
      <c r="O15" s="3"/>
      <c r="P15" s="3"/>
      <c r="Q15" s="3"/>
      <c r="R15" s="3"/>
      <c r="S15" s="3"/>
      <c r="T15" s="3"/>
      <c r="U15" s="3"/>
    </row>
    <row r="16" spans="1:21" ht="16.5" customHeight="1">
      <c r="A16" s="504"/>
      <c r="B16" s="1170" t="s">
        <v>38</v>
      </c>
      <c r="C16" s="1164">
        <f>CONS_TERAC!M29</f>
        <v>5330.2547853334654</v>
      </c>
      <c r="D16" s="1164">
        <f>CONS_TERAC!M30</f>
        <v>1237.0703019585987</v>
      </c>
      <c r="E16" s="1164">
        <f>CONS_TERAC!M31</f>
        <v>7524.0999803562127</v>
      </c>
      <c r="F16" s="1164">
        <f t="shared" si="0"/>
        <v>14091.425067648277</v>
      </c>
      <c r="G16" s="1168"/>
      <c r="H16" s="1169"/>
      <c r="I16" s="19"/>
      <c r="J16" s="18"/>
      <c r="O16" s="3"/>
      <c r="P16" s="3"/>
      <c r="Q16" s="3"/>
      <c r="R16" s="3"/>
      <c r="S16" s="3"/>
      <c r="T16" s="3"/>
      <c r="U16" s="3"/>
    </row>
    <row r="17" spans="1:21" ht="16.5" customHeight="1">
      <c r="A17" s="504"/>
      <c r="B17" s="1170" t="s">
        <v>137</v>
      </c>
      <c r="C17" s="1164">
        <f>CONS_TERAC!N29</f>
        <v>0</v>
      </c>
      <c r="D17" s="1164">
        <f>CONS_TERAC!N30</f>
        <v>43.714856290898759</v>
      </c>
      <c r="E17" s="1164">
        <f>CONS_TERAC!N31</f>
        <v>0.146231</v>
      </c>
      <c r="F17" s="1164">
        <f t="shared" si="0"/>
        <v>43.861087290898759</v>
      </c>
      <c r="G17" s="1168"/>
      <c r="H17" s="1169"/>
      <c r="I17" s="19"/>
      <c r="J17" s="18"/>
      <c r="O17" s="3"/>
      <c r="P17" s="3"/>
      <c r="Q17" s="3"/>
      <c r="R17" s="3"/>
      <c r="S17" s="3"/>
      <c r="T17" s="3"/>
      <c r="U17" s="3"/>
    </row>
    <row r="18" spans="1:21" ht="16.5" customHeight="1">
      <c r="A18" s="504"/>
      <c r="B18" s="1170" t="s">
        <v>40</v>
      </c>
      <c r="C18" s="1164">
        <f>CONS_TERAC!Q29</f>
        <v>125.20218732579497</v>
      </c>
      <c r="D18" s="1164">
        <f>CONS_TERAC!Q30</f>
        <v>12.114290635263007</v>
      </c>
      <c r="E18" s="1164">
        <f>CONS_TERAC!Q31</f>
        <v>117.4179346138463</v>
      </c>
      <c r="F18" s="1164">
        <f t="shared" si="0"/>
        <v>254.7344125749043</v>
      </c>
      <c r="G18" s="1168"/>
      <c r="H18" s="1169"/>
      <c r="I18" s="19"/>
      <c r="J18" s="18"/>
      <c r="O18" s="3"/>
      <c r="P18" s="3"/>
      <c r="Q18" s="3"/>
      <c r="R18" s="3"/>
      <c r="S18" s="3"/>
      <c r="T18" s="3"/>
      <c r="U18" s="3"/>
    </row>
    <row r="19" spans="1:21" ht="16.5" customHeight="1">
      <c r="A19" s="504"/>
      <c r="B19" s="1170" t="s">
        <v>129</v>
      </c>
      <c r="C19" s="1164">
        <f>CONS_TERAC!S29</f>
        <v>1095.0140778531202</v>
      </c>
      <c r="D19" s="1164">
        <f>CONS_TERAC!S30</f>
        <v>184.69378108054835</v>
      </c>
      <c r="E19" s="1164">
        <f>CONS_TERAC!S31</f>
        <v>3954.136344131733</v>
      </c>
      <c r="F19" s="1164">
        <f t="shared" si="0"/>
        <v>5233.8442030654014</v>
      </c>
      <c r="G19" s="1168"/>
      <c r="H19" s="1169"/>
      <c r="I19" s="19"/>
      <c r="J19" s="18"/>
      <c r="O19" s="3"/>
      <c r="P19" s="3"/>
      <c r="Q19" s="3"/>
      <c r="R19" s="3"/>
      <c r="S19" s="3"/>
      <c r="T19" s="3"/>
      <c r="U19" s="3"/>
    </row>
    <row r="20" spans="1:21" ht="16.5" customHeight="1">
      <c r="A20" s="504"/>
      <c r="B20" s="1170" t="s">
        <v>29</v>
      </c>
      <c r="C20" s="1164">
        <f>CONS_TERAC!V29</f>
        <v>0</v>
      </c>
      <c r="D20" s="1164">
        <f>CONS_TERAC!V30</f>
        <v>0</v>
      </c>
      <c r="E20" s="1164">
        <f>CONS_TERAC!V31</f>
        <v>29505.216625181194</v>
      </c>
      <c r="F20" s="1164">
        <f t="shared" si="0"/>
        <v>29505.216625181194</v>
      </c>
      <c r="G20" s="1168"/>
      <c r="H20" s="1169"/>
      <c r="I20" s="19"/>
      <c r="J20" s="18"/>
      <c r="O20" s="3"/>
      <c r="P20" s="3"/>
      <c r="Q20" s="3"/>
      <c r="R20" s="3"/>
      <c r="S20" s="3"/>
      <c r="T20" s="3"/>
      <c r="U20" s="3"/>
    </row>
    <row r="21" spans="1:21">
      <c r="A21" s="504"/>
      <c r="B21" s="1171" t="s">
        <v>31</v>
      </c>
      <c r="C21" s="1172">
        <f>SUM(C16:C20)+C10</f>
        <v>9905.3465383346102</v>
      </c>
      <c r="D21" s="1172">
        <f>SUM(D16:D20)+D10</f>
        <v>1777.5514986996377</v>
      </c>
      <c r="E21" s="1172">
        <f>SUM(E16:E20)+E10</f>
        <v>50690.173187240907</v>
      </c>
      <c r="F21" s="1172">
        <f>SUM(F16:F20)+F10</f>
        <v>62373.071224275154</v>
      </c>
      <c r="G21" s="1173"/>
      <c r="H21" s="1169"/>
      <c r="I21" s="19"/>
      <c r="J21" s="18"/>
      <c r="O21" s="3"/>
      <c r="P21" s="3"/>
      <c r="Q21" s="3"/>
      <c r="R21" s="3"/>
      <c r="S21" s="3"/>
      <c r="T21" s="3"/>
      <c r="U21" s="3"/>
    </row>
    <row r="22" spans="1:21" ht="13.5" thickBot="1">
      <c r="A22" s="504"/>
      <c r="B22" s="1174"/>
      <c r="C22" s="1175"/>
      <c r="D22" s="1175"/>
      <c r="E22" s="1175"/>
      <c r="F22" s="1175"/>
      <c r="G22" s="1176"/>
      <c r="H22" s="1177"/>
      <c r="I22" s="18"/>
      <c r="J22" s="18"/>
      <c r="O22" s="3"/>
      <c r="P22" s="3"/>
      <c r="Q22" s="3"/>
      <c r="R22" s="3"/>
      <c r="S22" s="3"/>
      <c r="T22" s="3"/>
      <c r="U22" s="3"/>
    </row>
    <row r="23" spans="1:21" s="3" customFormat="1">
      <c r="A23" s="62"/>
      <c r="B23" s="629" t="s">
        <v>130</v>
      </c>
      <c r="C23" s="630"/>
      <c r="D23" s="630"/>
      <c r="E23" s="630"/>
      <c r="F23" s="630"/>
      <c r="G23" s="630"/>
      <c r="H23" s="630"/>
      <c r="I23" s="10"/>
      <c r="J23" s="9"/>
    </row>
    <row r="24" spans="1:21">
      <c r="A24" s="504"/>
      <c r="B24" s="524" t="s">
        <v>62</v>
      </c>
      <c r="C24" s="532"/>
      <c r="D24" s="533"/>
      <c r="E24" s="533"/>
      <c r="F24" s="533"/>
      <c r="G24" s="497"/>
      <c r="H24" s="500"/>
      <c r="I24" s="6"/>
      <c r="J24" s="6"/>
    </row>
    <row r="25" spans="1:21">
      <c r="A25" s="504"/>
      <c r="B25" s="524" t="s">
        <v>63</v>
      </c>
      <c r="C25" s="500"/>
      <c r="D25" s="500"/>
      <c r="E25" s="500"/>
      <c r="F25" s="500"/>
      <c r="G25" s="500"/>
      <c r="H25" s="500"/>
      <c r="I25" s="6"/>
      <c r="J25" s="6"/>
    </row>
    <row r="26" spans="1:21">
      <c r="A26" s="504"/>
      <c r="B26" s="500" t="s">
        <v>34</v>
      </c>
      <c r="C26" s="500"/>
      <c r="D26" s="500"/>
      <c r="E26" s="500"/>
      <c r="F26" s="500"/>
      <c r="G26" s="500"/>
      <c r="H26" s="500"/>
      <c r="I26" s="6"/>
      <c r="J26" s="6"/>
    </row>
    <row r="27" spans="1:21">
      <c r="A27" s="504"/>
      <c r="B27" s="500" t="s">
        <v>770</v>
      </c>
      <c r="C27" s="500"/>
      <c r="D27" s="500"/>
      <c r="E27" s="500"/>
      <c r="F27" s="500"/>
      <c r="G27" s="500"/>
      <c r="H27" s="500"/>
      <c r="I27" s="6"/>
      <c r="J27" s="6"/>
    </row>
    <row r="28" spans="1:21">
      <c r="A28" s="504"/>
      <c r="B28" s="1145"/>
      <c r="C28" s="1145"/>
      <c r="D28" s="1145"/>
      <c r="E28" s="1145"/>
      <c r="F28" s="1145"/>
      <c r="G28" s="1145"/>
      <c r="H28" s="1145"/>
      <c r="I28" s="18"/>
      <c r="J28" s="18"/>
    </row>
    <row r="29" spans="1:21">
      <c r="A29" s="504"/>
      <c r="B29" s="1145"/>
      <c r="C29" s="1145"/>
      <c r="D29" s="1145"/>
      <c r="E29" s="1145"/>
      <c r="F29" s="1145"/>
      <c r="G29" s="1145"/>
      <c r="H29" s="1145"/>
      <c r="I29" s="18"/>
      <c r="J29" s="18"/>
    </row>
    <row r="30" spans="1:21">
      <c r="A30" s="504"/>
      <c r="B30" s="1145"/>
      <c r="C30" s="1145"/>
      <c r="D30" s="1145"/>
      <c r="E30" s="1145"/>
      <c r="F30" s="1145"/>
      <c r="G30" s="1145"/>
      <c r="H30" s="1145"/>
      <c r="I30" s="18"/>
      <c r="J30" s="18"/>
    </row>
    <row r="31" spans="1:21">
      <c r="A31" s="504"/>
      <c r="B31" s="1145"/>
      <c r="C31" s="1145"/>
      <c r="D31" s="1145"/>
      <c r="E31" s="1145"/>
      <c r="F31" s="1145"/>
      <c r="G31" s="1145"/>
      <c r="H31" s="1145"/>
      <c r="I31" s="18"/>
      <c r="J31" s="18"/>
    </row>
    <row r="32" spans="1:21">
      <c r="B32" s="18"/>
      <c r="C32" s="18"/>
      <c r="D32" s="18"/>
      <c r="E32" s="18"/>
      <c r="F32" s="18"/>
      <c r="G32" s="18"/>
      <c r="H32" s="18"/>
      <c r="I32" s="18"/>
      <c r="J32" s="18"/>
    </row>
    <row r="33" spans="2:10">
      <c r="B33" s="18"/>
      <c r="C33" s="18"/>
      <c r="D33" s="18"/>
      <c r="E33" s="18"/>
      <c r="F33" s="18"/>
      <c r="G33" s="18"/>
      <c r="H33" s="18"/>
      <c r="I33" s="18"/>
      <c r="J33" s="18"/>
    </row>
    <row r="34" spans="2:10">
      <c r="B34" s="3"/>
      <c r="C34" s="3"/>
      <c r="D34" s="3"/>
      <c r="E34" s="3"/>
      <c r="F34" s="3"/>
      <c r="G34" s="3"/>
    </row>
    <row r="35" spans="2:10">
      <c r="B35" s="3"/>
      <c r="C35" s="3"/>
      <c r="D35" s="3"/>
      <c r="E35" s="3"/>
      <c r="F35" s="3"/>
      <c r="G35" s="3"/>
    </row>
    <row r="36" spans="2:10">
      <c r="B36" s="3"/>
      <c r="C36" s="3"/>
      <c r="D36" s="3"/>
      <c r="E36" s="3"/>
      <c r="F36" s="3"/>
      <c r="G36" s="3"/>
    </row>
    <row r="37" spans="2:10" s="3" customFormat="1"/>
    <row r="38" spans="2:10" s="3" customFormat="1"/>
    <row r="39" spans="2:10" s="3" customFormat="1"/>
    <row r="40" spans="2:10" s="3" customFormat="1"/>
    <row r="41" spans="2:10" s="3" customFormat="1"/>
    <row r="42" spans="2:10" s="3" customFormat="1"/>
    <row r="43" spans="2:10" s="3" customFormat="1"/>
    <row r="44" spans="2:10" s="3" customFormat="1"/>
    <row r="45" spans="2:10" s="3" customFormat="1"/>
    <row r="46" spans="2:10" s="3" customFormat="1"/>
    <row r="47" spans="2:10" s="3" customFormat="1"/>
    <row r="48" spans="2:10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</sheetData>
  <phoneticPr fontId="0" type="noConversion"/>
  <hyperlinks>
    <hyperlink ref="H3" location="INDICE!A1" display="VOLVER A INDICE"/>
  </hyperlinks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zoomScale="85" workbookViewId="0">
      <selection activeCell="E40" sqref="E40"/>
    </sheetView>
  </sheetViews>
  <sheetFormatPr baseColWidth="10" defaultRowHeight="12.75" outlineLevelRow="1"/>
  <cols>
    <col min="1" max="1" width="2.28515625" customWidth="1"/>
    <col min="2" max="2" width="32" customWidth="1"/>
    <col min="3" max="3" width="15.28515625" customWidth="1"/>
    <col min="4" max="4" width="13.28515625" customWidth="1"/>
  </cols>
  <sheetData>
    <row r="1" spans="1:9" ht="9.75" customHeight="1" thickBot="1">
      <c r="A1" s="815"/>
      <c r="B1" s="815"/>
      <c r="C1" s="815"/>
      <c r="D1" s="815"/>
      <c r="E1" s="815"/>
      <c r="F1" s="815"/>
      <c r="G1" s="815"/>
      <c r="H1" s="815"/>
      <c r="I1" s="815"/>
    </row>
    <row r="2" spans="1:9" ht="13.5" thickBot="1">
      <c r="A2" s="815"/>
      <c r="B2" s="569"/>
      <c r="C2" s="570"/>
      <c r="D2" s="570"/>
      <c r="E2" s="570"/>
      <c r="F2" s="570"/>
      <c r="G2" s="570"/>
      <c r="H2" s="571"/>
      <c r="I2" s="815"/>
    </row>
    <row r="3" spans="1:9" ht="15">
      <c r="A3" s="815"/>
      <c r="B3" s="1179"/>
      <c r="C3" s="20"/>
      <c r="D3" s="731" t="s">
        <v>549</v>
      </c>
      <c r="E3" s="21"/>
      <c r="F3" s="1180"/>
      <c r="G3" s="1180"/>
      <c r="H3" s="1181"/>
      <c r="I3" s="572" t="s">
        <v>649</v>
      </c>
    </row>
    <row r="4" spans="1:9" ht="15">
      <c r="A4" s="815"/>
      <c r="B4" s="1182"/>
      <c r="C4" s="22"/>
      <c r="D4" s="23" t="s">
        <v>550</v>
      </c>
      <c r="E4" s="22"/>
      <c r="F4" s="1183"/>
      <c r="G4" s="1183"/>
      <c r="H4" s="1184"/>
      <c r="I4" s="815"/>
    </row>
    <row r="5" spans="1:9" ht="15">
      <c r="A5" s="815"/>
      <c r="B5" s="1182"/>
      <c r="C5" s="22"/>
      <c r="D5" s="24" t="s">
        <v>814</v>
      </c>
      <c r="E5" s="22"/>
      <c r="F5" s="1183"/>
      <c r="G5" s="1183"/>
      <c r="H5" s="1184"/>
      <c r="I5" s="815"/>
    </row>
    <row r="6" spans="1:9" ht="15">
      <c r="A6" s="815"/>
      <c r="B6" s="1182"/>
      <c r="C6" s="24" t="s">
        <v>707</v>
      </c>
      <c r="D6" s="22"/>
      <c r="E6" s="22"/>
      <c r="F6" s="1183"/>
      <c r="G6" s="1183"/>
      <c r="H6" s="1184"/>
      <c r="I6" s="815"/>
    </row>
    <row r="7" spans="1:9" ht="15">
      <c r="A7" s="815"/>
      <c r="B7" s="1182"/>
      <c r="C7" s="890" t="s">
        <v>738</v>
      </c>
      <c r="D7" s="890" t="s">
        <v>739</v>
      </c>
      <c r="E7" s="890" t="s">
        <v>138</v>
      </c>
      <c r="F7" s="890" t="s">
        <v>139</v>
      </c>
      <c r="G7" s="890" t="s">
        <v>26</v>
      </c>
      <c r="H7" s="891" t="s">
        <v>31</v>
      </c>
      <c r="I7" s="815"/>
    </row>
    <row r="8" spans="1:9" ht="15.75" thickBot="1">
      <c r="A8" s="815"/>
      <c r="B8" s="1185" t="s">
        <v>23</v>
      </c>
      <c r="C8" s="893"/>
      <c r="D8" s="893"/>
      <c r="E8" s="893" t="s">
        <v>26</v>
      </c>
      <c r="F8" s="893" t="s">
        <v>740</v>
      </c>
      <c r="G8" s="893" t="s">
        <v>741</v>
      </c>
      <c r="H8" s="894"/>
      <c r="I8" s="815"/>
    </row>
    <row r="9" spans="1:9" ht="17.25" customHeight="1">
      <c r="A9" s="815"/>
      <c r="B9" s="1124" t="s">
        <v>105</v>
      </c>
      <c r="C9" s="669">
        <f t="shared" ref="C9:H9" si="0">SUM(C10:C16)</f>
        <v>0</v>
      </c>
      <c r="D9" s="669">
        <f t="shared" si="0"/>
        <v>276.43569666100001</v>
      </c>
      <c r="E9" s="669">
        <f t="shared" si="0"/>
        <v>6525.1536441799999</v>
      </c>
      <c r="F9" s="669">
        <f t="shared" si="0"/>
        <v>0</v>
      </c>
      <c r="G9" s="669">
        <f t="shared" si="0"/>
        <v>0.63883243199999995</v>
      </c>
      <c r="H9" s="670">
        <f t="shared" si="0"/>
        <v>6802.2281732729998</v>
      </c>
      <c r="I9" s="815"/>
    </row>
    <row r="10" spans="1:9" ht="17.25" customHeight="1" outlineLevel="1">
      <c r="A10" s="815"/>
      <c r="B10" s="450" t="s">
        <v>75</v>
      </c>
      <c r="C10" s="671">
        <f>CONS_TERAC!D36+CONS_TERAC!D37</f>
        <v>0</v>
      </c>
      <c r="D10" s="671">
        <f>CONS_TERAC!D38+CONS_TERAC!D39</f>
        <v>269.81</v>
      </c>
      <c r="E10" s="671">
        <f>CONS_TERAC!D40</f>
        <v>388.62066599999997</v>
      </c>
      <c r="F10" s="671">
        <f>CONS_TERAC!D41</f>
        <v>0</v>
      </c>
      <c r="G10" s="671">
        <f>CONS_TERAC!D42</f>
        <v>0</v>
      </c>
      <c r="H10" s="672">
        <f t="shared" ref="H10:H23" si="1">SUM(C10:G10)</f>
        <v>658.43066599999997</v>
      </c>
      <c r="I10" s="815"/>
    </row>
    <row r="11" spans="1:9" ht="17.25" customHeight="1" outlineLevel="1">
      <c r="A11" s="815"/>
      <c r="B11" s="450" t="s">
        <v>76</v>
      </c>
      <c r="C11" s="673">
        <f>CONS_TERAC!C36+CONS_TERAC!C37</f>
        <v>0</v>
      </c>
      <c r="D11" s="673">
        <f>CONS_TERAC!C38+CONS_TERAC!C39</f>
        <v>0</v>
      </c>
      <c r="E11" s="673">
        <f>CONS_TERAC!C40</f>
        <v>291.65064599999999</v>
      </c>
      <c r="F11" s="673">
        <f>CONS_TERAC!C41</f>
        <v>0</v>
      </c>
      <c r="G11" s="673">
        <f>CONS_TERAC!C42</f>
        <v>0.63883243199999995</v>
      </c>
      <c r="H11" s="672">
        <f t="shared" si="1"/>
        <v>292.28947843200001</v>
      </c>
      <c r="I11" s="815"/>
    </row>
    <row r="12" spans="1:9" ht="17.25" customHeight="1" outlineLevel="1">
      <c r="A12" s="815"/>
      <c r="B12" s="450" t="s">
        <v>77</v>
      </c>
      <c r="C12" s="673">
        <f>CONS_TERAC!F36+CONS_TERAC!F37</f>
        <v>0</v>
      </c>
      <c r="D12" s="673">
        <f>CONS_TERAC!F38+CONS_TERAC!F39</f>
        <v>0</v>
      </c>
      <c r="E12" s="673">
        <f>CONS_TERAC!F40</f>
        <v>0</v>
      </c>
      <c r="F12" s="673">
        <f>CONS_TERAC!F41</f>
        <v>0</v>
      </c>
      <c r="G12" s="673">
        <f>CONS_TERAC!F42</f>
        <v>0</v>
      </c>
      <c r="H12" s="672">
        <f t="shared" si="1"/>
        <v>0</v>
      </c>
      <c r="I12" s="815"/>
    </row>
    <row r="13" spans="1:9" ht="17.25" customHeight="1" outlineLevel="1">
      <c r="A13" s="815"/>
      <c r="B13" s="450" t="s">
        <v>78</v>
      </c>
      <c r="C13" s="673">
        <f>CONS_TERAC!G36+CONS_TERAC!G37</f>
        <v>0</v>
      </c>
      <c r="D13" s="673">
        <f>CONS_TERAC!G38+CONS_TERAC!G39</f>
        <v>6.625696661000001</v>
      </c>
      <c r="E13" s="673">
        <f>CONS_TERAC!G40</f>
        <v>1309.6194814999999</v>
      </c>
      <c r="F13" s="673">
        <f>CONS_TERAC!G41</f>
        <v>0</v>
      </c>
      <c r="G13" s="673">
        <f>CONS_TERAC!G42</f>
        <v>0</v>
      </c>
      <c r="H13" s="672">
        <f t="shared" si="1"/>
        <v>1316.2451781609998</v>
      </c>
      <c r="I13" s="815"/>
    </row>
    <row r="14" spans="1:9" ht="17.25" customHeight="1" outlineLevel="1">
      <c r="A14" s="815"/>
      <c r="B14" s="450" t="s">
        <v>81</v>
      </c>
      <c r="C14" s="673">
        <f>CONS_TERAC!J36+CONS_TERAC!J37</f>
        <v>0</v>
      </c>
      <c r="D14" s="673">
        <f>CONS_TERAC!J38+CONS_TERAC!J39</f>
        <v>0</v>
      </c>
      <c r="E14" s="673">
        <f>CONS_TERAC!J40</f>
        <v>1123.786762</v>
      </c>
      <c r="F14" s="673">
        <f>CONS_TERAC!J41</f>
        <v>0</v>
      </c>
      <c r="G14" s="673">
        <f>CONS_TERAC!J42</f>
        <v>0</v>
      </c>
      <c r="H14" s="672">
        <f t="shared" si="1"/>
        <v>1123.786762</v>
      </c>
      <c r="I14" s="815"/>
    </row>
    <row r="15" spans="1:9" ht="17.25" customHeight="1" outlineLevel="1">
      <c r="A15" s="815"/>
      <c r="B15" s="634" t="s">
        <v>811</v>
      </c>
      <c r="C15" s="673">
        <f>CONS_TERAC!E36+CONS_TERAC!E37</f>
        <v>0</v>
      </c>
      <c r="D15" s="673">
        <f>CONS_TERAC!E38+CONS_TERAC!E39</f>
        <v>0</v>
      </c>
      <c r="E15" s="673">
        <f>CONS_TERAC!E40</f>
        <v>0.98766079999999989</v>
      </c>
      <c r="F15" s="673">
        <f>CONS_TERAC!E41</f>
        <v>0</v>
      </c>
      <c r="G15" s="673">
        <f>CONS_TERAC!E42</f>
        <v>0</v>
      </c>
      <c r="H15" s="672">
        <f t="shared" si="1"/>
        <v>0.98766079999999989</v>
      </c>
      <c r="I15" s="815"/>
    </row>
    <row r="16" spans="1:9" ht="17.25" customHeight="1" outlineLevel="1">
      <c r="A16" s="815"/>
      <c r="B16" s="450" t="s">
        <v>82</v>
      </c>
      <c r="C16" s="673">
        <f>CONS_TERAC!K36+CONS_TERAC!K37</f>
        <v>0</v>
      </c>
      <c r="D16" s="673">
        <f>CONS_TERAC!K38+CONS_TERAC!K39</f>
        <v>0</v>
      </c>
      <c r="E16" s="673">
        <f>CONS_TERAC!K40</f>
        <v>3410.4884278800005</v>
      </c>
      <c r="F16" s="673">
        <f>CONS_TERAC!K41</f>
        <v>0</v>
      </c>
      <c r="G16" s="673">
        <f>CONS_TERAC!K42</f>
        <v>0</v>
      </c>
      <c r="H16" s="672">
        <f t="shared" si="1"/>
        <v>3410.4884278800005</v>
      </c>
      <c r="I16" s="815"/>
    </row>
    <row r="17" spans="1:9" ht="17.25" customHeight="1">
      <c r="A17" s="815"/>
      <c r="B17" s="1186" t="s">
        <v>38</v>
      </c>
      <c r="C17" s="347">
        <f>CONS_TERAC!M36+CONS_TERAC!M37</f>
        <v>1395.433387258812</v>
      </c>
      <c r="D17" s="347">
        <f>CONS_TERAC!M38+CONS_TERAC!M39</f>
        <v>0</v>
      </c>
      <c r="E17" s="347">
        <f>CONS_TERAC!M40</f>
        <v>554.54575745715999</v>
      </c>
      <c r="F17" s="347">
        <f>CONS_TERAC!M41</f>
        <v>0</v>
      </c>
      <c r="G17" s="347">
        <f>CONS_TERAC!M42</f>
        <v>55.587286800000001</v>
      </c>
      <c r="H17" s="674">
        <f t="shared" si="1"/>
        <v>2005.5664315159718</v>
      </c>
      <c r="I17" s="815"/>
    </row>
    <row r="18" spans="1:9" ht="17.25" customHeight="1">
      <c r="A18" s="815"/>
      <c r="B18" s="1186" t="s">
        <v>27</v>
      </c>
      <c r="C18" s="347">
        <f>CONS_TERAC!N36+CONS_TERAC!N37</f>
        <v>0</v>
      </c>
      <c r="D18" s="347">
        <f>CONS_TERAC!N38+CONS_TERAC!N39</f>
        <v>0</v>
      </c>
      <c r="E18" s="347">
        <f>CONS_TERAC!N40</f>
        <v>0</v>
      </c>
      <c r="F18" s="347">
        <f>CONS_TERAC!N41</f>
        <v>0</v>
      </c>
      <c r="G18" s="347">
        <f>CONS_TERAC!N42</f>
        <v>0</v>
      </c>
      <c r="H18" s="674">
        <f t="shared" si="1"/>
        <v>0</v>
      </c>
      <c r="I18" s="815"/>
    </row>
    <row r="19" spans="1:9" ht="17.25" customHeight="1">
      <c r="A19" s="815"/>
      <c r="B19" s="1186" t="s">
        <v>185</v>
      </c>
      <c r="C19" s="347">
        <f>CONS_TERAC!P36+CONS_TERAC!P37</f>
        <v>0</v>
      </c>
      <c r="D19" s="347">
        <f>CONS_TERAC!P38+CONS_TERAC!P39</f>
        <v>176.03299999999999</v>
      </c>
      <c r="E19" s="347">
        <f>CONS_TERAC!P40</f>
        <v>0</v>
      </c>
      <c r="F19" s="347">
        <f>CONS_TERAC!P41</f>
        <v>0</v>
      </c>
      <c r="G19" s="347">
        <f>CONS_TERAC!P42</f>
        <v>0</v>
      </c>
      <c r="H19" s="674">
        <f t="shared" si="1"/>
        <v>176.03299999999999</v>
      </c>
      <c r="I19" s="815"/>
    </row>
    <row r="20" spans="1:9" ht="17.25" customHeight="1">
      <c r="A20" s="815"/>
      <c r="B20" s="1186" t="s">
        <v>40</v>
      </c>
      <c r="C20" s="347">
        <f>CONS_TERAC!Q36+CONS_TERAC!Q37</f>
        <v>0</v>
      </c>
      <c r="D20" s="347">
        <f>CONS_TERAC!Q38+CONS_TERAC!Q39</f>
        <v>342.96311018553746</v>
      </c>
      <c r="E20" s="347">
        <f>CONS_TERAC!Q40</f>
        <v>0</v>
      </c>
      <c r="F20" s="347">
        <f>CONS_TERAC!Q41</f>
        <v>0</v>
      </c>
      <c r="G20" s="347">
        <f>CONS_TERAC!Q42</f>
        <v>0</v>
      </c>
      <c r="H20" s="674">
        <f t="shared" si="1"/>
        <v>342.96311018553746</v>
      </c>
      <c r="I20" s="815"/>
    </row>
    <row r="21" spans="1:9" ht="17.25" customHeight="1">
      <c r="A21" s="815"/>
      <c r="B21" s="1186" t="s">
        <v>708</v>
      </c>
      <c r="C21" s="347">
        <f>CONS_TERAC!R36+CONS_TERAC!R37</f>
        <v>0</v>
      </c>
      <c r="D21" s="347">
        <f>CONS_TERAC!R38+CONS_TERAC!R39</f>
        <v>825.46900000000005</v>
      </c>
      <c r="E21" s="347">
        <f>CONS_TERAC!R40</f>
        <v>0</v>
      </c>
      <c r="F21" s="347">
        <f>CONS_TERAC!R41</f>
        <v>0</v>
      </c>
      <c r="G21" s="347">
        <f>CONS_TERAC!R42</f>
        <v>0</v>
      </c>
      <c r="H21" s="674">
        <f t="shared" si="1"/>
        <v>825.46900000000005</v>
      </c>
      <c r="I21" s="815"/>
    </row>
    <row r="22" spans="1:9" ht="17.25" customHeight="1">
      <c r="A22" s="815"/>
      <c r="B22" s="1186" t="s">
        <v>26</v>
      </c>
      <c r="C22" s="347">
        <f>CONS_TERAC!S36+CONS_TERAC!S37</f>
        <v>0</v>
      </c>
      <c r="D22" s="347">
        <f>CONS_TERAC!S38+CONS_TERAC!S39</f>
        <v>12.657411704032596</v>
      </c>
      <c r="E22" s="347">
        <f>CONS_TERAC!S40</f>
        <v>0</v>
      </c>
      <c r="F22" s="347">
        <f>CONS_TERAC!S41</f>
        <v>0</v>
      </c>
      <c r="G22" s="347">
        <f>CONS_TERAC!S42</f>
        <v>0</v>
      </c>
      <c r="H22" s="674">
        <f t="shared" si="1"/>
        <v>12.657411704032596</v>
      </c>
      <c r="I22" s="815"/>
    </row>
    <row r="23" spans="1:9" ht="17.25" customHeight="1">
      <c r="A23" s="815"/>
      <c r="B23" s="1186" t="s">
        <v>42</v>
      </c>
      <c r="C23" s="347">
        <f>CONS_TERAC!T36+CONS_TERAC!T37</f>
        <v>0</v>
      </c>
      <c r="D23" s="347">
        <f>CONS_TERAC!T38+CONS_TERAC!T39</f>
        <v>0</v>
      </c>
      <c r="E23" s="347">
        <f>CONS_TERAC!T40</f>
        <v>0</v>
      </c>
      <c r="F23" s="347">
        <f>CONS_TERAC!T41</f>
        <v>0</v>
      </c>
      <c r="G23" s="347">
        <f>CONS_TERAC!T42</f>
        <v>0</v>
      </c>
      <c r="H23" s="674">
        <f t="shared" si="1"/>
        <v>0</v>
      </c>
      <c r="I23" s="815"/>
    </row>
    <row r="24" spans="1:9">
      <c r="A24" s="815"/>
      <c r="B24" s="1187" t="s">
        <v>31</v>
      </c>
      <c r="C24" s="675">
        <f t="shared" ref="C24:H24" si="2">SUM(C17:C23)+C9</f>
        <v>1395.433387258812</v>
      </c>
      <c r="D24" s="675">
        <f t="shared" si="2"/>
        <v>1633.55821855057</v>
      </c>
      <c r="E24" s="675">
        <f t="shared" si="2"/>
        <v>7079.69940163716</v>
      </c>
      <c r="F24" s="675">
        <f t="shared" si="2"/>
        <v>0</v>
      </c>
      <c r="G24" s="675">
        <f t="shared" si="2"/>
        <v>56.226119232000002</v>
      </c>
      <c r="H24" s="676">
        <f t="shared" si="2"/>
        <v>10164.917126678542</v>
      </c>
      <c r="I24" s="815"/>
    </row>
    <row r="25" spans="1:9" ht="13.5" thickBot="1">
      <c r="A25" s="815"/>
      <c r="B25" s="1188"/>
      <c r="C25" s="1189"/>
      <c r="D25" s="1189"/>
      <c r="E25" s="1189"/>
      <c r="F25" s="1189"/>
      <c r="G25" s="1189"/>
      <c r="H25" s="1190"/>
      <c r="I25" s="815"/>
    </row>
    <row r="26" spans="1:9">
      <c r="A26" s="1191"/>
      <c r="B26" s="493" t="s">
        <v>14</v>
      </c>
      <c r="C26" s="1192"/>
      <c r="D26" s="1192"/>
      <c r="E26" s="1193"/>
      <c r="F26" s="1193"/>
      <c r="G26" s="1193"/>
      <c r="H26" s="1193"/>
      <c r="I26" s="815"/>
    </row>
    <row r="27" spans="1:9">
      <c r="A27" s="1191"/>
      <c r="B27" s="1178" t="s">
        <v>734</v>
      </c>
      <c r="C27" s="1191"/>
      <c r="D27" s="1191"/>
      <c r="E27" s="815"/>
      <c r="F27" s="815"/>
      <c r="G27" s="815"/>
      <c r="H27" s="815"/>
      <c r="I27" s="815"/>
    </row>
    <row r="28" spans="1:9">
      <c r="A28" s="1191"/>
      <c r="B28" s="1178" t="s">
        <v>735</v>
      </c>
      <c r="C28" s="1191"/>
      <c r="D28" s="1191"/>
      <c r="E28" s="815"/>
      <c r="F28" s="815"/>
      <c r="G28" s="815"/>
      <c r="H28" s="815"/>
      <c r="I28" s="815"/>
    </row>
    <row r="29" spans="1:9">
      <c r="A29" s="1191"/>
      <c r="B29" s="1178" t="s">
        <v>736</v>
      </c>
      <c r="C29" s="1191"/>
      <c r="D29" s="1191"/>
      <c r="E29" s="815"/>
      <c r="F29" s="815"/>
      <c r="G29" s="815"/>
      <c r="H29" s="815"/>
      <c r="I29" s="815"/>
    </row>
    <row r="30" spans="1:9">
      <c r="A30" s="1191"/>
      <c r="B30" s="1178" t="s">
        <v>737</v>
      </c>
      <c r="C30" s="1191"/>
      <c r="D30" s="1191"/>
      <c r="E30" s="815"/>
      <c r="F30" s="815"/>
      <c r="G30" s="815"/>
      <c r="H30" s="815"/>
      <c r="I30" s="815"/>
    </row>
    <row r="31" spans="1:9">
      <c r="A31" s="1191"/>
      <c r="B31" s="524" t="s">
        <v>62</v>
      </c>
      <c r="C31" s="532"/>
      <c r="D31" s="533"/>
      <c r="E31" s="533"/>
      <c r="F31" s="533"/>
      <c r="G31" s="497"/>
      <c r="H31" s="815"/>
      <c r="I31" s="815"/>
    </row>
    <row r="32" spans="1:9">
      <c r="A32" s="1191"/>
      <c r="B32" s="524" t="s">
        <v>63</v>
      </c>
      <c r="C32" s="500"/>
      <c r="D32" s="500"/>
      <c r="E32" s="500"/>
      <c r="F32" s="500"/>
      <c r="G32" s="500"/>
      <c r="H32" s="815"/>
      <c r="I32" s="815"/>
    </row>
    <row r="33" spans="1:9">
      <c r="A33" s="1191"/>
      <c r="B33" s="500" t="s">
        <v>34</v>
      </c>
      <c r="C33" s="500"/>
      <c r="D33" s="500"/>
      <c r="E33" s="500"/>
      <c r="F33" s="500"/>
      <c r="G33" s="500"/>
      <c r="H33" s="815"/>
      <c r="I33" s="815"/>
    </row>
    <row r="34" spans="1:9">
      <c r="A34" s="1191"/>
      <c r="B34" s="500" t="s">
        <v>769</v>
      </c>
      <c r="C34" s="500"/>
      <c r="D34" s="500"/>
      <c r="E34" s="500"/>
      <c r="F34" s="500"/>
      <c r="G34" s="500"/>
      <c r="H34" s="815"/>
      <c r="I34" s="815"/>
    </row>
    <row r="35" spans="1:9">
      <c r="A35" s="815"/>
      <c r="B35" s="815"/>
      <c r="C35" s="815"/>
      <c r="D35" s="815"/>
      <c r="E35" s="815"/>
      <c r="F35" s="815"/>
      <c r="G35" s="815"/>
      <c r="H35" s="815"/>
      <c r="I35" s="815"/>
    </row>
    <row r="36" spans="1:9">
      <c r="A36" s="815"/>
      <c r="B36" s="815"/>
      <c r="C36" s="815"/>
      <c r="D36" s="815"/>
      <c r="E36" s="815"/>
      <c r="F36" s="815"/>
      <c r="G36" s="815"/>
      <c r="H36" s="815"/>
      <c r="I36" s="815"/>
    </row>
    <row r="37" spans="1:9">
      <c r="A37" s="815"/>
      <c r="B37" s="815"/>
      <c r="C37" s="815"/>
      <c r="D37" s="815"/>
      <c r="E37" s="815"/>
      <c r="F37" s="815"/>
      <c r="G37" s="815"/>
      <c r="H37" s="815"/>
      <c r="I37" s="815"/>
    </row>
  </sheetData>
  <phoneticPr fontId="51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85" workbookViewId="0">
      <selection activeCell="D35" sqref="D35"/>
    </sheetView>
  </sheetViews>
  <sheetFormatPr baseColWidth="10" defaultRowHeight="12.75" outlineLevelRow="1"/>
  <cols>
    <col min="1" max="1" width="1.28515625" style="296" customWidth="1"/>
    <col min="2" max="2" width="27.85546875" style="296" customWidth="1"/>
    <col min="3" max="3" width="15.28515625" style="296" customWidth="1"/>
    <col min="4" max="4" width="13.7109375" style="296" customWidth="1"/>
    <col min="5" max="7" width="12.5703125" style="296" customWidth="1"/>
    <col min="8" max="8" width="13.5703125" style="296" customWidth="1"/>
    <col min="9" max="15" width="11.42578125" style="3"/>
    <col min="16" max="16384" width="11.42578125" style="296"/>
  </cols>
  <sheetData>
    <row r="1" spans="1:10" ht="6" customHeight="1" thickBot="1">
      <c r="A1" s="504"/>
      <c r="B1" s="504"/>
      <c r="C1" s="504"/>
      <c r="D1" s="504"/>
      <c r="E1" s="504"/>
      <c r="F1" s="504"/>
      <c r="G1" s="504"/>
      <c r="H1" s="504"/>
      <c r="I1" s="62"/>
    </row>
    <row r="2" spans="1:10" ht="15.75" customHeight="1" thickBot="1">
      <c r="A2" s="504"/>
      <c r="B2" s="569"/>
      <c r="C2" s="570"/>
      <c r="D2" s="570"/>
      <c r="E2" s="570"/>
      <c r="F2" s="570"/>
      <c r="G2" s="570"/>
      <c r="H2" s="571"/>
      <c r="I2" s="62"/>
    </row>
    <row r="3" spans="1:10" ht="15">
      <c r="A3" s="504"/>
      <c r="B3" s="1179"/>
      <c r="C3" s="20"/>
      <c r="D3" s="731" t="s">
        <v>549</v>
      </c>
      <c r="E3" s="21"/>
      <c r="F3" s="1180"/>
      <c r="G3" s="1180"/>
      <c r="H3" s="1181"/>
      <c r="I3" s="572" t="s">
        <v>649</v>
      </c>
    </row>
    <row r="4" spans="1:10" ht="15">
      <c r="A4" s="504"/>
      <c r="B4" s="1182"/>
      <c r="C4" s="22"/>
      <c r="D4" s="23" t="s">
        <v>550</v>
      </c>
      <c r="E4" s="22"/>
      <c r="F4" s="1183"/>
      <c r="G4" s="1183"/>
      <c r="H4" s="1184"/>
      <c r="I4" s="62"/>
    </row>
    <row r="5" spans="1:10" ht="15">
      <c r="A5" s="504"/>
      <c r="B5" s="1182"/>
      <c r="C5" s="22"/>
      <c r="D5" s="24" t="s">
        <v>814</v>
      </c>
      <c r="E5" s="22"/>
      <c r="F5" s="1183"/>
      <c r="G5" s="1183"/>
      <c r="H5" s="1184"/>
      <c r="I5" s="62"/>
    </row>
    <row r="6" spans="1:10" ht="15">
      <c r="A6" s="504"/>
      <c r="B6" s="1182"/>
      <c r="C6" s="24" t="s">
        <v>551</v>
      </c>
      <c r="D6" s="22"/>
      <c r="E6" s="22"/>
      <c r="F6" s="1183"/>
      <c r="G6" s="1183"/>
      <c r="H6" s="1184"/>
      <c r="I6" s="62"/>
    </row>
    <row r="7" spans="1:10" ht="15">
      <c r="A7" s="504"/>
      <c r="B7" s="1182"/>
      <c r="C7" s="890" t="s">
        <v>738</v>
      </c>
      <c r="D7" s="890" t="s">
        <v>739</v>
      </c>
      <c r="E7" s="890" t="s">
        <v>138</v>
      </c>
      <c r="F7" s="890" t="s">
        <v>139</v>
      </c>
      <c r="G7" s="890" t="s">
        <v>26</v>
      </c>
      <c r="H7" s="891" t="s">
        <v>31</v>
      </c>
      <c r="I7" s="62"/>
    </row>
    <row r="8" spans="1:10" ht="15.75" thickBot="1">
      <c r="A8" s="504"/>
      <c r="B8" s="1185" t="s">
        <v>23</v>
      </c>
      <c r="C8" s="893"/>
      <c r="D8" s="893"/>
      <c r="E8" s="893" t="s">
        <v>26</v>
      </c>
      <c r="F8" s="893" t="s">
        <v>740</v>
      </c>
      <c r="G8" s="893" t="s">
        <v>741</v>
      </c>
      <c r="H8" s="894"/>
      <c r="I8" s="62"/>
    </row>
    <row r="9" spans="1:10" ht="17.25" customHeight="1">
      <c r="A9" s="504"/>
      <c r="B9" s="635" t="s">
        <v>105</v>
      </c>
      <c r="C9" s="669">
        <f t="shared" ref="C9:H9" si="0">SUM(C10:C13)</f>
        <v>29506.763579788538</v>
      </c>
      <c r="D9" s="669">
        <f t="shared" si="0"/>
        <v>956.11919322753226</v>
      </c>
      <c r="E9" s="669">
        <f t="shared" si="0"/>
        <v>0</v>
      </c>
      <c r="F9" s="669">
        <f t="shared" si="0"/>
        <v>0</v>
      </c>
      <c r="G9" s="669">
        <f t="shared" si="0"/>
        <v>0</v>
      </c>
      <c r="H9" s="670">
        <f t="shared" si="0"/>
        <v>30462.88277301607</v>
      </c>
      <c r="I9" s="62"/>
    </row>
    <row r="10" spans="1:10" ht="17.25" customHeight="1" outlineLevel="1">
      <c r="A10" s="504"/>
      <c r="B10" s="677" t="s">
        <v>75</v>
      </c>
      <c r="C10" s="671">
        <f>CONS_TERAC!D49+CONS_TERAC!D50</f>
        <v>3094.6209409195867</v>
      </c>
      <c r="D10" s="671">
        <f>CONS_TERAC!D51+CONS_TERAC!D52</f>
        <v>0</v>
      </c>
      <c r="E10" s="671">
        <f>CONS_TERAC!D53</f>
        <v>0</v>
      </c>
      <c r="F10" s="671">
        <f>CONS_TERAC!D54</f>
        <v>0</v>
      </c>
      <c r="G10" s="671">
        <f>CONS_TERAC!D55</f>
        <v>0</v>
      </c>
      <c r="H10" s="672">
        <f t="shared" ref="H10:H17" si="1">SUM(C10:G10)</f>
        <v>3094.6209409195867</v>
      </c>
      <c r="I10" s="503"/>
      <c r="J10" s="5"/>
    </row>
    <row r="11" spans="1:10" ht="17.25" customHeight="1" outlineLevel="1">
      <c r="A11" s="504"/>
      <c r="B11" s="677" t="s">
        <v>76</v>
      </c>
      <c r="C11" s="673">
        <f>CONS_TERAC!C50+CONS_TERAC!C49</f>
        <v>26202.253806596196</v>
      </c>
      <c r="D11" s="673">
        <f>CONS_TERAC!C51+CONS_TERAC!C52</f>
        <v>0</v>
      </c>
      <c r="E11" s="673">
        <f>CONS_TERAC!C53</f>
        <v>0</v>
      </c>
      <c r="F11" s="673">
        <f>CONS_TERAC!C54</f>
        <v>0</v>
      </c>
      <c r="G11" s="673">
        <f>CONS_TERAC!C55</f>
        <v>0</v>
      </c>
      <c r="H11" s="672">
        <f t="shared" si="1"/>
        <v>26202.253806596196</v>
      </c>
      <c r="I11" s="503"/>
      <c r="J11" s="5"/>
    </row>
    <row r="12" spans="1:10" ht="17.25" customHeight="1" outlineLevel="1">
      <c r="A12" s="504"/>
      <c r="B12" s="677" t="s">
        <v>78</v>
      </c>
      <c r="C12" s="673">
        <f>CONS_TERAC!G49+CONS_TERAC!G50</f>
        <v>38.425351689999999</v>
      </c>
      <c r="D12" s="673">
        <f>CONS_TERAC!G51+CONS_TERAC!G52</f>
        <v>956.11919322753226</v>
      </c>
      <c r="E12" s="673">
        <f>CONS_TERAC!G53</f>
        <v>0</v>
      </c>
      <c r="F12" s="673">
        <f>CONS_TERAC!G54</f>
        <v>0</v>
      </c>
      <c r="G12" s="673">
        <f>CONS_TERAC!G55</f>
        <v>0</v>
      </c>
      <c r="H12" s="672">
        <f t="shared" si="1"/>
        <v>994.54454491753222</v>
      </c>
      <c r="I12" s="503"/>
      <c r="J12" s="5"/>
    </row>
    <row r="13" spans="1:10" ht="17.25" customHeight="1" outlineLevel="1">
      <c r="A13" s="504"/>
      <c r="B13" s="677" t="s">
        <v>82</v>
      </c>
      <c r="C13" s="673">
        <f>CONS_TERAC!K49+CONS_TERAC!K50</f>
        <v>171.46348058275498</v>
      </c>
      <c r="D13" s="673">
        <f>CONS_TERAC!K51+CONS_TERAC!K52</f>
        <v>0</v>
      </c>
      <c r="E13" s="673">
        <f>CONS_TERAC!K53</f>
        <v>0</v>
      </c>
      <c r="F13" s="673">
        <f>CONS_TERAC!K54</f>
        <v>0</v>
      </c>
      <c r="G13" s="673">
        <f>CONS_TERAC!K55</f>
        <v>0</v>
      </c>
      <c r="H13" s="672">
        <f t="shared" si="1"/>
        <v>171.46348058275498</v>
      </c>
      <c r="I13" s="503"/>
      <c r="J13" s="5"/>
    </row>
    <row r="14" spans="1:10" ht="17.25" customHeight="1">
      <c r="A14" s="504"/>
      <c r="B14" s="1194" t="s">
        <v>27</v>
      </c>
      <c r="C14" s="347">
        <f>CONS_TERAC!N49+CONS_TERAC!N50</f>
        <v>34842.248352750641</v>
      </c>
      <c r="D14" s="347">
        <f>CONS_TERAC!N51+CONS_TERAC!N52</f>
        <v>4860.0071999999991</v>
      </c>
      <c r="E14" s="347">
        <f>CONS_TERAC!N53</f>
        <v>0</v>
      </c>
      <c r="F14" s="347">
        <f>CONS_TERAC!N54</f>
        <v>0</v>
      </c>
      <c r="G14" s="347">
        <f>CONS_TERAC!N55</f>
        <v>0</v>
      </c>
      <c r="H14" s="674">
        <f t="shared" si="1"/>
        <v>39702.255552750641</v>
      </c>
      <c r="I14" s="503"/>
      <c r="J14" s="5"/>
    </row>
    <row r="15" spans="1:10" ht="17.25" customHeight="1">
      <c r="A15" s="504"/>
      <c r="B15" s="1194" t="s">
        <v>128</v>
      </c>
      <c r="C15" s="347">
        <f>CONS_TERAC!O49+CONS_TERAC!O50</f>
        <v>4823.4237830000011</v>
      </c>
      <c r="D15" s="347">
        <f>CONS_TERAC!O51+CONS_TERAC!O52</f>
        <v>1249.9878669999998</v>
      </c>
      <c r="E15" s="347">
        <f>CONS_TERAC!O53</f>
        <v>0</v>
      </c>
      <c r="F15" s="347">
        <f>CONS_TERAC!O54</f>
        <v>0</v>
      </c>
      <c r="G15" s="347">
        <f>CONS_TERAC!O55</f>
        <v>0</v>
      </c>
      <c r="H15" s="674">
        <f t="shared" si="1"/>
        <v>6073.4116500000009</v>
      </c>
      <c r="I15" s="503"/>
      <c r="J15" s="5"/>
    </row>
    <row r="16" spans="1:10" ht="17.25" customHeight="1">
      <c r="A16" s="504"/>
      <c r="B16" s="1194" t="s">
        <v>26</v>
      </c>
      <c r="C16" s="347">
        <f>CONS_TERAC!S49+CONS_TERAC!S50</f>
        <v>5273.6638043501735</v>
      </c>
      <c r="D16" s="347">
        <f>CONS_TERAC!S51+CONS_TERAC!S52</f>
        <v>177.67324859999999</v>
      </c>
      <c r="E16" s="347">
        <f>CONS_TERAC!S53</f>
        <v>3649.2767417980963</v>
      </c>
      <c r="F16" s="347">
        <f>CONS_TERAC!S54</f>
        <v>0</v>
      </c>
      <c r="G16" s="347">
        <f>CONS_TERAC!S55</f>
        <v>9460.2069150000007</v>
      </c>
      <c r="H16" s="674">
        <f t="shared" si="1"/>
        <v>18560.82070974827</v>
      </c>
      <c r="I16" s="503"/>
      <c r="J16" s="5"/>
    </row>
    <row r="17" spans="1:10" ht="17.25" customHeight="1">
      <c r="A17" s="504"/>
      <c r="B17" s="1194" t="s">
        <v>29</v>
      </c>
      <c r="C17" s="347">
        <f>CONS_TERAC!V49+CONS_TERAC!V50</f>
        <v>5392.1421366367413</v>
      </c>
      <c r="D17" s="347">
        <f>CONS_TERAC!V51+CONS_TERAC!V52</f>
        <v>0</v>
      </c>
      <c r="E17" s="347">
        <f>CONS_TERAC!V53</f>
        <v>0</v>
      </c>
      <c r="F17" s="347">
        <f>CONS_TERAC!V54</f>
        <v>0</v>
      </c>
      <c r="G17" s="347">
        <f>CONS_TERAC!V55</f>
        <v>0</v>
      </c>
      <c r="H17" s="674">
        <f t="shared" si="1"/>
        <v>5392.1421366367413</v>
      </c>
      <c r="I17" s="503"/>
      <c r="J17" s="5"/>
    </row>
    <row r="18" spans="1:10">
      <c r="A18" s="504"/>
      <c r="B18" s="1187" t="s">
        <v>31</v>
      </c>
      <c r="C18" s="675">
        <f t="shared" ref="C18:H18" si="2">SUM(C14:C17)+C9</f>
        <v>79838.241656526094</v>
      </c>
      <c r="D18" s="675">
        <f t="shared" si="2"/>
        <v>7243.7875088275314</v>
      </c>
      <c r="E18" s="675">
        <f t="shared" si="2"/>
        <v>3649.2767417980963</v>
      </c>
      <c r="F18" s="675">
        <f t="shared" si="2"/>
        <v>0</v>
      </c>
      <c r="G18" s="675">
        <f t="shared" si="2"/>
        <v>9460.2069150000007</v>
      </c>
      <c r="H18" s="676">
        <f t="shared" si="2"/>
        <v>100191.51282215172</v>
      </c>
      <c r="I18" s="503"/>
      <c r="J18" s="5"/>
    </row>
    <row r="19" spans="1:10" ht="13.5" thickBot="1">
      <c r="A19" s="504"/>
      <c r="B19" s="1188"/>
      <c r="C19" s="1189"/>
      <c r="D19" s="1189"/>
      <c r="E19" s="1189"/>
      <c r="F19" s="1189"/>
      <c r="G19" s="1189"/>
      <c r="H19" s="1190"/>
      <c r="I19" s="503"/>
    </row>
    <row r="20" spans="1:10">
      <c r="A20" s="298"/>
      <c r="B20" s="629" t="s">
        <v>531</v>
      </c>
      <c r="C20" s="1192"/>
      <c r="D20" s="1193"/>
      <c r="E20" s="1193"/>
      <c r="F20" s="1193"/>
      <c r="G20" s="1193"/>
      <c r="H20" s="1193"/>
      <c r="I20" s="503"/>
    </row>
    <row r="21" spans="1:10">
      <c r="A21" s="298"/>
      <c r="B21" s="1178" t="s">
        <v>734</v>
      </c>
      <c r="C21" s="1192"/>
      <c r="D21" s="1193"/>
      <c r="E21" s="1193"/>
      <c r="F21" s="1193"/>
      <c r="G21" s="1193"/>
      <c r="H21" s="1193"/>
      <c r="I21" s="503"/>
    </row>
    <row r="22" spans="1:10">
      <c r="A22" s="298"/>
      <c r="B22" s="1178" t="s">
        <v>735</v>
      </c>
      <c r="C22" s="1192"/>
      <c r="D22" s="1193"/>
      <c r="E22" s="1193"/>
      <c r="F22" s="1193"/>
      <c r="G22" s="1193"/>
      <c r="H22" s="1193"/>
      <c r="I22" s="503"/>
    </row>
    <row r="23" spans="1:10">
      <c r="A23" s="298"/>
      <c r="B23" s="1178" t="s">
        <v>736</v>
      </c>
      <c r="C23" s="1192"/>
      <c r="D23" s="1193"/>
      <c r="E23" s="1193"/>
      <c r="F23" s="1193"/>
      <c r="G23" s="1193"/>
      <c r="H23" s="1193"/>
      <c r="I23" s="503"/>
    </row>
    <row r="24" spans="1:10">
      <c r="A24" s="298"/>
      <c r="B24" s="1178" t="s">
        <v>737</v>
      </c>
      <c r="C24" s="1192"/>
      <c r="D24" s="1193"/>
      <c r="E24" s="1193"/>
      <c r="F24" s="1193"/>
      <c r="G24" s="1193"/>
      <c r="H24" s="1193"/>
      <c r="I24" s="503"/>
    </row>
    <row r="25" spans="1:10">
      <c r="A25" s="298"/>
      <c r="B25" s="524" t="s">
        <v>62</v>
      </c>
      <c r="C25" s="1192"/>
      <c r="D25" s="1193"/>
      <c r="E25" s="1193"/>
      <c r="F25" s="1193"/>
      <c r="G25" s="1193"/>
      <c r="H25" s="1193"/>
      <c r="I25" s="503"/>
    </row>
    <row r="26" spans="1:10">
      <c r="A26" s="298"/>
      <c r="B26" s="524" t="s">
        <v>63</v>
      </c>
      <c r="C26" s="1192"/>
      <c r="D26" s="1193"/>
      <c r="E26" s="1193"/>
      <c r="F26" s="1193"/>
      <c r="G26" s="1193"/>
      <c r="H26" s="1193"/>
      <c r="I26" s="503"/>
    </row>
    <row r="27" spans="1:10">
      <c r="A27" s="298"/>
      <c r="B27" s="500" t="s">
        <v>34</v>
      </c>
      <c r="C27" s="500"/>
      <c r="D27" s="500"/>
      <c r="E27" s="500"/>
      <c r="F27" s="500"/>
      <c r="G27" s="500"/>
      <c r="H27" s="500"/>
      <c r="I27" s="459"/>
      <c r="J27" s="6"/>
    </row>
    <row r="28" spans="1:10">
      <c r="A28" s="298"/>
      <c r="B28" s="500" t="s">
        <v>770</v>
      </c>
      <c r="C28" s="500"/>
      <c r="D28" s="500"/>
      <c r="E28" s="500"/>
      <c r="F28" s="500"/>
      <c r="G28" s="500"/>
      <c r="H28" s="500"/>
      <c r="I28" s="459"/>
      <c r="J28" s="6"/>
    </row>
    <row r="29" spans="1:10">
      <c r="A29" s="298"/>
      <c r="B29" s="56"/>
      <c r="C29" s="56"/>
      <c r="D29" s="62"/>
      <c r="E29" s="62"/>
      <c r="F29" s="62"/>
      <c r="G29" s="62"/>
      <c r="H29" s="62"/>
      <c r="I29" s="62"/>
    </row>
    <row r="30" spans="1:10">
      <c r="A30" s="298"/>
      <c r="B30" s="56"/>
      <c r="C30" s="56"/>
      <c r="D30" s="62"/>
      <c r="E30" s="62"/>
      <c r="F30" s="62"/>
      <c r="G30" s="62"/>
      <c r="H30" s="62"/>
      <c r="I30" s="62"/>
    </row>
    <row r="31" spans="1:10">
      <c r="A31" s="504"/>
      <c r="B31" s="62"/>
      <c r="C31" s="62"/>
      <c r="D31" s="62"/>
      <c r="E31" s="62"/>
      <c r="F31" s="62"/>
      <c r="G31" s="62"/>
      <c r="H31" s="62"/>
      <c r="I31" s="62"/>
    </row>
    <row r="32" spans="1:10">
      <c r="A32" s="62"/>
      <c r="B32" s="62"/>
      <c r="C32" s="62"/>
      <c r="D32" s="62"/>
      <c r="E32" s="62"/>
      <c r="F32" s="62"/>
      <c r="G32" s="62"/>
      <c r="H32" s="62"/>
      <c r="I32" s="62"/>
    </row>
    <row r="33" spans="3:8" s="3" customFormat="1"/>
    <row r="34" spans="3:8" s="3" customFormat="1"/>
    <row r="35" spans="3:8" s="3" customFormat="1"/>
    <row r="36" spans="3:8" s="3" customFormat="1"/>
    <row r="37" spans="3:8" s="3" customFormat="1"/>
    <row r="38" spans="3:8" s="3" customFormat="1"/>
    <row r="39" spans="3:8" s="3" customFormat="1"/>
    <row r="40" spans="3:8" s="3" customFormat="1"/>
    <row r="41" spans="3:8" s="3" customFormat="1"/>
    <row r="42" spans="3:8" s="3" customFormat="1"/>
    <row r="43" spans="3:8" s="3" customFormat="1"/>
    <row r="44" spans="3:8" s="3" customFormat="1"/>
    <row r="45" spans="3:8" s="3" customFormat="1"/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B27" sqref="B27"/>
    </sheetView>
  </sheetViews>
  <sheetFormatPr baseColWidth="10" defaultRowHeight="12.75"/>
  <cols>
    <col min="1" max="1" width="1.42578125" style="296" customWidth="1"/>
    <col min="2" max="2" width="42.42578125" style="296" customWidth="1"/>
    <col min="3" max="3" width="13.85546875" style="296" customWidth="1"/>
    <col min="4" max="14" width="11.42578125" style="3"/>
    <col min="15" max="16384" width="11.42578125" style="296"/>
  </cols>
  <sheetData>
    <row r="1" spans="1:16" ht="6" customHeight="1" thickBot="1">
      <c r="A1" s="504"/>
      <c r="B1" s="504"/>
      <c r="C1" s="504"/>
      <c r="D1" s="62"/>
      <c r="E1" s="62"/>
    </row>
    <row r="2" spans="1:16" ht="15.75" customHeight="1" thickBot="1">
      <c r="A2" s="504"/>
      <c r="B2" s="1195"/>
      <c r="C2" s="1196"/>
      <c r="D2" s="1197"/>
      <c r="E2" s="1197"/>
      <c r="F2" s="25"/>
    </row>
    <row r="3" spans="1:16" ht="15.75">
      <c r="A3" s="504"/>
      <c r="B3" s="1198" t="s">
        <v>140</v>
      </c>
      <c r="C3" s="1199"/>
      <c r="D3" s="572" t="s">
        <v>649</v>
      </c>
      <c r="E3" s="1197"/>
      <c r="F3" s="25"/>
    </row>
    <row r="4" spans="1:16" ht="15.75">
      <c r="A4" s="504"/>
      <c r="B4" s="1200" t="s">
        <v>141</v>
      </c>
      <c r="C4" s="1201"/>
      <c r="D4" s="1197"/>
      <c r="E4" s="1197"/>
      <c r="F4" s="25"/>
    </row>
    <row r="5" spans="1:16" ht="15.75">
      <c r="A5" s="504"/>
      <c r="B5" s="1200" t="s">
        <v>142</v>
      </c>
      <c r="C5" s="1201"/>
      <c r="D5" s="1197"/>
      <c r="E5" s="1197"/>
      <c r="F5" s="25"/>
    </row>
    <row r="6" spans="1:16" ht="15.75">
      <c r="A6" s="504"/>
      <c r="B6" s="1202" t="s">
        <v>772</v>
      </c>
      <c r="C6" s="1203"/>
      <c r="D6" s="1197"/>
      <c r="E6" s="1197"/>
      <c r="F6" s="25"/>
    </row>
    <row r="7" spans="1:16" ht="15.75">
      <c r="A7" s="504"/>
      <c r="B7" s="1200"/>
      <c r="C7" s="1201"/>
      <c r="D7" s="1197"/>
      <c r="E7" s="1197"/>
      <c r="F7" s="25"/>
    </row>
    <row r="8" spans="1:16" ht="15.75">
      <c r="A8" s="504"/>
      <c r="B8" s="1204"/>
      <c r="C8" s="1201"/>
      <c r="D8" s="1197"/>
      <c r="E8" s="1197"/>
      <c r="F8" s="25"/>
    </row>
    <row r="9" spans="1:16" ht="16.5" thickBot="1">
      <c r="A9" s="504"/>
      <c r="B9" s="1205" t="s">
        <v>143</v>
      </c>
      <c r="C9" s="1206" t="s">
        <v>144</v>
      </c>
      <c r="D9" s="1197"/>
      <c r="E9" s="1197"/>
      <c r="F9" s="25"/>
    </row>
    <row r="10" spans="1:16" ht="16.5" customHeight="1">
      <c r="A10" s="504"/>
      <c r="B10" s="1207" t="s">
        <v>145</v>
      </c>
      <c r="C10" s="1208">
        <v>11.489039999999999</v>
      </c>
      <c r="D10" s="1197"/>
      <c r="E10" s="1197"/>
      <c r="F10" s="25"/>
      <c r="O10" s="3"/>
      <c r="P10" s="3"/>
    </row>
    <row r="11" spans="1:16" ht="16.5" customHeight="1">
      <c r="A11" s="504"/>
      <c r="B11" s="1209" t="s">
        <v>146</v>
      </c>
      <c r="C11" s="1208">
        <v>185.05251959999998</v>
      </c>
      <c r="D11" s="1197"/>
      <c r="E11" s="1197"/>
      <c r="F11" s="25"/>
      <c r="O11" s="3"/>
      <c r="P11" s="3"/>
    </row>
    <row r="12" spans="1:16" ht="16.5" customHeight="1">
      <c r="A12" s="504"/>
      <c r="B12" s="1209" t="s">
        <v>147</v>
      </c>
      <c r="C12" s="1208">
        <v>148.20502895999999</v>
      </c>
      <c r="D12" s="1197"/>
      <c r="E12" s="1197"/>
      <c r="F12" s="25"/>
      <c r="O12" s="3"/>
      <c r="P12" s="3"/>
    </row>
    <row r="13" spans="1:16" ht="16.5" customHeight="1">
      <c r="A13" s="504"/>
      <c r="B13" s="1209" t="s">
        <v>148</v>
      </c>
      <c r="C13" s="1208">
        <v>0</v>
      </c>
      <c r="D13" s="1197"/>
      <c r="E13" s="1197"/>
      <c r="F13" s="25"/>
      <c r="O13" s="3"/>
      <c r="P13" s="3"/>
    </row>
    <row r="14" spans="1:16" ht="16.5" customHeight="1">
      <c r="A14" s="504"/>
      <c r="B14" s="1209" t="s">
        <v>149</v>
      </c>
      <c r="C14" s="1208">
        <v>0</v>
      </c>
      <c r="D14" s="1197"/>
      <c r="E14" s="1197"/>
      <c r="F14" s="25"/>
      <c r="O14" s="3"/>
      <c r="P14" s="3"/>
    </row>
    <row r="15" spans="1:16" ht="16.5" customHeight="1">
      <c r="A15" s="504"/>
      <c r="B15" s="1209" t="s">
        <v>150</v>
      </c>
      <c r="C15" s="1208">
        <v>513.92006400000002</v>
      </c>
      <c r="D15" s="1197"/>
      <c r="E15" s="1197"/>
      <c r="F15" s="25"/>
      <c r="O15" s="3"/>
      <c r="P15" s="3"/>
    </row>
    <row r="16" spans="1:16" ht="16.5" customHeight="1">
      <c r="A16" s="504"/>
      <c r="B16" s="1209" t="s">
        <v>151</v>
      </c>
      <c r="C16" s="1208">
        <v>703.53090732320004</v>
      </c>
      <c r="D16" s="1197"/>
      <c r="E16" s="1197"/>
      <c r="F16" s="25"/>
      <c r="O16" s="3"/>
      <c r="P16" s="3"/>
    </row>
    <row r="17" spans="1:16">
      <c r="A17" s="504"/>
      <c r="B17" s="1210" t="s">
        <v>104</v>
      </c>
      <c r="C17" s="1211">
        <f>SUM(C10:C16)</f>
        <v>1562.1975598832</v>
      </c>
      <c r="D17" s="1197"/>
      <c r="E17" s="1197"/>
      <c r="F17" s="25"/>
      <c r="O17" s="3"/>
      <c r="P17" s="3"/>
    </row>
    <row r="18" spans="1:16" ht="13.5" thickBot="1">
      <c r="A18" s="504"/>
      <c r="B18" s="1212"/>
      <c r="C18" s="1213"/>
      <c r="D18" s="1197"/>
      <c r="E18" s="1197"/>
      <c r="F18" s="25"/>
      <c r="O18" s="3"/>
      <c r="P18" s="3"/>
    </row>
    <row r="19" spans="1:16" s="3" customFormat="1">
      <c r="A19" s="56"/>
      <c r="B19" s="500" t="s">
        <v>34</v>
      </c>
      <c r="C19" s="500"/>
      <c r="D19" s="500"/>
      <c r="E19" s="500"/>
      <c r="F19" s="2"/>
    </row>
    <row r="20" spans="1:16" s="3" customFormat="1">
      <c r="A20" s="56"/>
      <c r="B20" s="500" t="s">
        <v>770</v>
      </c>
      <c r="C20" s="500"/>
      <c r="D20" s="500"/>
      <c r="E20" s="500"/>
      <c r="F20" s="2"/>
    </row>
    <row r="21" spans="1:16" s="3" customFormat="1">
      <c r="A21" s="62"/>
      <c r="B21" s="1197"/>
      <c r="C21" s="62"/>
      <c r="D21" s="1197"/>
      <c r="E21" s="1197"/>
      <c r="F21" s="25"/>
    </row>
    <row r="22" spans="1:16" s="3" customFormat="1">
      <c r="A22" s="62"/>
      <c r="B22" s="1197"/>
      <c r="C22" s="1197"/>
      <c r="D22" s="1197"/>
      <c r="E22" s="1197"/>
      <c r="F22" s="25"/>
    </row>
    <row r="23" spans="1:16" s="3" customFormat="1">
      <c r="A23" s="62"/>
      <c r="B23" s="62"/>
      <c r="C23" s="62"/>
      <c r="D23" s="62"/>
      <c r="E23" s="62"/>
    </row>
    <row r="24" spans="1:16" s="3" customFormat="1"/>
    <row r="25" spans="1:16" s="3" customFormat="1"/>
    <row r="26" spans="1:16" s="3" customFormat="1"/>
    <row r="27" spans="1:16" s="3" customFormat="1"/>
    <row r="28" spans="1:16" s="3" customFormat="1"/>
    <row r="29" spans="1:16" s="3" customFormat="1"/>
    <row r="30" spans="1:16" s="3" customFormat="1"/>
    <row r="31" spans="1:16" s="3" customFormat="1"/>
    <row r="32" spans="1:16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pans="3:16" s="3" customFormat="1"/>
    <row r="50" spans="3:16" s="3" customFormat="1"/>
    <row r="51" spans="3:16" s="3" customFormat="1"/>
    <row r="52" spans="3:16">
      <c r="C52" s="3"/>
      <c r="O52" s="3"/>
      <c r="P52" s="3"/>
    </row>
    <row r="53" spans="3:16">
      <c r="C53" s="3"/>
      <c r="O53" s="3"/>
      <c r="P53" s="3"/>
    </row>
    <row r="54" spans="3:16">
      <c r="C54" s="3"/>
      <c r="O54" s="3"/>
      <c r="P54" s="3"/>
    </row>
    <row r="55" spans="3:16">
      <c r="C55" s="3"/>
      <c r="O55" s="3"/>
      <c r="P55" s="3"/>
    </row>
    <row r="56" spans="3:16">
      <c r="C56" s="3"/>
      <c r="O56" s="3"/>
      <c r="P56" s="3"/>
    </row>
    <row r="57" spans="3:16">
      <c r="C57" s="3"/>
      <c r="O57" s="3"/>
      <c r="P57" s="3"/>
    </row>
    <row r="58" spans="3:16">
      <c r="C58" s="3"/>
      <c r="O58" s="3"/>
      <c r="P58" s="3"/>
    </row>
    <row r="59" spans="3:16">
      <c r="C59" s="3"/>
      <c r="O59" s="3"/>
      <c r="P59" s="3"/>
    </row>
    <row r="60" spans="3:16">
      <c r="C60" s="3"/>
      <c r="O60" s="3"/>
      <c r="P60" s="3"/>
    </row>
    <row r="61" spans="3:16">
      <c r="C61" s="3"/>
      <c r="O61" s="3"/>
      <c r="P61" s="3"/>
    </row>
    <row r="62" spans="3:16">
      <c r="C62" s="3"/>
      <c r="O62" s="3"/>
      <c r="P62" s="3"/>
    </row>
    <row r="63" spans="3:16">
      <c r="C63" s="3"/>
      <c r="O63" s="3"/>
      <c r="P63" s="3"/>
    </row>
    <row r="64" spans="3:16">
      <c r="C64" s="3"/>
      <c r="O64" s="3"/>
      <c r="P64" s="3"/>
    </row>
    <row r="65" spans="3:16">
      <c r="C65" s="3"/>
      <c r="O65" s="3"/>
      <c r="P65" s="3"/>
    </row>
  </sheetData>
  <phoneticPr fontId="0" type="noConversion"/>
  <hyperlinks>
    <hyperlink ref="D3" location="INDICE!A1" display="VOLVER A INDICE"/>
  </hyperlinks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showGridLines="0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RowHeight="12.75"/>
  <cols>
    <col min="1" max="1" width="20.42578125" customWidth="1"/>
    <col min="2" max="2" width="30.42578125" customWidth="1"/>
    <col min="3" max="3" width="12.85546875" customWidth="1"/>
    <col min="4" max="4" width="12" customWidth="1"/>
    <col min="11" max="11" width="11.42578125" style="394"/>
    <col min="12" max="12" width="13" customWidth="1"/>
    <col min="16" max="16" width="12.85546875" customWidth="1"/>
  </cols>
  <sheetData>
    <row r="1" spans="1:23" ht="15.75">
      <c r="A1" s="1214" t="s">
        <v>768</v>
      </c>
      <c r="B1" s="1215"/>
      <c r="C1" s="1216"/>
      <c r="D1" s="572" t="s">
        <v>649</v>
      </c>
      <c r="E1" s="1216"/>
      <c r="F1" s="1216"/>
      <c r="G1" s="1217"/>
      <c r="H1" s="1217"/>
      <c r="I1" s="1218" t="s">
        <v>209</v>
      </c>
      <c r="J1" s="1217"/>
      <c r="K1" s="1219"/>
      <c r="L1" s="1216"/>
      <c r="M1" s="1216"/>
      <c r="N1" s="1216"/>
      <c r="O1" s="1216"/>
      <c r="P1" s="1216"/>
      <c r="Q1" s="1216"/>
      <c r="R1" s="1216"/>
      <c r="S1" s="1216"/>
      <c r="T1" s="1216"/>
      <c r="U1" s="1216"/>
      <c r="V1" s="1216"/>
      <c r="W1" s="1216"/>
    </row>
    <row r="2" spans="1:23">
      <c r="A2" s="1215"/>
      <c r="B2" s="1215"/>
      <c r="C2" s="1216"/>
      <c r="D2" s="1216"/>
      <c r="E2" s="1216"/>
      <c r="F2" s="1216"/>
      <c r="G2" s="1216"/>
      <c r="H2" s="1216"/>
      <c r="I2" s="1216"/>
      <c r="J2" s="1216"/>
      <c r="K2" s="1220"/>
      <c r="L2" s="1216"/>
      <c r="M2" s="1216"/>
      <c r="N2" s="1216"/>
      <c r="O2" s="1216"/>
      <c r="P2" s="1216"/>
      <c r="Q2" s="1216"/>
      <c r="R2" s="1216"/>
      <c r="S2" s="1216"/>
      <c r="T2" s="1216"/>
      <c r="U2" s="1216"/>
      <c r="V2" s="1216"/>
      <c r="W2" s="1216"/>
    </row>
    <row r="3" spans="1:23">
      <c r="A3" s="1221"/>
      <c r="B3" s="1221"/>
      <c r="C3" s="1222" t="s">
        <v>210</v>
      </c>
      <c r="D3" s="1222" t="s">
        <v>211</v>
      </c>
      <c r="E3" s="1223" t="s">
        <v>212</v>
      </c>
      <c r="F3" s="1222" t="s">
        <v>213</v>
      </c>
      <c r="G3" s="1223" t="s">
        <v>214</v>
      </c>
      <c r="H3" s="1222" t="s">
        <v>212</v>
      </c>
      <c r="I3" s="1222" t="s">
        <v>213</v>
      </c>
      <c r="J3" s="1222" t="s">
        <v>215</v>
      </c>
      <c r="K3" s="1224" t="s">
        <v>216</v>
      </c>
      <c r="L3" s="1222" t="s">
        <v>217</v>
      </c>
      <c r="M3" s="1222" t="s">
        <v>218</v>
      </c>
      <c r="N3" s="1223" t="s">
        <v>219</v>
      </c>
      <c r="O3" s="1223" t="s">
        <v>275</v>
      </c>
      <c r="P3" s="1223" t="s">
        <v>231</v>
      </c>
      <c r="Q3" s="1223" t="s">
        <v>214</v>
      </c>
      <c r="R3" s="1223" t="s">
        <v>216</v>
      </c>
      <c r="S3" s="1223" t="s">
        <v>214</v>
      </c>
      <c r="T3" s="1222" t="s">
        <v>220</v>
      </c>
      <c r="U3" s="1223" t="s">
        <v>221</v>
      </c>
      <c r="V3" s="1223" t="s">
        <v>222</v>
      </c>
      <c r="W3" s="1223" t="s">
        <v>104</v>
      </c>
    </row>
    <row r="4" spans="1:23">
      <c r="A4" s="1225" t="s">
        <v>223</v>
      </c>
      <c r="B4" s="1225"/>
      <c r="C4" s="1226" t="s">
        <v>224</v>
      </c>
      <c r="D4" s="1227" t="s">
        <v>225</v>
      </c>
      <c r="E4" s="1226" t="s">
        <v>835</v>
      </c>
      <c r="F4" s="1226"/>
      <c r="G4" s="1226" t="s">
        <v>226</v>
      </c>
      <c r="H4" s="1226" t="s">
        <v>227</v>
      </c>
      <c r="I4" s="1226" t="s">
        <v>227</v>
      </c>
      <c r="J4" s="1226"/>
      <c r="K4" s="1228" t="s">
        <v>228</v>
      </c>
      <c r="L4" s="1227" t="s">
        <v>229</v>
      </c>
      <c r="M4" s="1226" t="s">
        <v>230</v>
      </c>
      <c r="N4" s="1226"/>
      <c r="O4" s="1226"/>
      <c r="P4" s="1226"/>
      <c r="Q4" s="1226" t="s">
        <v>232</v>
      </c>
      <c r="R4" s="1227" t="s">
        <v>233</v>
      </c>
      <c r="S4" s="1226" t="s">
        <v>234</v>
      </c>
      <c r="T4" s="1226" t="s">
        <v>235</v>
      </c>
      <c r="U4" s="1226"/>
      <c r="V4" s="1226" t="s">
        <v>236</v>
      </c>
      <c r="W4" s="1226" t="s">
        <v>237</v>
      </c>
    </row>
    <row r="5" spans="1:23">
      <c r="A5" s="1229"/>
      <c r="B5" s="1229"/>
      <c r="C5" s="1230"/>
      <c r="D5" s="1230"/>
      <c r="E5" s="1230"/>
      <c r="F5" s="1230"/>
      <c r="G5" s="1230"/>
      <c r="H5" s="1230"/>
      <c r="I5" s="1230"/>
      <c r="J5" s="1230"/>
      <c r="K5" s="1231"/>
      <c r="L5" s="1230" t="s">
        <v>234</v>
      </c>
      <c r="M5" s="1230"/>
      <c r="N5" s="1230"/>
      <c r="O5" s="1230"/>
      <c r="P5" s="1230"/>
      <c r="Q5" s="1230"/>
      <c r="R5" s="1230"/>
      <c r="S5" s="1230"/>
      <c r="T5" s="1230"/>
      <c r="U5" s="1230"/>
      <c r="V5" s="1230"/>
      <c r="W5" s="1230"/>
    </row>
    <row r="6" spans="1:23">
      <c r="A6" s="1232"/>
      <c r="B6" s="1232"/>
      <c r="C6" s="1216"/>
      <c r="D6" s="1216"/>
      <c r="E6" s="1216"/>
      <c r="F6" s="1216"/>
      <c r="G6" s="1216"/>
      <c r="H6" s="1216"/>
      <c r="I6" s="1216"/>
      <c r="J6" s="1216"/>
      <c r="K6" s="1220"/>
      <c r="L6" s="1216"/>
      <c r="M6" s="1216"/>
      <c r="N6" s="1216"/>
      <c r="O6" s="1216"/>
      <c r="P6" s="1216"/>
      <c r="Q6" s="1216"/>
      <c r="R6" s="1216"/>
      <c r="S6" s="1216"/>
      <c r="T6" s="1216"/>
      <c r="U6" s="1216"/>
      <c r="V6" s="1216"/>
      <c r="W6" s="1220"/>
    </row>
    <row r="7" spans="1:23">
      <c r="A7" s="1233" t="s">
        <v>238</v>
      </c>
      <c r="B7" s="1232" t="s">
        <v>239</v>
      </c>
      <c r="C7" s="1234">
        <v>35006.317872819127</v>
      </c>
      <c r="D7" s="1234">
        <v>1.9218181500000002</v>
      </c>
      <c r="E7" s="1234">
        <v>25681.920290164559</v>
      </c>
      <c r="F7" s="1234">
        <v>12.780706500000001</v>
      </c>
      <c r="G7" s="1234">
        <v>35.91767244263</v>
      </c>
      <c r="H7" s="1234">
        <v>0.47879999999999995</v>
      </c>
      <c r="I7" s="1234">
        <v>1.6813170000000002</v>
      </c>
      <c r="J7" s="1234">
        <v>2.4602409999999999</v>
      </c>
      <c r="K7" s="1235">
        <v>0</v>
      </c>
      <c r="L7" s="1236">
        <f>SUM(C7:K7)</f>
        <v>60743.478718076309</v>
      </c>
      <c r="M7" s="1234">
        <v>320.82861144292281</v>
      </c>
      <c r="N7" s="1234">
        <v>0</v>
      </c>
      <c r="O7" s="1234">
        <v>0</v>
      </c>
      <c r="P7" s="1234">
        <v>0</v>
      </c>
      <c r="Q7" s="1234">
        <v>0</v>
      </c>
      <c r="R7" s="1234">
        <v>0</v>
      </c>
      <c r="S7" s="1234">
        <v>143.62281876539927</v>
      </c>
      <c r="T7" s="1234">
        <v>0</v>
      </c>
      <c r="U7" s="1234">
        <v>0</v>
      </c>
      <c r="V7" s="1234">
        <v>0</v>
      </c>
      <c r="W7" s="1237">
        <f>SUM(L7:V7)</f>
        <v>61207.930148284628</v>
      </c>
    </row>
    <row r="8" spans="1:23">
      <c r="A8" s="1232"/>
      <c r="B8" s="1232" t="s">
        <v>241</v>
      </c>
      <c r="C8" s="1234">
        <v>485.3107676759999</v>
      </c>
      <c r="D8" s="1234">
        <v>0</v>
      </c>
      <c r="E8" s="1234">
        <v>0</v>
      </c>
      <c r="F8" s="1234">
        <v>0</v>
      </c>
      <c r="G8" s="1234">
        <v>0</v>
      </c>
      <c r="H8" s="1234">
        <v>0</v>
      </c>
      <c r="I8" s="1234">
        <v>0</v>
      </c>
      <c r="J8" s="1234">
        <v>0</v>
      </c>
      <c r="K8" s="1235">
        <v>0</v>
      </c>
      <c r="L8" s="1236">
        <f>SUM(C8:K8)</f>
        <v>485.3107676759999</v>
      </c>
      <c r="M8" s="1234">
        <v>45.834668360000002</v>
      </c>
      <c r="N8" s="1234">
        <v>0.19040000000000001</v>
      </c>
      <c r="O8" s="1234">
        <v>0</v>
      </c>
      <c r="P8" s="1234">
        <v>0</v>
      </c>
      <c r="Q8" s="1234">
        <v>0</v>
      </c>
      <c r="R8" s="1234">
        <v>0</v>
      </c>
      <c r="S8" s="1234">
        <v>0</v>
      </c>
      <c r="T8" s="1234">
        <v>0</v>
      </c>
      <c r="U8" s="1234">
        <v>0</v>
      </c>
      <c r="V8" s="1234">
        <v>0</v>
      </c>
      <c r="W8" s="1237">
        <f>SUM(L8:V8)</f>
        <v>531.33583603599982</v>
      </c>
    </row>
    <row r="9" spans="1:23">
      <c r="A9" s="1232"/>
      <c r="B9" s="1232" t="s">
        <v>242</v>
      </c>
      <c r="C9" s="1234">
        <v>3616.2953373959995</v>
      </c>
      <c r="D9" s="1234">
        <v>14988.3147935955</v>
      </c>
      <c r="E9" s="1234">
        <v>48.900304431999999</v>
      </c>
      <c r="F9" s="1234">
        <v>1.1688300000000003</v>
      </c>
      <c r="G9" s="1234">
        <v>0</v>
      </c>
      <c r="H9" s="1234">
        <v>0</v>
      </c>
      <c r="I9" s="1234">
        <v>0</v>
      </c>
      <c r="J9" s="1234">
        <v>0</v>
      </c>
      <c r="K9" s="1235">
        <v>0</v>
      </c>
      <c r="L9" s="1236">
        <f>SUM(C9:K9)</f>
        <v>18654.6792654235</v>
      </c>
      <c r="M9" s="1234">
        <v>0</v>
      </c>
      <c r="N9" s="1234">
        <v>0</v>
      </c>
      <c r="O9" s="1234">
        <v>0</v>
      </c>
      <c r="P9" s="1234">
        <v>0</v>
      </c>
      <c r="Q9" s="1234">
        <v>0</v>
      </c>
      <c r="R9" s="1234">
        <v>0</v>
      </c>
      <c r="S9" s="1234">
        <v>0</v>
      </c>
      <c r="T9" s="1234">
        <v>0</v>
      </c>
      <c r="U9" s="1234">
        <v>0</v>
      </c>
      <c r="V9" s="1234">
        <v>0</v>
      </c>
      <c r="W9" s="1237">
        <f>SUM(L9:V9)</f>
        <v>18654.6792654235</v>
      </c>
    </row>
    <row r="10" spans="1:23">
      <c r="A10" s="1232"/>
      <c r="B10" s="1232" t="s">
        <v>243</v>
      </c>
      <c r="C10" s="1234">
        <v>7.4309318655599998</v>
      </c>
      <c r="D10" s="1234">
        <v>0</v>
      </c>
      <c r="E10" s="1234">
        <v>0</v>
      </c>
      <c r="F10" s="1234">
        <v>0</v>
      </c>
      <c r="G10" s="1234">
        <v>0</v>
      </c>
      <c r="H10" s="1234">
        <v>46.764667319999994</v>
      </c>
      <c r="I10" s="1234">
        <v>9499.2934717260014</v>
      </c>
      <c r="J10" s="1234">
        <v>0</v>
      </c>
      <c r="K10" s="1235">
        <v>0</v>
      </c>
      <c r="L10" s="1236">
        <f>SUM(C10:K10)</f>
        <v>9553.4890709115607</v>
      </c>
      <c r="M10" s="1234">
        <v>0</v>
      </c>
      <c r="N10" s="1234">
        <v>0</v>
      </c>
      <c r="O10" s="1234">
        <v>0</v>
      </c>
      <c r="P10" s="1234">
        <v>0</v>
      </c>
      <c r="Q10" s="1234">
        <v>0</v>
      </c>
      <c r="R10" s="1234">
        <v>0</v>
      </c>
      <c r="S10" s="1234">
        <v>0</v>
      </c>
      <c r="T10" s="1234">
        <v>0</v>
      </c>
      <c r="U10" s="1234">
        <v>0</v>
      </c>
      <c r="V10" s="1234">
        <v>0</v>
      </c>
      <c r="W10" s="1237">
        <f>SUM(L10:V10)</f>
        <v>9553.4890709115607</v>
      </c>
    </row>
    <row r="11" spans="1:23">
      <c r="A11" s="1232"/>
      <c r="B11" s="1232"/>
      <c r="C11" s="1216"/>
      <c r="D11" s="1216"/>
      <c r="E11" s="1216"/>
      <c r="F11" s="1216"/>
      <c r="G11" s="1216"/>
      <c r="H11" s="1216"/>
      <c r="I11" s="1216"/>
      <c r="J11" s="1216"/>
      <c r="K11" s="1220"/>
      <c r="L11" s="1220"/>
      <c r="M11" s="1216"/>
      <c r="N11" s="1216"/>
      <c r="O11" s="1216"/>
      <c r="P11" s="1216"/>
      <c r="Q11" s="1216"/>
      <c r="R11" s="1216"/>
      <c r="S11" s="1216"/>
      <c r="T11" s="1216"/>
      <c r="U11" s="1216"/>
      <c r="V11" s="1216"/>
      <c r="W11" s="1220"/>
    </row>
    <row r="12" spans="1:23">
      <c r="A12" s="1232" t="s">
        <v>244</v>
      </c>
      <c r="B12" s="1232"/>
      <c r="C12" s="1238">
        <f>SUM(C7:C10)</f>
        <v>39115.354909756679</v>
      </c>
      <c r="D12" s="1238">
        <f t="shared" ref="D12:W12" si="0">SUM(D7:D10)</f>
        <v>14990.2366117455</v>
      </c>
      <c r="E12" s="1238">
        <f>SUM(E7:E10)</f>
        <v>25730.82059459656</v>
      </c>
      <c r="F12" s="1238">
        <f t="shared" si="0"/>
        <v>13.949536500000001</v>
      </c>
      <c r="G12" s="1238">
        <f t="shared" si="0"/>
        <v>35.91767244263</v>
      </c>
      <c r="H12" s="1238">
        <f t="shared" si="0"/>
        <v>47.243467319999993</v>
      </c>
      <c r="I12" s="1238">
        <f t="shared" si="0"/>
        <v>9500.9747887260019</v>
      </c>
      <c r="J12" s="1238">
        <f t="shared" si="0"/>
        <v>2.4602409999999999</v>
      </c>
      <c r="K12" s="1239">
        <f t="shared" si="0"/>
        <v>0</v>
      </c>
      <c r="L12" s="1238">
        <f t="shared" si="0"/>
        <v>89436.957822087366</v>
      </c>
      <c r="M12" s="1238">
        <f t="shared" si="0"/>
        <v>366.66327980292283</v>
      </c>
      <c r="N12" s="1238">
        <f t="shared" si="0"/>
        <v>0.19040000000000001</v>
      </c>
      <c r="O12" s="1238">
        <f t="shared" si="0"/>
        <v>0</v>
      </c>
      <c r="P12" s="1238">
        <f>SUM(P7:P10)</f>
        <v>0</v>
      </c>
      <c r="Q12" s="1238">
        <f t="shared" si="0"/>
        <v>0</v>
      </c>
      <c r="R12" s="1238">
        <f>SUM(R7:R10)</f>
        <v>0</v>
      </c>
      <c r="S12" s="1238">
        <f t="shared" si="0"/>
        <v>143.62281876539927</v>
      </c>
      <c r="T12" s="1238">
        <f t="shared" si="0"/>
        <v>0</v>
      </c>
      <c r="U12" s="1238">
        <f t="shared" si="0"/>
        <v>0</v>
      </c>
      <c r="V12" s="1238">
        <f>SUM(V7:V10)</f>
        <v>0</v>
      </c>
      <c r="W12" s="1238">
        <f t="shared" si="0"/>
        <v>89947.43432065568</v>
      </c>
    </row>
    <row r="13" spans="1:23">
      <c r="A13" s="1232"/>
      <c r="B13" s="1232"/>
      <c r="C13" s="1216"/>
      <c r="D13" s="1216"/>
      <c r="E13" s="1216"/>
      <c r="F13" s="1216"/>
      <c r="G13" s="1216"/>
      <c r="H13" s="1216"/>
      <c r="I13" s="1216"/>
      <c r="J13" s="1216"/>
      <c r="K13" s="1220"/>
      <c r="L13" s="1216"/>
      <c r="M13" s="1216"/>
      <c r="N13" s="1216"/>
      <c r="O13" s="1216"/>
      <c r="P13" s="1216"/>
      <c r="Q13" s="1216"/>
      <c r="R13" s="1216"/>
      <c r="S13" s="1216"/>
      <c r="T13" s="1216"/>
      <c r="U13" s="1216"/>
      <c r="V13" s="1216"/>
      <c r="W13" s="1216"/>
    </row>
    <row r="14" spans="1:23">
      <c r="A14" s="1233" t="s">
        <v>245</v>
      </c>
      <c r="B14" s="1232" t="s">
        <v>246</v>
      </c>
      <c r="C14" s="1234">
        <v>9664.9535187047077</v>
      </c>
      <c r="D14" s="1234">
        <v>1516.7968563691122</v>
      </c>
      <c r="E14" s="1234">
        <v>0</v>
      </c>
      <c r="F14" s="1234">
        <v>80.078008833000013</v>
      </c>
      <c r="G14" s="1234">
        <v>64.265753898892683</v>
      </c>
      <c r="H14" s="1234">
        <v>0</v>
      </c>
      <c r="I14" s="1234">
        <v>0</v>
      </c>
      <c r="J14" s="1234">
        <v>16.563744400000001</v>
      </c>
      <c r="K14" s="1235">
        <v>0</v>
      </c>
      <c r="L14" s="1236">
        <f>SUM(C14:K14)</f>
        <v>11342.657882205713</v>
      </c>
      <c r="M14" s="1234">
        <v>15348.885172215905</v>
      </c>
      <c r="N14" s="1234">
        <v>1.266524</v>
      </c>
      <c r="O14" s="1234">
        <v>110.696113</v>
      </c>
      <c r="P14" s="1234">
        <v>0</v>
      </c>
      <c r="Q14" s="1234">
        <v>0</v>
      </c>
      <c r="R14" s="1234">
        <v>0</v>
      </c>
      <c r="S14" s="1234">
        <v>241.76237201850856</v>
      </c>
      <c r="T14" s="1234">
        <v>0</v>
      </c>
      <c r="U14" s="1234">
        <v>0</v>
      </c>
      <c r="V14" s="1234">
        <v>0</v>
      </c>
      <c r="W14" s="1237">
        <f>SUM(L14:V14)</f>
        <v>27045.268063440126</v>
      </c>
    </row>
    <row r="15" spans="1:23">
      <c r="A15" s="1233" t="s">
        <v>247</v>
      </c>
      <c r="B15" s="1232" t="s">
        <v>248</v>
      </c>
      <c r="C15" s="1234">
        <v>396.17096400000003</v>
      </c>
      <c r="D15" s="1234">
        <v>407.44200000000001</v>
      </c>
      <c r="E15" s="1234">
        <v>0</v>
      </c>
      <c r="F15" s="1234">
        <v>0</v>
      </c>
      <c r="G15" s="1234">
        <v>2.4910391000000001</v>
      </c>
      <c r="H15" s="1234">
        <v>0</v>
      </c>
      <c r="I15" s="1234">
        <v>0</v>
      </c>
      <c r="J15" s="1234">
        <v>0</v>
      </c>
      <c r="K15" s="1235">
        <v>0</v>
      </c>
      <c r="L15" s="1236">
        <f t="shared" ref="L15:L24" si="1">SUM(C15:K15)</f>
        <v>806.1040031</v>
      </c>
      <c r="M15" s="1234">
        <v>347.89861284618638</v>
      </c>
      <c r="N15" s="1234">
        <v>0</v>
      </c>
      <c r="O15" s="1234">
        <v>0</v>
      </c>
      <c r="P15" s="1234">
        <v>0</v>
      </c>
      <c r="Q15" s="1234">
        <v>0</v>
      </c>
      <c r="R15" s="1234">
        <v>0</v>
      </c>
      <c r="S15" s="1234">
        <v>39.094174094719598</v>
      </c>
      <c r="T15" s="1234">
        <v>0</v>
      </c>
      <c r="U15" s="1234">
        <v>0</v>
      </c>
      <c r="V15" s="1234">
        <v>0</v>
      </c>
      <c r="W15" s="1237">
        <f t="shared" ref="W15:W24" si="2">SUM(L15:V15)</f>
        <v>1193.0967900409059</v>
      </c>
    </row>
    <row r="16" spans="1:23">
      <c r="A16" s="1232"/>
      <c r="B16" s="1232" t="s">
        <v>249</v>
      </c>
      <c r="C16" s="1234">
        <v>37.536633455999997</v>
      </c>
      <c r="D16" s="1234">
        <v>38.209499999999998</v>
      </c>
      <c r="E16" s="1234">
        <v>0</v>
      </c>
      <c r="F16" s="1234">
        <v>0</v>
      </c>
      <c r="G16" s="1234">
        <v>0</v>
      </c>
      <c r="H16" s="1234">
        <v>0</v>
      </c>
      <c r="I16" s="1234">
        <v>0</v>
      </c>
      <c r="J16" s="1234">
        <v>0</v>
      </c>
      <c r="K16" s="1235">
        <v>0</v>
      </c>
      <c r="L16" s="1236">
        <f t="shared" si="1"/>
        <v>75.746133455999995</v>
      </c>
      <c r="M16" s="1234">
        <v>406.98452348000001</v>
      </c>
      <c r="N16" s="1234">
        <v>584.93520000000001</v>
      </c>
      <c r="O16" s="1234">
        <v>0</v>
      </c>
      <c r="P16" s="1234">
        <v>0</v>
      </c>
      <c r="Q16" s="1234">
        <v>0</v>
      </c>
      <c r="R16" s="1234">
        <v>0</v>
      </c>
      <c r="S16" s="1234">
        <v>0</v>
      </c>
      <c r="T16" s="1234">
        <v>0</v>
      </c>
      <c r="U16" s="1234">
        <v>0</v>
      </c>
      <c r="V16" s="1234">
        <v>0</v>
      </c>
      <c r="W16" s="1237">
        <f t="shared" si="2"/>
        <v>1067.665856936</v>
      </c>
    </row>
    <row r="17" spans="1:25">
      <c r="A17" s="1232"/>
      <c r="B17" s="1232" t="s">
        <v>250</v>
      </c>
      <c r="C17" s="1234">
        <v>103.70487361746027</v>
      </c>
      <c r="D17" s="1234">
        <v>2259.7470463144127</v>
      </c>
      <c r="E17" s="1234">
        <v>0</v>
      </c>
      <c r="F17" s="1234">
        <v>6.5850084000000003E-2</v>
      </c>
      <c r="G17" s="1234">
        <v>190.04468391854007</v>
      </c>
      <c r="H17" s="1234">
        <v>0</v>
      </c>
      <c r="I17" s="1234">
        <v>0</v>
      </c>
      <c r="J17" s="1234">
        <v>2.8174999999999995E-2</v>
      </c>
      <c r="K17" s="1235">
        <v>0</v>
      </c>
      <c r="L17" s="1236">
        <f t="shared" si="1"/>
        <v>2553.590628934413</v>
      </c>
      <c r="M17" s="1234">
        <v>4596.6617832998036</v>
      </c>
      <c r="N17" s="1234">
        <v>0.3253664</v>
      </c>
      <c r="O17" s="1234">
        <v>0</v>
      </c>
      <c r="P17" s="1234">
        <v>0</v>
      </c>
      <c r="Q17" s="1234">
        <v>0</v>
      </c>
      <c r="R17" s="1234">
        <v>0</v>
      </c>
      <c r="S17" s="1234">
        <v>18.19528546611124</v>
      </c>
      <c r="T17" s="1234">
        <v>0</v>
      </c>
      <c r="U17" s="1234">
        <v>0</v>
      </c>
      <c r="V17" s="1234">
        <v>12390.451238242773</v>
      </c>
      <c r="W17" s="1237">
        <f t="shared" si="2"/>
        <v>19559.2243023431</v>
      </c>
    </row>
    <row r="18" spans="1:25">
      <c r="A18" s="1232"/>
      <c r="B18" s="1232" t="s">
        <v>251</v>
      </c>
      <c r="C18" s="1234">
        <v>24.080124348000002</v>
      </c>
      <c r="D18" s="1234">
        <v>447.51200000000006</v>
      </c>
      <c r="E18" s="1234">
        <v>0</v>
      </c>
      <c r="F18" s="1234">
        <v>0</v>
      </c>
      <c r="G18" s="1234">
        <v>63.853597109500122</v>
      </c>
      <c r="H18" s="1234">
        <v>0</v>
      </c>
      <c r="I18" s="1234">
        <v>0</v>
      </c>
      <c r="J18" s="1234">
        <v>0</v>
      </c>
      <c r="K18" s="1235">
        <v>0</v>
      </c>
      <c r="L18" s="1236">
        <f t="shared" si="1"/>
        <v>535.44572145750021</v>
      </c>
      <c r="M18" s="1234">
        <v>520.62925702000007</v>
      </c>
      <c r="N18" s="1234">
        <v>0</v>
      </c>
      <c r="O18" s="1234">
        <v>2282.3105329999999</v>
      </c>
      <c r="P18" s="1234">
        <v>0</v>
      </c>
      <c r="Q18" s="1234">
        <v>748.90588981446251</v>
      </c>
      <c r="R18" s="1234">
        <v>175.06315199999997</v>
      </c>
      <c r="S18" s="1234">
        <v>0</v>
      </c>
      <c r="T18" s="1234">
        <v>0</v>
      </c>
      <c r="U18" s="1234">
        <v>0</v>
      </c>
      <c r="V18" s="1234">
        <v>0</v>
      </c>
      <c r="W18" s="1237">
        <f t="shared" si="2"/>
        <v>4262.3545532919625</v>
      </c>
    </row>
    <row r="19" spans="1:25">
      <c r="A19" s="1232"/>
      <c r="B19" s="1232" t="s">
        <v>252</v>
      </c>
      <c r="C19" s="1234">
        <v>2.7210716399999995</v>
      </c>
      <c r="D19" s="1234">
        <v>11.196347715</v>
      </c>
      <c r="E19" s="1234">
        <v>0</v>
      </c>
      <c r="F19" s="1234">
        <v>0</v>
      </c>
      <c r="G19" s="1234">
        <v>0</v>
      </c>
      <c r="H19" s="1234">
        <v>0</v>
      </c>
      <c r="I19" s="1234">
        <v>0</v>
      </c>
      <c r="J19" s="1234">
        <v>0</v>
      </c>
      <c r="K19" s="1235">
        <v>3.0743</v>
      </c>
      <c r="L19" s="1236">
        <f t="shared" si="1"/>
        <v>16.991719355000001</v>
      </c>
      <c r="M19" s="1234">
        <v>461.00530323258073</v>
      </c>
      <c r="N19" s="1234">
        <v>0</v>
      </c>
      <c r="O19" s="1234">
        <v>0</v>
      </c>
      <c r="P19" s="1234">
        <v>0</v>
      </c>
      <c r="Q19" s="1234">
        <v>0</v>
      </c>
      <c r="R19" s="1234">
        <v>0</v>
      </c>
      <c r="S19" s="1234">
        <v>0</v>
      </c>
      <c r="T19" s="1234">
        <v>0</v>
      </c>
      <c r="U19" s="1234">
        <v>0</v>
      </c>
      <c r="V19" s="1234">
        <v>0</v>
      </c>
      <c r="W19" s="1237">
        <f t="shared" si="2"/>
        <v>477.99702258758072</v>
      </c>
    </row>
    <row r="20" spans="1:25">
      <c r="A20" s="1232"/>
      <c r="B20" s="1232" t="s">
        <v>253</v>
      </c>
      <c r="C20" s="1234">
        <v>111.7423995828</v>
      </c>
      <c r="D20" s="1234">
        <v>163.75732453500004</v>
      </c>
      <c r="E20" s="1234">
        <v>0</v>
      </c>
      <c r="F20" s="1234">
        <v>0</v>
      </c>
      <c r="G20" s="1234">
        <v>4.9709906234999996</v>
      </c>
      <c r="H20" s="1234">
        <v>0</v>
      </c>
      <c r="I20" s="1234">
        <v>0</v>
      </c>
      <c r="J20" s="1234">
        <v>0</v>
      </c>
      <c r="K20" s="1235">
        <v>0</v>
      </c>
      <c r="L20" s="1236">
        <f t="shared" si="1"/>
        <v>280.47071474130001</v>
      </c>
      <c r="M20" s="1234">
        <v>522.23823995200007</v>
      </c>
      <c r="N20" s="1234">
        <v>2143.0135004008066</v>
      </c>
      <c r="O20" s="1234">
        <v>464.78165400000006</v>
      </c>
      <c r="P20" s="1234">
        <v>0</v>
      </c>
      <c r="Q20" s="1234">
        <v>0</v>
      </c>
      <c r="R20" s="1234">
        <v>0</v>
      </c>
      <c r="S20" s="1234">
        <v>4.6225277999999985</v>
      </c>
      <c r="T20" s="1234">
        <v>0</v>
      </c>
      <c r="U20" s="1234">
        <v>0</v>
      </c>
      <c r="V20" s="1234">
        <v>0</v>
      </c>
      <c r="W20" s="1237">
        <f t="shared" si="2"/>
        <v>3415.1266368941065</v>
      </c>
    </row>
    <row r="21" spans="1:25">
      <c r="A21" s="1232"/>
      <c r="B21" s="1232" t="s">
        <v>254</v>
      </c>
      <c r="C21" s="1234">
        <v>3.2174660295120003</v>
      </c>
      <c r="D21" s="1234">
        <v>185.37579841433336</v>
      </c>
      <c r="E21" s="1234">
        <v>0</v>
      </c>
      <c r="F21" s="1234">
        <v>0</v>
      </c>
      <c r="G21" s="1234">
        <v>3.1302447659999997</v>
      </c>
      <c r="H21" s="1234">
        <v>0</v>
      </c>
      <c r="I21" s="1234">
        <v>0</v>
      </c>
      <c r="J21" s="1234">
        <v>0</v>
      </c>
      <c r="K21" s="1235">
        <v>0</v>
      </c>
      <c r="L21" s="1236">
        <f t="shared" si="1"/>
        <v>191.72350920984536</v>
      </c>
      <c r="M21" s="1234">
        <v>62.781676999999995</v>
      </c>
      <c r="N21" s="1234">
        <v>409.11007475181833</v>
      </c>
      <c r="O21" s="1234">
        <v>22.144452685825044</v>
      </c>
      <c r="P21" s="1234">
        <v>0</v>
      </c>
      <c r="Q21" s="1234">
        <v>0</v>
      </c>
      <c r="R21" s="1234">
        <v>0</v>
      </c>
      <c r="S21" s="1234">
        <v>0</v>
      </c>
      <c r="T21" s="1234">
        <v>0</v>
      </c>
      <c r="U21" s="1234">
        <v>0</v>
      </c>
      <c r="V21" s="1234">
        <v>0</v>
      </c>
      <c r="W21" s="1237">
        <f t="shared" si="2"/>
        <v>685.75971364748875</v>
      </c>
    </row>
    <row r="22" spans="1:25">
      <c r="A22" s="1232"/>
      <c r="B22" s="1232" t="s">
        <v>255</v>
      </c>
      <c r="C22" s="1234">
        <v>721.38046503600003</v>
      </c>
      <c r="D22" s="1234">
        <v>618.42721245899997</v>
      </c>
      <c r="E22" s="1234">
        <v>0</v>
      </c>
      <c r="F22" s="1234">
        <v>0</v>
      </c>
      <c r="G22" s="1234">
        <v>26.161585244959994</v>
      </c>
      <c r="H22" s="1234">
        <v>0</v>
      </c>
      <c r="I22" s="1234">
        <v>0</v>
      </c>
      <c r="J22" s="1234">
        <v>0.6916720999999999</v>
      </c>
      <c r="K22" s="1235">
        <v>0</v>
      </c>
      <c r="L22" s="1236">
        <f t="shared" si="1"/>
        <v>1366.66093483996</v>
      </c>
      <c r="M22" s="1234">
        <v>162.10516782852307</v>
      </c>
      <c r="N22" s="1234">
        <v>72.607682032497465</v>
      </c>
      <c r="O22" s="1234">
        <v>0</v>
      </c>
      <c r="P22" s="1234">
        <v>0</v>
      </c>
      <c r="Q22" s="1234">
        <v>0</v>
      </c>
      <c r="R22" s="1234">
        <v>0</v>
      </c>
      <c r="S22" s="1234">
        <v>8.6281401000000013</v>
      </c>
      <c r="T22" s="1234">
        <v>0</v>
      </c>
      <c r="U22" s="1234">
        <v>0</v>
      </c>
      <c r="V22" s="1234">
        <v>0</v>
      </c>
      <c r="W22" s="1237">
        <f t="shared" si="2"/>
        <v>1610.0019248009805</v>
      </c>
    </row>
    <row r="23" spans="1:25">
      <c r="A23" s="1232"/>
      <c r="B23" s="1232" t="s">
        <v>256</v>
      </c>
      <c r="C23" s="1234">
        <v>8463.1853559359442</v>
      </c>
      <c r="D23" s="1234">
        <v>3754.0645093076646</v>
      </c>
      <c r="E23" s="1234">
        <v>0</v>
      </c>
      <c r="F23" s="1234">
        <v>148.45737801600001</v>
      </c>
      <c r="G23" s="1234">
        <v>3099.9931551956856</v>
      </c>
      <c r="H23" s="1234">
        <v>0</v>
      </c>
      <c r="I23" s="1234">
        <v>0</v>
      </c>
      <c r="J23" s="1234">
        <v>0</v>
      </c>
      <c r="K23" s="1235">
        <v>0</v>
      </c>
      <c r="L23" s="1236">
        <f t="shared" si="1"/>
        <v>15465.700398455294</v>
      </c>
      <c r="M23" s="1234">
        <v>7739.3075128776645</v>
      </c>
      <c r="N23" s="1234">
        <v>737.63725923042784</v>
      </c>
      <c r="O23" s="1234">
        <v>13.007617</v>
      </c>
      <c r="P23" s="1234">
        <v>0</v>
      </c>
      <c r="Q23" s="1234">
        <v>0</v>
      </c>
      <c r="R23" s="1234">
        <v>0</v>
      </c>
      <c r="S23" s="1234">
        <v>350.1114724268582</v>
      </c>
      <c r="T23" s="1234">
        <v>516.3526738600001</v>
      </c>
      <c r="U23" s="1234">
        <v>0</v>
      </c>
      <c r="V23" s="1234">
        <v>3881.7683249335955</v>
      </c>
      <c r="W23" s="1237">
        <f t="shared" si="2"/>
        <v>28703.885258783845</v>
      </c>
    </row>
    <row r="24" spans="1:25">
      <c r="A24" s="1232"/>
      <c r="B24" s="1232" t="s">
        <v>257</v>
      </c>
      <c r="C24" s="1234">
        <v>2833.054057401816</v>
      </c>
      <c r="D24" s="1234">
        <v>281.50788709338798</v>
      </c>
      <c r="E24" s="1234">
        <v>0</v>
      </c>
      <c r="F24" s="1234">
        <v>57.351584006999985</v>
      </c>
      <c r="G24" s="1234">
        <v>20.567642917800004</v>
      </c>
      <c r="H24" s="1234">
        <v>0</v>
      </c>
      <c r="I24" s="1234">
        <v>0</v>
      </c>
      <c r="J24" s="1234">
        <v>0.92574999999999996</v>
      </c>
      <c r="K24" s="1235">
        <v>0</v>
      </c>
      <c r="L24" s="1236">
        <f t="shared" si="1"/>
        <v>3193.406921420004</v>
      </c>
      <c r="M24" s="1234">
        <v>1336.4564479391929</v>
      </c>
      <c r="N24" s="1234">
        <v>0</v>
      </c>
      <c r="O24" s="1234">
        <v>29.197500000000002</v>
      </c>
      <c r="P24" s="1234">
        <v>0</v>
      </c>
      <c r="Q24" s="1234">
        <v>0</v>
      </c>
      <c r="R24" s="1234">
        <v>0</v>
      </c>
      <c r="S24" s="1234">
        <v>2.3139236490000004</v>
      </c>
      <c r="T24" s="1234">
        <v>0</v>
      </c>
      <c r="U24" s="1234">
        <v>0</v>
      </c>
      <c r="V24" s="1234">
        <v>0</v>
      </c>
      <c r="W24" s="1237">
        <f t="shared" si="2"/>
        <v>4561.3747930081963</v>
      </c>
    </row>
    <row r="25" spans="1:25">
      <c r="A25" s="1232"/>
      <c r="B25" s="1232"/>
      <c r="C25" s="1216"/>
      <c r="D25" s="1216"/>
      <c r="E25" s="1216"/>
      <c r="F25" s="1216"/>
      <c r="G25" s="1216"/>
      <c r="H25" s="1216"/>
      <c r="I25" s="1216"/>
      <c r="J25" s="1216"/>
      <c r="K25" s="1220"/>
      <c r="L25" s="1216"/>
      <c r="M25" s="1216"/>
      <c r="N25" s="1216"/>
      <c r="O25" s="1216"/>
      <c r="P25" s="1216"/>
      <c r="Q25" s="1216"/>
      <c r="R25" s="1216"/>
      <c r="S25" s="1216"/>
      <c r="T25" s="1216"/>
      <c r="U25" s="1216"/>
      <c r="V25" s="1216"/>
      <c r="W25" s="1216"/>
    </row>
    <row r="26" spans="1:25">
      <c r="A26" s="1232" t="s">
        <v>258</v>
      </c>
      <c r="B26" s="1232"/>
      <c r="C26" s="1238">
        <f>SUM(C14:C24)</f>
        <v>22361.74692975224</v>
      </c>
      <c r="D26" s="1238">
        <f t="shared" ref="D26:W26" si="3">SUM(D14:D24)</f>
        <v>9684.0364822079118</v>
      </c>
      <c r="E26" s="1238">
        <f t="shared" si="3"/>
        <v>0</v>
      </c>
      <c r="F26" s="1238">
        <f t="shared" si="3"/>
        <v>285.95282094000004</v>
      </c>
      <c r="G26" s="1238">
        <f t="shared" si="3"/>
        <v>3475.4786927748787</v>
      </c>
      <c r="H26" s="1238">
        <f t="shared" si="3"/>
        <v>0</v>
      </c>
      <c r="I26" s="1238">
        <f t="shared" si="3"/>
        <v>0</v>
      </c>
      <c r="J26" s="1238">
        <f t="shared" si="3"/>
        <v>18.209341500000001</v>
      </c>
      <c r="K26" s="1239">
        <f t="shared" si="3"/>
        <v>3.0743</v>
      </c>
      <c r="L26" s="1238">
        <f t="shared" si="3"/>
        <v>35828.498567175026</v>
      </c>
      <c r="M26" s="1238">
        <f t="shared" si="3"/>
        <v>31504.953697691853</v>
      </c>
      <c r="N26" s="1238">
        <f t="shared" si="3"/>
        <v>3948.8956068155503</v>
      </c>
      <c r="O26" s="1238">
        <f t="shared" si="3"/>
        <v>2922.1378696858251</v>
      </c>
      <c r="P26" s="1238">
        <f>SUM(P14:P24)</f>
        <v>0</v>
      </c>
      <c r="Q26" s="1238">
        <f t="shared" si="3"/>
        <v>748.90588981446251</v>
      </c>
      <c r="R26" s="1238">
        <f>SUM(R14:R24)</f>
        <v>175.06315199999997</v>
      </c>
      <c r="S26" s="1238">
        <f t="shared" si="3"/>
        <v>664.72789555519751</v>
      </c>
      <c r="T26" s="1238">
        <f t="shared" si="3"/>
        <v>516.3526738600001</v>
      </c>
      <c r="U26" s="1238">
        <f t="shared" si="3"/>
        <v>0</v>
      </c>
      <c r="V26" s="1238">
        <f>SUM(V14:V24)</f>
        <v>16272.219563176368</v>
      </c>
      <c r="W26" s="1238">
        <f t="shared" si="3"/>
        <v>92581.754915774291</v>
      </c>
      <c r="X26" s="54"/>
      <c r="Y26" s="54"/>
    </row>
    <row r="27" spans="1:25">
      <c r="A27" s="1232"/>
      <c r="B27" s="1232"/>
      <c r="C27" s="1216"/>
      <c r="D27" s="1216"/>
      <c r="E27" s="1216"/>
      <c r="F27" s="1216"/>
      <c r="G27" s="1216"/>
      <c r="H27" s="1216"/>
      <c r="I27" s="1216"/>
      <c r="J27" s="1216"/>
      <c r="K27" s="1220"/>
      <c r="L27" s="1216"/>
      <c r="M27" s="1216"/>
      <c r="N27" s="1216"/>
      <c r="O27" s="1216"/>
      <c r="P27" s="1216"/>
      <c r="Q27" s="1216"/>
      <c r="R27" s="1216"/>
      <c r="S27" s="1216"/>
      <c r="T27" s="1216"/>
      <c r="U27" s="1216"/>
      <c r="V27" s="1216"/>
      <c r="W27" s="1216"/>
    </row>
    <row r="28" spans="1:25">
      <c r="A28" s="1233" t="s">
        <v>259</v>
      </c>
      <c r="B28" s="1232" t="s">
        <v>260</v>
      </c>
      <c r="C28" s="1234">
        <v>0</v>
      </c>
      <c r="D28" s="1234">
        <v>0</v>
      </c>
      <c r="E28" s="1234">
        <v>0</v>
      </c>
      <c r="F28" s="1234">
        <v>0</v>
      </c>
      <c r="G28" s="1234">
        <v>0</v>
      </c>
      <c r="H28" s="1234">
        <v>0</v>
      </c>
      <c r="I28" s="1234">
        <v>0</v>
      </c>
      <c r="J28" s="1234">
        <v>0</v>
      </c>
      <c r="K28" s="1235">
        <v>0</v>
      </c>
      <c r="L28" s="1236">
        <f>SUM(C28:K28)</f>
        <v>0</v>
      </c>
      <c r="M28" s="1234">
        <v>0</v>
      </c>
      <c r="N28" s="1234">
        <v>0</v>
      </c>
      <c r="O28" s="1234">
        <v>0</v>
      </c>
      <c r="P28" s="1234">
        <v>0</v>
      </c>
      <c r="Q28" s="1234">
        <v>0</v>
      </c>
      <c r="R28" s="1234">
        <v>0</v>
      </c>
      <c r="S28" s="1234">
        <v>0</v>
      </c>
      <c r="T28" s="1234">
        <v>0</v>
      </c>
      <c r="U28" s="1234">
        <v>0</v>
      </c>
      <c r="V28" s="1234">
        <v>0</v>
      </c>
      <c r="W28" s="1236">
        <f>SUM(L28:V28)</f>
        <v>0</v>
      </c>
    </row>
    <row r="29" spans="1:25">
      <c r="A29" s="1233" t="s">
        <v>261</v>
      </c>
      <c r="B29" s="1232" t="s">
        <v>262</v>
      </c>
      <c r="C29" s="1234">
        <v>1700.3757147694798</v>
      </c>
      <c r="D29" s="1234">
        <v>590.53695873900006</v>
      </c>
      <c r="E29" s="1234">
        <v>0</v>
      </c>
      <c r="F29" s="1234">
        <v>3.6719244</v>
      </c>
      <c r="G29" s="1234">
        <v>1060.2908899137501</v>
      </c>
      <c r="H29" s="1234">
        <v>0</v>
      </c>
      <c r="I29" s="1234">
        <v>0</v>
      </c>
      <c r="J29" s="1234">
        <v>0</v>
      </c>
      <c r="K29" s="1235">
        <v>0</v>
      </c>
      <c r="L29" s="1236">
        <f>SUM(C29:K29)</f>
        <v>3354.8754878222303</v>
      </c>
      <c r="M29" s="1234">
        <v>5330.2547853334654</v>
      </c>
      <c r="N29" s="1234">
        <v>0</v>
      </c>
      <c r="O29" s="1234">
        <v>0</v>
      </c>
      <c r="P29" s="1234">
        <v>0</v>
      </c>
      <c r="Q29" s="1234">
        <v>125.20218732579497</v>
      </c>
      <c r="R29" s="1234">
        <v>0</v>
      </c>
      <c r="S29" s="1234">
        <v>1095.0140778531202</v>
      </c>
      <c r="T29" s="1234">
        <v>0</v>
      </c>
      <c r="U29" s="1234">
        <v>0</v>
      </c>
      <c r="V29" s="1234">
        <v>0</v>
      </c>
      <c r="W29" s="1236">
        <f>SUM(L29:V29)</f>
        <v>9905.3465383346102</v>
      </c>
    </row>
    <row r="30" spans="1:25">
      <c r="A30" s="1233"/>
      <c r="B30" s="1232" t="s">
        <v>263</v>
      </c>
      <c r="C30" s="1234">
        <v>62.796064521119995</v>
      </c>
      <c r="D30" s="1234">
        <v>38.369894724000005</v>
      </c>
      <c r="E30" s="1234">
        <v>0</v>
      </c>
      <c r="F30" s="1234">
        <v>2.5174800000000004</v>
      </c>
      <c r="G30" s="1234">
        <v>196.27482948920877</v>
      </c>
      <c r="H30" s="1234">
        <v>0</v>
      </c>
      <c r="I30" s="1234">
        <v>0</v>
      </c>
      <c r="J30" s="1234">
        <v>0</v>
      </c>
      <c r="K30" s="1235">
        <v>0</v>
      </c>
      <c r="L30" s="1236">
        <f>SUM(C30:K30)</f>
        <v>299.95826873432878</v>
      </c>
      <c r="M30" s="1234">
        <v>1237.0703019585987</v>
      </c>
      <c r="N30" s="1234">
        <v>43.714856290898759</v>
      </c>
      <c r="O30" s="1234">
        <v>0</v>
      </c>
      <c r="P30" s="1234">
        <v>0</v>
      </c>
      <c r="Q30" s="1234">
        <v>12.114290635263007</v>
      </c>
      <c r="R30" s="1234">
        <v>0</v>
      </c>
      <c r="S30" s="1234">
        <v>184.69378108054835</v>
      </c>
      <c r="T30" s="1234">
        <v>0</v>
      </c>
      <c r="U30" s="1234">
        <v>0</v>
      </c>
      <c r="V30" s="1234">
        <v>0</v>
      </c>
      <c r="W30" s="1236">
        <f>SUM(L30:V30)</f>
        <v>1777.5514986996377</v>
      </c>
    </row>
    <row r="31" spans="1:25">
      <c r="A31" s="1233"/>
      <c r="B31" s="1232" t="s">
        <v>264</v>
      </c>
      <c r="C31" s="1234">
        <v>52.553194857240008</v>
      </c>
      <c r="D31" s="1234">
        <v>0</v>
      </c>
      <c r="E31" s="1234">
        <v>0</v>
      </c>
      <c r="F31" s="1234">
        <v>570.933058437</v>
      </c>
      <c r="G31" s="1234">
        <v>8965.6698186636804</v>
      </c>
      <c r="H31" s="1234">
        <v>0</v>
      </c>
      <c r="I31" s="1234">
        <v>0</v>
      </c>
      <c r="J31" s="1234">
        <v>0</v>
      </c>
      <c r="K31" s="1235">
        <v>0</v>
      </c>
      <c r="L31" s="1236">
        <f>SUM(C31:K31)</f>
        <v>9589.1560719579211</v>
      </c>
      <c r="M31" s="1234">
        <v>7524.0999803562127</v>
      </c>
      <c r="N31" s="1234">
        <v>0.146231</v>
      </c>
      <c r="O31" s="1234">
        <v>0</v>
      </c>
      <c r="P31" s="1234">
        <v>0</v>
      </c>
      <c r="Q31" s="1234">
        <v>117.4179346138463</v>
      </c>
      <c r="R31" s="1234">
        <v>0</v>
      </c>
      <c r="S31" s="1234">
        <v>3954.136344131733</v>
      </c>
      <c r="T31" s="1234">
        <v>0</v>
      </c>
      <c r="U31" s="1234">
        <v>0</v>
      </c>
      <c r="V31" s="1234">
        <v>29505.216625181194</v>
      </c>
      <c r="W31" s="1236">
        <f>SUM(L31:V31)</f>
        <v>50690.173187240907</v>
      </c>
    </row>
    <row r="32" spans="1:25">
      <c r="A32" s="1232"/>
      <c r="B32" s="1232"/>
      <c r="C32" s="1216"/>
      <c r="D32" s="1216"/>
      <c r="E32" s="1216"/>
      <c r="F32" s="1216"/>
      <c r="G32" s="1216"/>
      <c r="H32" s="1216"/>
      <c r="I32" s="1216"/>
      <c r="J32" s="1216"/>
      <c r="K32" s="1220"/>
      <c r="L32" s="1216"/>
      <c r="M32" s="1216"/>
      <c r="N32" s="1216"/>
      <c r="O32" s="1216"/>
      <c r="P32" s="1216"/>
      <c r="Q32" s="1216"/>
      <c r="R32" s="1216"/>
      <c r="S32" s="1216"/>
      <c r="T32" s="1216"/>
      <c r="U32" s="1216"/>
      <c r="V32" s="1216"/>
      <c r="W32" s="1216"/>
    </row>
    <row r="33" spans="1:25">
      <c r="A33" s="1232" t="s">
        <v>265</v>
      </c>
      <c r="B33" s="1232"/>
      <c r="C33" s="1238">
        <f>SUM(C28:C31)</f>
        <v>1815.7249741478397</v>
      </c>
      <c r="D33" s="1238">
        <f t="shared" ref="D33:W33" si="4">SUM(D28:D31)</f>
        <v>628.90685346300006</v>
      </c>
      <c r="E33" s="1238">
        <f t="shared" si="4"/>
        <v>0</v>
      </c>
      <c r="F33" s="1238">
        <f t="shared" si="4"/>
        <v>577.12246283700006</v>
      </c>
      <c r="G33" s="1238">
        <f t="shared" si="4"/>
        <v>10222.235538066639</v>
      </c>
      <c r="H33" s="1238">
        <f t="shared" si="4"/>
        <v>0</v>
      </c>
      <c r="I33" s="1238">
        <f t="shared" si="4"/>
        <v>0</v>
      </c>
      <c r="J33" s="1238">
        <f t="shared" si="4"/>
        <v>0</v>
      </c>
      <c r="K33" s="1239">
        <f t="shared" si="4"/>
        <v>0</v>
      </c>
      <c r="L33" s="1238">
        <f t="shared" si="4"/>
        <v>13243.989828514481</v>
      </c>
      <c r="M33" s="1238">
        <f t="shared" si="4"/>
        <v>14091.425067648277</v>
      </c>
      <c r="N33" s="1238">
        <f t="shared" si="4"/>
        <v>43.861087290898759</v>
      </c>
      <c r="O33" s="1238">
        <f t="shared" si="4"/>
        <v>0</v>
      </c>
      <c r="P33" s="1238">
        <f>SUM(P28:P31)</f>
        <v>0</v>
      </c>
      <c r="Q33" s="1238">
        <f t="shared" si="4"/>
        <v>254.7344125749043</v>
      </c>
      <c r="R33" s="1238">
        <f>SUM(R28:R31)</f>
        <v>0</v>
      </c>
      <c r="S33" s="1238">
        <f t="shared" si="4"/>
        <v>5233.8442030654014</v>
      </c>
      <c r="T33" s="1238">
        <f t="shared" si="4"/>
        <v>0</v>
      </c>
      <c r="U33" s="1238">
        <f t="shared" si="4"/>
        <v>0</v>
      </c>
      <c r="V33" s="1238">
        <f>SUM(V28:V31)</f>
        <v>29505.216625181194</v>
      </c>
      <c r="W33" s="1238">
        <f t="shared" si="4"/>
        <v>62373.071224275154</v>
      </c>
    </row>
    <row r="34" spans="1:25" s="394" customFormat="1">
      <c r="A34" s="1240"/>
      <c r="B34" s="1240"/>
      <c r="C34" s="1241"/>
      <c r="D34" s="1241"/>
      <c r="E34" s="1241"/>
      <c r="F34" s="1241"/>
      <c r="G34" s="1241"/>
      <c r="H34" s="1241"/>
      <c r="I34" s="1241"/>
      <c r="J34" s="1241"/>
      <c r="K34" s="1241"/>
      <c r="L34" s="1241"/>
      <c r="M34" s="1241"/>
      <c r="N34" s="1241"/>
      <c r="O34" s="1241"/>
      <c r="P34" s="1241"/>
      <c r="Q34" s="1241"/>
      <c r="R34" s="1241"/>
      <c r="S34" s="1241"/>
      <c r="T34" s="1241"/>
      <c r="U34" s="1241"/>
      <c r="V34" s="1241"/>
      <c r="W34" s="1241"/>
    </row>
    <row r="35" spans="1:25" s="394" customFormat="1">
      <c r="A35" s="1233" t="s">
        <v>703</v>
      </c>
      <c r="B35" s="1240"/>
      <c r="C35" s="1241"/>
      <c r="D35" s="1241"/>
      <c r="E35" s="1241"/>
      <c r="F35" s="1241"/>
      <c r="G35" s="1241"/>
      <c r="H35" s="1241"/>
      <c r="I35" s="1241"/>
      <c r="J35" s="1241"/>
      <c r="K35" s="1241"/>
      <c r="L35" s="1241"/>
      <c r="M35" s="1241"/>
      <c r="N35" s="1241"/>
      <c r="O35" s="1241"/>
      <c r="P35" s="1241"/>
      <c r="Q35" s="1241"/>
      <c r="R35" s="1241"/>
      <c r="S35" s="1241"/>
      <c r="T35" s="1241"/>
      <c r="U35" s="1241"/>
      <c r="V35" s="1241"/>
      <c r="W35" s="1241"/>
    </row>
    <row r="36" spans="1:25" s="394" customFormat="1">
      <c r="A36" s="1240"/>
      <c r="B36" s="1240" t="s">
        <v>268</v>
      </c>
      <c r="C36" s="1235">
        <v>0</v>
      </c>
      <c r="D36" s="1235">
        <v>0</v>
      </c>
      <c r="E36" s="1235">
        <v>0</v>
      </c>
      <c r="F36" s="1235">
        <v>0</v>
      </c>
      <c r="G36" s="1235">
        <v>0</v>
      </c>
      <c r="H36" s="1235">
        <v>0</v>
      </c>
      <c r="I36" s="1235">
        <v>0</v>
      </c>
      <c r="J36" s="1235">
        <v>0</v>
      </c>
      <c r="K36" s="1235">
        <v>0</v>
      </c>
      <c r="L36" s="1236">
        <f t="shared" ref="L36:L42" si="5">SUM(C36:K36)</f>
        <v>0</v>
      </c>
      <c r="M36" s="1234">
        <v>59.662981422840005</v>
      </c>
      <c r="N36" s="1234">
        <v>0</v>
      </c>
      <c r="O36" s="1234">
        <v>0</v>
      </c>
      <c r="P36" s="1234">
        <v>0</v>
      </c>
      <c r="Q36" s="1234">
        <v>0</v>
      </c>
      <c r="R36" s="1234">
        <v>0</v>
      </c>
      <c r="S36" s="1234">
        <v>0</v>
      </c>
      <c r="T36" s="1234">
        <v>0</v>
      </c>
      <c r="U36" s="1234">
        <v>0</v>
      </c>
      <c r="V36" s="1234">
        <v>0</v>
      </c>
      <c r="W36" s="1236">
        <f t="shared" ref="W36:W42" si="6">SUM(L36:V36)</f>
        <v>59.662981422840005</v>
      </c>
    </row>
    <row r="37" spans="1:25" s="394" customFormat="1">
      <c r="A37" s="1240"/>
      <c r="B37" s="1240" t="s">
        <v>287</v>
      </c>
      <c r="C37" s="1235">
        <v>0</v>
      </c>
      <c r="D37" s="1235">
        <v>0</v>
      </c>
      <c r="E37" s="1235">
        <v>0</v>
      </c>
      <c r="F37" s="1235">
        <v>0</v>
      </c>
      <c r="G37" s="1235">
        <v>0</v>
      </c>
      <c r="H37" s="1235">
        <v>0</v>
      </c>
      <c r="I37" s="1235">
        <v>0</v>
      </c>
      <c r="J37" s="1235">
        <v>0</v>
      </c>
      <c r="K37" s="1235">
        <v>0</v>
      </c>
      <c r="L37" s="1236">
        <f t="shared" si="5"/>
        <v>0</v>
      </c>
      <c r="M37" s="1234">
        <v>1335.770405835972</v>
      </c>
      <c r="N37" s="1234">
        <v>0</v>
      </c>
      <c r="O37" s="1234">
        <v>0</v>
      </c>
      <c r="P37" s="1234">
        <v>0</v>
      </c>
      <c r="Q37" s="1234">
        <v>0</v>
      </c>
      <c r="R37" s="1234">
        <v>0</v>
      </c>
      <c r="S37" s="1234">
        <v>0</v>
      </c>
      <c r="T37" s="1234">
        <v>0</v>
      </c>
      <c r="U37" s="1234">
        <v>0</v>
      </c>
      <c r="V37" s="1234">
        <v>0</v>
      </c>
      <c r="W37" s="1236">
        <f t="shared" si="6"/>
        <v>1335.770405835972</v>
      </c>
    </row>
    <row r="38" spans="1:25" s="394" customFormat="1">
      <c r="A38" s="1240"/>
      <c r="B38" s="1240" t="s">
        <v>269</v>
      </c>
      <c r="C38" s="1235">
        <v>0</v>
      </c>
      <c r="D38" s="1235">
        <v>0</v>
      </c>
      <c r="E38" s="1235">
        <v>0</v>
      </c>
      <c r="F38" s="1235">
        <v>0</v>
      </c>
      <c r="G38" s="1235">
        <f>G74</f>
        <v>6.625696661000001</v>
      </c>
      <c r="H38" s="1235">
        <v>0</v>
      </c>
      <c r="I38" s="1235">
        <v>0</v>
      </c>
      <c r="J38" s="1235">
        <v>0</v>
      </c>
      <c r="K38" s="1235">
        <v>0</v>
      </c>
      <c r="L38" s="1236">
        <f t="shared" si="5"/>
        <v>6.625696661000001</v>
      </c>
      <c r="M38" s="1234">
        <v>0</v>
      </c>
      <c r="N38" s="1234">
        <v>0</v>
      </c>
      <c r="O38" s="1234">
        <v>0</v>
      </c>
      <c r="P38" s="1235">
        <v>0</v>
      </c>
      <c r="Q38" s="1235">
        <v>0</v>
      </c>
      <c r="R38" s="1234">
        <v>0</v>
      </c>
      <c r="S38" s="1234">
        <f>S75</f>
        <v>12.657411704032596</v>
      </c>
      <c r="T38" s="1234">
        <v>0</v>
      </c>
      <c r="U38" s="1234">
        <v>0</v>
      </c>
      <c r="V38" s="1234">
        <v>0</v>
      </c>
      <c r="W38" s="1236">
        <f t="shared" si="6"/>
        <v>19.283108365032597</v>
      </c>
    </row>
    <row r="39" spans="1:25" s="394" customFormat="1">
      <c r="A39" s="1240"/>
      <c r="B39" s="1240" t="s">
        <v>286</v>
      </c>
      <c r="C39" s="1235">
        <v>0</v>
      </c>
      <c r="D39" s="1235">
        <v>269.81</v>
      </c>
      <c r="E39" s="1235">
        <v>0</v>
      </c>
      <c r="F39" s="1235">
        <v>0</v>
      </c>
      <c r="G39" s="1235">
        <v>0</v>
      </c>
      <c r="H39" s="1235">
        <v>0</v>
      </c>
      <c r="I39" s="1235">
        <v>0</v>
      </c>
      <c r="J39" s="1235">
        <v>0</v>
      </c>
      <c r="K39" s="1235">
        <v>0</v>
      </c>
      <c r="L39" s="1236">
        <f t="shared" si="5"/>
        <v>269.81</v>
      </c>
      <c r="M39" s="1234">
        <v>0</v>
      </c>
      <c r="N39" s="1242">
        <v>0</v>
      </c>
      <c r="O39" s="1234">
        <v>0</v>
      </c>
      <c r="P39" s="1235">
        <v>176.03299999999999</v>
      </c>
      <c r="Q39" s="1235">
        <v>342.96311018553746</v>
      </c>
      <c r="R39" s="1234">
        <v>825.46900000000005</v>
      </c>
      <c r="S39" s="1234">
        <v>0</v>
      </c>
      <c r="T39" s="1234">
        <v>0</v>
      </c>
      <c r="U39" s="1234">
        <v>0</v>
      </c>
      <c r="V39" s="1234">
        <v>0</v>
      </c>
      <c r="W39" s="1236">
        <f t="shared" si="6"/>
        <v>1614.2751101855374</v>
      </c>
    </row>
    <row r="40" spans="1:25" s="394" customFormat="1">
      <c r="A40" s="1240"/>
      <c r="B40" s="1240" t="s">
        <v>270</v>
      </c>
      <c r="C40" s="1235">
        <v>291.65064599999999</v>
      </c>
      <c r="D40" s="1235">
        <v>388.62066599999997</v>
      </c>
      <c r="E40" s="1235">
        <v>0.98766079999999989</v>
      </c>
      <c r="F40" s="1235">
        <v>0</v>
      </c>
      <c r="G40" s="1235">
        <v>1309.6194814999999</v>
      </c>
      <c r="H40" s="1235">
        <v>0</v>
      </c>
      <c r="I40" s="1235">
        <v>0</v>
      </c>
      <c r="J40" s="1235">
        <v>1123.786762</v>
      </c>
      <c r="K40" s="1235">
        <v>3410.4884278800005</v>
      </c>
      <c r="L40" s="1236">
        <f t="shared" si="5"/>
        <v>6525.1536441799999</v>
      </c>
      <c r="M40" s="1234">
        <v>554.54575745715999</v>
      </c>
      <c r="N40" s="1234">
        <v>0</v>
      </c>
      <c r="O40" s="1234">
        <v>0</v>
      </c>
      <c r="P40" s="1234">
        <v>0</v>
      </c>
      <c r="Q40" s="1234">
        <v>0</v>
      </c>
      <c r="R40" s="1234">
        <v>0</v>
      </c>
      <c r="S40" s="1234">
        <v>0</v>
      </c>
      <c r="T40" s="1234">
        <v>0</v>
      </c>
      <c r="U40" s="1234">
        <v>0</v>
      </c>
      <c r="V40" s="1234">
        <v>0</v>
      </c>
      <c r="W40" s="1236">
        <f t="shared" si="6"/>
        <v>7079.69940163716</v>
      </c>
    </row>
    <row r="41" spans="1:25" s="394" customFormat="1">
      <c r="A41" s="1240"/>
      <c r="B41" s="1240" t="s">
        <v>271</v>
      </c>
      <c r="C41" s="1235">
        <v>0</v>
      </c>
      <c r="D41" s="1235">
        <v>0</v>
      </c>
      <c r="E41" s="1235">
        <v>0</v>
      </c>
      <c r="F41" s="1235">
        <v>0</v>
      </c>
      <c r="G41" s="1235">
        <v>0</v>
      </c>
      <c r="H41" s="1235">
        <v>0</v>
      </c>
      <c r="I41" s="1235">
        <v>0</v>
      </c>
      <c r="J41" s="1235">
        <v>0</v>
      </c>
      <c r="K41" s="1235">
        <v>0</v>
      </c>
      <c r="L41" s="1236">
        <f t="shared" si="5"/>
        <v>0</v>
      </c>
      <c r="M41" s="1234">
        <v>0</v>
      </c>
      <c r="N41" s="1234">
        <v>0</v>
      </c>
      <c r="O41" s="1234">
        <v>0</v>
      </c>
      <c r="P41" s="1234">
        <v>0</v>
      </c>
      <c r="Q41" s="1234">
        <v>0</v>
      </c>
      <c r="R41" s="1234">
        <v>0</v>
      </c>
      <c r="S41" s="1234">
        <v>0</v>
      </c>
      <c r="T41" s="1234">
        <v>0</v>
      </c>
      <c r="U41" s="1234">
        <v>0</v>
      </c>
      <c r="V41" s="1234">
        <v>0</v>
      </c>
      <c r="W41" s="1236">
        <f t="shared" si="6"/>
        <v>0</v>
      </c>
    </row>
    <row r="42" spans="1:25" s="394" customFormat="1">
      <c r="A42" s="1240"/>
      <c r="B42" s="1240" t="s">
        <v>272</v>
      </c>
      <c r="C42" s="1235">
        <v>0.63883243199999995</v>
      </c>
      <c r="D42" s="1235">
        <v>0</v>
      </c>
      <c r="E42" s="1235">
        <v>0</v>
      </c>
      <c r="F42" s="1235">
        <v>0</v>
      </c>
      <c r="G42" s="1235">
        <v>0</v>
      </c>
      <c r="H42" s="1235">
        <v>0</v>
      </c>
      <c r="I42" s="1235">
        <v>0</v>
      </c>
      <c r="J42" s="1235">
        <v>0</v>
      </c>
      <c r="K42" s="1235">
        <v>0</v>
      </c>
      <c r="L42" s="1236">
        <f t="shared" si="5"/>
        <v>0.63883243199999995</v>
      </c>
      <c r="M42" s="1234">
        <v>55.587286800000001</v>
      </c>
      <c r="N42" s="1234">
        <v>0</v>
      </c>
      <c r="O42" s="1234">
        <v>0</v>
      </c>
      <c r="P42" s="1234">
        <v>0</v>
      </c>
      <c r="Q42" s="1234">
        <v>0</v>
      </c>
      <c r="R42" s="1234">
        <v>0</v>
      </c>
      <c r="S42" s="1234">
        <v>0</v>
      </c>
      <c r="T42" s="1234">
        <v>0</v>
      </c>
      <c r="U42" s="1234">
        <v>0</v>
      </c>
      <c r="V42" s="1234">
        <v>0</v>
      </c>
      <c r="W42" s="1236">
        <f t="shared" si="6"/>
        <v>56.226119232000002</v>
      </c>
    </row>
    <row r="43" spans="1:25" s="394" customFormat="1">
      <c r="A43" s="1240"/>
      <c r="B43" s="1240"/>
      <c r="C43" s="1241"/>
      <c r="D43" s="1241"/>
      <c r="E43" s="1241"/>
      <c r="F43" s="1241"/>
      <c r="G43" s="1241"/>
      <c r="H43" s="1241"/>
      <c r="I43" s="1241"/>
      <c r="J43" s="1241"/>
      <c r="K43" s="1241"/>
      <c r="L43" s="1241"/>
      <c r="M43" s="1241"/>
      <c r="N43" s="1241"/>
      <c r="O43" s="1241"/>
      <c r="P43" s="1241"/>
      <c r="Q43" s="1241"/>
      <c r="R43" s="1241"/>
      <c r="S43" s="1241"/>
      <c r="T43" s="1241"/>
      <c r="U43" s="1241"/>
      <c r="V43" s="1241"/>
      <c r="W43" s="1241"/>
    </row>
    <row r="44" spans="1:25" s="394" customFormat="1">
      <c r="A44" s="1240" t="s">
        <v>704</v>
      </c>
      <c r="B44" s="1240"/>
      <c r="C44" s="1239">
        <f>SUM(C36:C42)</f>
        <v>292.28947843200001</v>
      </c>
      <c r="D44" s="1239">
        <f>SUM(D36:D42)</f>
        <v>658.43066599999997</v>
      </c>
      <c r="E44" s="1239">
        <f t="shared" ref="E44:W44" si="7">SUM(E36:E42)</f>
        <v>0.98766079999999989</v>
      </c>
      <c r="F44" s="1239">
        <f t="shared" si="7"/>
        <v>0</v>
      </c>
      <c r="G44" s="1239">
        <f t="shared" si="7"/>
        <v>1316.2451781609998</v>
      </c>
      <c r="H44" s="1239">
        <f t="shared" si="7"/>
        <v>0</v>
      </c>
      <c r="I44" s="1239">
        <f t="shared" si="7"/>
        <v>0</v>
      </c>
      <c r="J44" s="1239">
        <f t="shared" si="7"/>
        <v>1123.786762</v>
      </c>
      <c r="K44" s="1239">
        <f t="shared" si="7"/>
        <v>3410.4884278800005</v>
      </c>
      <c r="L44" s="1239">
        <f t="shared" si="7"/>
        <v>6802.2281732729998</v>
      </c>
      <c r="M44" s="1239">
        <f t="shared" si="7"/>
        <v>2005.5664315159718</v>
      </c>
      <c r="N44" s="1239">
        <f t="shared" si="7"/>
        <v>0</v>
      </c>
      <c r="O44" s="1239">
        <f t="shared" si="7"/>
        <v>0</v>
      </c>
      <c r="P44" s="1239">
        <f t="shared" si="7"/>
        <v>176.03299999999999</v>
      </c>
      <c r="Q44" s="1239">
        <f t="shared" si="7"/>
        <v>342.96311018553746</v>
      </c>
      <c r="R44" s="1239">
        <f t="shared" si="7"/>
        <v>825.46900000000005</v>
      </c>
      <c r="S44" s="1239">
        <f t="shared" si="7"/>
        <v>12.657411704032596</v>
      </c>
      <c r="T44" s="1239">
        <f t="shared" si="7"/>
        <v>0</v>
      </c>
      <c r="U44" s="1239">
        <f t="shared" si="7"/>
        <v>0</v>
      </c>
      <c r="V44" s="1239">
        <f t="shared" si="7"/>
        <v>0</v>
      </c>
      <c r="W44" s="1239">
        <f t="shared" si="7"/>
        <v>10164.917126678542</v>
      </c>
      <c r="Y44" s="449"/>
    </row>
    <row r="45" spans="1:25" s="394" customFormat="1">
      <c r="A45" s="1240"/>
      <c r="B45" s="1240"/>
      <c r="C45" s="1241"/>
      <c r="D45" s="1241"/>
      <c r="E45" s="1241"/>
      <c r="F45" s="1241"/>
      <c r="G45" s="1241"/>
      <c r="H45" s="1241"/>
      <c r="I45" s="1241"/>
      <c r="J45" s="1241"/>
      <c r="K45" s="1241"/>
      <c r="L45" s="1241"/>
      <c r="M45" s="1241"/>
      <c r="N45" s="1241"/>
      <c r="O45" s="1241"/>
      <c r="P45" s="1241"/>
      <c r="Q45" s="1241"/>
      <c r="R45" s="1241"/>
      <c r="S45" s="1241"/>
      <c r="T45" s="1241"/>
      <c r="U45" s="1241"/>
      <c r="V45" s="1241"/>
      <c r="W45" s="1241"/>
    </row>
    <row r="46" spans="1:25">
      <c r="A46" s="1232"/>
      <c r="B46" s="1232"/>
      <c r="C46" s="1216"/>
      <c r="D46" s="1216"/>
      <c r="E46" s="1216"/>
      <c r="F46" s="1216"/>
      <c r="G46" s="1216"/>
      <c r="H46" s="1216"/>
      <c r="I46" s="1216"/>
      <c r="J46" s="1216"/>
      <c r="K46" s="1220"/>
      <c r="L46" s="1216"/>
      <c r="M46" s="1216"/>
      <c r="N46" s="1216"/>
      <c r="O46" s="1216"/>
      <c r="P46" s="1216"/>
      <c r="Q46" s="1216"/>
      <c r="R46" s="1216"/>
      <c r="S46" s="1216"/>
      <c r="T46" s="1216"/>
      <c r="U46" s="1216"/>
      <c r="V46" s="1216"/>
      <c r="W46" s="1216"/>
    </row>
    <row r="47" spans="1:25">
      <c r="A47" s="1233" t="s">
        <v>266</v>
      </c>
      <c r="B47" s="1232"/>
      <c r="C47" s="1238">
        <f>C33+C26+C12+C44</f>
        <v>63585.116292088765</v>
      </c>
      <c r="D47" s="1238">
        <f>D33+D26+D12+D44</f>
        <v>25961.610613416415</v>
      </c>
      <c r="E47" s="1238">
        <f t="shared" ref="E47:W47" si="8">E33+E26+E12+E44</f>
        <v>25731.808255396561</v>
      </c>
      <c r="F47" s="1238">
        <f t="shared" si="8"/>
        <v>877.02482027700012</v>
      </c>
      <c r="G47" s="1238">
        <f>G33+G26+G12+G44</f>
        <v>15049.877081445149</v>
      </c>
      <c r="H47" s="1238">
        <f t="shared" si="8"/>
        <v>47.243467319999993</v>
      </c>
      <c r="I47" s="1238">
        <f t="shared" si="8"/>
        <v>9500.9747887260019</v>
      </c>
      <c r="J47" s="1238">
        <f t="shared" si="8"/>
        <v>1144.4563444999999</v>
      </c>
      <c r="K47" s="1238">
        <f t="shared" si="8"/>
        <v>3413.5627278800007</v>
      </c>
      <c r="L47" s="1238">
        <f t="shared" si="8"/>
        <v>145311.67439104986</v>
      </c>
      <c r="M47" s="1238">
        <f t="shared" si="8"/>
        <v>47968.608476659028</v>
      </c>
      <c r="N47" s="1238">
        <f t="shared" si="8"/>
        <v>3992.9470941064492</v>
      </c>
      <c r="O47" s="1238">
        <f t="shared" si="8"/>
        <v>2922.1378696858251</v>
      </c>
      <c r="P47" s="1238">
        <f t="shared" si="8"/>
        <v>176.03299999999999</v>
      </c>
      <c r="Q47" s="1238">
        <f t="shared" si="8"/>
        <v>1346.6034125749043</v>
      </c>
      <c r="R47" s="1238">
        <f t="shared" si="8"/>
        <v>1000.532152</v>
      </c>
      <c r="S47" s="1238">
        <f t="shared" si="8"/>
        <v>6054.8523290900312</v>
      </c>
      <c r="T47" s="1238">
        <f t="shared" si="8"/>
        <v>516.3526738600001</v>
      </c>
      <c r="U47" s="1238">
        <f t="shared" si="8"/>
        <v>0</v>
      </c>
      <c r="V47" s="1238">
        <f t="shared" si="8"/>
        <v>45777.436188357562</v>
      </c>
      <c r="W47" s="1238">
        <f t="shared" si="8"/>
        <v>255067.17758738366</v>
      </c>
    </row>
    <row r="48" spans="1:25">
      <c r="A48" s="1215"/>
      <c r="B48" s="1232"/>
      <c r="C48" s="1216"/>
      <c r="D48" s="1216"/>
      <c r="E48" s="1216"/>
      <c r="F48" s="1216"/>
      <c r="G48" s="1216"/>
      <c r="H48" s="1216"/>
      <c r="I48" s="1216"/>
      <c r="J48" s="1216"/>
      <c r="K48" s="1220"/>
      <c r="L48" s="1216"/>
      <c r="M48" s="1216"/>
      <c r="N48" s="1216"/>
      <c r="O48" s="1216"/>
      <c r="P48" s="1216"/>
      <c r="Q48" s="1216"/>
      <c r="R48" s="1216"/>
      <c r="S48" s="1216"/>
      <c r="T48" s="1216"/>
      <c r="U48" s="1216"/>
      <c r="V48" s="1216"/>
      <c r="W48" s="1216"/>
    </row>
    <row r="49" spans="1:25">
      <c r="A49" s="1233" t="s">
        <v>267</v>
      </c>
      <c r="B49" s="1232" t="s">
        <v>268</v>
      </c>
      <c r="C49" s="1235">
        <v>374.63342747620004</v>
      </c>
      <c r="D49" s="1235">
        <v>1184.159201579587</v>
      </c>
      <c r="E49" s="1235">
        <v>0</v>
      </c>
      <c r="F49" s="1235">
        <v>0</v>
      </c>
      <c r="G49" s="1235">
        <v>10.0628198</v>
      </c>
      <c r="H49" s="1235">
        <v>0</v>
      </c>
      <c r="I49" s="1235">
        <v>0</v>
      </c>
      <c r="J49" s="1235">
        <v>3.4614999999999993E-2</v>
      </c>
      <c r="K49" s="1235">
        <v>171.46348058275498</v>
      </c>
      <c r="L49" s="1236">
        <f t="shared" ref="L49:L55" si="9">SUM(C49:K49)</f>
        <v>1740.353544438542</v>
      </c>
      <c r="M49" s="1234">
        <v>0</v>
      </c>
      <c r="N49" s="1234">
        <v>47.907346545296249</v>
      </c>
      <c r="O49" s="1234">
        <v>0</v>
      </c>
      <c r="P49" s="1234">
        <v>0</v>
      </c>
      <c r="Q49" s="1234">
        <v>0</v>
      </c>
      <c r="R49" s="1234">
        <v>0</v>
      </c>
      <c r="S49" s="1234">
        <v>564.31591257419996</v>
      </c>
      <c r="T49" s="1234">
        <v>0</v>
      </c>
      <c r="U49" s="1234">
        <v>0</v>
      </c>
      <c r="V49" s="1234">
        <v>5176.7914494272754</v>
      </c>
      <c r="W49" s="1236">
        <f t="shared" ref="W49:W55" si="10">SUM(L49:V49)</f>
        <v>7529.368252985314</v>
      </c>
    </row>
    <row r="50" spans="1:25">
      <c r="A50" s="1233" t="s">
        <v>702</v>
      </c>
      <c r="B50" s="1232" t="s">
        <v>287</v>
      </c>
      <c r="C50" s="1235">
        <v>25827.620379119995</v>
      </c>
      <c r="D50" s="1235">
        <v>1910.4617393399997</v>
      </c>
      <c r="E50" s="1235">
        <v>0</v>
      </c>
      <c r="F50" s="1235">
        <v>0</v>
      </c>
      <c r="G50" s="1235">
        <v>28.362531890000003</v>
      </c>
      <c r="H50" s="1235">
        <v>0</v>
      </c>
      <c r="I50" s="1235">
        <v>0</v>
      </c>
      <c r="J50" s="1235">
        <v>0</v>
      </c>
      <c r="K50" s="1235">
        <v>0</v>
      </c>
      <c r="L50" s="1236">
        <f t="shared" si="9"/>
        <v>27766.444650349997</v>
      </c>
      <c r="M50" s="1234">
        <v>0</v>
      </c>
      <c r="N50" s="1234">
        <v>34794.341006205344</v>
      </c>
      <c r="O50" s="1234">
        <v>4823.4237830000011</v>
      </c>
      <c r="P50" s="1234">
        <v>0</v>
      </c>
      <c r="Q50" s="1234">
        <v>0</v>
      </c>
      <c r="R50" s="1234">
        <v>0</v>
      </c>
      <c r="S50" s="1234">
        <v>4709.347891775973</v>
      </c>
      <c r="T50" s="1234">
        <v>0</v>
      </c>
      <c r="U50" s="1234">
        <v>0</v>
      </c>
      <c r="V50" s="1234">
        <v>215.35068720946569</v>
      </c>
      <c r="W50" s="1236">
        <f t="shared" si="10"/>
        <v>72308.90801854078</v>
      </c>
    </row>
    <row r="51" spans="1:25">
      <c r="A51" s="1232"/>
      <c r="B51" s="1232" t="s">
        <v>269</v>
      </c>
      <c r="C51" s="1235">
        <v>0</v>
      </c>
      <c r="D51" s="1235">
        <v>0</v>
      </c>
      <c r="E51" s="1235">
        <v>0</v>
      </c>
      <c r="F51" s="1235">
        <v>0</v>
      </c>
      <c r="G51" s="1235">
        <f>G73</f>
        <v>956.11919322753226</v>
      </c>
      <c r="H51" s="1235">
        <v>0</v>
      </c>
      <c r="I51" s="1235">
        <v>0</v>
      </c>
      <c r="J51" s="1235">
        <v>0</v>
      </c>
      <c r="K51" s="1235">
        <v>0</v>
      </c>
      <c r="L51" s="1236">
        <f t="shared" si="9"/>
        <v>956.11919322753226</v>
      </c>
      <c r="M51" s="1234">
        <v>0</v>
      </c>
      <c r="N51" s="1234">
        <v>0</v>
      </c>
      <c r="O51" s="1234">
        <v>1249.9878669999998</v>
      </c>
      <c r="P51" s="1234">
        <v>0</v>
      </c>
      <c r="Q51" s="1234">
        <v>0</v>
      </c>
      <c r="R51" s="1234">
        <v>0</v>
      </c>
      <c r="S51" s="1234">
        <f>S74</f>
        <v>177.67324859999999</v>
      </c>
      <c r="T51" s="1234">
        <v>0</v>
      </c>
      <c r="U51" s="1234">
        <v>0</v>
      </c>
      <c r="V51" s="1234">
        <v>0</v>
      </c>
      <c r="W51" s="1236">
        <f t="shared" si="10"/>
        <v>2383.7803088275323</v>
      </c>
    </row>
    <row r="52" spans="1:25">
      <c r="A52" s="1232"/>
      <c r="B52" s="1232" t="s">
        <v>286</v>
      </c>
      <c r="C52" s="1235">
        <v>0</v>
      </c>
      <c r="D52" s="1235">
        <v>0</v>
      </c>
      <c r="E52" s="1235">
        <v>0</v>
      </c>
      <c r="F52" s="1235">
        <v>0</v>
      </c>
      <c r="G52" s="1235">
        <v>0</v>
      </c>
      <c r="H52" s="1235">
        <v>0</v>
      </c>
      <c r="I52" s="1235">
        <v>0</v>
      </c>
      <c r="J52" s="1235">
        <v>0</v>
      </c>
      <c r="K52" s="1235">
        <v>0</v>
      </c>
      <c r="L52" s="1236">
        <f t="shared" si="9"/>
        <v>0</v>
      </c>
      <c r="M52" s="1234">
        <v>0</v>
      </c>
      <c r="N52" s="1234">
        <v>4860.0071999999991</v>
      </c>
      <c r="O52" s="1235">
        <v>0</v>
      </c>
      <c r="P52" s="1234">
        <v>0</v>
      </c>
      <c r="Q52" s="1234">
        <v>0</v>
      </c>
      <c r="R52" s="1234">
        <v>0</v>
      </c>
      <c r="S52" s="1234">
        <v>0</v>
      </c>
      <c r="T52" s="1234">
        <v>0</v>
      </c>
      <c r="U52" s="1234">
        <v>0</v>
      </c>
      <c r="V52" s="1234">
        <v>0</v>
      </c>
      <c r="W52" s="1236">
        <f t="shared" si="10"/>
        <v>4860.0071999999991</v>
      </c>
    </row>
    <row r="53" spans="1:25">
      <c r="A53" s="1232"/>
      <c r="B53" s="1232" t="s">
        <v>270</v>
      </c>
      <c r="C53" s="1235">
        <v>0</v>
      </c>
      <c r="D53" s="1235">
        <v>0</v>
      </c>
      <c r="E53" s="1235">
        <v>0</v>
      </c>
      <c r="F53" s="1235">
        <v>0</v>
      </c>
      <c r="G53" s="1235">
        <v>0</v>
      </c>
      <c r="H53" s="1235">
        <v>0</v>
      </c>
      <c r="I53" s="1235">
        <v>0</v>
      </c>
      <c r="J53" s="1235">
        <v>0</v>
      </c>
      <c r="K53" s="1235">
        <v>0</v>
      </c>
      <c r="L53" s="1236">
        <f t="shared" si="9"/>
        <v>0</v>
      </c>
      <c r="M53" s="1234">
        <v>0</v>
      </c>
      <c r="N53" s="1234">
        <v>0</v>
      </c>
      <c r="O53" s="1234">
        <v>0</v>
      </c>
      <c r="P53" s="1234">
        <v>0</v>
      </c>
      <c r="Q53" s="1234">
        <v>0</v>
      </c>
      <c r="R53" s="1234">
        <v>0</v>
      </c>
      <c r="S53" s="1234">
        <f>S73</f>
        <v>3649.2767417980963</v>
      </c>
      <c r="T53" s="1234">
        <v>0</v>
      </c>
      <c r="U53" s="1234">
        <v>0</v>
      </c>
      <c r="V53" s="1234">
        <v>0</v>
      </c>
      <c r="W53" s="1236">
        <f t="shared" si="10"/>
        <v>3649.2767417980963</v>
      </c>
    </row>
    <row r="54" spans="1:25">
      <c r="A54" s="1232"/>
      <c r="B54" s="1232" t="s">
        <v>271</v>
      </c>
      <c r="C54" s="1235">
        <v>0</v>
      </c>
      <c r="D54" s="1235">
        <v>0</v>
      </c>
      <c r="E54" s="1235">
        <v>0</v>
      </c>
      <c r="F54" s="1235">
        <v>0</v>
      </c>
      <c r="G54" s="1235">
        <v>0</v>
      </c>
      <c r="H54" s="1235">
        <v>0</v>
      </c>
      <c r="I54" s="1235">
        <v>0</v>
      </c>
      <c r="J54" s="1235">
        <v>0</v>
      </c>
      <c r="K54" s="1235">
        <v>0</v>
      </c>
      <c r="L54" s="1236">
        <f t="shared" si="9"/>
        <v>0</v>
      </c>
      <c r="M54" s="1234">
        <v>0</v>
      </c>
      <c r="N54" s="1234">
        <v>0</v>
      </c>
      <c r="O54" s="1234">
        <v>0</v>
      </c>
      <c r="P54" s="1234">
        <v>0</v>
      </c>
      <c r="Q54" s="1234">
        <v>0</v>
      </c>
      <c r="R54" s="1234">
        <v>0</v>
      </c>
      <c r="S54" s="1234">
        <v>0</v>
      </c>
      <c r="T54" s="1234">
        <v>0</v>
      </c>
      <c r="U54" s="1234">
        <v>0</v>
      </c>
      <c r="V54" s="1234">
        <v>0</v>
      </c>
      <c r="W54" s="1236">
        <f t="shared" si="10"/>
        <v>0</v>
      </c>
    </row>
    <row r="55" spans="1:25">
      <c r="A55" s="1232"/>
      <c r="B55" s="1232" t="s">
        <v>272</v>
      </c>
      <c r="C55" s="1235">
        <v>0</v>
      </c>
      <c r="D55" s="1235">
        <v>0</v>
      </c>
      <c r="E55" s="1235">
        <v>0</v>
      </c>
      <c r="F55" s="1235">
        <v>0</v>
      </c>
      <c r="G55" s="1235">
        <v>0</v>
      </c>
      <c r="H55" s="1235">
        <v>0</v>
      </c>
      <c r="I55" s="1235">
        <v>0</v>
      </c>
      <c r="J55" s="1235">
        <v>0</v>
      </c>
      <c r="K55" s="1235">
        <v>0</v>
      </c>
      <c r="L55" s="1236">
        <f t="shared" si="9"/>
        <v>0</v>
      </c>
      <c r="M55" s="1234">
        <v>0</v>
      </c>
      <c r="N55" s="1234">
        <v>0</v>
      </c>
      <c r="O55" s="1234">
        <v>0</v>
      </c>
      <c r="P55" s="1234">
        <v>0</v>
      </c>
      <c r="Q55" s="1234">
        <v>0</v>
      </c>
      <c r="R55" s="1234">
        <v>0</v>
      </c>
      <c r="S55" s="1234">
        <v>9460.2069150000007</v>
      </c>
      <c r="T55" s="1234">
        <v>0</v>
      </c>
      <c r="U55" s="1234">
        <v>0</v>
      </c>
      <c r="V55" s="1234">
        <v>0</v>
      </c>
      <c r="W55" s="1236">
        <f t="shared" si="10"/>
        <v>9460.2069150000007</v>
      </c>
    </row>
    <row r="56" spans="1:25">
      <c r="A56" s="1232"/>
      <c r="B56" s="1232"/>
      <c r="C56" s="1216"/>
      <c r="D56" s="1216"/>
      <c r="E56" s="1216"/>
      <c r="F56" s="1216"/>
      <c r="G56" s="1216"/>
      <c r="H56" s="1216"/>
      <c r="I56" s="1216"/>
      <c r="J56" s="1216"/>
      <c r="K56" s="1220"/>
      <c r="L56" s="1216"/>
      <c r="M56" s="1216"/>
      <c r="N56" s="1216"/>
      <c r="O56" s="1216"/>
      <c r="P56" s="1216"/>
      <c r="Q56" s="1216"/>
      <c r="R56" s="1216"/>
      <c r="S56" s="1216"/>
      <c r="T56" s="1216"/>
      <c r="U56" s="1216"/>
      <c r="V56" s="1216"/>
      <c r="W56" s="1216"/>
    </row>
    <row r="57" spans="1:25">
      <c r="A57" s="1232" t="s">
        <v>273</v>
      </c>
      <c r="B57" s="1232"/>
      <c r="C57" s="1238">
        <f>SUM(C49:C55)</f>
        <v>26202.253806596196</v>
      </c>
      <c r="D57" s="1238">
        <f>SUM(D49:D55)</f>
        <v>3094.6209409195867</v>
      </c>
      <c r="E57" s="1238">
        <f t="shared" ref="E57:W57" si="11">SUM(E49:E55)</f>
        <v>0</v>
      </c>
      <c r="F57" s="1238">
        <f t="shared" si="11"/>
        <v>0</v>
      </c>
      <c r="G57" s="1238">
        <f t="shared" si="11"/>
        <v>994.54454491753222</v>
      </c>
      <c r="H57" s="1238">
        <f t="shared" si="11"/>
        <v>0</v>
      </c>
      <c r="I57" s="1238">
        <f t="shared" si="11"/>
        <v>0</v>
      </c>
      <c r="J57" s="1238">
        <f t="shared" si="11"/>
        <v>3.4614999999999993E-2</v>
      </c>
      <c r="K57" s="1238">
        <f t="shared" si="11"/>
        <v>171.46348058275498</v>
      </c>
      <c r="L57" s="1238">
        <f t="shared" si="11"/>
        <v>30462.917388016071</v>
      </c>
      <c r="M57" s="1238">
        <f t="shared" si="11"/>
        <v>0</v>
      </c>
      <c r="N57" s="1238">
        <f t="shared" si="11"/>
        <v>39702.255552750641</v>
      </c>
      <c r="O57" s="1238">
        <f t="shared" si="11"/>
        <v>6073.4116500000009</v>
      </c>
      <c r="P57" s="1238">
        <f t="shared" si="11"/>
        <v>0</v>
      </c>
      <c r="Q57" s="1238">
        <f t="shared" si="11"/>
        <v>0</v>
      </c>
      <c r="R57" s="1238">
        <f t="shared" si="11"/>
        <v>0</v>
      </c>
      <c r="S57" s="1238">
        <f t="shared" si="11"/>
        <v>18560.82070974827</v>
      </c>
      <c r="T57" s="1238">
        <f t="shared" si="11"/>
        <v>0</v>
      </c>
      <c r="U57" s="1238">
        <f t="shared" si="11"/>
        <v>0</v>
      </c>
      <c r="V57" s="1238">
        <f t="shared" si="11"/>
        <v>5392.1421366367413</v>
      </c>
      <c r="W57" s="1238">
        <f t="shared" si="11"/>
        <v>100191.5474371517</v>
      </c>
    </row>
    <row r="58" spans="1:25">
      <c r="A58" s="1232"/>
      <c r="B58" s="1232"/>
      <c r="C58" s="1216"/>
      <c r="D58" s="1216"/>
      <c r="E58" s="1216"/>
      <c r="F58" s="1216"/>
      <c r="G58" s="1216"/>
      <c r="H58" s="1216"/>
      <c r="I58" s="1216"/>
      <c r="J58" s="1216"/>
      <c r="K58" s="1220"/>
      <c r="L58" s="1216"/>
      <c r="M58" s="1216"/>
      <c r="N58" s="1216"/>
      <c r="O58" s="1216"/>
      <c r="P58" s="1216"/>
      <c r="Q58" s="1216"/>
      <c r="R58" s="1216"/>
      <c r="S58" s="1216"/>
      <c r="T58" s="1216"/>
      <c r="U58" s="1216"/>
      <c r="V58" s="1216"/>
      <c r="W58" s="1216"/>
      <c r="Y58" s="54"/>
    </row>
    <row r="59" spans="1:25">
      <c r="A59" s="1232"/>
      <c r="B59" s="1232"/>
      <c r="C59" s="1216"/>
      <c r="D59" s="1216"/>
      <c r="E59" s="1216"/>
      <c r="F59" s="1216"/>
      <c r="G59" s="1216"/>
      <c r="H59" s="1216"/>
      <c r="I59" s="1216"/>
      <c r="J59" s="1216"/>
      <c r="K59" s="1220"/>
      <c r="L59" s="1216"/>
      <c r="M59" s="1216"/>
      <c r="N59" s="1216"/>
      <c r="O59" s="1216"/>
      <c r="P59" s="1216"/>
      <c r="Q59" s="1216"/>
      <c r="R59" s="1216"/>
      <c r="S59" s="1216"/>
      <c r="T59" s="1216"/>
      <c r="U59" s="1216"/>
      <c r="V59" s="1216"/>
      <c r="W59" s="1216"/>
    </row>
    <row r="60" spans="1:25">
      <c r="A60" s="1233" t="s">
        <v>274</v>
      </c>
      <c r="B60" s="1233"/>
      <c r="C60" s="1239">
        <f>C47+C57</f>
        <v>89787.370098684958</v>
      </c>
      <c r="D60" s="1239">
        <f t="shared" ref="D60:W60" si="12">D47+D57</f>
        <v>29056.231554336002</v>
      </c>
      <c r="E60" s="1239">
        <f t="shared" si="12"/>
        <v>25731.808255396561</v>
      </c>
      <c r="F60" s="1239">
        <f t="shared" si="12"/>
        <v>877.02482027700012</v>
      </c>
      <c r="G60" s="1239">
        <f>G47+G57</f>
        <v>16044.42162636268</v>
      </c>
      <c r="H60" s="1239">
        <f t="shared" si="12"/>
        <v>47.243467319999993</v>
      </c>
      <c r="I60" s="1239">
        <f t="shared" si="12"/>
        <v>9500.9747887260019</v>
      </c>
      <c r="J60" s="1239">
        <f t="shared" si="12"/>
        <v>1144.4909594999999</v>
      </c>
      <c r="K60" s="1239">
        <f t="shared" si="12"/>
        <v>3585.0262084627557</v>
      </c>
      <c r="L60" s="1238">
        <f t="shared" si="12"/>
        <v>175774.59177906593</v>
      </c>
      <c r="M60" s="1239">
        <f t="shared" si="12"/>
        <v>47968.608476659028</v>
      </c>
      <c r="N60" s="1239">
        <f t="shared" si="12"/>
        <v>43695.202646857091</v>
      </c>
      <c r="O60" s="1239">
        <f t="shared" si="12"/>
        <v>8995.5495196858265</v>
      </c>
      <c r="P60" s="1239">
        <f>P47+P57</f>
        <v>176.03299999999999</v>
      </c>
      <c r="Q60" s="1239">
        <f t="shared" si="12"/>
        <v>1346.6034125749043</v>
      </c>
      <c r="R60" s="1239">
        <f>R47+R57</f>
        <v>1000.532152</v>
      </c>
      <c r="S60" s="1239">
        <f t="shared" si="12"/>
        <v>24615.6730388383</v>
      </c>
      <c r="T60" s="1239">
        <f t="shared" si="12"/>
        <v>516.3526738600001</v>
      </c>
      <c r="U60" s="1239">
        <f t="shared" si="12"/>
        <v>0</v>
      </c>
      <c r="V60" s="1239">
        <f>V47+V57</f>
        <v>51169.578324994305</v>
      </c>
      <c r="W60" s="1238">
        <f t="shared" si="12"/>
        <v>355258.72502453538</v>
      </c>
    </row>
    <row r="61" spans="1:25" ht="13.5" customHeight="1">
      <c r="A61" s="815"/>
      <c r="B61" s="815"/>
      <c r="C61" s="815"/>
      <c r="D61" s="815"/>
      <c r="E61" s="815"/>
      <c r="F61" s="815"/>
      <c r="G61" s="815"/>
      <c r="H61" s="815"/>
      <c r="I61" s="815"/>
      <c r="J61" s="815"/>
      <c r="K61" s="897"/>
      <c r="L61" s="815"/>
      <c r="M61" s="815"/>
      <c r="N61" s="815"/>
      <c r="O61" s="815"/>
      <c r="P61" s="815"/>
      <c r="Q61" s="815"/>
      <c r="R61" s="815"/>
      <c r="S61" s="815"/>
      <c r="T61" s="815"/>
      <c r="U61" s="815"/>
      <c r="V61" s="815"/>
      <c r="W61" s="815"/>
    </row>
    <row r="66" spans="4:24" hidden="1">
      <c r="D66" t="s">
        <v>760</v>
      </c>
    </row>
    <row r="67" spans="4:24" hidden="1">
      <c r="D67" t="s">
        <v>761</v>
      </c>
    </row>
    <row r="68" spans="4:24" hidden="1">
      <c r="D68" t="s">
        <v>762</v>
      </c>
    </row>
    <row r="69" spans="4:24" hidden="1"/>
    <row r="70" spans="4:24" hidden="1"/>
    <row r="71" spans="4:24" hidden="1"/>
    <row r="72" spans="4:24" ht="13.5" hidden="1" customHeight="1">
      <c r="D72" s="442"/>
      <c r="G72" s="448">
        <f>G74+G73</f>
        <v>962.74488988853227</v>
      </c>
      <c r="H72" s="437"/>
      <c r="S72" s="436"/>
      <c r="T72" s="437"/>
    </row>
    <row r="73" spans="4:24" hidden="1">
      <c r="D73" s="442"/>
      <c r="G73" s="438">
        <v>956.11919322753226</v>
      </c>
      <c r="H73" s="439" t="s">
        <v>745</v>
      </c>
      <c r="P73" s="463">
        <f>P39</f>
        <v>176.03299999999999</v>
      </c>
      <c r="Q73" s="447">
        <v>342.96311018553752</v>
      </c>
      <c r="R73" s="444">
        <v>825.46900000000005</v>
      </c>
      <c r="S73" s="442">
        <v>3649.2767417980963</v>
      </c>
      <c r="T73" s="439" t="s">
        <v>742</v>
      </c>
      <c r="X73" s="54"/>
    </row>
    <row r="74" spans="4:24" hidden="1">
      <c r="D74" s="442"/>
      <c r="G74" s="440">
        <v>6.625696661000001</v>
      </c>
      <c r="H74" s="441" t="s">
        <v>746</v>
      </c>
      <c r="P74" t="s">
        <v>763</v>
      </c>
      <c r="Q74" s="445" t="s">
        <v>749</v>
      </c>
      <c r="R74" s="445" t="s">
        <v>749</v>
      </c>
      <c r="S74" s="442">
        <v>177.67324859999999</v>
      </c>
      <c r="T74" s="439" t="s">
        <v>743</v>
      </c>
      <c r="U74" s="430" t="s">
        <v>766</v>
      </c>
    </row>
    <row r="75" spans="4:24" hidden="1">
      <c r="D75" s="442"/>
      <c r="P75" t="s">
        <v>762</v>
      </c>
      <c r="Q75" s="445" t="s">
        <v>747</v>
      </c>
      <c r="R75" s="445" t="s">
        <v>747</v>
      </c>
      <c r="S75" s="443">
        <v>12.657411704032596</v>
      </c>
      <c r="T75" s="441" t="s">
        <v>744</v>
      </c>
    </row>
    <row r="76" spans="4:24" hidden="1">
      <c r="Q76" s="446" t="s">
        <v>748</v>
      </c>
      <c r="R76" s="446" t="s">
        <v>748</v>
      </c>
    </row>
    <row r="77" spans="4:24" hidden="1"/>
    <row r="78" spans="4:24" hidden="1"/>
    <row r="79" spans="4:24" hidden="1"/>
    <row r="80" spans="4:24" hidden="1">
      <c r="S80">
        <v>13.767767999999998</v>
      </c>
      <c r="T80" t="s">
        <v>765</v>
      </c>
    </row>
  </sheetData>
  <phoneticPr fontId="0" type="noConversion"/>
  <hyperlinks>
    <hyperlink ref="D1" location="INDICE!A1" display="VOLVER A INDICE"/>
  </hyperlinks>
  <pageMargins left="0.75" right="0.75" top="1" bottom="1" header="0" footer="0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2.75"/>
  <cols>
    <col min="1" max="1" width="4.140625" customWidth="1"/>
    <col min="2" max="2" width="32.140625" customWidth="1"/>
    <col min="10" max="10" width="12.140625" customWidth="1"/>
  </cols>
  <sheetData>
    <row r="1" spans="1:31" ht="12.75" customHeight="1" thickBot="1">
      <c r="B1" s="1455" t="s">
        <v>774</v>
      </c>
      <c r="C1" s="1467" t="s">
        <v>0</v>
      </c>
      <c r="D1" s="1468"/>
      <c r="E1" s="1468"/>
      <c r="F1" s="1468"/>
      <c r="G1" s="1468"/>
      <c r="H1" s="1469"/>
      <c r="I1" s="1470" t="s">
        <v>1</v>
      </c>
      <c r="J1" s="1471"/>
      <c r="K1" s="1471"/>
      <c r="L1" s="1471"/>
      <c r="M1" s="1471"/>
      <c r="N1" s="1471"/>
      <c r="O1" s="1471"/>
      <c r="P1" s="1471"/>
      <c r="Q1" s="1471"/>
      <c r="R1" s="1471"/>
      <c r="S1" s="1472"/>
      <c r="T1" s="1460" t="s">
        <v>413</v>
      </c>
      <c r="U1" s="1462" t="s">
        <v>2</v>
      </c>
      <c r="V1" s="1462"/>
      <c r="W1" s="1462"/>
      <c r="X1" s="1462"/>
      <c r="Y1" s="1463" t="s">
        <v>789</v>
      </c>
      <c r="Z1" s="1465" t="s">
        <v>276</v>
      </c>
      <c r="AA1" s="1453" t="s">
        <v>31</v>
      </c>
      <c r="AB1" s="455"/>
      <c r="AC1" s="455"/>
      <c r="AD1" s="455"/>
      <c r="AE1" s="455"/>
    </row>
    <row r="2" spans="1:31" s="462" customFormat="1" ht="39" thickBot="1">
      <c r="B2" s="1456"/>
      <c r="C2" s="986" t="s">
        <v>403</v>
      </c>
      <c r="D2" s="987" t="s">
        <v>430</v>
      </c>
      <c r="E2" s="987" t="s">
        <v>219</v>
      </c>
      <c r="F2" s="987" t="s">
        <v>775</v>
      </c>
      <c r="G2" s="987" t="s">
        <v>776</v>
      </c>
      <c r="H2" s="988" t="s">
        <v>777</v>
      </c>
      <c r="I2" s="989" t="s">
        <v>778</v>
      </c>
      <c r="J2" s="990" t="s">
        <v>779</v>
      </c>
      <c r="K2" s="990" t="s">
        <v>780</v>
      </c>
      <c r="L2" s="991" t="s">
        <v>213</v>
      </c>
      <c r="M2" s="991" t="s">
        <v>781</v>
      </c>
      <c r="N2" s="991" t="s">
        <v>782</v>
      </c>
      <c r="O2" s="991" t="s">
        <v>783</v>
      </c>
      <c r="P2" s="991" t="s">
        <v>215</v>
      </c>
      <c r="Q2" s="991" t="s">
        <v>784</v>
      </c>
      <c r="R2" s="991" t="s">
        <v>785</v>
      </c>
      <c r="S2" s="992" t="s">
        <v>786</v>
      </c>
      <c r="T2" s="1461"/>
      <c r="U2" s="993" t="s">
        <v>854</v>
      </c>
      <c r="V2" s="460" t="s">
        <v>787</v>
      </c>
      <c r="W2" s="460" t="s">
        <v>231</v>
      </c>
      <c r="X2" s="994" t="s">
        <v>788</v>
      </c>
      <c r="Y2" s="1464"/>
      <c r="Z2" s="1466"/>
      <c r="AA2" s="1454"/>
      <c r="AB2" s="461"/>
      <c r="AC2" s="461"/>
      <c r="AD2" s="461"/>
      <c r="AE2" s="461"/>
    </row>
    <row r="3" spans="1:31">
      <c r="B3" s="995" t="s">
        <v>809</v>
      </c>
      <c r="C3" s="996">
        <f>CUADRO3!C9</f>
        <v>1397.41618979028</v>
      </c>
      <c r="D3" s="997">
        <v>18854.752453999998</v>
      </c>
      <c r="E3" s="997">
        <f>CUADRO3!C11</f>
        <v>2764.9146750000004</v>
      </c>
      <c r="F3" s="997">
        <f>CUADRO3!C14</f>
        <v>51169.578324994305</v>
      </c>
      <c r="G3" s="997">
        <f>CUADRO3!C12</f>
        <v>21496.386057650889</v>
      </c>
      <c r="H3" s="997">
        <f>CUADRO3!C13</f>
        <v>32.77899115999999</v>
      </c>
      <c r="I3" s="997">
        <v>0</v>
      </c>
      <c r="J3" s="997">
        <v>0</v>
      </c>
      <c r="K3" s="997">
        <v>0</v>
      </c>
      <c r="L3" s="997">
        <v>0</v>
      </c>
      <c r="M3" s="997">
        <v>0</v>
      </c>
      <c r="N3" s="997">
        <v>0</v>
      </c>
      <c r="O3" s="997">
        <v>0</v>
      </c>
      <c r="P3" s="997">
        <v>0</v>
      </c>
      <c r="Q3" s="997">
        <v>0</v>
      </c>
      <c r="R3" s="997">
        <v>0</v>
      </c>
      <c r="S3" s="997">
        <v>0</v>
      </c>
      <c r="T3" s="997">
        <v>0</v>
      </c>
      <c r="U3" s="997">
        <v>0</v>
      </c>
      <c r="V3" s="997">
        <v>0</v>
      </c>
      <c r="W3" s="997">
        <v>0</v>
      </c>
      <c r="X3" s="997">
        <v>0</v>
      </c>
      <c r="Y3" s="997">
        <v>0</v>
      </c>
      <c r="Z3" s="998">
        <v>0</v>
      </c>
      <c r="AA3" s="999">
        <f>SUM(C3:Z3)</f>
        <v>95715.826692595467</v>
      </c>
      <c r="AB3" s="455"/>
      <c r="AC3" s="455"/>
      <c r="AD3" s="455"/>
      <c r="AE3" s="455"/>
    </row>
    <row r="4" spans="1:31">
      <c r="B4" s="1000" t="s">
        <v>790</v>
      </c>
      <c r="C4" s="1001">
        <f>CUADRO3!D9</f>
        <v>108806.2131723588</v>
      </c>
      <c r="D4" s="1002">
        <f>CUADRO3!D10</f>
        <v>7287.3787551317955</v>
      </c>
      <c r="E4" s="1002">
        <f>CUADRO3!D11</f>
        <v>43399.63552044372</v>
      </c>
      <c r="F4" s="1002">
        <f>CUADRO3!D14</f>
        <v>0</v>
      </c>
      <c r="G4" s="1002">
        <f>CUADRO3!D12</f>
        <v>0</v>
      </c>
      <c r="H4" s="1002">
        <f>CUADRO3!D13</f>
        <v>0</v>
      </c>
      <c r="I4" s="1002">
        <f>CUADRO4!D12</f>
        <v>54810.134995056011</v>
      </c>
      <c r="J4" s="1002">
        <f>CUADRO4!D11</f>
        <v>6149.7629123174984</v>
      </c>
      <c r="K4" s="1002">
        <f>CUADRO4!D13</f>
        <v>4804.122030735999</v>
      </c>
      <c r="L4" s="1002">
        <f>CUADRO4!D14</f>
        <v>0</v>
      </c>
      <c r="M4" s="1002">
        <f>CUADRO4!D15</f>
        <v>10898.289731399815</v>
      </c>
      <c r="N4" s="1002">
        <f>CUADRO4!D16</f>
        <v>0</v>
      </c>
      <c r="O4" s="1002">
        <f>CUADRO4!D17</f>
        <v>3819.7605178980002</v>
      </c>
      <c r="P4" s="1002">
        <f>CUADRO4!D18</f>
        <v>0</v>
      </c>
      <c r="Q4" s="1002">
        <f>CUADRO4!D19</f>
        <v>0</v>
      </c>
      <c r="R4" s="1002">
        <v>2798.8475900993999</v>
      </c>
      <c r="S4" s="1002">
        <v>0</v>
      </c>
      <c r="T4" s="1002">
        <f>CUADRO4!D20</f>
        <v>992.60414819999994</v>
      </c>
      <c r="U4" s="1002">
        <v>443.62079999999997</v>
      </c>
      <c r="V4" s="1002">
        <v>0</v>
      </c>
      <c r="W4" s="1002">
        <f>CUADRO4!D23</f>
        <v>0</v>
      </c>
      <c r="X4" s="1002">
        <f>CUADRO4!D25</f>
        <v>0</v>
      </c>
      <c r="Y4" s="1002">
        <v>0</v>
      </c>
      <c r="Z4" s="1003">
        <f>CUADRO4!D27</f>
        <v>0</v>
      </c>
      <c r="AA4" s="1004">
        <f t="shared" ref="AA4:AA38" si="0">SUM(C4:Z4)</f>
        <v>244210.37017364101</v>
      </c>
      <c r="AB4" s="455"/>
      <c r="AC4" s="455"/>
      <c r="AD4" s="455"/>
      <c r="AE4" s="455"/>
    </row>
    <row r="5" spans="1:31">
      <c r="B5" s="1000" t="s">
        <v>791</v>
      </c>
      <c r="C5" s="1001">
        <f>CUADRO3!E9</f>
        <v>0</v>
      </c>
      <c r="D5" s="1002">
        <f>CUADRO3!E10</f>
        <v>0</v>
      </c>
      <c r="E5" s="1002">
        <f>CUADRO3!E11</f>
        <v>0</v>
      </c>
      <c r="F5" s="1002">
        <f>CUADRO3!E14</f>
        <v>0</v>
      </c>
      <c r="G5" s="1002">
        <f>CUADRO3!E12</f>
        <v>0</v>
      </c>
      <c r="H5" s="1002">
        <f>CUADRO3!E13</f>
        <v>0</v>
      </c>
      <c r="I5" s="1002">
        <f>CUADRO4!E12</f>
        <v>5851.4296829520008</v>
      </c>
      <c r="J5" s="1002">
        <f>CUADRO4!E11</f>
        <v>0</v>
      </c>
      <c r="K5" s="1002">
        <f>CUADRO4!E13</f>
        <v>6748.3927770560013</v>
      </c>
      <c r="L5" s="1002">
        <f>CUADRO4!E14</f>
        <v>0</v>
      </c>
      <c r="M5" s="1002">
        <f>CUADRO4!E15</f>
        <v>606.10894322000001</v>
      </c>
      <c r="N5" s="1002">
        <f>CUADRO4!E16</f>
        <v>0</v>
      </c>
      <c r="O5" s="1002">
        <f>CUADRO4!E17</f>
        <v>0</v>
      </c>
      <c r="P5" s="1002">
        <f>CUADRO4!E18</f>
        <v>327.17260799999997</v>
      </c>
      <c r="Q5" s="1002">
        <f>CUADRO4!E19</f>
        <v>0</v>
      </c>
      <c r="R5" s="1002">
        <v>0</v>
      </c>
      <c r="S5" s="1002">
        <v>0</v>
      </c>
      <c r="T5" s="1002">
        <f>CUADRO4!E20</f>
        <v>0</v>
      </c>
      <c r="U5" s="1002">
        <v>87.12</v>
      </c>
      <c r="V5" s="1002">
        <v>0</v>
      </c>
      <c r="W5" s="1002">
        <f>CUADRO4!E23</f>
        <v>0</v>
      </c>
      <c r="X5" s="1002">
        <f>CUADRO4!E25</f>
        <v>0</v>
      </c>
      <c r="Y5" s="1002">
        <v>0</v>
      </c>
      <c r="Z5" s="1003">
        <f>CUADRO4!E27</f>
        <v>5119.5456805600006</v>
      </c>
      <c r="AA5" s="1004">
        <f t="shared" si="0"/>
        <v>18739.769691788006</v>
      </c>
      <c r="AB5" s="455"/>
      <c r="AC5" s="455"/>
      <c r="AD5" s="455"/>
      <c r="AE5" s="455"/>
    </row>
    <row r="6" spans="1:31" ht="13.5" thickBot="1">
      <c r="B6" s="1005" t="s">
        <v>792</v>
      </c>
      <c r="C6" s="1006">
        <f>CUADRO3!F9</f>
        <v>-215.92451123017236</v>
      </c>
      <c r="D6" s="1007">
        <f>CUADRO3!F10+CUADRO3!E25</f>
        <v>2366.5865786934937</v>
      </c>
      <c r="E6" s="1007">
        <f>CUADRO3!F11</f>
        <v>2469.3475485866356</v>
      </c>
      <c r="F6" s="1007">
        <f>CUADRO3!F14</f>
        <v>0</v>
      </c>
      <c r="G6" s="1007">
        <f>CUADRO3!F12</f>
        <v>631.26047812210322</v>
      </c>
      <c r="H6" s="1007">
        <f>CUADRO3!F13</f>
        <v>0</v>
      </c>
      <c r="I6" s="1007">
        <f>CUADRO4!F12</f>
        <v>707.58140261902554</v>
      </c>
      <c r="J6" s="1007">
        <f>CUADRO4!F11</f>
        <v>-2889.3640607684988</v>
      </c>
      <c r="K6" s="1007">
        <f>CUADRO4!F13</f>
        <v>-2698.8282417165638</v>
      </c>
      <c r="L6" s="1007">
        <f>CUADRO4!F14</f>
        <v>-16.793812377000108</v>
      </c>
      <c r="M6" s="1007">
        <f>CUADRO4!F15</f>
        <v>2366.1004252671341</v>
      </c>
      <c r="N6" s="1007">
        <f>CUADRO4!F16</f>
        <v>2.0705386800000052</v>
      </c>
      <c r="O6" s="1007">
        <f>CUADRO4!F17</f>
        <v>-5.089877028001915</v>
      </c>
      <c r="P6" s="1007">
        <f>CUADRO4!F18</f>
        <v>-20.704197500000124</v>
      </c>
      <c r="Q6" s="1007">
        <f>CUADRO4!F19</f>
        <v>-3.0743000000001097</v>
      </c>
      <c r="R6" s="1007">
        <v>985.73391143273329</v>
      </c>
      <c r="S6" s="1007">
        <v>0</v>
      </c>
      <c r="T6" s="1007">
        <f>CUADRO4!F20</f>
        <v>4369.4603287832033</v>
      </c>
      <c r="U6" s="1007">
        <v>72.105295980841674</v>
      </c>
      <c r="V6" s="1007">
        <v>0</v>
      </c>
      <c r="W6" s="1007">
        <f>CUADRO4!F23</f>
        <v>13.862000000000016</v>
      </c>
      <c r="X6" s="1007">
        <f>CUADRO4!F25</f>
        <v>249.45571499999977</v>
      </c>
      <c r="Y6" s="1007">
        <v>28.497871286498878</v>
      </c>
      <c r="Z6" s="1008">
        <f>CUADRO4!F27</f>
        <v>252.27773669999996</v>
      </c>
      <c r="AA6" s="1009">
        <f t="shared" si="0"/>
        <v>8664.5608305314327</v>
      </c>
      <c r="AB6" s="455"/>
      <c r="AC6" s="455"/>
      <c r="AD6" s="455"/>
      <c r="AE6" s="455"/>
    </row>
    <row r="7" spans="1:31" ht="13.5" thickBot="1">
      <c r="B7" s="1010" t="s">
        <v>810</v>
      </c>
      <c r="C7" s="1011">
        <f t="shared" ref="C7:H7" si="1">C3+C4-C5-C6</f>
        <v>110419.55387337925</v>
      </c>
      <c r="D7" s="1012">
        <f t="shared" si="1"/>
        <v>23775.5446304383</v>
      </c>
      <c r="E7" s="1012">
        <f t="shared" si="1"/>
        <v>43695.202646857084</v>
      </c>
      <c r="F7" s="1012">
        <f t="shared" si="1"/>
        <v>51169.578324994305</v>
      </c>
      <c r="G7" s="1012">
        <f t="shared" si="1"/>
        <v>20865.125579528787</v>
      </c>
      <c r="H7" s="1012">
        <f t="shared" si="1"/>
        <v>32.77899115999999</v>
      </c>
      <c r="I7" s="1012">
        <f t="shared" ref="I7:Z7" si="2">I3+I4-I5-I6</f>
        <v>48251.123909484981</v>
      </c>
      <c r="J7" s="1012">
        <f t="shared" si="2"/>
        <v>9039.1269730859967</v>
      </c>
      <c r="K7" s="1012">
        <f t="shared" si="2"/>
        <v>754.55749539656154</v>
      </c>
      <c r="L7" s="1012">
        <f t="shared" si="2"/>
        <v>16.793812377000108</v>
      </c>
      <c r="M7" s="1012">
        <f t="shared" si="2"/>
        <v>7926.0803629126804</v>
      </c>
      <c r="N7" s="1012">
        <f t="shared" si="2"/>
        <v>-2.0705386800000052</v>
      </c>
      <c r="O7" s="1012">
        <f t="shared" si="2"/>
        <v>3824.8503949260021</v>
      </c>
      <c r="P7" s="1012">
        <f t="shared" si="2"/>
        <v>-306.46841049999983</v>
      </c>
      <c r="Q7" s="1012">
        <f t="shared" si="2"/>
        <v>3.0743000000001097</v>
      </c>
      <c r="R7" s="1012">
        <f t="shared" si="2"/>
        <v>1813.1136786666666</v>
      </c>
      <c r="S7" s="1012">
        <f t="shared" si="2"/>
        <v>0</v>
      </c>
      <c r="T7" s="1012">
        <f t="shared" si="2"/>
        <v>-3376.8561805832032</v>
      </c>
      <c r="U7" s="1012">
        <f t="shared" si="2"/>
        <v>284.3955040191583</v>
      </c>
      <c r="V7" s="1012">
        <f t="shared" si="2"/>
        <v>0</v>
      </c>
      <c r="W7" s="1012">
        <f t="shared" si="2"/>
        <v>-13.862000000000016</v>
      </c>
      <c r="X7" s="1012">
        <f t="shared" si="2"/>
        <v>-249.45571499999977</v>
      </c>
      <c r="Y7" s="1013">
        <f t="shared" si="2"/>
        <v>-28.497871286498878</v>
      </c>
      <c r="Z7" s="1013">
        <f t="shared" si="2"/>
        <v>-5371.8234172600005</v>
      </c>
      <c r="AA7" s="1014">
        <f t="shared" si="0"/>
        <v>312521.86634391703</v>
      </c>
      <c r="AB7" s="453"/>
      <c r="AC7" s="453"/>
      <c r="AD7" s="453"/>
      <c r="AE7" s="453"/>
    </row>
    <row r="8" spans="1:31">
      <c r="A8" s="1457" t="s">
        <v>4</v>
      </c>
      <c r="B8" s="1015" t="s">
        <v>793</v>
      </c>
      <c r="C8" s="996">
        <v>0</v>
      </c>
      <c r="D8" s="997">
        <f>-CONS_TERAC!S49</f>
        <v>-564.31591257419996</v>
      </c>
      <c r="E8" s="997">
        <f>-CONS_TERAC!N49</f>
        <v>-47.907346545296249</v>
      </c>
      <c r="F8" s="997">
        <f>-CONS_TERAC!V49</f>
        <v>-5176.7914494272754</v>
      </c>
      <c r="G8" s="997">
        <v>-361.87509741999997</v>
      </c>
      <c r="H8" s="997">
        <v>0</v>
      </c>
      <c r="I8" s="997">
        <f>-CONS_TERAC!C49</f>
        <v>-374.63342747620004</v>
      </c>
      <c r="J8" s="997">
        <f>-CONS_TERAC!D49</f>
        <v>-1184.159201579587</v>
      </c>
      <c r="K8" s="997">
        <v>0</v>
      </c>
      <c r="L8" s="997">
        <v>0</v>
      </c>
      <c r="M8" s="997">
        <f>-CONS_TERAC!G49</f>
        <v>-10.0628198</v>
      </c>
      <c r="N8" s="997">
        <v>0</v>
      </c>
      <c r="O8" s="997">
        <v>0</v>
      </c>
      <c r="P8" s="997">
        <v>0</v>
      </c>
      <c r="Q8" s="997">
        <f>-CONS_TERAC!K49</f>
        <v>-171.46348058275498</v>
      </c>
      <c r="R8" s="997">
        <v>0</v>
      </c>
      <c r="S8" s="997">
        <v>0</v>
      </c>
      <c r="T8" s="997">
        <v>3448.9251185009534</v>
      </c>
      <c r="U8" s="997">
        <v>0</v>
      </c>
      <c r="V8" s="997">
        <v>0</v>
      </c>
      <c r="W8" s="997">
        <v>0</v>
      </c>
      <c r="X8" s="997">
        <v>0</v>
      </c>
      <c r="Y8" s="998">
        <v>0</v>
      </c>
      <c r="Z8" s="998">
        <v>0</v>
      </c>
      <c r="AA8" s="999">
        <f t="shared" si="0"/>
        <v>-4442.2836169043612</v>
      </c>
      <c r="AB8" s="455"/>
      <c r="AC8" s="454"/>
      <c r="AD8" s="454"/>
      <c r="AE8" s="456"/>
    </row>
    <row r="9" spans="1:31">
      <c r="A9" s="1458"/>
      <c r="B9" s="1016" t="s">
        <v>794</v>
      </c>
      <c r="C9" s="1001">
        <v>0</v>
      </c>
      <c r="D9" s="1002">
        <f>-CONS_TERAC!S50</f>
        <v>-4709.347891775973</v>
      </c>
      <c r="E9" s="1002">
        <f>-CONS_TERAC!N50</f>
        <v>-34794.341006205344</v>
      </c>
      <c r="F9" s="1002">
        <f>-CONS_TERAC!V50</f>
        <v>-215.35068720946569</v>
      </c>
      <c r="G9" s="1002">
        <v>-20503.250482108786</v>
      </c>
      <c r="H9" s="1002">
        <v>-32.77899115999999</v>
      </c>
      <c r="I9" s="1002">
        <f>-CONS_TERAC!C50</f>
        <v>-25827.620379119995</v>
      </c>
      <c r="J9" s="1002">
        <f>-CONS_TERAC!D50</f>
        <v>-1910.4617393399997</v>
      </c>
      <c r="K9" s="1002">
        <v>0</v>
      </c>
      <c r="L9" s="1002">
        <v>0</v>
      </c>
      <c r="M9" s="1002">
        <f>-CONS_TERAC!G50</f>
        <v>-28.362531890000003</v>
      </c>
      <c r="N9" s="1002">
        <v>0</v>
      </c>
      <c r="O9" s="1002">
        <v>0</v>
      </c>
      <c r="P9" s="1002">
        <v>0</v>
      </c>
      <c r="Q9" s="1002">
        <v>0</v>
      </c>
      <c r="R9" s="1002">
        <f>-CONS_TERAC!O50</f>
        <v>-4823.4237830000011</v>
      </c>
      <c r="S9" s="1002">
        <v>0</v>
      </c>
      <c r="T9" s="1002">
        <f>CUADRO4!C20-BALANCE!T8</f>
        <v>47896.539538741279</v>
      </c>
      <c r="U9" s="1002">
        <v>0</v>
      </c>
      <c r="V9" s="1002">
        <v>0</v>
      </c>
      <c r="W9" s="1002">
        <v>0</v>
      </c>
      <c r="X9" s="1002">
        <v>0</v>
      </c>
      <c r="Y9" s="1003">
        <v>0</v>
      </c>
      <c r="Z9" s="1003">
        <v>0</v>
      </c>
      <c r="AA9" s="1004">
        <f t="shared" si="0"/>
        <v>-44948.397953068292</v>
      </c>
      <c r="AB9" s="455"/>
      <c r="AC9" s="454"/>
      <c r="AD9" s="454"/>
      <c r="AE9" s="456"/>
    </row>
    <row r="10" spans="1:31">
      <c r="A10" s="1458"/>
      <c r="B10" s="1016" t="s">
        <v>795</v>
      </c>
      <c r="C10" s="1001">
        <v>0</v>
      </c>
      <c r="D10" s="1002">
        <v>0</v>
      </c>
      <c r="E10" s="1002">
        <v>0</v>
      </c>
      <c r="F10" s="1002">
        <v>0</v>
      </c>
      <c r="G10" s="1002">
        <v>0</v>
      </c>
      <c r="H10" s="1002">
        <v>0</v>
      </c>
      <c r="I10" s="1002">
        <v>0</v>
      </c>
      <c r="J10" s="1002">
        <v>0</v>
      </c>
      <c r="K10" s="1002">
        <v>0</v>
      </c>
      <c r="L10" s="1002">
        <v>0</v>
      </c>
      <c r="M10" s="1002">
        <v>0</v>
      </c>
      <c r="N10" s="1002">
        <v>0</v>
      </c>
      <c r="O10" s="1002">
        <v>0</v>
      </c>
      <c r="P10" s="1002">
        <v>0</v>
      </c>
      <c r="Q10" s="1002">
        <v>0</v>
      </c>
      <c r="R10" s="1002">
        <v>0</v>
      </c>
      <c r="S10" s="1002">
        <v>0</v>
      </c>
      <c r="T10" s="1002">
        <v>0</v>
      </c>
      <c r="U10" s="1002">
        <f>-CONS_TERAC!O51</f>
        <v>-1249.9878669999998</v>
      </c>
      <c r="V10" s="1002">
        <v>0</v>
      </c>
      <c r="W10" s="1002">
        <v>0</v>
      </c>
      <c r="X10" s="1002">
        <f>CUADRO4!C25</f>
        <v>1249.9878669999998</v>
      </c>
      <c r="Y10" s="1003">
        <v>0</v>
      </c>
      <c r="Z10" s="1003">
        <v>0</v>
      </c>
      <c r="AA10" s="1004">
        <f t="shared" si="0"/>
        <v>0</v>
      </c>
      <c r="AB10" s="455"/>
      <c r="AC10" s="454"/>
      <c r="AD10" s="454"/>
      <c r="AE10" s="456"/>
    </row>
    <row r="11" spans="1:31">
      <c r="A11" s="1458"/>
      <c r="B11" s="1016" t="s">
        <v>796</v>
      </c>
      <c r="C11" s="1001">
        <v>0</v>
      </c>
      <c r="D11" s="1002">
        <v>0</v>
      </c>
      <c r="E11" s="1002">
        <f>-CONS_TERAC!N52</f>
        <v>-4860.0071999999991</v>
      </c>
      <c r="F11" s="1002">
        <v>0</v>
      </c>
      <c r="G11" s="1002">
        <v>0</v>
      </c>
      <c r="H11" s="1002">
        <v>0</v>
      </c>
      <c r="I11" s="1002">
        <v>0</v>
      </c>
      <c r="J11" s="1002">
        <v>0</v>
      </c>
      <c r="K11" s="1002">
        <v>0</v>
      </c>
      <c r="L11" s="1002">
        <v>0</v>
      </c>
      <c r="M11" s="1002">
        <v>0</v>
      </c>
      <c r="N11" s="1002">
        <v>0</v>
      </c>
      <c r="O11" s="1002">
        <v>0</v>
      </c>
      <c r="P11" s="1002">
        <v>0</v>
      </c>
      <c r="Q11" s="1002">
        <v>0</v>
      </c>
      <c r="R11" s="1017">
        <v>0</v>
      </c>
      <c r="S11" s="1002">
        <v>0</v>
      </c>
      <c r="T11" s="1002">
        <v>0</v>
      </c>
      <c r="U11" s="1002">
        <v>3422.9485786666664</v>
      </c>
      <c r="V11" s="1002">
        <v>1091.8690000000001</v>
      </c>
      <c r="W11" s="1002">
        <f>CUADRO4!C23</f>
        <v>189.89500000000001</v>
      </c>
      <c r="X11" s="1002">
        <v>0</v>
      </c>
      <c r="Y11" s="1003">
        <v>0</v>
      </c>
      <c r="Z11" s="1003">
        <v>0</v>
      </c>
      <c r="AA11" s="1004">
        <f t="shared" si="0"/>
        <v>-155.29462133333251</v>
      </c>
      <c r="AB11" s="455"/>
      <c r="AC11" s="454"/>
      <c r="AD11" s="454"/>
      <c r="AE11" s="456"/>
    </row>
    <row r="12" spans="1:31">
      <c r="A12" s="1458"/>
      <c r="B12" s="1016" t="s">
        <v>797</v>
      </c>
      <c r="C12" s="1001">
        <v>0</v>
      </c>
      <c r="D12" s="1002">
        <v>662.45515979999993</v>
      </c>
      <c r="E12" s="1002">
        <v>0</v>
      </c>
      <c r="F12" s="1002">
        <v>0</v>
      </c>
      <c r="G12" s="1002">
        <v>0</v>
      </c>
      <c r="H12" s="1002">
        <v>0</v>
      </c>
      <c r="I12" s="1002">
        <v>0</v>
      </c>
      <c r="J12" s="1002">
        <v>0</v>
      </c>
      <c r="K12" s="1002">
        <v>0</v>
      </c>
      <c r="L12" s="1002">
        <v>0</v>
      </c>
      <c r="M12" s="1002">
        <f>-CONS_TERAC!G51</f>
        <v>-956.11919322753226</v>
      </c>
      <c r="N12" s="1002">
        <v>0</v>
      </c>
      <c r="O12" s="1002">
        <v>0</v>
      </c>
      <c r="P12" s="1002">
        <v>0</v>
      </c>
      <c r="Q12" s="1002">
        <v>0</v>
      </c>
      <c r="R12" s="1002">
        <v>0</v>
      </c>
      <c r="S12" s="1002">
        <v>0</v>
      </c>
      <c r="T12" s="1002">
        <v>0</v>
      </c>
      <c r="U12" s="1002">
        <v>0</v>
      </c>
      <c r="V12" s="1017">
        <v>0</v>
      </c>
      <c r="W12" s="1002">
        <v>0</v>
      </c>
      <c r="X12" s="1002">
        <v>0</v>
      </c>
      <c r="Y12" s="1003">
        <v>283.23228386140318</v>
      </c>
      <c r="Z12" s="1003">
        <v>0</v>
      </c>
      <c r="AA12" s="1004">
        <f t="shared" si="0"/>
        <v>-10.431749566129156</v>
      </c>
      <c r="AB12" s="455"/>
      <c r="AC12" s="454"/>
      <c r="AD12" s="454"/>
      <c r="AE12" s="456"/>
    </row>
    <row r="13" spans="1:31">
      <c r="A13" s="1458"/>
      <c r="B13" s="1018" t="s">
        <v>798</v>
      </c>
      <c r="C13" s="1019">
        <v>0</v>
      </c>
      <c r="D13" s="1020">
        <f>-CONS_TERAC!S55</f>
        <v>-9460.2069150000007</v>
      </c>
      <c r="E13" s="1020">
        <v>0</v>
      </c>
      <c r="F13" s="1020">
        <v>0</v>
      </c>
      <c r="G13" s="1020">
        <v>0</v>
      </c>
      <c r="H13" s="1020">
        <v>0</v>
      </c>
      <c r="I13" s="1020">
        <v>0</v>
      </c>
      <c r="J13" s="1020">
        <v>0</v>
      </c>
      <c r="K13" s="1020">
        <v>0</v>
      </c>
      <c r="L13" s="1020">
        <v>0</v>
      </c>
      <c r="M13" s="1020">
        <v>0</v>
      </c>
      <c r="N13" s="1020">
        <v>0</v>
      </c>
      <c r="O13" s="1020">
        <v>0</v>
      </c>
      <c r="P13" s="1020">
        <v>0</v>
      </c>
      <c r="Q13" s="1020">
        <v>0</v>
      </c>
      <c r="R13" s="1020">
        <v>0</v>
      </c>
      <c r="S13" s="1020">
        <v>0</v>
      </c>
      <c r="T13" s="1020">
        <v>0</v>
      </c>
      <c r="U13" s="1020">
        <v>0</v>
      </c>
      <c r="V13" s="1020">
        <v>0</v>
      </c>
      <c r="W13" s="1020">
        <v>0</v>
      </c>
      <c r="X13" s="1020">
        <v>0</v>
      </c>
      <c r="Y13" s="1003">
        <v>0</v>
      </c>
      <c r="Z13" s="1003">
        <f>CUADRO4!C27</f>
        <v>5888.1760911199999</v>
      </c>
      <c r="AA13" s="1004">
        <f>SUM(C13:Z13)</f>
        <v>-3572.0308238800008</v>
      </c>
      <c r="AB13" s="455"/>
      <c r="AC13" s="454"/>
      <c r="AD13" s="454"/>
      <c r="AE13" s="456"/>
    </row>
    <row r="14" spans="1:31" ht="13.5" thickBot="1">
      <c r="A14" s="1459"/>
      <c r="B14" s="1021" t="s">
        <v>799</v>
      </c>
      <c r="C14" s="1006">
        <f>-CUADRO3!G9</f>
        <v>-110419.55387337925</v>
      </c>
      <c r="D14" s="1007">
        <f>-CONS_TERAC!S53</f>
        <v>-3649.2767417980963</v>
      </c>
      <c r="E14" s="1007">
        <v>0</v>
      </c>
      <c r="F14" s="1007">
        <v>0</v>
      </c>
      <c r="G14" s="1007">
        <v>0</v>
      </c>
      <c r="H14" s="1007">
        <v>0</v>
      </c>
      <c r="I14" s="1007">
        <f>CUADRO4!C12</f>
        <v>41536.246189199999</v>
      </c>
      <c r="J14" s="1007">
        <f>CUADRO4!C11</f>
        <v>20017.104581250002</v>
      </c>
      <c r="K14" s="1007">
        <f>CUADRO4!C13</f>
        <v>24977.250760000003</v>
      </c>
      <c r="L14" s="1007">
        <f>CUADRO4!C14</f>
        <v>860.23100790000001</v>
      </c>
      <c r="M14" s="1007">
        <f>CUADRO4!C15</f>
        <v>8118.341263450001</v>
      </c>
      <c r="N14" s="1007">
        <f>CUADRO4!C16</f>
        <v>49.314005999999992</v>
      </c>
      <c r="O14" s="1007">
        <f>CUADRO4!C17</f>
        <v>5676.1243937999998</v>
      </c>
      <c r="P14" s="1007">
        <f>CUADRO4!C18</f>
        <v>1450.9593699999998</v>
      </c>
      <c r="Q14" s="1007">
        <f>CUADRO4!C19</f>
        <v>3581.951908462755</v>
      </c>
      <c r="R14" s="1007">
        <v>3475.0917583333335</v>
      </c>
      <c r="S14" s="1007">
        <f>CUADRO11!C17</f>
        <v>1562.1975598832</v>
      </c>
      <c r="T14" s="1007">
        <v>0</v>
      </c>
      <c r="U14" s="1007">
        <v>0</v>
      </c>
      <c r="V14" s="1007">
        <v>0</v>
      </c>
      <c r="W14" s="1007">
        <v>0</v>
      </c>
      <c r="X14" s="1007">
        <v>0</v>
      </c>
      <c r="Y14" s="1008">
        <v>0</v>
      </c>
      <c r="Z14" s="1008">
        <v>0</v>
      </c>
      <c r="AA14" s="1009">
        <f>SUM(C14:Z14)</f>
        <v>-2764.0178168980451</v>
      </c>
      <c r="AB14" s="455"/>
      <c r="AC14" s="454"/>
      <c r="AD14" s="454"/>
      <c r="AE14" s="456"/>
    </row>
    <row r="15" spans="1:31" ht="13.5" thickBot="1">
      <c r="B15" s="1010" t="s">
        <v>266</v>
      </c>
      <c r="C15" s="1022">
        <f>SUM(C7:C14)</f>
        <v>0</v>
      </c>
      <c r="D15" s="1023">
        <f>SUM(D7:D14)</f>
        <v>6054.8523290900303</v>
      </c>
      <c r="E15" s="1023">
        <f>SUM(E7:E14)</f>
        <v>3992.9470941064437</v>
      </c>
      <c r="F15" s="1023">
        <f>SUM(F7:F14)</f>
        <v>45777.436188357562</v>
      </c>
      <c r="G15" s="1023">
        <f t="shared" ref="G15:Y15" si="3">SUM(G7:G14)</f>
        <v>0</v>
      </c>
      <c r="H15" s="1023">
        <f>SUM(H7:H14)</f>
        <v>0</v>
      </c>
      <c r="I15" s="1023">
        <f>SUM(I7:I14)</f>
        <v>63585.116292088787</v>
      </c>
      <c r="J15" s="1023">
        <f t="shared" si="3"/>
        <v>25961.610613416411</v>
      </c>
      <c r="K15" s="1023">
        <f t="shared" si="3"/>
        <v>25731.808255396565</v>
      </c>
      <c r="L15" s="1023">
        <f t="shared" si="3"/>
        <v>877.02482027700012</v>
      </c>
      <c r="M15" s="1023">
        <f>SUM(M7:M14)</f>
        <v>15049.877081445149</v>
      </c>
      <c r="N15" s="1023">
        <f t="shared" si="3"/>
        <v>47.243467319999986</v>
      </c>
      <c r="O15" s="1023">
        <f t="shared" si="3"/>
        <v>9500.9747887260019</v>
      </c>
      <c r="P15" s="1023">
        <f t="shared" si="3"/>
        <v>1144.4909594999999</v>
      </c>
      <c r="Q15" s="1023">
        <f t="shared" si="3"/>
        <v>3413.5627278800002</v>
      </c>
      <c r="R15" s="1023">
        <f>SUM(R7:R14)</f>
        <v>464.78165399999898</v>
      </c>
      <c r="S15" s="1023">
        <f>SUM(S7:S14)</f>
        <v>1562.1975598832</v>
      </c>
      <c r="T15" s="1023">
        <f t="shared" si="3"/>
        <v>47968.608476659028</v>
      </c>
      <c r="U15" s="1023">
        <f>SUM(U7:U14)</f>
        <v>2457.3562156858252</v>
      </c>
      <c r="V15" s="1023">
        <f>SUM(V7:V14)</f>
        <v>1091.8690000000001</v>
      </c>
      <c r="W15" s="1023">
        <f t="shared" si="3"/>
        <v>176.03299999999999</v>
      </c>
      <c r="X15" s="1023">
        <f t="shared" si="3"/>
        <v>1000.532152</v>
      </c>
      <c r="Y15" s="1024">
        <f t="shared" si="3"/>
        <v>254.7344125749043</v>
      </c>
      <c r="Z15" s="1024">
        <f>SUM(Z7:Z14)</f>
        <v>516.35267385999941</v>
      </c>
      <c r="AA15" s="1014">
        <f>SUM(C15:Z15)</f>
        <v>256629.40976226688</v>
      </c>
      <c r="AB15" s="453"/>
      <c r="AC15" s="453"/>
      <c r="AD15" s="453"/>
      <c r="AE15" s="453"/>
    </row>
    <row r="16" spans="1:31" ht="13.5" thickBot="1">
      <c r="A16" s="1457" t="s">
        <v>3</v>
      </c>
      <c r="B16" s="1010" t="s">
        <v>800</v>
      </c>
      <c r="C16" s="1025">
        <v>0</v>
      </c>
      <c r="D16" s="1026">
        <f>CONS_TERAC!S44</f>
        <v>12.657411704032596</v>
      </c>
      <c r="E16" s="1026">
        <f>CONS_TERAC!N44</f>
        <v>0</v>
      </c>
      <c r="F16" s="1026">
        <f>CONS_TERAC!V44</f>
        <v>0</v>
      </c>
      <c r="G16" s="1026">
        <v>0</v>
      </c>
      <c r="H16" s="1026">
        <v>0</v>
      </c>
      <c r="I16" s="1026">
        <f>CONS_TERAC!C44</f>
        <v>292.28947843200001</v>
      </c>
      <c r="J16" s="1026">
        <f>CONS_TERAC!D44</f>
        <v>658.43066599999997</v>
      </c>
      <c r="K16" s="1026">
        <f>CONS_TERAC!E44</f>
        <v>0.98766079999999989</v>
      </c>
      <c r="L16" s="1026">
        <f>CONS_TERAC!F44</f>
        <v>0</v>
      </c>
      <c r="M16" s="1026">
        <f>CONS_TERAC!G44</f>
        <v>1316.2451781609998</v>
      </c>
      <c r="N16" s="1026">
        <f>CONS_TERAC!H44</f>
        <v>0</v>
      </c>
      <c r="O16" s="1026">
        <f>CONS_TERAC!I44</f>
        <v>0</v>
      </c>
      <c r="P16" s="1026">
        <f>CONS_TERAC!J44</f>
        <v>1123.786762</v>
      </c>
      <c r="Q16" s="1026">
        <f>CONS_TERAC!K44</f>
        <v>3410.4884278800005</v>
      </c>
      <c r="R16" s="1026">
        <v>0</v>
      </c>
      <c r="S16" s="1026">
        <v>0</v>
      </c>
      <c r="T16" s="1026">
        <f>CONS_TERAC!M44</f>
        <v>2005.5664315159718</v>
      </c>
      <c r="U16" s="1026">
        <v>0</v>
      </c>
      <c r="V16" s="1026">
        <f>CONS_TERAC!Q44</f>
        <v>342.96311018553746</v>
      </c>
      <c r="W16" s="1026">
        <f>CONS_TERAC!P44</f>
        <v>176.03299999999999</v>
      </c>
      <c r="X16" s="1026">
        <f>CONS_TERAC!R44</f>
        <v>825.46900000000005</v>
      </c>
      <c r="Y16" s="1026">
        <v>0</v>
      </c>
      <c r="Z16" s="1027">
        <f>CONS_TERAC!T44</f>
        <v>0</v>
      </c>
      <c r="AA16" s="1014">
        <f t="shared" si="0"/>
        <v>10164.917126678542</v>
      </c>
      <c r="AB16" s="453"/>
      <c r="AC16" s="453"/>
      <c r="AD16" s="453"/>
      <c r="AE16" s="453"/>
    </row>
    <row r="17" spans="1:31" ht="13.5" thickBot="1">
      <c r="A17" s="1458"/>
      <c r="B17" s="1010" t="s">
        <v>801</v>
      </c>
      <c r="C17" s="1025">
        <f t="shared" ref="C17:Q17" si="4">SUM(C18:C28)</f>
        <v>0</v>
      </c>
      <c r="D17" s="1026">
        <f t="shared" si="4"/>
        <v>664.72789555519751</v>
      </c>
      <c r="E17" s="1026">
        <f t="shared" si="4"/>
        <v>3948.8956068155503</v>
      </c>
      <c r="F17" s="1026">
        <f t="shared" si="4"/>
        <v>16272.219563176368</v>
      </c>
      <c r="G17" s="1026">
        <f t="shared" si="4"/>
        <v>0</v>
      </c>
      <c r="H17" s="1026">
        <f t="shared" si="4"/>
        <v>0</v>
      </c>
      <c r="I17" s="1026">
        <f t="shared" si="4"/>
        <v>22361.74692975224</v>
      </c>
      <c r="J17" s="1026">
        <f t="shared" si="4"/>
        <v>9684.0364822079118</v>
      </c>
      <c r="K17" s="1026">
        <f t="shared" si="4"/>
        <v>0</v>
      </c>
      <c r="L17" s="1026">
        <f t="shared" si="4"/>
        <v>285.95282094000004</v>
      </c>
      <c r="M17" s="1026">
        <f t="shared" si="4"/>
        <v>3475.4786927748787</v>
      </c>
      <c r="N17" s="1026">
        <f t="shared" si="4"/>
        <v>0</v>
      </c>
      <c r="O17" s="1026">
        <f t="shared" si="4"/>
        <v>0</v>
      </c>
      <c r="P17" s="1026">
        <f t="shared" si="4"/>
        <v>18.209341500000001</v>
      </c>
      <c r="Q17" s="1026">
        <f t="shared" si="4"/>
        <v>3.0743</v>
      </c>
      <c r="R17" s="1026">
        <f t="shared" ref="R17:Z17" si="5">SUM(R18:R28)</f>
        <v>464.78165400000006</v>
      </c>
      <c r="S17" s="1026">
        <f t="shared" si="5"/>
        <v>0</v>
      </c>
      <c r="T17" s="1026">
        <f t="shared" si="5"/>
        <v>31504.953697691853</v>
      </c>
      <c r="U17" s="1026">
        <f t="shared" si="5"/>
        <v>2457.3562156858252</v>
      </c>
      <c r="V17" s="1026">
        <f t="shared" si="5"/>
        <v>748.90588981446251</v>
      </c>
      <c r="W17" s="1026">
        <f t="shared" si="5"/>
        <v>0</v>
      </c>
      <c r="X17" s="1026">
        <f t="shared" si="5"/>
        <v>175.06315199999997</v>
      </c>
      <c r="Y17" s="1026">
        <f t="shared" si="5"/>
        <v>0</v>
      </c>
      <c r="Z17" s="1027">
        <f t="shared" si="5"/>
        <v>516.3526738600001</v>
      </c>
      <c r="AA17" s="1014">
        <f t="shared" si="0"/>
        <v>92581.754915774291</v>
      </c>
      <c r="AB17" s="453"/>
      <c r="AC17" s="453"/>
      <c r="AD17" s="453"/>
      <c r="AE17" s="453"/>
    </row>
    <row r="18" spans="1:31">
      <c r="A18" s="1458"/>
      <c r="B18" s="1028" t="s">
        <v>246</v>
      </c>
      <c r="C18" s="1029">
        <v>0</v>
      </c>
      <c r="D18" s="1030">
        <f>CONS_TERAC!S14</f>
        <v>241.76237201850856</v>
      </c>
      <c r="E18" s="1030">
        <f>CONS_TERAC!N14</f>
        <v>1.266524</v>
      </c>
      <c r="F18" s="1030">
        <f>CONS_TERAC!V14</f>
        <v>0</v>
      </c>
      <c r="G18" s="1030">
        <v>0</v>
      </c>
      <c r="H18" s="1030">
        <v>0</v>
      </c>
      <c r="I18" s="1030">
        <f>CONS_TERAC!C14</f>
        <v>9664.9535187047077</v>
      </c>
      <c r="J18" s="1030">
        <f>CONS_TERAC!D14</f>
        <v>1516.7968563691122</v>
      </c>
      <c r="K18" s="1030">
        <f>CONS_TERAC!E14</f>
        <v>0</v>
      </c>
      <c r="L18" s="1030">
        <f>CONS_TERAC!F14</f>
        <v>80.078008833000013</v>
      </c>
      <c r="M18" s="1030">
        <f>CONS_TERAC!G14</f>
        <v>64.265753898892683</v>
      </c>
      <c r="N18" s="1030">
        <f>CONS_TERAC!H14</f>
        <v>0</v>
      </c>
      <c r="O18" s="1030">
        <f>CONS_TERAC!I14</f>
        <v>0</v>
      </c>
      <c r="P18" s="1030">
        <f>CONS_TERAC!J14</f>
        <v>16.563744400000001</v>
      </c>
      <c r="Q18" s="1030">
        <f>CONS_TERAC!K14</f>
        <v>0</v>
      </c>
      <c r="R18" s="1030">
        <v>0</v>
      </c>
      <c r="S18" s="1030">
        <v>0</v>
      </c>
      <c r="T18" s="1030">
        <f>CONS_TERAC!M14</f>
        <v>15348.885172215905</v>
      </c>
      <c r="U18" s="1030">
        <f>CONS_TERAC!O14</f>
        <v>110.696113</v>
      </c>
      <c r="V18" s="1030">
        <f>CONS_TERAC!Q14</f>
        <v>0</v>
      </c>
      <c r="W18" s="1030">
        <f>CONS_TERAC!P14</f>
        <v>0</v>
      </c>
      <c r="X18" s="1030">
        <f>CONS_TERAC!R14</f>
        <v>0</v>
      </c>
      <c r="Y18" s="1030">
        <v>0</v>
      </c>
      <c r="Z18" s="1031">
        <f>CONS_TERAC!T14</f>
        <v>0</v>
      </c>
      <c r="AA18" s="1032">
        <f t="shared" si="0"/>
        <v>27045.268063440129</v>
      </c>
      <c r="AB18" s="455"/>
      <c r="AC18" s="455"/>
      <c r="AD18" s="455"/>
      <c r="AE18" s="455"/>
    </row>
    <row r="19" spans="1:31">
      <c r="A19" s="1458"/>
      <c r="B19" s="1028" t="s">
        <v>248</v>
      </c>
      <c r="C19" s="1001">
        <v>0</v>
      </c>
      <c r="D19" s="1002">
        <f>CONS_TERAC!S15</f>
        <v>39.094174094719598</v>
      </c>
      <c r="E19" s="1002">
        <f>CONS_TERAC!N15</f>
        <v>0</v>
      </c>
      <c r="F19" s="1002">
        <f>CONS_TERAC!V15</f>
        <v>0</v>
      </c>
      <c r="G19" s="1002">
        <v>0</v>
      </c>
      <c r="H19" s="1002">
        <v>0</v>
      </c>
      <c r="I19" s="1002">
        <f>CONS_TERAC!C15</f>
        <v>396.17096400000003</v>
      </c>
      <c r="J19" s="1002">
        <f>CONS_TERAC!D15</f>
        <v>407.44200000000001</v>
      </c>
      <c r="K19" s="1002">
        <f>CONS_TERAC!E15</f>
        <v>0</v>
      </c>
      <c r="L19" s="1002">
        <f>CONS_TERAC!F15</f>
        <v>0</v>
      </c>
      <c r="M19" s="1002">
        <f>CONS_TERAC!G15</f>
        <v>2.4910391000000001</v>
      </c>
      <c r="N19" s="1002">
        <f>CONS_TERAC!H15</f>
        <v>0</v>
      </c>
      <c r="O19" s="1002">
        <f>CONS_TERAC!I15</f>
        <v>0</v>
      </c>
      <c r="P19" s="1002">
        <f>CONS_TERAC!J15</f>
        <v>0</v>
      </c>
      <c r="Q19" s="1002">
        <f>CONS_TERAC!K15</f>
        <v>0</v>
      </c>
      <c r="R19" s="1002">
        <v>0</v>
      </c>
      <c r="S19" s="1002">
        <v>0</v>
      </c>
      <c r="T19" s="1002">
        <f>CONS_TERAC!M15</f>
        <v>347.89861284618638</v>
      </c>
      <c r="U19" s="1002">
        <f>CONS_TERAC!O15</f>
        <v>0</v>
      </c>
      <c r="V19" s="1002">
        <f>CONS_TERAC!Q15</f>
        <v>0</v>
      </c>
      <c r="W19" s="1002">
        <f>CONS_TERAC!P15</f>
        <v>0</v>
      </c>
      <c r="X19" s="1002">
        <f>CONS_TERAC!R15</f>
        <v>0</v>
      </c>
      <c r="Y19" s="1002">
        <v>0</v>
      </c>
      <c r="Z19" s="1003">
        <f>CONS_TERAC!T15</f>
        <v>0</v>
      </c>
      <c r="AA19" s="1004">
        <f t="shared" si="0"/>
        <v>1193.0967900409059</v>
      </c>
      <c r="AB19" s="455"/>
      <c r="AC19" s="455"/>
      <c r="AD19" s="455"/>
      <c r="AE19" s="455"/>
    </row>
    <row r="20" spans="1:31">
      <c r="A20" s="1458"/>
      <c r="B20" s="1028" t="s">
        <v>249</v>
      </c>
      <c r="C20" s="1001">
        <v>0</v>
      </c>
      <c r="D20" s="1002">
        <f>CONS_TERAC!S16</f>
        <v>0</v>
      </c>
      <c r="E20" s="1002">
        <f>CONS_TERAC!N16</f>
        <v>584.93520000000001</v>
      </c>
      <c r="F20" s="1002">
        <f>CONS_TERAC!V16</f>
        <v>0</v>
      </c>
      <c r="G20" s="1002">
        <v>0</v>
      </c>
      <c r="H20" s="1002">
        <v>0</v>
      </c>
      <c r="I20" s="1002">
        <f>CONS_TERAC!C16</f>
        <v>37.536633455999997</v>
      </c>
      <c r="J20" s="1002">
        <f>CONS_TERAC!D16</f>
        <v>38.209499999999998</v>
      </c>
      <c r="K20" s="1002">
        <f>CONS_TERAC!E16</f>
        <v>0</v>
      </c>
      <c r="L20" s="1002">
        <f>CONS_TERAC!F16</f>
        <v>0</v>
      </c>
      <c r="M20" s="1002">
        <f>CONS_TERAC!G16</f>
        <v>0</v>
      </c>
      <c r="N20" s="1002">
        <f>CONS_TERAC!H16</f>
        <v>0</v>
      </c>
      <c r="O20" s="1002">
        <f>CONS_TERAC!I16</f>
        <v>0</v>
      </c>
      <c r="P20" s="1002">
        <f>CONS_TERAC!J16</f>
        <v>0</v>
      </c>
      <c r="Q20" s="1002">
        <f>CONS_TERAC!K16</f>
        <v>0</v>
      </c>
      <c r="R20" s="1002">
        <v>0</v>
      </c>
      <c r="S20" s="1002">
        <v>0</v>
      </c>
      <c r="T20" s="1002">
        <f>CONS_TERAC!M16</f>
        <v>406.98452348000001</v>
      </c>
      <c r="U20" s="1002">
        <f>CONS_TERAC!O16</f>
        <v>0</v>
      </c>
      <c r="V20" s="1002">
        <f>CONS_TERAC!Q16</f>
        <v>0</v>
      </c>
      <c r="W20" s="1002">
        <f>CONS_TERAC!P16</f>
        <v>0</v>
      </c>
      <c r="X20" s="1002">
        <f>CONS_TERAC!R16</f>
        <v>0</v>
      </c>
      <c r="Y20" s="1002">
        <v>0</v>
      </c>
      <c r="Z20" s="1003">
        <f>CONS_TERAC!T16</f>
        <v>0</v>
      </c>
      <c r="AA20" s="1004">
        <f t="shared" si="0"/>
        <v>1067.6658569360002</v>
      </c>
      <c r="AB20" s="455"/>
      <c r="AC20" s="455"/>
      <c r="AD20" s="455"/>
      <c r="AE20" s="455"/>
    </row>
    <row r="21" spans="1:31">
      <c r="A21" s="1458"/>
      <c r="B21" s="1028" t="s">
        <v>250</v>
      </c>
      <c r="C21" s="1001">
        <v>0</v>
      </c>
      <c r="D21" s="1002">
        <f>CONS_TERAC!S17</f>
        <v>18.19528546611124</v>
      </c>
      <c r="E21" s="1002">
        <f>CONS_TERAC!N17</f>
        <v>0.3253664</v>
      </c>
      <c r="F21" s="1002">
        <f>CONS_TERAC!V17</f>
        <v>12390.451238242773</v>
      </c>
      <c r="G21" s="1002">
        <v>0</v>
      </c>
      <c r="H21" s="1002">
        <v>0</v>
      </c>
      <c r="I21" s="1002">
        <f>CONS_TERAC!C17</f>
        <v>103.70487361746027</v>
      </c>
      <c r="J21" s="1002">
        <f>CONS_TERAC!D17</f>
        <v>2259.7470463144127</v>
      </c>
      <c r="K21" s="1002">
        <f>CONS_TERAC!E17</f>
        <v>0</v>
      </c>
      <c r="L21" s="1002">
        <f>CONS_TERAC!F17</f>
        <v>6.5850084000000003E-2</v>
      </c>
      <c r="M21" s="1002">
        <f>CONS_TERAC!G17</f>
        <v>190.04468391854007</v>
      </c>
      <c r="N21" s="1002">
        <f>CONS_TERAC!H17</f>
        <v>0</v>
      </c>
      <c r="O21" s="1002">
        <f>CONS_TERAC!I17</f>
        <v>0</v>
      </c>
      <c r="P21" s="1002">
        <f>CONS_TERAC!J17</f>
        <v>2.8174999999999995E-2</v>
      </c>
      <c r="Q21" s="1002">
        <f>CONS_TERAC!K17</f>
        <v>0</v>
      </c>
      <c r="R21" s="1002">
        <v>0</v>
      </c>
      <c r="S21" s="1002">
        <v>0</v>
      </c>
      <c r="T21" s="1002">
        <f>CONS_TERAC!M17</f>
        <v>4596.6617832998036</v>
      </c>
      <c r="U21" s="1002">
        <f>CONS_TERAC!O17</f>
        <v>0</v>
      </c>
      <c r="V21" s="1002">
        <f>CONS_TERAC!Q17</f>
        <v>0</v>
      </c>
      <c r="W21" s="1002">
        <f>CONS_TERAC!P17</f>
        <v>0</v>
      </c>
      <c r="X21" s="1002">
        <f>CONS_TERAC!R17</f>
        <v>0</v>
      </c>
      <c r="Y21" s="1002">
        <v>0</v>
      </c>
      <c r="Z21" s="1003">
        <f>CONS_TERAC!T17</f>
        <v>0</v>
      </c>
      <c r="AA21" s="1004">
        <f t="shared" si="0"/>
        <v>19559.2243023431</v>
      </c>
      <c r="AB21" s="455"/>
      <c r="AC21" s="455"/>
      <c r="AD21" s="455"/>
      <c r="AE21" s="455"/>
    </row>
    <row r="22" spans="1:31">
      <c r="A22" s="1458"/>
      <c r="B22" s="1028" t="s">
        <v>251</v>
      </c>
      <c r="C22" s="1001">
        <v>0</v>
      </c>
      <c r="D22" s="1002">
        <f>CONS_TERAC!S18</f>
        <v>0</v>
      </c>
      <c r="E22" s="1002">
        <f>CONS_TERAC!N18</f>
        <v>0</v>
      </c>
      <c r="F22" s="1002">
        <f>CONS_TERAC!V18</f>
        <v>0</v>
      </c>
      <c r="G22" s="1002">
        <v>0</v>
      </c>
      <c r="H22" s="1002">
        <v>0</v>
      </c>
      <c r="I22" s="1002">
        <f>CONS_TERAC!C18</f>
        <v>24.080124348000002</v>
      </c>
      <c r="J22" s="1002">
        <f>CONS_TERAC!D18</f>
        <v>447.51200000000006</v>
      </c>
      <c r="K22" s="1002">
        <f>CONS_TERAC!E18</f>
        <v>0</v>
      </c>
      <c r="L22" s="1002">
        <f>CONS_TERAC!F18</f>
        <v>0</v>
      </c>
      <c r="M22" s="1002">
        <f>CONS_TERAC!G18</f>
        <v>63.853597109500122</v>
      </c>
      <c r="N22" s="1002">
        <f>CONS_TERAC!H18</f>
        <v>0</v>
      </c>
      <c r="O22" s="1002">
        <f>CONS_TERAC!I18</f>
        <v>0</v>
      </c>
      <c r="P22" s="1002">
        <f>CONS_TERAC!J18</f>
        <v>0</v>
      </c>
      <c r="Q22" s="1002">
        <f>CONS_TERAC!K18</f>
        <v>0</v>
      </c>
      <c r="R22" s="1002">
        <v>0</v>
      </c>
      <c r="S22" s="1002">
        <v>0</v>
      </c>
      <c r="T22" s="1002">
        <f>CONS_TERAC!M18</f>
        <v>520.62925702000007</v>
      </c>
      <c r="U22" s="1002">
        <f>CONS_TERAC!O18</f>
        <v>2282.3105329999999</v>
      </c>
      <c r="V22" s="1002">
        <f>CONS_TERAC!Q18</f>
        <v>748.90588981446251</v>
      </c>
      <c r="W22" s="1002">
        <f>CONS_TERAC!P18</f>
        <v>0</v>
      </c>
      <c r="X22" s="1002">
        <f>CONS_TERAC!R18</f>
        <v>175.06315199999997</v>
      </c>
      <c r="Y22" s="1002">
        <v>0</v>
      </c>
      <c r="Z22" s="1003">
        <f>CONS_TERAC!T18</f>
        <v>0</v>
      </c>
      <c r="AA22" s="1004">
        <f t="shared" si="0"/>
        <v>4262.3545532919625</v>
      </c>
      <c r="AB22" s="455"/>
      <c r="AC22" s="455"/>
      <c r="AD22" s="455"/>
      <c r="AE22" s="455"/>
    </row>
    <row r="23" spans="1:31">
      <c r="A23" s="1458"/>
      <c r="B23" s="1028" t="s">
        <v>252</v>
      </c>
      <c r="C23" s="1001">
        <v>0</v>
      </c>
      <c r="D23" s="1002">
        <f>CONS_TERAC!S19</f>
        <v>0</v>
      </c>
      <c r="E23" s="1002">
        <f>CONS_TERAC!N19</f>
        <v>0</v>
      </c>
      <c r="F23" s="1002">
        <f>CONS_TERAC!V19</f>
        <v>0</v>
      </c>
      <c r="G23" s="1002">
        <v>0</v>
      </c>
      <c r="H23" s="1002">
        <v>0</v>
      </c>
      <c r="I23" s="1002">
        <f>CONS_TERAC!C19</f>
        <v>2.7210716399999995</v>
      </c>
      <c r="J23" s="1002">
        <f>CONS_TERAC!D19</f>
        <v>11.196347715</v>
      </c>
      <c r="K23" s="1002">
        <f>CONS_TERAC!E19</f>
        <v>0</v>
      </c>
      <c r="L23" s="1002">
        <f>CONS_TERAC!F19</f>
        <v>0</v>
      </c>
      <c r="M23" s="1002">
        <f>CONS_TERAC!G19</f>
        <v>0</v>
      </c>
      <c r="N23" s="1002">
        <f>CONS_TERAC!H19</f>
        <v>0</v>
      </c>
      <c r="O23" s="1002">
        <f>CONS_TERAC!I19</f>
        <v>0</v>
      </c>
      <c r="P23" s="1002">
        <f>CONS_TERAC!J19</f>
        <v>0</v>
      </c>
      <c r="Q23" s="1002">
        <f>CONS_TERAC!K19</f>
        <v>3.0743</v>
      </c>
      <c r="R23" s="1002">
        <v>0</v>
      </c>
      <c r="S23" s="1002">
        <v>0</v>
      </c>
      <c r="T23" s="1002">
        <f>CONS_TERAC!M19</f>
        <v>461.00530323258073</v>
      </c>
      <c r="U23" s="1002">
        <f>CONS_TERAC!O19</f>
        <v>0</v>
      </c>
      <c r="V23" s="1002">
        <f>CONS_TERAC!Q19</f>
        <v>0</v>
      </c>
      <c r="W23" s="1002">
        <f>CONS_TERAC!P19</f>
        <v>0</v>
      </c>
      <c r="X23" s="1002">
        <f>CONS_TERAC!R19</f>
        <v>0</v>
      </c>
      <c r="Y23" s="1002">
        <v>0</v>
      </c>
      <c r="Z23" s="1003">
        <f>CONS_TERAC!T19</f>
        <v>0</v>
      </c>
      <c r="AA23" s="1004">
        <f t="shared" si="0"/>
        <v>477.99702258758072</v>
      </c>
      <c r="AB23" s="455"/>
      <c r="AC23" s="455"/>
      <c r="AD23" s="455"/>
      <c r="AE23" s="455"/>
    </row>
    <row r="24" spans="1:31">
      <c r="A24" s="1458"/>
      <c r="B24" s="1028" t="s">
        <v>253</v>
      </c>
      <c r="C24" s="1001">
        <v>0</v>
      </c>
      <c r="D24" s="1002">
        <f>CONS_TERAC!S20</f>
        <v>4.6225277999999985</v>
      </c>
      <c r="E24" s="1002">
        <f>CONS_TERAC!N20</f>
        <v>2143.0135004008066</v>
      </c>
      <c r="F24" s="1002">
        <f>CONS_TERAC!V20</f>
        <v>0</v>
      </c>
      <c r="G24" s="1002">
        <v>0</v>
      </c>
      <c r="H24" s="1002">
        <v>0</v>
      </c>
      <c r="I24" s="1002">
        <f>CONS_TERAC!C20</f>
        <v>111.7423995828</v>
      </c>
      <c r="J24" s="1002">
        <f>CONS_TERAC!D20</f>
        <v>163.75732453500004</v>
      </c>
      <c r="K24" s="1002">
        <f>CONS_TERAC!E20</f>
        <v>0</v>
      </c>
      <c r="L24" s="1002">
        <f>CONS_TERAC!F20</f>
        <v>0</v>
      </c>
      <c r="M24" s="1002">
        <f>CONS_TERAC!G20</f>
        <v>4.9709906234999996</v>
      </c>
      <c r="N24" s="1002">
        <f>CONS_TERAC!H20</f>
        <v>0</v>
      </c>
      <c r="O24" s="1002">
        <f>CONS_TERAC!I20</f>
        <v>0</v>
      </c>
      <c r="P24" s="1002">
        <f>CONS_TERAC!J20</f>
        <v>0</v>
      </c>
      <c r="Q24" s="1002">
        <f>CONS_TERAC!K20</f>
        <v>0</v>
      </c>
      <c r="R24" s="1002">
        <f>CONS_TERAC!O20</f>
        <v>464.78165400000006</v>
      </c>
      <c r="S24" s="1002">
        <v>0</v>
      </c>
      <c r="T24" s="1002">
        <f>CONS_TERAC!M20</f>
        <v>522.23823995200007</v>
      </c>
      <c r="U24" s="1002">
        <v>0</v>
      </c>
      <c r="V24" s="1002">
        <f>CONS_TERAC!Q20</f>
        <v>0</v>
      </c>
      <c r="W24" s="1002">
        <f>CONS_TERAC!P20</f>
        <v>0</v>
      </c>
      <c r="X24" s="1002">
        <f>CONS_TERAC!R20</f>
        <v>0</v>
      </c>
      <c r="Y24" s="1002">
        <v>0</v>
      </c>
      <c r="Z24" s="1003">
        <f>CONS_TERAC!T20</f>
        <v>0</v>
      </c>
      <c r="AA24" s="1004">
        <f t="shared" si="0"/>
        <v>3415.1266368941065</v>
      </c>
      <c r="AB24" s="455"/>
      <c r="AC24" s="455"/>
      <c r="AD24" s="455"/>
      <c r="AE24" s="455"/>
    </row>
    <row r="25" spans="1:31">
      <c r="A25" s="1458"/>
      <c r="B25" s="1028" t="s">
        <v>254</v>
      </c>
      <c r="C25" s="1001">
        <v>0</v>
      </c>
      <c r="D25" s="1002">
        <f>CONS_TERAC!S21</f>
        <v>0</v>
      </c>
      <c r="E25" s="1002">
        <f>CONS_TERAC!N21</f>
        <v>409.11007475181833</v>
      </c>
      <c r="F25" s="1002">
        <f>CONS_TERAC!V21</f>
        <v>0</v>
      </c>
      <c r="G25" s="1002">
        <v>0</v>
      </c>
      <c r="H25" s="1002">
        <v>0</v>
      </c>
      <c r="I25" s="1002">
        <f>CONS_TERAC!C21</f>
        <v>3.2174660295120003</v>
      </c>
      <c r="J25" s="1002">
        <f>CONS_TERAC!D21</f>
        <v>185.37579841433336</v>
      </c>
      <c r="K25" s="1002">
        <f>CONS_TERAC!E21</f>
        <v>0</v>
      </c>
      <c r="L25" s="1002">
        <f>CONS_TERAC!F21</f>
        <v>0</v>
      </c>
      <c r="M25" s="1002">
        <f>CONS_TERAC!G21</f>
        <v>3.1302447659999997</v>
      </c>
      <c r="N25" s="1002">
        <f>CONS_TERAC!H21</f>
        <v>0</v>
      </c>
      <c r="O25" s="1002">
        <f>CONS_TERAC!I21</f>
        <v>0</v>
      </c>
      <c r="P25" s="1002">
        <f>CONS_TERAC!J21</f>
        <v>0</v>
      </c>
      <c r="Q25" s="1002">
        <f>CONS_TERAC!K21</f>
        <v>0</v>
      </c>
      <c r="R25" s="1002">
        <v>0</v>
      </c>
      <c r="S25" s="1002">
        <v>0</v>
      </c>
      <c r="T25" s="1002">
        <f>CONS_TERAC!M21</f>
        <v>62.781676999999995</v>
      </c>
      <c r="U25" s="1002">
        <f>CONS_TERAC!O21</f>
        <v>22.144452685825044</v>
      </c>
      <c r="V25" s="1002">
        <f>CONS_TERAC!Q21</f>
        <v>0</v>
      </c>
      <c r="W25" s="1002">
        <f>CONS_TERAC!P21</f>
        <v>0</v>
      </c>
      <c r="X25" s="1002">
        <f>CONS_TERAC!R21</f>
        <v>0</v>
      </c>
      <c r="Y25" s="1002">
        <v>0</v>
      </c>
      <c r="Z25" s="1003">
        <f>CONS_TERAC!T21</f>
        <v>0</v>
      </c>
      <c r="AA25" s="1004">
        <f t="shared" si="0"/>
        <v>685.75971364748875</v>
      </c>
      <c r="AB25" s="455"/>
      <c r="AC25" s="455"/>
      <c r="AD25" s="455"/>
      <c r="AE25" s="455"/>
    </row>
    <row r="26" spans="1:31">
      <c r="A26" s="1458"/>
      <c r="B26" s="1028" t="s">
        <v>255</v>
      </c>
      <c r="C26" s="1001">
        <v>0</v>
      </c>
      <c r="D26" s="1002">
        <f>CONS_TERAC!S22</f>
        <v>8.6281401000000013</v>
      </c>
      <c r="E26" s="1002">
        <f>CONS_TERAC!N22</f>
        <v>72.607682032497465</v>
      </c>
      <c r="F26" s="1002">
        <f>CONS_TERAC!V22</f>
        <v>0</v>
      </c>
      <c r="G26" s="1002">
        <v>0</v>
      </c>
      <c r="H26" s="1002">
        <v>0</v>
      </c>
      <c r="I26" s="1002">
        <f>CONS_TERAC!C22</f>
        <v>721.38046503600003</v>
      </c>
      <c r="J26" s="1002">
        <f>CONS_TERAC!D22</f>
        <v>618.42721245899997</v>
      </c>
      <c r="K26" s="1002">
        <f>CONS_TERAC!E22</f>
        <v>0</v>
      </c>
      <c r="L26" s="1002">
        <f>CONS_TERAC!F22</f>
        <v>0</v>
      </c>
      <c r="M26" s="1002">
        <f>CONS_TERAC!G22</f>
        <v>26.161585244959994</v>
      </c>
      <c r="N26" s="1002">
        <f>CONS_TERAC!H22</f>
        <v>0</v>
      </c>
      <c r="O26" s="1002">
        <f>CONS_TERAC!I22</f>
        <v>0</v>
      </c>
      <c r="P26" s="1002">
        <f>CONS_TERAC!J22</f>
        <v>0.6916720999999999</v>
      </c>
      <c r="Q26" s="1002">
        <f>CONS_TERAC!K22</f>
        <v>0</v>
      </c>
      <c r="R26" s="1002">
        <v>0</v>
      </c>
      <c r="S26" s="1002">
        <v>0</v>
      </c>
      <c r="T26" s="1002">
        <f>CONS_TERAC!M22</f>
        <v>162.10516782852307</v>
      </c>
      <c r="U26" s="1002">
        <f>CONS_TERAC!O22</f>
        <v>0</v>
      </c>
      <c r="V26" s="1002">
        <f>CONS_TERAC!Q22</f>
        <v>0</v>
      </c>
      <c r="W26" s="1002">
        <f>CONS_TERAC!P22</f>
        <v>0</v>
      </c>
      <c r="X26" s="1002">
        <f>CONS_TERAC!R22</f>
        <v>0</v>
      </c>
      <c r="Y26" s="1002">
        <v>0</v>
      </c>
      <c r="Z26" s="1003">
        <f>CONS_TERAC!T22</f>
        <v>0</v>
      </c>
      <c r="AA26" s="1004">
        <f t="shared" si="0"/>
        <v>1610.0019248009805</v>
      </c>
      <c r="AB26" s="455"/>
      <c r="AC26" s="455"/>
      <c r="AD26" s="455"/>
      <c r="AE26" s="455"/>
    </row>
    <row r="27" spans="1:31">
      <c r="A27" s="1458"/>
      <c r="B27" s="1028" t="s">
        <v>256</v>
      </c>
      <c r="C27" s="1001">
        <v>0</v>
      </c>
      <c r="D27" s="1002">
        <f>CONS_TERAC!S23</f>
        <v>350.1114724268582</v>
      </c>
      <c r="E27" s="1002">
        <f>CONS_TERAC!N23</f>
        <v>737.63725923042784</v>
      </c>
      <c r="F27" s="1002">
        <f>CONS_TERAC!V23</f>
        <v>3881.7683249335955</v>
      </c>
      <c r="G27" s="1002">
        <v>0</v>
      </c>
      <c r="H27" s="1002">
        <v>0</v>
      </c>
      <c r="I27" s="1002">
        <f>CONS_TERAC!C23</f>
        <v>8463.1853559359442</v>
      </c>
      <c r="J27" s="1002">
        <f>CONS_TERAC!D23</f>
        <v>3754.0645093076646</v>
      </c>
      <c r="K27" s="1002">
        <f>CONS_TERAC!E23</f>
        <v>0</v>
      </c>
      <c r="L27" s="1002">
        <f>CONS_TERAC!F23</f>
        <v>148.45737801600001</v>
      </c>
      <c r="M27" s="1002">
        <f>CONS_TERAC!G23</f>
        <v>3099.9931551956856</v>
      </c>
      <c r="N27" s="1002">
        <f>CONS_TERAC!H23</f>
        <v>0</v>
      </c>
      <c r="O27" s="1002">
        <f>CONS_TERAC!I23</f>
        <v>0</v>
      </c>
      <c r="P27" s="1002">
        <f>CONS_TERAC!J23</f>
        <v>0</v>
      </c>
      <c r="Q27" s="1002">
        <f>CONS_TERAC!K23</f>
        <v>0</v>
      </c>
      <c r="R27" s="1002">
        <v>0</v>
      </c>
      <c r="S27" s="1002">
        <v>0</v>
      </c>
      <c r="T27" s="1002">
        <f>CONS_TERAC!M23</f>
        <v>7739.3075128776645</v>
      </c>
      <c r="U27" s="1002">
        <f>CONS_TERAC!O23</f>
        <v>13.007617</v>
      </c>
      <c r="V27" s="1002">
        <f>CONS_TERAC!Q23</f>
        <v>0</v>
      </c>
      <c r="W27" s="1002">
        <f>CONS_TERAC!P23</f>
        <v>0</v>
      </c>
      <c r="X27" s="1002">
        <f>CONS_TERAC!R23</f>
        <v>0</v>
      </c>
      <c r="Y27" s="1002">
        <v>0</v>
      </c>
      <c r="Z27" s="1003">
        <f>CONS_TERAC!T23</f>
        <v>516.3526738600001</v>
      </c>
      <c r="AA27" s="1004">
        <f t="shared" si="0"/>
        <v>28703.885258783841</v>
      </c>
      <c r="AB27" s="455"/>
      <c r="AC27" s="455"/>
      <c r="AD27" s="455"/>
      <c r="AE27" s="455"/>
    </row>
    <row r="28" spans="1:31" ht="13.5" thickBot="1">
      <c r="A28" s="1458"/>
      <c r="B28" s="1028" t="s">
        <v>257</v>
      </c>
      <c r="C28" s="1019">
        <v>0</v>
      </c>
      <c r="D28" s="1020">
        <f>CONS_TERAC!S24</f>
        <v>2.3139236490000004</v>
      </c>
      <c r="E28" s="1020">
        <f>CONS_TERAC!N24</f>
        <v>0</v>
      </c>
      <c r="F28" s="1020">
        <f>CONS_TERAC!V24</f>
        <v>0</v>
      </c>
      <c r="G28" s="1020">
        <v>0</v>
      </c>
      <c r="H28" s="1020">
        <v>0</v>
      </c>
      <c r="I28" s="1020">
        <f>CONS_TERAC!C24</f>
        <v>2833.054057401816</v>
      </c>
      <c r="J28" s="1020">
        <f>CONS_TERAC!D24</f>
        <v>281.50788709338798</v>
      </c>
      <c r="K28" s="1020">
        <f>CONS_TERAC!E24</f>
        <v>0</v>
      </c>
      <c r="L28" s="1020">
        <f>CONS_TERAC!F24</f>
        <v>57.351584006999985</v>
      </c>
      <c r="M28" s="1020">
        <f>CONS_TERAC!G24</f>
        <v>20.567642917800004</v>
      </c>
      <c r="N28" s="1020">
        <f>CONS_TERAC!H24</f>
        <v>0</v>
      </c>
      <c r="O28" s="1020">
        <f>CONS_TERAC!I24</f>
        <v>0</v>
      </c>
      <c r="P28" s="1020">
        <f>CONS_TERAC!J24</f>
        <v>0.92574999999999996</v>
      </c>
      <c r="Q28" s="1020">
        <f>CONS_TERAC!K24</f>
        <v>0</v>
      </c>
      <c r="R28" s="1020">
        <v>0</v>
      </c>
      <c r="S28" s="1020">
        <v>0</v>
      </c>
      <c r="T28" s="1020">
        <f>CONS_TERAC!M24</f>
        <v>1336.4564479391929</v>
      </c>
      <c r="U28" s="1020">
        <f>CONS_TERAC!O24</f>
        <v>29.197500000000002</v>
      </c>
      <c r="V28" s="1020">
        <f>CONS_TERAC!Q24</f>
        <v>0</v>
      </c>
      <c r="W28" s="1020">
        <f>CONS_TERAC!P24</f>
        <v>0</v>
      </c>
      <c r="X28" s="1020">
        <f>CONS_TERAC!R24</f>
        <v>0</v>
      </c>
      <c r="Y28" s="1020">
        <v>0</v>
      </c>
      <c r="Z28" s="1033">
        <f>CONS_TERAC!T24</f>
        <v>0</v>
      </c>
      <c r="AA28" s="1034">
        <f t="shared" si="0"/>
        <v>4561.3747930081972</v>
      </c>
      <c r="AB28" s="455"/>
      <c r="AC28" s="455"/>
      <c r="AD28" s="455"/>
      <c r="AE28" s="455"/>
    </row>
    <row r="29" spans="1:31" ht="13.5" thickBot="1">
      <c r="A29" s="1458"/>
      <c r="B29" s="1010" t="s">
        <v>802</v>
      </c>
      <c r="C29" s="1025">
        <f t="shared" ref="C29:Q29" si="6">SUM(C30:C33)</f>
        <v>0</v>
      </c>
      <c r="D29" s="1026">
        <f t="shared" si="6"/>
        <v>143.62281876539927</v>
      </c>
      <c r="E29" s="1026">
        <f t="shared" si="6"/>
        <v>0.19040000000000001</v>
      </c>
      <c r="F29" s="1026">
        <f t="shared" si="6"/>
        <v>0</v>
      </c>
      <c r="G29" s="1026">
        <f t="shared" si="6"/>
        <v>0</v>
      </c>
      <c r="H29" s="1026">
        <f t="shared" si="6"/>
        <v>0</v>
      </c>
      <c r="I29" s="1026">
        <f t="shared" si="6"/>
        <v>39115.354909756679</v>
      </c>
      <c r="J29" s="1026">
        <f t="shared" si="6"/>
        <v>14990.2366117455</v>
      </c>
      <c r="K29" s="1026">
        <f t="shared" si="6"/>
        <v>25730.82059459656</v>
      </c>
      <c r="L29" s="1026">
        <f t="shared" si="6"/>
        <v>13.949536500000001</v>
      </c>
      <c r="M29" s="1026">
        <f t="shared" si="6"/>
        <v>35.91767244263</v>
      </c>
      <c r="N29" s="1026">
        <f t="shared" si="6"/>
        <v>47.243467319999993</v>
      </c>
      <c r="O29" s="1026">
        <f t="shared" si="6"/>
        <v>9500.9747887260019</v>
      </c>
      <c r="P29" s="1026">
        <f t="shared" si="6"/>
        <v>2.4602409999999999</v>
      </c>
      <c r="Q29" s="1026">
        <f t="shared" si="6"/>
        <v>0</v>
      </c>
      <c r="R29" s="1026">
        <f>SUM(R30:R33)</f>
        <v>0</v>
      </c>
      <c r="S29" s="1026">
        <f>SUM(S30:S33)</f>
        <v>0</v>
      </c>
      <c r="T29" s="1026">
        <f>SUM(T30:T33)</f>
        <v>366.66327980292283</v>
      </c>
      <c r="U29" s="1026">
        <f t="shared" ref="U29:Z29" si="7">SUM(U30:U33)</f>
        <v>0</v>
      </c>
      <c r="V29" s="1026">
        <f t="shared" si="7"/>
        <v>0</v>
      </c>
      <c r="W29" s="1026">
        <f t="shared" si="7"/>
        <v>0</v>
      </c>
      <c r="X29" s="1026">
        <f t="shared" si="7"/>
        <v>0</v>
      </c>
      <c r="Y29" s="1026">
        <f t="shared" si="7"/>
        <v>0</v>
      </c>
      <c r="Z29" s="1027">
        <f t="shared" si="7"/>
        <v>0</v>
      </c>
      <c r="AA29" s="1014">
        <f t="shared" si="0"/>
        <v>89947.434320655695</v>
      </c>
      <c r="AB29" s="453"/>
      <c r="AC29" s="453"/>
      <c r="AD29" s="453"/>
      <c r="AE29" s="453"/>
    </row>
    <row r="30" spans="1:31">
      <c r="A30" s="1458"/>
      <c r="B30" s="1028" t="s">
        <v>239</v>
      </c>
      <c r="C30" s="1029">
        <v>0</v>
      </c>
      <c r="D30" s="1030">
        <f>CONS_TERAC!S7</f>
        <v>143.62281876539927</v>
      </c>
      <c r="E30" s="1030">
        <f>CONS_TERAC!N7</f>
        <v>0</v>
      </c>
      <c r="F30" s="1030">
        <f>CONS_TERAC!V7</f>
        <v>0</v>
      </c>
      <c r="G30" s="1030">
        <v>0</v>
      </c>
      <c r="H30" s="1030">
        <v>0</v>
      </c>
      <c r="I30" s="1030">
        <f>CONS_TERAC!C7</f>
        <v>35006.317872819127</v>
      </c>
      <c r="J30" s="1030">
        <f>CONS_TERAC!D7</f>
        <v>1.9218181500000002</v>
      </c>
      <c r="K30" s="1030">
        <f>CONS_TERAC!E7</f>
        <v>25681.920290164559</v>
      </c>
      <c r="L30" s="1030">
        <f>CONS_TERAC!F7</f>
        <v>12.780706500000001</v>
      </c>
      <c r="M30" s="1030">
        <f>CONS_TERAC!G7</f>
        <v>35.91767244263</v>
      </c>
      <c r="N30" s="1030">
        <f>CONS_TERAC!H7</f>
        <v>0.47879999999999995</v>
      </c>
      <c r="O30" s="1030">
        <f>CONS_TERAC!I7</f>
        <v>1.6813170000000002</v>
      </c>
      <c r="P30" s="1030">
        <f>CONS_TERAC!J7</f>
        <v>2.4602409999999999</v>
      </c>
      <c r="Q30" s="1030">
        <f>CONS_TERAC!K7</f>
        <v>0</v>
      </c>
      <c r="R30" s="1030">
        <v>0</v>
      </c>
      <c r="S30" s="1030">
        <v>0</v>
      </c>
      <c r="T30" s="1030">
        <f>CONS_TERAC!M7</f>
        <v>320.82861144292281</v>
      </c>
      <c r="U30" s="1030">
        <f>CONS_TERAC!O7</f>
        <v>0</v>
      </c>
      <c r="V30" s="1030">
        <f>CONS_TERAC!Q7</f>
        <v>0</v>
      </c>
      <c r="W30" s="1030">
        <f>CONS_TERAC!P7</f>
        <v>0</v>
      </c>
      <c r="X30" s="1030">
        <f>CONS_TERAC!R7</f>
        <v>0</v>
      </c>
      <c r="Y30" s="1030">
        <v>0</v>
      </c>
      <c r="Z30" s="1031">
        <f>CONS_TERAC!T7</f>
        <v>0</v>
      </c>
      <c r="AA30" s="1032">
        <f t="shared" si="0"/>
        <v>61207.930148284635</v>
      </c>
      <c r="AB30" s="455"/>
      <c r="AC30" s="455"/>
      <c r="AD30" s="455"/>
      <c r="AE30" s="455"/>
    </row>
    <row r="31" spans="1:31">
      <c r="A31" s="1458"/>
      <c r="B31" s="1028" t="s">
        <v>241</v>
      </c>
      <c r="C31" s="1001">
        <v>0</v>
      </c>
      <c r="D31" s="1002">
        <f>CONS_TERAC!S8</f>
        <v>0</v>
      </c>
      <c r="E31" s="1002">
        <f>CONS_TERAC!N8</f>
        <v>0.19040000000000001</v>
      </c>
      <c r="F31" s="1002">
        <f>CONS_TERAC!V8</f>
        <v>0</v>
      </c>
      <c r="G31" s="1002">
        <v>0</v>
      </c>
      <c r="H31" s="1002">
        <v>0</v>
      </c>
      <c r="I31" s="1002">
        <f>CONS_TERAC!C8</f>
        <v>485.3107676759999</v>
      </c>
      <c r="J31" s="1002">
        <f>CONS_TERAC!D8</f>
        <v>0</v>
      </c>
      <c r="K31" s="1002">
        <f>CONS_TERAC!E8</f>
        <v>0</v>
      </c>
      <c r="L31" s="1002">
        <f>CONS_TERAC!F8</f>
        <v>0</v>
      </c>
      <c r="M31" s="1002">
        <f>CONS_TERAC!G8</f>
        <v>0</v>
      </c>
      <c r="N31" s="1002">
        <f>CONS_TERAC!H8</f>
        <v>0</v>
      </c>
      <c r="O31" s="1002">
        <f>CONS_TERAC!I8</f>
        <v>0</v>
      </c>
      <c r="P31" s="1002">
        <f>CONS_TERAC!J8</f>
        <v>0</v>
      </c>
      <c r="Q31" s="1002">
        <f>CONS_TERAC!K8</f>
        <v>0</v>
      </c>
      <c r="R31" s="1002">
        <v>0</v>
      </c>
      <c r="S31" s="1002">
        <v>0</v>
      </c>
      <c r="T31" s="1002">
        <f>CONS_TERAC!M8</f>
        <v>45.834668360000002</v>
      </c>
      <c r="U31" s="1002">
        <f>CONS_TERAC!O8</f>
        <v>0</v>
      </c>
      <c r="V31" s="1002">
        <f>CONS_TERAC!Q8</f>
        <v>0</v>
      </c>
      <c r="W31" s="1002">
        <f>CONS_TERAC!P8</f>
        <v>0</v>
      </c>
      <c r="X31" s="1002">
        <f>CONS_TERAC!R8</f>
        <v>0</v>
      </c>
      <c r="Y31" s="1002">
        <v>0</v>
      </c>
      <c r="Z31" s="1003">
        <f>CONS_TERAC!T8</f>
        <v>0</v>
      </c>
      <c r="AA31" s="1004">
        <f t="shared" si="0"/>
        <v>531.33583603599993</v>
      </c>
      <c r="AB31" s="455"/>
      <c r="AC31" s="455"/>
      <c r="AD31" s="455"/>
      <c r="AE31" s="455"/>
    </row>
    <row r="32" spans="1:31">
      <c r="A32" s="1458"/>
      <c r="B32" s="1028" t="s">
        <v>242</v>
      </c>
      <c r="C32" s="1001">
        <v>0</v>
      </c>
      <c r="D32" s="1002">
        <f>CONS_TERAC!S9</f>
        <v>0</v>
      </c>
      <c r="E32" s="1002">
        <f>CONS_TERAC!N9</f>
        <v>0</v>
      </c>
      <c r="F32" s="1002">
        <f>CONS_TERAC!V9</f>
        <v>0</v>
      </c>
      <c r="G32" s="1002">
        <v>0</v>
      </c>
      <c r="H32" s="1002">
        <v>0</v>
      </c>
      <c r="I32" s="1002">
        <f>CONS_TERAC!C9</f>
        <v>3616.2953373959995</v>
      </c>
      <c r="J32" s="1002">
        <f>CONS_TERAC!D9</f>
        <v>14988.3147935955</v>
      </c>
      <c r="K32" s="1002">
        <f>CONS_TERAC!E9</f>
        <v>48.900304431999999</v>
      </c>
      <c r="L32" s="1002">
        <f>CONS_TERAC!F9</f>
        <v>1.1688300000000003</v>
      </c>
      <c r="M32" s="1002">
        <f>CONS_TERAC!G9</f>
        <v>0</v>
      </c>
      <c r="N32" s="1002">
        <f>CONS_TERAC!H9</f>
        <v>0</v>
      </c>
      <c r="O32" s="1002">
        <f>CONS_TERAC!I9</f>
        <v>0</v>
      </c>
      <c r="P32" s="1002">
        <f>CONS_TERAC!J9</f>
        <v>0</v>
      </c>
      <c r="Q32" s="1002">
        <f>CONS_TERAC!K9</f>
        <v>0</v>
      </c>
      <c r="R32" s="1002">
        <v>0</v>
      </c>
      <c r="S32" s="1002">
        <v>0</v>
      </c>
      <c r="T32" s="1002">
        <f>CONS_TERAC!M9</f>
        <v>0</v>
      </c>
      <c r="U32" s="1002">
        <f>CONS_TERAC!O9</f>
        <v>0</v>
      </c>
      <c r="V32" s="1002">
        <f>CONS_TERAC!Q9</f>
        <v>0</v>
      </c>
      <c r="W32" s="1002">
        <f>CONS_TERAC!P9</f>
        <v>0</v>
      </c>
      <c r="X32" s="1002">
        <f>CONS_TERAC!R9</f>
        <v>0</v>
      </c>
      <c r="Y32" s="1002">
        <v>0</v>
      </c>
      <c r="Z32" s="1003">
        <f>CONS_TERAC!T9</f>
        <v>0</v>
      </c>
      <c r="AA32" s="1004">
        <f t="shared" si="0"/>
        <v>18654.6792654235</v>
      </c>
      <c r="AB32" s="455"/>
      <c r="AC32" s="455"/>
      <c r="AD32" s="455"/>
      <c r="AE32" s="455"/>
    </row>
    <row r="33" spans="1:31" ht="13.5" thickBot="1">
      <c r="A33" s="1458"/>
      <c r="B33" s="1028" t="s">
        <v>243</v>
      </c>
      <c r="C33" s="1019">
        <v>0</v>
      </c>
      <c r="D33" s="1020">
        <f>CONS_TERAC!S10</f>
        <v>0</v>
      </c>
      <c r="E33" s="1020">
        <f>CONS_TERAC!N10</f>
        <v>0</v>
      </c>
      <c r="F33" s="1020">
        <f>CONS_TERAC!V10</f>
        <v>0</v>
      </c>
      <c r="G33" s="1020">
        <v>0</v>
      </c>
      <c r="H33" s="1020">
        <v>0</v>
      </c>
      <c r="I33" s="1020">
        <f>CONS_TERAC!C10</f>
        <v>7.4309318655599998</v>
      </c>
      <c r="J33" s="1020">
        <f>CONS_TERAC!D10</f>
        <v>0</v>
      </c>
      <c r="K33" s="1020">
        <f>CONS_TERAC!E10</f>
        <v>0</v>
      </c>
      <c r="L33" s="1020">
        <f>CONS_TERAC!F10</f>
        <v>0</v>
      </c>
      <c r="M33" s="1020">
        <f>CONS_TERAC!G10</f>
        <v>0</v>
      </c>
      <c r="N33" s="1020">
        <f>CONS_TERAC!H10</f>
        <v>46.764667319999994</v>
      </c>
      <c r="O33" s="1020">
        <f>CONS_TERAC!I10</f>
        <v>9499.2934717260014</v>
      </c>
      <c r="P33" s="1020">
        <f>CONS_TERAC!J10</f>
        <v>0</v>
      </c>
      <c r="Q33" s="1020">
        <f>CONS_TERAC!K10</f>
        <v>0</v>
      </c>
      <c r="R33" s="1020">
        <v>0</v>
      </c>
      <c r="S33" s="1020">
        <v>0</v>
      </c>
      <c r="T33" s="1020">
        <f>CONS_TERAC!M10</f>
        <v>0</v>
      </c>
      <c r="U33" s="1020">
        <f>CONS_TERAC!O10</f>
        <v>0</v>
      </c>
      <c r="V33" s="1020">
        <f>CONS_TERAC!Q10</f>
        <v>0</v>
      </c>
      <c r="W33" s="1020">
        <f>CONS_TERAC!P10</f>
        <v>0</v>
      </c>
      <c r="X33" s="1020">
        <f>CONS_TERAC!R10</f>
        <v>0</v>
      </c>
      <c r="Y33" s="1020">
        <v>0</v>
      </c>
      <c r="Z33" s="1033">
        <f>CONS_TERAC!T10</f>
        <v>0</v>
      </c>
      <c r="AA33" s="1034">
        <f t="shared" si="0"/>
        <v>9553.4890709115607</v>
      </c>
      <c r="AB33" s="455"/>
      <c r="AC33" s="455"/>
      <c r="AD33" s="455"/>
      <c r="AE33" s="455"/>
    </row>
    <row r="34" spans="1:31" ht="24.75" customHeight="1" thickBot="1">
      <c r="A34" s="1458"/>
      <c r="B34" s="1035" t="s">
        <v>803</v>
      </c>
      <c r="C34" s="1025">
        <f>SUM(C35:C37)</f>
        <v>0</v>
      </c>
      <c r="D34" s="1026">
        <f t="shared" ref="D34:Z34" si="8">SUM(D35:D37)</f>
        <v>5233.8442030654014</v>
      </c>
      <c r="E34" s="1026">
        <f t="shared" si="8"/>
        <v>43.861087290898759</v>
      </c>
      <c r="F34" s="1026">
        <f t="shared" si="8"/>
        <v>29505.216625181194</v>
      </c>
      <c r="G34" s="1026">
        <f t="shared" si="8"/>
        <v>0</v>
      </c>
      <c r="H34" s="1026">
        <f t="shared" si="8"/>
        <v>0</v>
      </c>
      <c r="I34" s="1026">
        <f t="shared" si="8"/>
        <v>1815.7249741478397</v>
      </c>
      <c r="J34" s="1026">
        <f t="shared" si="8"/>
        <v>628.90685346300006</v>
      </c>
      <c r="K34" s="1026">
        <f t="shared" si="8"/>
        <v>0</v>
      </c>
      <c r="L34" s="1026">
        <f t="shared" si="8"/>
        <v>577.12246283700006</v>
      </c>
      <c r="M34" s="1026">
        <f t="shared" si="8"/>
        <v>10222.235538066639</v>
      </c>
      <c r="N34" s="1026">
        <f t="shared" si="8"/>
        <v>0</v>
      </c>
      <c r="O34" s="1026">
        <f t="shared" si="8"/>
        <v>0</v>
      </c>
      <c r="P34" s="1026">
        <f t="shared" si="8"/>
        <v>0</v>
      </c>
      <c r="Q34" s="1026">
        <f t="shared" si="8"/>
        <v>0</v>
      </c>
      <c r="R34" s="1026">
        <f t="shared" si="8"/>
        <v>0</v>
      </c>
      <c r="S34" s="1026">
        <f t="shared" si="8"/>
        <v>0</v>
      </c>
      <c r="T34" s="1026">
        <f t="shared" si="8"/>
        <v>14091.425067648277</v>
      </c>
      <c r="U34" s="1026">
        <f t="shared" si="8"/>
        <v>0</v>
      </c>
      <c r="V34" s="1026">
        <f t="shared" si="8"/>
        <v>0</v>
      </c>
      <c r="W34" s="1026">
        <f t="shared" si="8"/>
        <v>0</v>
      </c>
      <c r="X34" s="1026">
        <f t="shared" si="8"/>
        <v>0</v>
      </c>
      <c r="Y34" s="1026">
        <f t="shared" si="8"/>
        <v>254.7344125749043</v>
      </c>
      <c r="Z34" s="1027">
        <f t="shared" si="8"/>
        <v>0</v>
      </c>
      <c r="AA34" s="1014">
        <f t="shared" si="0"/>
        <v>62373.071224275162</v>
      </c>
      <c r="AB34" s="453"/>
      <c r="AC34" s="453"/>
      <c r="AD34" s="453"/>
      <c r="AE34" s="453"/>
    </row>
    <row r="35" spans="1:31">
      <c r="A35" s="1458"/>
      <c r="B35" s="1028" t="s">
        <v>262</v>
      </c>
      <c r="C35" s="1029">
        <v>0</v>
      </c>
      <c r="D35" s="1030">
        <f>CONS_TERAC!S29</f>
        <v>1095.0140778531202</v>
      </c>
      <c r="E35" s="1030">
        <f>CONS_TERAC!N29</f>
        <v>0</v>
      </c>
      <c r="F35" s="1030">
        <f>CONS_TERAC!V29</f>
        <v>0</v>
      </c>
      <c r="G35" s="1030">
        <v>0</v>
      </c>
      <c r="H35" s="1030">
        <v>0</v>
      </c>
      <c r="I35" s="1030">
        <f>CONS_TERAC!C29</f>
        <v>1700.3757147694798</v>
      </c>
      <c r="J35" s="1030">
        <f>CONS_TERAC!D29</f>
        <v>590.53695873900006</v>
      </c>
      <c r="K35" s="1030">
        <f>CONS_TERAC!E29</f>
        <v>0</v>
      </c>
      <c r="L35" s="1030">
        <f>CONS_TERAC!F29</f>
        <v>3.6719244</v>
      </c>
      <c r="M35" s="1030">
        <f>CONS_TERAC!G29</f>
        <v>1060.2908899137501</v>
      </c>
      <c r="N35" s="1030">
        <f>CONS_TERAC!H29</f>
        <v>0</v>
      </c>
      <c r="O35" s="1030">
        <f>CONS_TERAC!I29</f>
        <v>0</v>
      </c>
      <c r="P35" s="1030">
        <f>CONS_TERAC!J29</f>
        <v>0</v>
      </c>
      <c r="Q35" s="1030">
        <f>CONS_TERAC!K29</f>
        <v>0</v>
      </c>
      <c r="R35" s="1030">
        <v>0</v>
      </c>
      <c r="S35" s="1030">
        <v>0</v>
      </c>
      <c r="T35" s="1030">
        <f>CONS_TERAC!M29</f>
        <v>5330.2547853334654</v>
      </c>
      <c r="U35" s="1030">
        <f>CONS_TERAC!O29</f>
        <v>0</v>
      </c>
      <c r="V35" s="1030">
        <v>0</v>
      </c>
      <c r="W35" s="1030">
        <f>CONS_TERAC!P29</f>
        <v>0</v>
      </c>
      <c r="X35" s="1030">
        <f>CONS_TERAC!R29</f>
        <v>0</v>
      </c>
      <c r="Y35" s="1030">
        <f>CONS_TERAC!Q29</f>
        <v>125.20218732579497</v>
      </c>
      <c r="Z35" s="1031">
        <f>CONS_TERAC!T29</f>
        <v>0</v>
      </c>
      <c r="AA35" s="1032">
        <f t="shared" si="0"/>
        <v>9905.3465383346102</v>
      </c>
      <c r="AB35" s="455"/>
      <c r="AC35" s="455"/>
      <c r="AD35" s="455"/>
      <c r="AE35" s="455"/>
    </row>
    <row r="36" spans="1:31">
      <c r="A36" s="1458"/>
      <c r="B36" s="1028" t="s">
        <v>263</v>
      </c>
      <c r="C36" s="1001">
        <v>0</v>
      </c>
      <c r="D36" s="1002">
        <f>CONS_TERAC!S30</f>
        <v>184.69378108054835</v>
      </c>
      <c r="E36" s="1002">
        <f>CONS_TERAC!N30</f>
        <v>43.714856290898759</v>
      </c>
      <c r="F36" s="1002">
        <f>CONS_TERAC!V30</f>
        <v>0</v>
      </c>
      <c r="G36" s="1002">
        <v>0</v>
      </c>
      <c r="H36" s="1002">
        <v>0</v>
      </c>
      <c r="I36" s="1002">
        <f>CONS_TERAC!C30</f>
        <v>62.796064521119995</v>
      </c>
      <c r="J36" s="1002">
        <f>CONS_TERAC!D30</f>
        <v>38.369894724000005</v>
      </c>
      <c r="K36" s="1002">
        <f>CONS_TERAC!E30</f>
        <v>0</v>
      </c>
      <c r="L36" s="1002">
        <f>CONS_TERAC!F30</f>
        <v>2.5174800000000004</v>
      </c>
      <c r="M36" s="1002">
        <f>CONS_TERAC!G30</f>
        <v>196.27482948920877</v>
      </c>
      <c r="N36" s="1002">
        <f>CONS_TERAC!H30</f>
        <v>0</v>
      </c>
      <c r="O36" s="1002">
        <f>CONS_TERAC!I30</f>
        <v>0</v>
      </c>
      <c r="P36" s="1002">
        <f>CONS_TERAC!J30</f>
        <v>0</v>
      </c>
      <c r="Q36" s="1002">
        <f>CONS_TERAC!K30</f>
        <v>0</v>
      </c>
      <c r="R36" s="1002">
        <v>0</v>
      </c>
      <c r="S36" s="1002">
        <v>0</v>
      </c>
      <c r="T36" s="1002">
        <f>CONS_TERAC!M30</f>
        <v>1237.0703019585987</v>
      </c>
      <c r="U36" s="1002">
        <f>CONS_TERAC!O30</f>
        <v>0</v>
      </c>
      <c r="V36" s="1002">
        <v>0</v>
      </c>
      <c r="W36" s="1002">
        <f>CONS_TERAC!P30</f>
        <v>0</v>
      </c>
      <c r="X36" s="1002">
        <f>CONS_TERAC!R30</f>
        <v>0</v>
      </c>
      <c r="Y36" s="1002">
        <f>CONS_TERAC!Q30</f>
        <v>12.114290635263007</v>
      </c>
      <c r="Z36" s="1003">
        <f>CONS_TERAC!T30</f>
        <v>0</v>
      </c>
      <c r="AA36" s="1004">
        <f t="shared" si="0"/>
        <v>1777.5514986996375</v>
      </c>
      <c r="AB36" s="455"/>
      <c r="AC36" s="455"/>
      <c r="AD36" s="455"/>
      <c r="AE36" s="455"/>
    </row>
    <row r="37" spans="1:31" ht="13.5" thickBot="1">
      <c r="A37" s="1458"/>
      <c r="B37" s="1028" t="s">
        <v>264</v>
      </c>
      <c r="C37" s="1006">
        <v>0</v>
      </c>
      <c r="D37" s="1007">
        <f>CONS_TERAC!S31</f>
        <v>3954.136344131733</v>
      </c>
      <c r="E37" s="1007">
        <f>CONS_TERAC!N31</f>
        <v>0.146231</v>
      </c>
      <c r="F37" s="1007">
        <f>CONS_TERAC!V31</f>
        <v>29505.216625181194</v>
      </c>
      <c r="G37" s="1007">
        <v>0</v>
      </c>
      <c r="H37" s="1007">
        <v>0</v>
      </c>
      <c r="I37" s="1007">
        <f>CONS_TERAC!C31</f>
        <v>52.553194857240008</v>
      </c>
      <c r="J37" s="1007">
        <f>CONS_TERAC!D31</f>
        <v>0</v>
      </c>
      <c r="K37" s="1007">
        <f>CONS_TERAC!E31</f>
        <v>0</v>
      </c>
      <c r="L37" s="1007">
        <f>CONS_TERAC!F31</f>
        <v>570.933058437</v>
      </c>
      <c r="M37" s="1007">
        <f>CONS_TERAC!G31</f>
        <v>8965.6698186636804</v>
      </c>
      <c r="N37" s="1007">
        <f>CONS_TERAC!H31</f>
        <v>0</v>
      </c>
      <c r="O37" s="1007">
        <f>CONS_TERAC!I31</f>
        <v>0</v>
      </c>
      <c r="P37" s="1007">
        <f>CONS_TERAC!J31</f>
        <v>0</v>
      </c>
      <c r="Q37" s="1007">
        <f>CONS_TERAC!K31</f>
        <v>0</v>
      </c>
      <c r="R37" s="1007">
        <v>0</v>
      </c>
      <c r="S37" s="1007">
        <v>0</v>
      </c>
      <c r="T37" s="1007">
        <f>CONS_TERAC!M31</f>
        <v>7524.0999803562127</v>
      </c>
      <c r="U37" s="1007">
        <f>CONS_TERAC!O31</f>
        <v>0</v>
      </c>
      <c r="V37" s="1007">
        <v>0</v>
      </c>
      <c r="W37" s="1007">
        <f>CONS_TERAC!P31</f>
        <v>0</v>
      </c>
      <c r="X37" s="1007">
        <f>CONS_TERAC!R31</f>
        <v>0</v>
      </c>
      <c r="Y37" s="1007">
        <f>CONS_TERAC!Q31</f>
        <v>117.4179346138463</v>
      </c>
      <c r="Z37" s="1008">
        <f>CONS_TERAC!T31</f>
        <v>0</v>
      </c>
      <c r="AA37" s="1034">
        <f t="shared" si="0"/>
        <v>50690.173187240907</v>
      </c>
      <c r="AB37" s="455"/>
      <c r="AC37" s="455"/>
      <c r="AD37" s="455"/>
      <c r="AE37" s="455"/>
    </row>
    <row r="38" spans="1:31" ht="13.5" thickBot="1">
      <c r="A38" s="1459"/>
      <c r="B38" s="1010" t="s">
        <v>804</v>
      </c>
      <c r="C38" s="1025">
        <v>0</v>
      </c>
      <c r="D38" s="1026">
        <v>0</v>
      </c>
      <c r="E38" s="1026">
        <v>0</v>
      </c>
      <c r="F38" s="1026">
        <v>0</v>
      </c>
      <c r="G38" s="1026">
        <v>0</v>
      </c>
      <c r="H38" s="1026">
        <v>0</v>
      </c>
      <c r="I38" s="1026">
        <v>0</v>
      </c>
      <c r="J38" s="1026">
        <v>0</v>
      </c>
      <c r="K38" s="1026">
        <v>0</v>
      </c>
      <c r="L38" s="1026">
        <v>0</v>
      </c>
      <c r="M38" s="1026">
        <v>0</v>
      </c>
      <c r="N38" s="1026">
        <v>0</v>
      </c>
      <c r="O38" s="1026">
        <v>0</v>
      </c>
      <c r="P38" s="1026">
        <v>0</v>
      </c>
      <c r="Q38" s="1026">
        <v>0</v>
      </c>
      <c r="R38" s="1026">
        <v>0</v>
      </c>
      <c r="S38" s="1026">
        <f>CUADRO11!C17</f>
        <v>1562.1975598832</v>
      </c>
      <c r="T38" s="1026">
        <v>0</v>
      </c>
      <c r="U38" s="1026">
        <v>0</v>
      </c>
      <c r="V38" s="1026">
        <v>0</v>
      </c>
      <c r="W38" s="1026">
        <v>0</v>
      </c>
      <c r="X38" s="1026">
        <v>0</v>
      </c>
      <c r="Y38" s="1026">
        <v>0</v>
      </c>
      <c r="Z38" s="1027">
        <v>0</v>
      </c>
      <c r="AA38" s="1014">
        <f t="shared" si="0"/>
        <v>1562.1975598832</v>
      </c>
      <c r="AB38" s="453"/>
      <c r="AC38" s="453"/>
      <c r="AD38" s="453"/>
      <c r="AE38" s="453"/>
    </row>
  </sheetData>
  <mergeCells count="10">
    <mergeCell ref="AA1:AA2"/>
    <mergeCell ref="B1:B2"/>
    <mergeCell ref="A8:A14"/>
    <mergeCell ref="A16:A38"/>
    <mergeCell ref="T1:T2"/>
    <mergeCell ref="U1:X1"/>
    <mergeCell ref="Y1:Y2"/>
    <mergeCell ref="Z1:Z2"/>
    <mergeCell ref="C1:H1"/>
    <mergeCell ref="I1:S1"/>
  </mergeCells>
  <phoneticPr fontId="51" type="noConversion"/>
  <pageMargins left="0.75" right="0.75" top="1" bottom="1" header="0" footer="0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A2" sqref="A2"/>
    </sheetView>
  </sheetViews>
  <sheetFormatPr baseColWidth="10" defaultRowHeight="12.75"/>
  <cols>
    <col min="1" max="1" width="1.42578125" style="296" customWidth="1"/>
    <col min="2" max="2" width="44.5703125" style="296" customWidth="1"/>
    <col min="3" max="6" width="13.28515625" style="296" customWidth="1"/>
    <col min="7" max="7" width="15.42578125" style="296" customWidth="1"/>
    <col min="8" max="16" width="11.42578125" style="3"/>
    <col min="17" max="16384" width="11.42578125" style="296"/>
  </cols>
  <sheetData>
    <row r="1" spans="1:18" ht="6.75" customHeight="1" thickBot="1">
      <c r="A1" s="504"/>
      <c r="B1" s="504"/>
      <c r="C1" s="504"/>
      <c r="D1" s="504"/>
      <c r="E1" s="504"/>
      <c r="F1" s="504"/>
      <c r="G1" s="504"/>
      <c r="H1" s="62"/>
      <c r="I1" s="62"/>
      <c r="J1" s="62"/>
    </row>
    <row r="2" spans="1:18" ht="13.5" thickBot="1">
      <c r="A2" s="504"/>
      <c r="B2" s="680"/>
      <c r="C2" s="681"/>
      <c r="D2" s="681"/>
      <c r="E2" s="681"/>
      <c r="F2" s="681"/>
      <c r="G2" s="682"/>
      <c r="H2" s="509" t="s">
        <v>649</v>
      </c>
      <c r="I2" s="708"/>
      <c r="J2" s="62"/>
    </row>
    <row r="3" spans="1:18" ht="15.75">
      <c r="A3" s="504"/>
      <c r="B3" s="683" t="s">
        <v>152</v>
      </c>
      <c r="C3" s="684"/>
      <c r="D3" s="685"/>
      <c r="E3" s="685"/>
      <c r="F3" s="685"/>
      <c r="G3" s="686"/>
      <c r="H3" s="708"/>
      <c r="I3" s="708"/>
      <c r="J3" s="62"/>
    </row>
    <row r="4" spans="1:18" ht="15.75">
      <c r="A4" s="504"/>
      <c r="B4" s="687" t="s">
        <v>153</v>
      </c>
      <c r="C4" s="688"/>
      <c r="D4" s="689"/>
      <c r="E4" s="689"/>
      <c r="F4" s="689"/>
      <c r="G4" s="690"/>
      <c r="H4" s="708"/>
      <c r="I4" s="708"/>
      <c r="J4" s="62"/>
    </row>
    <row r="5" spans="1:18" ht="15.75">
      <c r="A5" s="504"/>
      <c r="B5" s="687"/>
      <c r="C5" s="688">
        <v>2008</v>
      </c>
      <c r="D5" s="689"/>
      <c r="E5" s="689"/>
      <c r="F5" s="689"/>
      <c r="G5" s="690"/>
      <c r="H5" s="708"/>
      <c r="I5" s="708"/>
      <c r="J5" s="62"/>
    </row>
    <row r="6" spans="1:18" ht="15.75">
      <c r="A6" s="504"/>
      <c r="B6" s="687"/>
      <c r="C6" s="689"/>
      <c r="D6" s="689"/>
      <c r="E6" s="689"/>
      <c r="F6" s="689"/>
      <c r="G6" s="690"/>
      <c r="H6" s="708"/>
      <c r="I6" s="708"/>
      <c r="J6" s="62"/>
    </row>
    <row r="7" spans="1:18" ht="15.75">
      <c r="A7" s="504"/>
      <c r="B7" s="687"/>
      <c r="C7" s="689"/>
      <c r="D7" s="689"/>
      <c r="E7" s="689"/>
      <c r="F7" s="689"/>
      <c r="G7" s="690"/>
      <c r="H7" s="708"/>
      <c r="I7" s="708"/>
      <c r="J7" s="62"/>
    </row>
    <row r="8" spans="1:18" ht="15.75">
      <c r="A8" s="504"/>
      <c r="B8" s="687"/>
      <c r="C8" s="691" t="s">
        <v>45</v>
      </c>
      <c r="D8" s="691" t="s">
        <v>46</v>
      </c>
      <c r="E8" s="691" t="s">
        <v>47</v>
      </c>
      <c r="F8" s="691" t="s">
        <v>154</v>
      </c>
      <c r="G8" s="692" t="s">
        <v>49</v>
      </c>
      <c r="H8" s="708"/>
      <c r="I8" s="708"/>
      <c r="J8" s="62"/>
    </row>
    <row r="9" spans="1:18" ht="16.5" thickBot="1">
      <c r="A9" s="504"/>
      <c r="B9" s="693" t="s">
        <v>23</v>
      </c>
      <c r="C9" s="694" t="s">
        <v>50</v>
      </c>
      <c r="D9" s="694"/>
      <c r="E9" s="694"/>
      <c r="F9" s="694" t="s">
        <v>155</v>
      </c>
      <c r="G9" s="695" t="s">
        <v>52</v>
      </c>
      <c r="H9" s="708"/>
      <c r="I9" s="708"/>
      <c r="J9" s="62"/>
    </row>
    <row r="10" spans="1:18" ht="16.5" customHeight="1">
      <c r="A10" s="504"/>
      <c r="B10" s="696" t="s">
        <v>820</v>
      </c>
      <c r="C10" s="678">
        <v>153.52914000000001</v>
      </c>
      <c r="D10" s="678">
        <v>11718.114996</v>
      </c>
      <c r="E10" s="678">
        <v>0</v>
      </c>
      <c r="F10" s="678">
        <v>-23.260385999999926</v>
      </c>
      <c r="G10" s="679">
        <v>11894.904522000001</v>
      </c>
      <c r="H10" s="787"/>
      <c r="I10" s="709"/>
      <c r="J10" s="62"/>
      <c r="Q10" s="3"/>
      <c r="R10" s="3"/>
    </row>
    <row r="11" spans="1:18" ht="16.5" customHeight="1">
      <c r="A11" s="504"/>
      <c r="B11" s="697" t="s">
        <v>817</v>
      </c>
      <c r="C11" s="698">
        <v>2108.4338788566533</v>
      </c>
      <c r="D11" s="698">
        <v>780.14974361757788</v>
      </c>
      <c r="E11" s="698">
        <v>0</v>
      </c>
      <c r="F11" s="698">
        <v>234.1899758709678</v>
      </c>
      <c r="G11" s="699">
        <v>2654.3936466032633</v>
      </c>
      <c r="H11" s="787"/>
      <c r="I11" s="709"/>
      <c r="J11" s="62"/>
      <c r="Q11" s="3"/>
      <c r="R11" s="3"/>
    </row>
    <row r="12" spans="1:18" ht="16.5" customHeight="1">
      <c r="A12" s="504"/>
      <c r="B12" s="697" t="s">
        <v>821</v>
      </c>
      <c r="C12" s="698">
        <v>394.98781071428573</v>
      </c>
      <c r="D12" s="698">
        <v>6199.9479314919599</v>
      </c>
      <c r="E12" s="698">
        <v>0</v>
      </c>
      <c r="F12" s="698">
        <v>352.76393551237652</v>
      </c>
      <c r="G12" s="699">
        <v>6242.1718066938693</v>
      </c>
      <c r="H12" s="787"/>
      <c r="I12" s="709"/>
      <c r="J12" s="62"/>
      <c r="Q12" s="3"/>
      <c r="R12" s="3"/>
    </row>
    <row r="13" spans="1:18" ht="16.5" customHeight="1">
      <c r="A13" s="504"/>
      <c r="B13" s="697" t="s">
        <v>818</v>
      </c>
      <c r="C13" s="698">
        <v>25033.912847454525</v>
      </c>
      <c r="D13" s="698">
        <v>0</v>
      </c>
      <c r="E13" s="698">
        <v>0</v>
      </c>
      <c r="F13" s="698">
        <v>734.02381176988752</v>
      </c>
      <c r="G13" s="699">
        <v>24299.889035684639</v>
      </c>
      <c r="H13" s="787"/>
      <c r="I13" s="709"/>
      <c r="J13" s="62"/>
      <c r="Q13" s="3"/>
      <c r="R13" s="3"/>
    </row>
    <row r="14" spans="1:18" ht="16.5" customHeight="1">
      <c r="A14" s="504"/>
      <c r="B14" s="697" t="s">
        <v>822</v>
      </c>
      <c r="C14" s="698">
        <v>14619.879521426945</v>
      </c>
      <c r="D14" s="698">
        <v>0</v>
      </c>
      <c r="E14" s="698">
        <v>0</v>
      </c>
      <c r="F14" s="698">
        <v>0</v>
      </c>
      <c r="G14" s="699">
        <v>14619.879521426945</v>
      </c>
      <c r="H14" s="787"/>
      <c r="I14" s="709"/>
      <c r="J14" s="62"/>
      <c r="Q14" s="3"/>
      <c r="R14" s="3"/>
    </row>
    <row r="15" spans="1:18" ht="16.5" customHeight="1" thickBot="1">
      <c r="A15" s="504"/>
      <c r="B15" s="700" t="s">
        <v>819</v>
      </c>
      <c r="C15" s="701">
        <v>0</v>
      </c>
      <c r="D15" s="701">
        <v>0</v>
      </c>
      <c r="E15" s="701">
        <v>0</v>
      </c>
      <c r="F15" s="701">
        <v>0</v>
      </c>
      <c r="G15" s="702">
        <v>0</v>
      </c>
      <c r="H15" s="787"/>
      <c r="I15" s="709"/>
      <c r="J15" s="62"/>
      <c r="Q15" s="3"/>
      <c r="R15" s="3"/>
    </row>
    <row r="16" spans="1:18" s="3" customFormat="1">
      <c r="A16" s="62"/>
      <c r="B16" s="524" t="s">
        <v>156</v>
      </c>
      <c r="C16" s="703" t="s">
        <v>157</v>
      </c>
      <c r="D16" s="531">
        <v>64.626800000000003</v>
      </c>
      <c r="E16" s="524" t="s">
        <v>158</v>
      </c>
      <c r="F16" s="531">
        <v>34.001040000000003</v>
      </c>
      <c r="G16" s="524" t="s">
        <v>159</v>
      </c>
      <c r="H16" s="531">
        <v>54.901300000000006</v>
      </c>
      <c r="I16" s="708"/>
      <c r="J16" s="62"/>
    </row>
    <row r="17" spans="1:18" s="3" customFormat="1">
      <c r="A17" s="62"/>
      <c r="B17" s="524" t="s">
        <v>160</v>
      </c>
      <c r="C17" s="524" t="s">
        <v>161</v>
      </c>
      <c r="D17" s="531">
        <v>2108.4338788566533</v>
      </c>
      <c r="E17" s="524" t="s">
        <v>162</v>
      </c>
      <c r="F17" s="530">
        <v>0</v>
      </c>
      <c r="G17" s="704"/>
      <c r="H17" s="704"/>
      <c r="I17" s="708"/>
      <c r="J17" s="62"/>
    </row>
    <row r="18" spans="1:18" s="3" customFormat="1">
      <c r="A18" s="62"/>
      <c r="B18" s="524" t="s">
        <v>175</v>
      </c>
      <c r="C18" s="524" t="s">
        <v>163</v>
      </c>
      <c r="D18" s="530">
        <v>39.137250495034301</v>
      </c>
      <c r="E18" s="524" t="s">
        <v>164</v>
      </c>
      <c r="F18" s="530">
        <v>195.05272537593351</v>
      </c>
      <c r="G18" s="704"/>
      <c r="H18" s="704"/>
      <c r="I18" s="708"/>
      <c r="J18" s="62"/>
    </row>
    <row r="19" spans="1:18" s="3" customFormat="1">
      <c r="A19" s="62"/>
      <c r="B19" s="524" t="s">
        <v>165</v>
      </c>
      <c r="C19" s="524" t="s">
        <v>166</v>
      </c>
      <c r="D19" s="531">
        <v>1217.7730000000001</v>
      </c>
      <c r="E19" s="524" t="s">
        <v>167</v>
      </c>
      <c r="F19" s="530">
        <f>CONS_U.FIS!R40</f>
        <v>0</v>
      </c>
      <c r="G19" s="705"/>
      <c r="H19" s="704"/>
      <c r="I19" s="708"/>
      <c r="J19" s="62"/>
    </row>
    <row r="20" spans="1:18" s="3" customFormat="1">
      <c r="A20" s="62"/>
      <c r="B20" s="524" t="s">
        <v>168</v>
      </c>
      <c r="C20" s="530" t="s">
        <v>169</v>
      </c>
      <c r="D20" s="706">
        <v>19.164759028239132</v>
      </c>
      <c r="E20" s="705"/>
      <c r="F20" s="704"/>
      <c r="G20" s="704"/>
      <c r="H20" s="704"/>
      <c r="I20" s="708"/>
      <c r="J20" s="62"/>
    </row>
    <row r="21" spans="1:18" s="3" customFormat="1">
      <c r="A21" s="62"/>
      <c r="B21" s="524" t="s">
        <v>764</v>
      </c>
      <c r="C21" s="524" t="s">
        <v>170</v>
      </c>
      <c r="D21" s="530">
        <v>738.43919999999991</v>
      </c>
      <c r="E21" s="524" t="s">
        <v>171</v>
      </c>
      <c r="F21" s="531">
        <v>5461.5087314919601</v>
      </c>
      <c r="G21" s="704"/>
      <c r="H21" s="704"/>
      <c r="I21" s="708"/>
      <c r="J21" s="62"/>
    </row>
    <row r="22" spans="1:18" s="3" customFormat="1">
      <c r="A22" s="62"/>
      <c r="B22" s="707" t="s">
        <v>34</v>
      </c>
      <c r="C22" s="707"/>
      <c r="D22" s="707"/>
      <c r="E22" s="707"/>
      <c r="F22" s="707"/>
      <c r="G22" s="707"/>
      <c r="H22" s="707"/>
      <c r="I22" s="459"/>
      <c r="J22" s="62"/>
    </row>
    <row r="23" spans="1:18" s="3" customFormat="1">
      <c r="A23" s="62"/>
      <c r="B23" s="500" t="s">
        <v>769</v>
      </c>
      <c r="C23" s="707"/>
      <c r="D23" s="707"/>
      <c r="E23" s="707"/>
      <c r="F23" s="707"/>
      <c r="G23" s="707"/>
      <c r="H23" s="707"/>
      <c r="I23" s="459"/>
      <c r="J23" s="62"/>
    </row>
    <row r="24" spans="1:18" s="3" customFormat="1">
      <c r="A24" s="62"/>
      <c r="B24" s="708"/>
      <c r="C24" s="708"/>
      <c r="D24" s="709"/>
      <c r="E24" s="708"/>
      <c r="F24" s="708"/>
      <c r="G24" s="708"/>
      <c r="H24" s="708"/>
      <c r="I24" s="708"/>
      <c r="J24" s="62"/>
    </row>
    <row r="25" spans="1:18" s="3" customFormat="1">
      <c r="A25" s="62"/>
      <c r="B25" s="708"/>
      <c r="C25" s="708"/>
      <c r="D25" s="708"/>
      <c r="E25" s="708"/>
      <c r="F25" s="708"/>
      <c r="G25" s="708"/>
      <c r="H25" s="708"/>
      <c r="I25" s="708"/>
      <c r="J25" s="62"/>
    </row>
    <row r="26" spans="1:18">
      <c r="A26" s="504"/>
      <c r="B26" s="710"/>
      <c r="C26" s="711"/>
      <c r="D26" s="712"/>
      <c r="E26" s="708"/>
      <c r="F26" s="708"/>
      <c r="G26" s="708"/>
      <c r="H26" s="708"/>
      <c r="I26" s="708"/>
      <c r="J26" s="62"/>
      <c r="Q26" s="3"/>
      <c r="R26" s="3"/>
    </row>
    <row r="27" spans="1:18" ht="13.5" thickBot="1">
      <c r="A27" s="504"/>
      <c r="B27" s="713" t="s">
        <v>172</v>
      </c>
      <c r="C27" s="714"/>
      <c r="D27" s="715"/>
      <c r="E27" s="708"/>
      <c r="F27" s="708"/>
      <c r="G27" s="708"/>
      <c r="H27" s="708"/>
      <c r="I27" s="708"/>
      <c r="J27" s="62"/>
      <c r="Q27" s="3"/>
      <c r="R27" s="3"/>
    </row>
    <row r="28" spans="1:18">
      <c r="A28" s="504"/>
      <c r="B28" s="716" t="s">
        <v>173</v>
      </c>
      <c r="C28" s="717"/>
      <c r="D28" s="718"/>
      <c r="E28" s="708"/>
      <c r="F28" s="719"/>
      <c r="G28" s="708"/>
      <c r="H28" s="708"/>
      <c r="I28" s="708"/>
      <c r="J28" s="62"/>
      <c r="Q28" s="3"/>
      <c r="R28" s="3"/>
    </row>
    <row r="29" spans="1:18">
      <c r="A29" s="504"/>
      <c r="B29" s="720" t="s">
        <v>174</v>
      </c>
      <c r="C29" s="721">
        <v>38.842400000000005</v>
      </c>
      <c r="D29" s="722"/>
      <c r="E29" s="708"/>
      <c r="F29" s="719"/>
      <c r="G29" s="708"/>
      <c r="H29" s="708"/>
      <c r="I29" s="708"/>
      <c r="J29" s="62"/>
      <c r="Q29" s="3"/>
      <c r="R29" s="3"/>
    </row>
    <row r="30" spans="1:18" ht="13.5" thickBot="1">
      <c r="A30" s="504"/>
      <c r="B30" s="723" t="s">
        <v>700</v>
      </c>
      <c r="C30" s="724">
        <v>703.88679999999999</v>
      </c>
      <c r="D30" s="725"/>
      <c r="E30" s="708"/>
      <c r="F30" s="708"/>
      <c r="G30" s="708"/>
      <c r="H30" s="708"/>
      <c r="I30" s="708"/>
      <c r="J30" s="62"/>
      <c r="Q30" s="3"/>
      <c r="R30" s="3"/>
    </row>
    <row r="31" spans="1:18" s="3" customFormat="1">
      <c r="A31" s="62"/>
      <c r="B31" s="62"/>
      <c r="C31" s="62"/>
      <c r="D31" s="62"/>
      <c r="E31" s="62"/>
      <c r="F31" s="62"/>
      <c r="G31" s="62"/>
      <c r="H31" s="62"/>
      <c r="I31" s="62"/>
      <c r="J31" s="62"/>
    </row>
    <row r="32" spans="1:18" s="3" customFormat="1">
      <c r="A32" s="62"/>
      <c r="B32" s="62"/>
      <c r="C32" s="62"/>
      <c r="D32" s="62"/>
      <c r="E32" s="62"/>
      <c r="F32" s="62"/>
      <c r="G32" s="62"/>
      <c r="H32" s="62"/>
      <c r="I32" s="62"/>
      <c r="J32" s="62"/>
    </row>
    <row r="33" spans="1:10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>
      <c r="A34" s="62"/>
      <c r="B34" s="62"/>
      <c r="C34" s="62"/>
      <c r="D34" s="62"/>
      <c r="E34" s="62"/>
      <c r="F34" s="62"/>
      <c r="G34" s="62"/>
      <c r="H34" s="62"/>
      <c r="I34" s="62"/>
      <c r="J34" s="62"/>
    </row>
    <row r="35" spans="1:10">
      <c r="A35" s="62"/>
      <c r="B35" s="62"/>
      <c r="C35" s="62"/>
      <c r="D35" s="62"/>
      <c r="E35" s="62"/>
      <c r="F35" s="62"/>
      <c r="G35" s="62"/>
      <c r="H35" s="62"/>
      <c r="I35" s="62"/>
      <c r="J35" s="62"/>
    </row>
    <row r="36" spans="1:10">
      <c r="A36" s="62"/>
      <c r="B36" s="62"/>
      <c r="C36" s="62"/>
      <c r="D36" s="62"/>
      <c r="E36" s="62"/>
      <c r="F36" s="62"/>
      <c r="G36" s="62"/>
      <c r="H36" s="62"/>
      <c r="I36" s="62"/>
      <c r="J36" s="62"/>
    </row>
    <row r="37" spans="1:10">
      <c r="A37" s="62"/>
      <c r="B37" s="62"/>
      <c r="C37" s="62"/>
      <c r="D37" s="62"/>
      <c r="E37" s="62"/>
      <c r="F37" s="62"/>
      <c r="G37" s="62"/>
      <c r="H37" s="62"/>
      <c r="I37" s="62"/>
      <c r="J37" s="62"/>
    </row>
    <row r="38" spans="1:10">
      <c r="A38" s="62"/>
      <c r="B38" s="62"/>
      <c r="C38" s="62"/>
      <c r="D38" s="62"/>
      <c r="E38" s="62"/>
      <c r="F38" s="62"/>
      <c r="G38" s="62"/>
      <c r="H38" s="62"/>
      <c r="I38" s="62"/>
      <c r="J38" s="62"/>
    </row>
    <row r="39" spans="1:10">
      <c r="A39" s="3"/>
      <c r="B39" s="3"/>
      <c r="C39" s="3"/>
      <c r="D39" s="3"/>
      <c r="E39" s="3"/>
      <c r="F39" s="3"/>
      <c r="G39" s="3"/>
    </row>
    <row r="40" spans="1:10">
      <c r="A40" s="3"/>
      <c r="B40" s="3"/>
      <c r="C40" s="3"/>
      <c r="D40" s="3"/>
      <c r="E40" s="3"/>
      <c r="F40" s="3"/>
      <c r="G40" s="3"/>
    </row>
    <row r="41" spans="1:10">
      <c r="A41" s="3"/>
      <c r="B41" s="3"/>
      <c r="C41" s="3"/>
      <c r="D41" s="3"/>
      <c r="E41" s="3"/>
      <c r="F41" s="3"/>
      <c r="G41" s="3"/>
    </row>
    <row r="42" spans="1:10">
      <c r="A42" s="3"/>
      <c r="B42" s="3"/>
      <c r="C42" s="3"/>
      <c r="D42" s="3"/>
      <c r="E42" s="3"/>
      <c r="F42" s="3"/>
      <c r="G42" s="3"/>
    </row>
    <row r="43" spans="1:10">
      <c r="A43" s="3"/>
      <c r="B43" s="3"/>
      <c r="C43" s="3"/>
      <c r="D43" s="3"/>
      <c r="E43" s="3"/>
      <c r="F43" s="3"/>
      <c r="G43" s="3"/>
    </row>
    <row r="44" spans="1:10">
      <c r="A44" s="3"/>
      <c r="B44" s="3"/>
      <c r="C44" s="3"/>
      <c r="D44" s="3"/>
      <c r="E44" s="3"/>
      <c r="F44" s="3"/>
      <c r="G44" s="3"/>
    </row>
    <row r="45" spans="1:10">
      <c r="A45" s="3"/>
      <c r="B45" s="3"/>
      <c r="C45" s="3"/>
      <c r="D45" s="3"/>
      <c r="E45" s="3"/>
      <c r="F45" s="3"/>
      <c r="G45" s="3"/>
    </row>
    <row r="46" spans="1:10">
      <c r="A46" s="3"/>
      <c r="B46" s="3"/>
      <c r="C46" s="3"/>
      <c r="D46" s="3"/>
      <c r="E46" s="3"/>
      <c r="F46" s="3"/>
      <c r="G46" s="3"/>
    </row>
    <row r="47" spans="1:10">
      <c r="A47" s="3"/>
      <c r="B47" s="3"/>
      <c r="C47" s="3"/>
      <c r="D47" s="3"/>
      <c r="E47" s="3"/>
      <c r="F47" s="3"/>
      <c r="G47" s="3"/>
    </row>
    <row r="48" spans="1:10">
      <c r="A48" s="3"/>
      <c r="B48" s="3"/>
      <c r="C48" s="3"/>
      <c r="D48" s="3"/>
      <c r="E48" s="3"/>
      <c r="F48" s="3"/>
      <c r="G48" s="3"/>
    </row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pans="3:18" s="3" customFormat="1"/>
    <row r="66" spans="3:18" s="3" customFormat="1"/>
    <row r="67" spans="3:18" s="3" customFormat="1"/>
    <row r="68" spans="3:18" s="3" customFormat="1"/>
    <row r="69" spans="3:18" s="3" customFormat="1"/>
    <row r="70" spans="3:18" s="3" customFormat="1"/>
    <row r="71" spans="3:18">
      <c r="C71" s="3"/>
      <c r="D71" s="3"/>
      <c r="E71" s="3"/>
      <c r="F71" s="3"/>
      <c r="G71" s="3"/>
      <c r="Q71" s="3"/>
      <c r="R71" s="3"/>
    </row>
    <row r="72" spans="3:18">
      <c r="C72" s="3"/>
      <c r="D72" s="3"/>
      <c r="E72" s="3"/>
      <c r="F72" s="3"/>
      <c r="G72" s="3"/>
      <c r="Q72" s="3"/>
      <c r="R72" s="3"/>
    </row>
    <row r="73" spans="3:18">
      <c r="C73" s="3"/>
      <c r="D73" s="3"/>
      <c r="E73" s="3"/>
      <c r="F73" s="3"/>
      <c r="G73" s="3"/>
      <c r="Q73" s="3"/>
      <c r="R73" s="3"/>
    </row>
    <row r="74" spans="3:18">
      <c r="C74" s="3"/>
      <c r="D74" s="3"/>
      <c r="E74" s="3"/>
      <c r="F74" s="3"/>
      <c r="G74" s="3"/>
      <c r="Q74" s="3"/>
      <c r="R74" s="3"/>
    </row>
    <row r="75" spans="3:18">
      <c r="C75" s="3"/>
      <c r="D75" s="3"/>
      <c r="E75" s="3"/>
      <c r="F75" s="3"/>
      <c r="G75" s="3"/>
      <c r="Q75" s="3"/>
      <c r="R75" s="3"/>
    </row>
    <row r="76" spans="3:18">
      <c r="C76" s="3"/>
      <c r="D76" s="3"/>
      <c r="E76" s="3"/>
      <c r="F76" s="3"/>
      <c r="G76" s="3"/>
      <c r="Q76" s="3"/>
      <c r="R76" s="3"/>
    </row>
    <row r="77" spans="3:18">
      <c r="C77" s="3"/>
      <c r="D77" s="3"/>
      <c r="E77" s="3"/>
      <c r="F77" s="3"/>
      <c r="G77" s="3"/>
      <c r="Q77" s="3"/>
      <c r="R77" s="3"/>
    </row>
    <row r="78" spans="3:18">
      <c r="C78" s="3"/>
      <c r="D78" s="3"/>
      <c r="E78" s="3"/>
      <c r="F78" s="3"/>
      <c r="G78" s="3"/>
      <c r="Q78" s="3"/>
      <c r="R78" s="3"/>
    </row>
    <row r="79" spans="3:18">
      <c r="C79" s="3"/>
      <c r="D79" s="3"/>
      <c r="E79" s="3"/>
      <c r="F79" s="3"/>
      <c r="G79" s="3"/>
      <c r="Q79" s="3"/>
      <c r="R79" s="3"/>
    </row>
  </sheetData>
  <phoneticPr fontId="0" type="noConversion"/>
  <hyperlinks>
    <hyperlink ref="H2" location="INDICE!A40" display="VOLVER A INDICE"/>
  </hyperlinks>
  <pageMargins left="0.75" right="0.75" top="1" bottom="1" header="0" footer="0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1"/>
  <sheetViews>
    <sheetView zoomScale="85" workbookViewId="0">
      <pane ySplit="8" topLeftCell="A9" activePane="bottomLeft" state="frozen"/>
      <selection pane="bottomLeft" activeCell="L37" sqref="L37"/>
    </sheetView>
  </sheetViews>
  <sheetFormatPr baseColWidth="10" defaultRowHeight="12.75"/>
  <cols>
    <col min="1" max="1" width="1.7109375" style="296" customWidth="1"/>
    <col min="2" max="2" width="36.85546875" style="296" customWidth="1"/>
    <col min="3" max="7" width="20.28515625" style="296" customWidth="1"/>
    <col min="8" max="8" width="24.140625" style="296" customWidth="1"/>
    <col min="9" max="9" width="20.28515625" style="296" customWidth="1"/>
    <col min="10" max="19" width="11.42578125" style="3"/>
    <col min="20" max="16384" width="11.42578125" style="296"/>
  </cols>
  <sheetData>
    <row r="1" spans="1:11" ht="7.5" customHeight="1" thickBot="1">
      <c r="A1" s="504"/>
      <c r="B1" s="504"/>
      <c r="C1" s="504"/>
      <c r="D1" s="504"/>
      <c r="E1" s="504"/>
      <c r="F1" s="504"/>
      <c r="G1" s="504"/>
      <c r="H1" s="504"/>
      <c r="I1" s="504"/>
      <c r="J1" s="62"/>
    </row>
    <row r="2" spans="1:11" ht="15.75" customHeight="1" thickBot="1">
      <c r="A2" s="504"/>
      <c r="B2" s="754"/>
      <c r="C2" s="755"/>
      <c r="D2" s="755"/>
      <c r="E2" s="755"/>
      <c r="F2" s="755"/>
      <c r="G2" s="755"/>
      <c r="H2" s="755"/>
      <c r="I2" s="756"/>
      <c r="J2" s="757"/>
      <c r="K2" s="26"/>
    </row>
    <row r="3" spans="1:11" ht="15.75">
      <c r="A3" s="504"/>
      <c r="B3" s="758"/>
      <c r="C3" s="759"/>
      <c r="D3" s="759"/>
      <c r="E3" s="759" t="s">
        <v>176</v>
      </c>
      <c r="F3" s="759"/>
      <c r="G3" s="760"/>
      <c r="H3" s="760"/>
      <c r="I3" s="761"/>
      <c r="J3" s="509" t="s">
        <v>649</v>
      </c>
      <c r="K3" s="28"/>
    </row>
    <row r="4" spans="1:11" ht="15.75">
      <c r="A4" s="504"/>
      <c r="B4" s="762"/>
      <c r="C4" s="763"/>
      <c r="D4" s="763"/>
      <c r="E4" s="764" t="s">
        <v>177</v>
      </c>
      <c r="F4" s="763"/>
      <c r="G4" s="765"/>
      <c r="H4" s="765"/>
      <c r="I4" s="766"/>
      <c r="J4" s="767"/>
      <c r="K4" s="28"/>
    </row>
    <row r="5" spans="1:11" ht="15.75">
      <c r="A5" s="504"/>
      <c r="B5" s="762"/>
      <c r="C5" s="763"/>
      <c r="D5" s="763"/>
      <c r="E5" s="763" t="s">
        <v>767</v>
      </c>
      <c r="F5" s="763"/>
      <c r="G5" s="765"/>
      <c r="H5" s="765"/>
      <c r="I5" s="766"/>
      <c r="J5" s="767"/>
      <c r="K5" s="28"/>
    </row>
    <row r="6" spans="1:11" ht="15.75">
      <c r="A6" s="504"/>
      <c r="B6" s="762"/>
      <c r="C6" s="768"/>
      <c r="D6" s="768"/>
      <c r="E6" s="768"/>
      <c r="F6" s="768"/>
      <c r="G6" s="768"/>
      <c r="H6" s="768"/>
      <c r="I6" s="769"/>
      <c r="J6" s="767"/>
      <c r="K6" s="28"/>
    </row>
    <row r="7" spans="1:11" ht="15.75">
      <c r="A7" s="504"/>
      <c r="B7" s="762" t="s">
        <v>23</v>
      </c>
      <c r="C7" s="768" t="s">
        <v>45</v>
      </c>
      <c r="D7" s="768" t="s">
        <v>46</v>
      </c>
      <c r="E7" s="768" t="s">
        <v>47</v>
      </c>
      <c r="F7" s="768" t="s">
        <v>178</v>
      </c>
      <c r="G7" s="768" t="s">
        <v>49</v>
      </c>
      <c r="H7" s="768" t="s">
        <v>49</v>
      </c>
      <c r="I7" s="769" t="s">
        <v>49</v>
      </c>
      <c r="J7" s="767"/>
      <c r="K7" s="28"/>
    </row>
    <row r="8" spans="1:11" ht="16.5" thickBot="1">
      <c r="A8" s="504"/>
      <c r="B8" s="770"/>
      <c r="C8" s="771" t="s">
        <v>50</v>
      </c>
      <c r="D8" s="771"/>
      <c r="E8" s="771"/>
      <c r="F8" s="771" t="s">
        <v>179</v>
      </c>
      <c r="G8" s="771" t="s">
        <v>180</v>
      </c>
      <c r="H8" s="771" t="s">
        <v>73</v>
      </c>
      <c r="I8" s="772" t="s">
        <v>31</v>
      </c>
      <c r="J8" s="773"/>
      <c r="K8" s="28"/>
    </row>
    <row r="9" spans="1:11" ht="15.75">
      <c r="A9" s="504"/>
      <c r="B9" s="774" t="s">
        <v>829</v>
      </c>
      <c r="C9" s="775">
        <v>1906.3909125</v>
      </c>
      <c r="D9" s="775">
        <v>585.69170593499985</v>
      </c>
      <c r="E9" s="775">
        <v>0</v>
      </c>
      <c r="F9" s="775">
        <v>-275.17752959699988</v>
      </c>
      <c r="G9" s="775">
        <f>CONS_U.FIS!D47</f>
        <v>2472.5343441348964</v>
      </c>
      <c r="H9" s="775">
        <f>CONS_U.FIS!D57</f>
        <v>294.7258038971035</v>
      </c>
      <c r="I9" s="776">
        <f>G9+H9</f>
        <v>2767.260148032</v>
      </c>
      <c r="J9" s="777"/>
      <c r="K9" s="27"/>
    </row>
    <row r="10" spans="1:11" ht="15.75">
      <c r="A10" s="504"/>
      <c r="B10" s="778" t="s">
        <v>182</v>
      </c>
      <c r="C10" s="775"/>
      <c r="D10" s="775"/>
      <c r="E10" s="775"/>
      <c r="F10" s="775"/>
      <c r="G10" s="775"/>
      <c r="H10" s="775"/>
      <c r="I10" s="776"/>
      <c r="J10" s="777"/>
      <c r="K10" s="27"/>
    </row>
    <row r="11" spans="1:11" ht="15.75">
      <c r="A11" s="504"/>
      <c r="B11" s="774" t="s">
        <v>76</v>
      </c>
      <c r="C11" s="775">
        <v>4536.5056999999997</v>
      </c>
      <c r="D11" s="775">
        <v>5986.2532760000013</v>
      </c>
      <c r="E11" s="775">
        <v>639.08144200000015</v>
      </c>
      <c r="F11" s="775">
        <v>77.280625012999735</v>
      </c>
      <c r="G11" s="775">
        <f>CONS_U.FIS!C47</f>
        <v>6944.6391756322373</v>
      </c>
      <c r="H11" s="775">
        <f>CONS_U.FIS!C57</f>
        <v>2861.7577333547615</v>
      </c>
      <c r="I11" s="776">
        <f>G11+H11</f>
        <v>9806.3969089869988</v>
      </c>
      <c r="J11" s="777"/>
      <c r="K11" s="27"/>
    </row>
    <row r="12" spans="1:11" ht="15.75">
      <c r="A12" s="504"/>
      <c r="B12" s="778" t="s">
        <v>181</v>
      </c>
      <c r="C12" s="775"/>
      <c r="D12" s="775"/>
      <c r="E12" s="775"/>
      <c r="F12" s="775"/>
      <c r="G12" s="775"/>
      <c r="H12" s="775"/>
      <c r="I12" s="776"/>
      <c r="J12" s="777"/>
      <c r="K12" s="27"/>
    </row>
    <row r="13" spans="1:11" ht="15.75">
      <c r="A13" s="504"/>
      <c r="B13" s="774" t="s">
        <v>824</v>
      </c>
      <c r="C13" s="775">
        <v>3054.9475000000002</v>
      </c>
      <c r="D13" s="775">
        <v>587.58831099999998</v>
      </c>
      <c r="E13" s="775">
        <v>825.39050600000007</v>
      </c>
      <c r="F13" s="775">
        <v>-330.0915168440024</v>
      </c>
      <c r="G13" s="775">
        <f>CONS_U.FIS!E47</f>
        <v>3147.236821844002</v>
      </c>
      <c r="H13" s="775">
        <f>CONS_U.FIS!E57</f>
        <v>0</v>
      </c>
      <c r="I13" s="776">
        <f>G13+H13</f>
        <v>3147.236821844002</v>
      </c>
      <c r="J13" s="777"/>
      <c r="K13" s="27"/>
    </row>
    <row r="14" spans="1:11" ht="15.75">
      <c r="A14" s="504"/>
      <c r="B14" s="778" t="s">
        <v>181</v>
      </c>
      <c r="C14" s="775"/>
      <c r="D14" s="775"/>
      <c r="E14" s="775"/>
      <c r="F14" s="775"/>
      <c r="G14" s="775"/>
      <c r="H14" s="775"/>
      <c r="I14" s="776"/>
      <c r="J14" s="777"/>
      <c r="K14" s="27"/>
    </row>
    <row r="15" spans="1:11" ht="15.75">
      <c r="A15" s="504"/>
      <c r="B15" s="774" t="s">
        <v>77</v>
      </c>
      <c r="C15" s="775">
        <v>95.676899999999989</v>
      </c>
      <c r="D15" s="775">
        <v>0</v>
      </c>
      <c r="E15" s="775">
        <v>0</v>
      </c>
      <c r="F15" s="775">
        <v>-1.8678470000000118</v>
      </c>
      <c r="G15" s="775">
        <f>CONS_U.FIS!F47</f>
        <v>97.544747000000015</v>
      </c>
      <c r="H15" s="775">
        <f>CONS_U.FIS!F57</f>
        <v>0</v>
      </c>
      <c r="I15" s="776">
        <f>G15+H15</f>
        <v>97.544747000000015</v>
      </c>
      <c r="J15" s="777"/>
      <c r="K15" s="27"/>
    </row>
    <row r="16" spans="1:11" ht="15.75">
      <c r="A16" s="504"/>
      <c r="B16" s="778" t="s">
        <v>181</v>
      </c>
      <c r="C16" s="775"/>
      <c r="D16" s="775"/>
      <c r="E16" s="775"/>
      <c r="F16" s="775"/>
      <c r="G16" s="775"/>
      <c r="H16" s="775"/>
      <c r="I16" s="776"/>
      <c r="J16" s="777"/>
      <c r="K16" s="27"/>
    </row>
    <row r="17" spans="1:11" ht="15.75">
      <c r="A17" s="504"/>
      <c r="B17" s="774" t="s">
        <v>78</v>
      </c>
      <c r="C17" s="775">
        <v>670.93729450000012</v>
      </c>
      <c r="D17" s="775">
        <v>900.68510176857978</v>
      </c>
      <c r="E17" s="775">
        <v>50.091648200000002</v>
      </c>
      <c r="F17" s="775">
        <v>195.54548969149869</v>
      </c>
      <c r="G17" s="775">
        <f>CONS_U.FIS!G47</f>
        <v>1243.7914943343098</v>
      </c>
      <c r="H17" s="775">
        <f>CONS_U.FIS!G57</f>
        <v>82.193764042771264</v>
      </c>
      <c r="I17" s="776">
        <f>G17+H17</f>
        <v>1325.9852583770812</v>
      </c>
      <c r="J17" s="777"/>
      <c r="K17" s="27"/>
    </row>
    <row r="18" spans="1:11" ht="15.75">
      <c r="A18" s="504"/>
      <c r="B18" s="778" t="s">
        <v>182</v>
      </c>
      <c r="C18" s="775"/>
      <c r="D18" s="775"/>
      <c r="E18" s="775"/>
      <c r="F18" s="775"/>
      <c r="G18" s="775"/>
      <c r="H18" s="775"/>
      <c r="I18" s="776"/>
      <c r="J18" s="777"/>
      <c r="K18" s="27"/>
    </row>
    <row r="19" spans="1:11" ht="15.75">
      <c r="A19" s="504"/>
      <c r="B19" s="774" t="s">
        <v>79</v>
      </c>
      <c r="C19" s="775">
        <v>6.1796999999999995</v>
      </c>
      <c r="D19" s="775">
        <v>0</v>
      </c>
      <c r="E19" s="775">
        <v>0</v>
      </c>
      <c r="F19" s="775">
        <v>0.25946600000000064</v>
      </c>
      <c r="G19" s="775">
        <f>CONS_U.FIS!H47</f>
        <v>5.9202339999999998</v>
      </c>
      <c r="H19" s="775">
        <f>CONS_U.FIS!H57</f>
        <v>0</v>
      </c>
      <c r="I19" s="776">
        <f>G19+H19</f>
        <v>5.9202339999999998</v>
      </c>
      <c r="J19" s="777"/>
      <c r="K19" s="27"/>
    </row>
    <row r="20" spans="1:11" ht="15.75">
      <c r="A20" s="504"/>
      <c r="B20" s="778" t="s">
        <v>181</v>
      </c>
      <c r="C20" s="775"/>
      <c r="D20" s="775"/>
      <c r="E20" s="775"/>
      <c r="F20" s="775"/>
      <c r="G20" s="775"/>
      <c r="H20" s="775"/>
      <c r="I20" s="776"/>
      <c r="J20" s="777"/>
      <c r="K20" s="27"/>
    </row>
    <row r="21" spans="1:11" ht="15.75">
      <c r="A21" s="504"/>
      <c r="B21" s="774" t="s">
        <v>80</v>
      </c>
      <c r="C21" s="775">
        <v>631.31179999999995</v>
      </c>
      <c r="D21" s="775">
        <v>424.84267799999998</v>
      </c>
      <c r="E21" s="775">
        <v>0</v>
      </c>
      <c r="F21" s="775">
        <v>-0.566108000000213</v>
      </c>
      <c r="G21" s="775">
        <f>CONS_U.FIS!I47</f>
        <v>1056.7205860000001</v>
      </c>
      <c r="H21" s="775">
        <f>CONS_U.FIS!I57</f>
        <v>0</v>
      </c>
      <c r="I21" s="776">
        <f>G21+H21</f>
        <v>1056.7205860000001</v>
      </c>
      <c r="J21" s="777"/>
      <c r="K21" s="27"/>
    </row>
    <row r="22" spans="1:11" ht="15.75">
      <c r="A22" s="504"/>
      <c r="B22" s="778" t="s">
        <v>181</v>
      </c>
      <c r="C22" s="775"/>
      <c r="D22" s="775"/>
      <c r="E22" s="775"/>
      <c r="F22" s="775"/>
      <c r="G22" s="775"/>
      <c r="H22" s="775"/>
      <c r="I22" s="776"/>
      <c r="J22" s="777"/>
      <c r="K22" s="27"/>
    </row>
    <row r="23" spans="1:11" ht="15.75">
      <c r="A23" s="504"/>
      <c r="B23" s="774" t="s">
        <v>81</v>
      </c>
      <c r="C23" s="775">
        <v>180.24340000000001</v>
      </c>
      <c r="D23" s="775">
        <v>0</v>
      </c>
      <c r="E23" s="775">
        <v>40.642559999999996</v>
      </c>
      <c r="F23" s="775">
        <v>-2.5719500000000153</v>
      </c>
      <c r="G23" s="775">
        <f>CONS_U.FIS!J47</f>
        <v>142.16848999999999</v>
      </c>
      <c r="H23" s="775">
        <f>CONS_U.FIS!J57</f>
        <v>4.2999999999999991E-3</v>
      </c>
      <c r="I23" s="776">
        <f>G23+H23</f>
        <v>142.17278999999999</v>
      </c>
      <c r="J23" s="777"/>
      <c r="K23" s="27"/>
    </row>
    <row r="24" spans="1:11" ht="15.75">
      <c r="A24" s="504"/>
      <c r="B24" s="778" t="s">
        <v>181</v>
      </c>
      <c r="C24" s="775"/>
      <c r="D24" s="775"/>
      <c r="E24" s="775"/>
      <c r="F24" s="775"/>
      <c r="G24" s="775"/>
      <c r="H24" s="775"/>
      <c r="I24" s="776"/>
      <c r="J24" s="777"/>
      <c r="K24" s="27"/>
    </row>
    <row r="25" spans="1:11" ht="15.75">
      <c r="A25" s="504"/>
      <c r="B25" s="774" t="s">
        <v>82</v>
      </c>
      <c r="C25" s="775">
        <v>840.83378132928522</v>
      </c>
      <c r="D25" s="775">
        <v>0</v>
      </c>
      <c r="E25" s="775">
        <v>0</v>
      </c>
      <c r="F25" s="775">
        <v>-0.72166666666669244</v>
      </c>
      <c r="G25" s="775">
        <f>CONS_U.FIS!K47</f>
        <v>801.30580466666686</v>
      </c>
      <c r="H25" s="775">
        <f>CONS_U.FIS!K57</f>
        <v>40.249643329285206</v>
      </c>
      <c r="I25" s="776">
        <f>G25+H25</f>
        <v>841.55544799595202</v>
      </c>
      <c r="J25" s="777"/>
      <c r="K25" s="27"/>
    </row>
    <row r="26" spans="1:11" ht="15.75">
      <c r="A26" s="504"/>
      <c r="B26" s="778" t="s">
        <v>181</v>
      </c>
      <c r="C26" s="775"/>
      <c r="D26" s="775"/>
      <c r="E26" s="775"/>
      <c r="F26" s="775"/>
      <c r="G26" s="775"/>
      <c r="H26" s="775"/>
      <c r="I26" s="776"/>
      <c r="J26" s="777"/>
      <c r="K26" s="27"/>
    </row>
    <row r="27" spans="1:11" ht="15.75">
      <c r="A27" s="504"/>
      <c r="B27" s="774" t="s">
        <v>38</v>
      </c>
      <c r="C27" s="775">
        <v>59704.028671211905</v>
      </c>
      <c r="D27" s="775">
        <v>1154.1908699999999</v>
      </c>
      <c r="E27" s="775">
        <v>0</v>
      </c>
      <c r="F27" s="775">
        <v>5080.7678241665153</v>
      </c>
      <c r="G27" s="775">
        <f>CONS_U.FIS!L47</f>
        <v>55777.451717045384</v>
      </c>
      <c r="H27" s="775">
        <f>CONS_U.FIS!L57</f>
        <v>0</v>
      </c>
      <c r="I27" s="776">
        <f>G27+H27</f>
        <v>55777.451717045384</v>
      </c>
      <c r="J27" s="777"/>
      <c r="K27" s="27"/>
    </row>
    <row r="28" spans="1:11" ht="15.75">
      <c r="A28" s="504"/>
      <c r="B28" s="778" t="s">
        <v>184</v>
      </c>
      <c r="C28" s="775"/>
      <c r="D28" s="775"/>
      <c r="E28" s="775"/>
      <c r="F28" s="775"/>
      <c r="G28" s="775"/>
      <c r="H28" s="775"/>
      <c r="I28" s="776"/>
      <c r="J28" s="777"/>
      <c r="K28" s="27"/>
    </row>
    <row r="29" spans="1:11" ht="15.75">
      <c r="A29" s="504"/>
      <c r="B29" s="774" t="s">
        <v>826</v>
      </c>
      <c r="C29" s="775">
        <f>I29</f>
        <v>6242.1718066938693</v>
      </c>
      <c r="D29" s="775">
        <v>0</v>
      </c>
      <c r="E29" s="775">
        <v>0</v>
      </c>
      <c r="F29" s="775">
        <v>0</v>
      </c>
      <c r="G29" s="775">
        <f>CONS_U.FIS!M47</f>
        <v>570.42101344377841</v>
      </c>
      <c r="H29" s="775">
        <f>CONS_U.FIS!M57</f>
        <v>5671.7507932500912</v>
      </c>
      <c r="I29" s="776">
        <f>G29+H29</f>
        <v>6242.1718066938693</v>
      </c>
      <c r="J29" s="777"/>
      <c r="K29" s="27"/>
    </row>
    <row r="30" spans="1:11" ht="15.75">
      <c r="A30" s="504"/>
      <c r="B30" s="778" t="s">
        <v>182</v>
      </c>
      <c r="C30" s="775"/>
      <c r="D30" s="775"/>
      <c r="E30" s="775"/>
      <c r="F30" s="775"/>
      <c r="G30" s="775"/>
      <c r="H30" s="775"/>
      <c r="I30" s="776"/>
      <c r="J30" s="777"/>
      <c r="K30" s="27"/>
    </row>
    <row r="31" spans="1:11" ht="15.75">
      <c r="A31" s="504"/>
      <c r="B31" s="774" t="s">
        <v>84</v>
      </c>
      <c r="C31" s="775">
        <v>985.43433385714286</v>
      </c>
      <c r="D31" s="775">
        <v>463.20977001419999</v>
      </c>
      <c r="E31" s="775">
        <v>12.445714285714285</v>
      </c>
      <c r="F31" s="775">
        <v>151.11988677336763</v>
      </c>
      <c r="G31" s="775">
        <f>CONS_U.FIS!N47</f>
        <v>417.44826709797496</v>
      </c>
      <c r="H31" s="775">
        <f>CONS_U.FIS!N57</f>
        <v>867.63023571428585</v>
      </c>
      <c r="I31" s="776">
        <f>G31+H31</f>
        <v>1285.0785028122609</v>
      </c>
      <c r="J31" s="777"/>
      <c r="K31" s="27"/>
    </row>
    <row r="32" spans="1:11" ht="15.75">
      <c r="A32" s="504"/>
      <c r="B32" s="778" t="s">
        <v>182</v>
      </c>
      <c r="C32" s="775"/>
      <c r="D32" s="775"/>
      <c r="E32" s="775"/>
      <c r="F32" s="775"/>
      <c r="G32" s="775"/>
      <c r="H32" s="775"/>
      <c r="I32" s="776"/>
      <c r="J32" s="777"/>
      <c r="K32" s="27"/>
    </row>
    <row r="33" spans="1:11" ht="15.75">
      <c r="A33" s="504"/>
      <c r="B33" s="774" t="s">
        <v>185</v>
      </c>
      <c r="C33" s="775">
        <v>18259.134615384617</v>
      </c>
      <c r="D33" s="775">
        <v>0</v>
      </c>
      <c r="E33" s="775">
        <v>0</v>
      </c>
      <c r="F33" s="775">
        <v>1332.8846153846171</v>
      </c>
      <c r="G33" s="775">
        <f>CONS_U.FIS!O47</f>
        <v>16926.25</v>
      </c>
      <c r="H33" s="775">
        <f>CONS_U.FIS!O57</f>
        <v>0</v>
      </c>
      <c r="I33" s="776">
        <f>G33+H33</f>
        <v>16926.25</v>
      </c>
      <c r="J33" s="777"/>
      <c r="K33" s="27"/>
    </row>
    <row r="34" spans="1:11" ht="15.75">
      <c r="A34" s="504"/>
      <c r="B34" s="778" t="s">
        <v>181</v>
      </c>
      <c r="C34" s="775"/>
      <c r="D34" s="775"/>
      <c r="E34" s="775"/>
      <c r="F34" s="775"/>
      <c r="G34" s="775"/>
      <c r="H34" s="775"/>
      <c r="I34" s="776"/>
      <c r="J34" s="777"/>
      <c r="K34" s="27"/>
    </row>
    <row r="35" spans="1:11" ht="15.75">
      <c r="A35" s="504"/>
      <c r="B35" s="774" t="s">
        <v>827</v>
      </c>
      <c r="C35" s="775">
        <v>343.77532096535083</v>
      </c>
      <c r="D35" s="775">
        <v>0</v>
      </c>
      <c r="E35" s="775">
        <v>0</v>
      </c>
      <c r="F35" s="775">
        <v>7.1244678216247621</v>
      </c>
      <c r="G35" s="775">
        <f>CONS_U.FIS!P47</f>
        <v>336.65085314372607</v>
      </c>
      <c r="H35" s="775">
        <f>CONS_U.FIS!P57</f>
        <v>0</v>
      </c>
      <c r="I35" s="776">
        <f>G35+H35</f>
        <v>336.65085314372607</v>
      </c>
      <c r="J35" s="777"/>
      <c r="K35" s="27"/>
    </row>
    <row r="36" spans="1:11" ht="15.75">
      <c r="A36" s="504"/>
      <c r="B36" s="778" t="s">
        <v>183</v>
      </c>
      <c r="C36" s="775"/>
      <c r="D36" s="775"/>
      <c r="E36" s="775"/>
      <c r="F36" s="775"/>
      <c r="G36" s="775"/>
      <c r="H36" s="775"/>
      <c r="I36" s="776"/>
      <c r="J36" s="777"/>
      <c r="K36" s="27"/>
    </row>
    <row r="37" spans="1:11" ht="15.75">
      <c r="A37" s="504"/>
      <c r="B37" s="774" t="s">
        <v>87</v>
      </c>
      <c r="C37" s="775">
        <v>1388.8754077777776</v>
      </c>
      <c r="D37" s="775">
        <v>0</v>
      </c>
      <c r="E37" s="775">
        <v>0</v>
      </c>
      <c r="F37" s="775">
        <v>277.1730166666664</v>
      </c>
      <c r="G37" s="775">
        <f>CONS_U.FIS!Q47</f>
        <v>1111.7023911111112</v>
      </c>
      <c r="H37" s="775">
        <f>CONS_U.FIS!Q57</f>
        <v>0</v>
      </c>
      <c r="I37" s="776">
        <f>G37+H37</f>
        <v>1111.7023911111112</v>
      </c>
      <c r="J37" s="777"/>
      <c r="K37" s="27"/>
    </row>
    <row r="38" spans="1:11" ht="15.75">
      <c r="A38" s="504"/>
      <c r="B38" s="778" t="s">
        <v>832</v>
      </c>
      <c r="C38" s="775"/>
      <c r="D38" s="775"/>
      <c r="E38" s="775"/>
      <c r="F38" s="775"/>
      <c r="G38" s="775"/>
      <c r="H38" s="775"/>
      <c r="I38" s="776"/>
      <c r="J38" s="777"/>
      <c r="K38" s="27"/>
    </row>
    <row r="39" spans="1:11" ht="15.75">
      <c r="A39" s="504"/>
      <c r="B39" s="774" t="s">
        <v>825</v>
      </c>
      <c r="C39" s="775">
        <f>I39</f>
        <v>2635.2288875750241</v>
      </c>
      <c r="D39" s="775">
        <v>0</v>
      </c>
      <c r="E39" s="775">
        <v>0</v>
      </c>
      <c r="F39" s="775">
        <v>0</v>
      </c>
      <c r="G39" s="775">
        <f>CONS_U.FIS!R47</f>
        <v>648.20172669842964</v>
      </c>
      <c r="H39" s="775">
        <f>CONS_U.FIS!R57</f>
        <v>1987.0271608765945</v>
      </c>
      <c r="I39" s="776">
        <f>G39+H39</f>
        <v>2635.2288875750241</v>
      </c>
      <c r="J39" s="777"/>
      <c r="K39" s="27"/>
    </row>
    <row r="40" spans="1:11" ht="15.75">
      <c r="A40" s="504"/>
      <c r="B40" s="778" t="s">
        <v>183</v>
      </c>
      <c r="C40" s="775"/>
      <c r="D40" s="775"/>
      <c r="E40" s="775"/>
      <c r="F40" s="775"/>
      <c r="G40" s="775"/>
      <c r="H40" s="775"/>
      <c r="I40" s="776"/>
      <c r="J40" s="777"/>
      <c r="K40" s="27"/>
    </row>
    <row r="41" spans="1:11" ht="15.75">
      <c r="A41" s="504"/>
      <c r="B41" s="774" t="s">
        <v>42</v>
      </c>
      <c r="C41" s="775">
        <v>1087.78424</v>
      </c>
      <c r="D41" s="775">
        <v>0</v>
      </c>
      <c r="E41" s="775">
        <v>945.78711999999996</v>
      </c>
      <c r="F41" s="775">
        <v>46.605899999999991</v>
      </c>
      <c r="G41" s="775">
        <f>CONS_U.FIS!S47</f>
        <v>95.391220000000018</v>
      </c>
      <c r="H41" s="775">
        <f>CONS_U.FIS!S57</f>
        <v>0</v>
      </c>
      <c r="I41" s="776">
        <f>G41+H41</f>
        <v>95.391220000000018</v>
      </c>
      <c r="J41" s="777"/>
      <c r="K41" s="27"/>
    </row>
    <row r="42" spans="1:11" ht="15.75">
      <c r="A42" s="504"/>
      <c r="B42" s="778" t="s">
        <v>182</v>
      </c>
      <c r="C42" s="775"/>
      <c r="D42" s="775"/>
      <c r="E42" s="775"/>
      <c r="F42" s="775"/>
      <c r="G42" s="775"/>
      <c r="H42" s="775"/>
      <c r="I42" s="776"/>
      <c r="J42" s="777"/>
      <c r="K42" s="27"/>
    </row>
    <row r="43" spans="1:11" ht="15.75">
      <c r="A43" s="504"/>
      <c r="B43" s="774" t="s">
        <v>29</v>
      </c>
      <c r="C43" s="775">
        <f>I43</f>
        <v>14619.879521426941</v>
      </c>
      <c r="D43" s="775">
        <v>0</v>
      </c>
      <c r="E43" s="775">
        <v>0</v>
      </c>
      <c r="F43" s="775">
        <v>0</v>
      </c>
      <c r="G43" s="775">
        <f>CONS_U.FIS!U47</f>
        <v>13079.267482387873</v>
      </c>
      <c r="H43" s="775">
        <f>CONS_U.FIS!U57</f>
        <v>1540.6120390390688</v>
      </c>
      <c r="I43" s="776">
        <f>G43+H43</f>
        <v>14619.879521426941</v>
      </c>
      <c r="J43" s="777"/>
      <c r="K43" s="27"/>
    </row>
    <row r="44" spans="1:11" ht="15.75">
      <c r="A44" s="504"/>
      <c r="B44" s="778" t="s">
        <v>182</v>
      </c>
      <c r="C44" s="775"/>
      <c r="D44" s="775"/>
      <c r="E44" s="775"/>
      <c r="F44" s="775"/>
      <c r="G44" s="775"/>
      <c r="H44" s="775"/>
      <c r="I44" s="776"/>
      <c r="J44" s="777"/>
      <c r="K44" s="27"/>
    </row>
    <row r="45" spans="1:11" ht="15.75">
      <c r="A45" s="504"/>
      <c r="B45" s="774" t="s">
        <v>30</v>
      </c>
      <c r="C45" s="775">
        <v>0</v>
      </c>
      <c r="D45" s="775">
        <v>0</v>
      </c>
      <c r="E45" s="775">
        <v>0</v>
      </c>
      <c r="F45" s="775">
        <v>0</v>
      </c>
      <c r="G45" s="775">
        <v>0</v>
      </c>
      <c r="H45" s="775">
        <v>0</v>
      </c>
      <c r="I45" s="776">
        <f>G45+H45</f>
        <v>0</v>
      </c>
      <c r="J45" s="777"/>
      <c r="K45" s="27"/>
    </row>
    <row r="46" spans="1:11" ht="16.5" thickBot="1">
      <c r="A46" s="504"/>
      <c r="B46" s="779" t="s">
        <v>183</v>
      </c>
      <c r="C46" s="780"/>
      <c r="D46" s="780"/>
      <c r="E46" s="780"/>
      <c r="F46" s="780"/>
      <c r="G46" s="780"/>
      <c r="H46" s="780"/>
      <c r="I46" s="781"/>
      <c r="J46" s="777"/>
      <c r="K46" s="27"/>
    </row>
    <row r="47" spans="1:11" ht="15">
      <c r="A47" s="504"/>
      <c r="B47" s="751" t="s">
        <v>15</v>
      </c>
      <c r="C47" s="782"/>
      <c r="D47" s="782"/>
      <c r="E47" s="757"/>
      <c r="F47" s="783"/>
      <c r="G47" s="757"/>
      <c r="H47" s="757"/>
      <c r="I47" s="757"/>
      <c r="J47" s="757"/>
      <c r="K47" s="26"/>
    </row>
    <row r="48" spans="1:11" ht="15">
      <c r="A48" s="504"/>
      <c r="B48" s="751" t="s">
        <v>828</v>
      </c>
      <c r="C48" s="782"/>
      <c r="D48" s="782"/>
      <c r="E48" s="757"/>
      <c r="F48" s="757"/>
      <c r="G48" s="757"/>
      <c r="H48" s="757"/>
      <c r="I48" s="757"/>
      <c r="J48" s="757"/>
      <c r="K48" s="26"/>
    </row>
    <row r="49" spans="1:11">
      <c r="A49" s="504"/>
      <c r="B49" s="782" t="s">
        <v>830</v>
      </c>
      <c r="C49" s="784">
        <v>964.82964240000001</v>
      </c>
      <c r="D49" s="782" t="s">
        <v>186</v>
      </c>
      <c r="E49" s="757"/>
      <c r="F49" s="757"/>
      <c r="G49" s="757"/>
      <c r="H49" s="757"/>
      <c r="I49" s="777"/>
      <c r="J49" s="757"/>
      <c r="K49" s="26"/>
    </row>
    <row r="50" spans="1:11">
      <c r="A50" s="504"/>
      <c r="B50" s="782" t="s">
        <v>187</v>
      </c>
      <c r="C50" s="784">
        <v>27.446894100000002</v>
      </c>
      <c r="D50" s="782" t="s">
        <v>186</v>
      </c>
      <c r="E50" s="757"/>
      <c r="F50" s="757"/>
      <c r="G50" s="757"/>
      <c r="H50" s="757"/>
      <c r="I50" s="777"/>
      <c r="J50" s="757"/>
      <c r="K50" s="26"/>
    </row>
    <row r="51" spans="1:11">
      <c r="A51" s="504"/>
      <c r="B51" s="782" t="s">
        <v>188</v>
      </c>
      <c r="C51" s="784">
        <v>914.11437599999999</v>
      </c>
      <c r="D51" s="782" t="s">
        <v>186</v>
      </c>
      <c r="E51" s="757"/>
      <c r="F51" s="757"/>
      <c r="G51" s="757"/>
      <c r="H51" s="757"/>
      <c r="I51" s="777"/>
      <c r="J51" s="757"/>
      <c r="K51" s="26"/>
    </row>
    <row r="52" spans="1:11">
      <c r="A52" s="504"/>
      <c r="B52" s="782" t="s">
        <v>831</v>
      </c>
      <c r="C52" s="785">
        <v>272.96725000000004</v>
      </c>
      <c r="D52" s="782" t="s">
        <v>189</v>
      </c>
      <c r="E52" s="757"/>
      <c r="F52" s="757"/>
      <c r="G52" s="757"/>
      <c r="H52" s="757"/>
      <c r="I52" s="757"/>
      <c r="J52" s="757"/>
      <c r="K52" s="26"/>
    </row>
    <row r="53" spans="1:11">
      <c r="A53" s="504"/>
      <c r="B53" s="459" t="s">
        <v>34</v>
      </c>
      <c r="C53" s="500"/>
      <c r="D53" s="500"/>
      <c r="E53" s="500"/>
      <c r="F53" s="500"/>
      <c r="G53" s="500"/>
      <c r="H53" s="500"/>
      <c r="I53" s="459"/>
      <c r="J53" s="459"/>
      <c r="K53" s="6"/>
    </row>
    <row r="54" spans="1:11">
      <c r="A54" s="504"/>
      <c r="B54" s="459" t="s">
        <v>770</v>
      </c>
      <c r="C54" s="500"/>
      <c r="D54" s="500"/>
      <c r="E54" s="500"/>
      <c r="F54" s="500"/>
      <c r="G54" s="500"/>
      <c r="H54" s="500"/>
      <c r="I54" s="459"/>
      <c r="J54" s="459"/>
      <c r="K54" s="6"/>
    </row>
    <row r="55" spans="1:11" ht="14.25">
      <c r="A55" s="504"/>
      <c r="B55" s="786"/>
      <c r="C55" s="757"/>
      <c r="D55" s="757"/>
      <c r="E55" s="757"/>
      <c r="F55" s="757"/>
      <c r="G55" s="757"/>
      <c r="H55" s="757"/>
      <c r="I55" s="757"/>
      <c r="J55" s="757"/>
      <c r="K55" s="26"/>
    </row>
    <row r="56" spans="1:11">
      <c r="A56" s="504"/>
      <c r="B56" s="757"/>
      <c r="C56" s="757"/>
      <c r="D56" s="757"/>
      <c r="E56" s="757"/>
      <c r="F56" s="757"/>
      <c r="G56" s="757"/>
      <c r="H56" s="757"/>
      <c r="I56" s="757"/>
      <c r="J56" s="757"/>
      <c r="K56" s="26"/>
    </row>
    <row r="57" spans="1:11">
      <c r="A57" s="504"/>
      <c r="B57" s="757"/>
      <c r="C57" s="757"/>
      <c r="D57" s="757"/>
      <c r="E57" s="757"/>
      <c r="F57" s="757"/>
      <c r="G57" s="757"/>
      <c r="H57" s="757"/>
      <c r="I57" s="757"/>
      <c r="J57" s="757"/>
      <c r="K57" s="26"/>
    </row>
    <row r="58" spans="1:11">
      <c r="A58" s="504"/>
      <c r="B58" s="757"/>
      <c r="C58" s="757"/>
      <c r="D58" s="757"/>
      <c r="E58" s="757"/>
      <c r="F58" s="757"/>
      <c r="G58" s="757"/>
      <c r="H58" s="757"/>
      <c r="I58" s="757"/>
      <c r="J58" s="757"/>
      <c r="K58" s="26"/>
    </row>
    <row r="59" spans="1:11">
      <c r="A59" s="504"/>
      <c r="B59" s="62"/>
      <c r="C59" s="62"/>
      <c r="D59" s="62"/>
      <c r="E59" s="62"/>
      <c r="F59" s="62"/>
      <c r="G59" s="62"/>
      <c r="H59" s="62"/>
      <c r="I59" s="62"/>
      <c r="J59" s="62"/>
    </row>
    <row r="60" spans="1:11">
      <c r="A60" s="504"/>
      <c r="B60" s="62"/>
      <c r="C60" s="62"/>
      <c r="D60" s="62"/>
      <c r="E60" s="62"/>
      <c r="F60" s="62"/>
      <c r="G60" s="62"/>
      <c r="H60" s="62"/>
      <c r="I60" s="62"/>
      <c r="J60" s="62"/>
    </row>
    <row r="61" spans="1:11">
      <c r="A61" s="504"/>
      <c r="B61" s="62"/>
      <c r="C61" s="62"/>
      <c r="D61" s="62"/>
      <c r="E61" s="62"/>
      <c r="F61" s="62"/>
      <c r="G61" s="62"/>
      <c r="H61" s="62"/>
      <c r="I61" s="62"/>
      <c r="J61" s="62"/>
    </row>
    <row r="62" spans="1:11">
      <c r="A62" s="62"/>
      <c r="B62" s="62"/>
      <c r="C62" s="62"/>
      <c r="D62" s="62"/>
      <c r="E62" s="62"/>
      <c r="F62" s="62"/>
      <c r="G62" s="62"/>
      <c r="H62" s="62"/>
      <c r="I62" s="62"/>
      <c r="J62" s="62"/>
    </row>
    <row r="63" spans="1:11">
      <c r="A63" s="62"/>
      <c r="B63" s="62"/>
      <c r="C63" s="62"/>
      <c r="D63" s="62"/>
      <c r="E63" s="62"/>
      <c r="F63" s="62"/>
      <c r="G63" s="62"/>
      <c r="H63" s="62"/>
      <c r="I63" s="62"/>
      <c r="J63" s="62"/>
    </row>
    <row r="64" spans="1:11">
      <c r="A64" s="62"/>
      <c r="B64" s="62"/>
      <c r="C64" s="62"/>
      <c r="D64" s="62"/>
      <c r="E64" s="62"/>
      <c r="F64" s="62"/>
      <c r="G64" s="62"/>
      <c r="H64" s="62"/>
      <c r="I64" s="62"/>
      <c r="J64" s="62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pans="3:9" s="3" customFormat="1"/>
    <row r="82" spans="3:9" s="3" customFormat="1"/>
    <row r="83" spans="3:9" s="3" customFormat="1"/>
    <row r="84" spans="3:9" s="3" customFormat="1"/>
    <row r="85" spans="3:9" s="3" customFormat="1"/>
    <row r="86" spans="3:9" s="3" customFormat="1"/>
    <row r="87" spans="3:9">
      <c r="C87" s="3"/>
      <c r="D87" s="3"/>
      <c r="E87" s="3"/>
      <c r="F87" s="3"/>
      <c r="G87" s="3"/>
      <c r="H87" s="3"/>
      <c r="I87" s="3"/>
    </row>
    <row r="88" spans="3:9">
      <c r="C88" s="3"/>
      <c r="D88" s="3"/>
      <c r="E88" s="3"/>
      <c r="F88" s="3"/>
      <c r="G88" s="3"/>
      <c r="H88" s="3"/>
      <c r="I88" s="3"/>
    </row>
    <row r="89" spans="3:9">
      <c r="C89" s="3"/>
      <c r="D89" s="3"/>
      <c r="E89" s="3"/>
      <c r="F89" s="3"/>
      <c r="G89" s="3"/>
      <c r="H89" s="3"/>
      <c r="I89" s="3"/>
    </row>
    <row r="90" spans="3:9">
      <c r="C90" s="3"/>
      <c r="D90" s="3"/>
      <c r="E90" s="3"/>
      <c r="F90" s="3"/>
      <c r="G90" s="3"/>
      <c r="H90" s="3"/>
      <c r="I90" s="3"/>
    </row>
    <row r="91" spans="3:9">
      <c r="C91" s="3"/>
      <c r="D91" s="3"/>
      <c r="E91" s="3"/>
      <c r="F91" s="3"/>
      <c r="G91" s="3"/>
      <c r="H91" s="3"/>
      <c r="I91" s="3"/>
    </row>
    <row r="92" spans="3:9">
      <c r="C92" s="3"/>
      <c r="D92" s="3"/>
      <c r="E92" s="3"/>
      <c r="F92" s="3"/>
      <c r="G92" s="3"/>
      <c r="H92" s="3"/>
      <c r="I92" s="3"/>
    </row>
    <row r="93" spans="3:9">
      <c r="C93" s="3"/>
      <c r="D93" s="3"/>
      <c r="E93" s="3"/>
      <c r="F93" s="3"/>
      <c r="G93" s="3"/>
      <c r="H93" s="3"/>
      <c r="I93" s="3"/>
    </row>
    <row r="94" spans="3:9">
      <c r="C94" s="3"/>
      <c r="D94" s="3"/>
      <c r="E94" s="3"/>
      <c r="F94" s="3"/>
      <c r="G94" s="3"/>
      <c r="H94" s="3"/>
      <c r="I94" s="3"/>
    </row>
    <row r="95" spans="3:9">
      <c r="C95" s="3"/>
      <c r="D95" s="3"/>
      <c r="E95" s="3"/>
      <c r="F95" s="3"/>
      <c r="G95" s="3"/>
      <c r="H95" s="3"/>
      <c r="I95" s="3"/>
    </row>
    <row r="96" spans="3:9">
      <c r="C96" s="3"/>
      <c r="D96" s="3"/>
      <c r="E96" s="3"/>
      <c r="F96" s="3"/>
      <c r="G96" s="3"/>
      <c r="H96" s="3"/>
      <c r="I96" s="3"/>
    </row>
    <row r="97" spans="3:9">
      <c r="C97" s="3"/>
      <c r="D97" s="3"/>
      <c r="E97" s="3"/>
      <c r="F97" s="3"/>
      <c r="G97" s="3"/>
      <c r="H97" s="3"/>
      <c r="I97" s="3"/>
    </row>
    <row r="98" spans="3:9">
      <c r="C98" s="3"/>
      <c r="D98" s="3"/>
      <c r="E98" s="3"/>
      <c r="F98" s="3"/>
      <c r="G98" s="3"/>
      <c r="H98" s="3"/>
      <c r="I98" s="3"/>
    </row>
    <row r="99" spans="3:9">
      <c r="C99" s="3"/>
      <c r="D99" s="3"/>
      <c r="E99" s="3"/>
      <c r="F99" s="3"/>
      <c r="G99" s="3"/>
      <c r="H99" s="3"/>
      <c r="I99" s="3"/>
    </row>
    <row r="100" spans="3:9">
      <c r="C100" s="3"/>
      <c r="D100" s="3"/>
      <c r="E100" s="3"/>
      <c r="F100" s="3"/>
      <c r="G100" s="3"/>
      <c r="H100" s="3"/>
      <c r="I100" s="3"/>
    </row>
    <row r="101" spans="3:9">
      <c r="C101" s="3"/>
      <c r="D101" s="3"/>
      <c r="E101" s="3"/>
      <c r="F101" s="3"/>
      <c r="G101" s="3"/>
      <c r="H101" s="3"/>
      <c r="I101" s="3"/>
    </row>
    <row r="102" spans="3:9">
      <c r="C102" s="3"/>
      <c r="D102" s="3"/>
      <c r="E102" s="3"/>
      <c r="F102" s="3"/>
      <c r="G102" s="3"/>
      <c r="H102" s="3"/>
      <c r="I102" s="3"/>
    </row>
    <row r="103" spans="3:9">
      <c r="C103" s="3"/>
      <c r="D103" s="3"/>
      <c r="E103" s="3"/>
      <c r="F103" s="3"/>
      <c r="G103" s="3"/>
      <c r="H103" s="3"/>
      <c r="I103" s="3"/>
    </row>
    <row r="104" spans="3:9">
      <c r="C104" s="3"/>
      <c r="D104" s="3"/>
      <c r="E104" s="3"/>
      <c r="F104" s="3"/>
      <c r="G104" s="3"/>
      <c r="H104" s="3"/>
      <c r="I104" s="3"/>
    </row>
    <row r="105" spans="3:9">
      <c r="C105" s="3"/>
      <c r="D105" s="3"/>
      <c r="E105" s="3"/>
      <c r="F105" s="3"/>
      <c r="G105" s="3"/>
      <c r="H105" s="3"/>
      <c r="I105" s="3"/>
    </row>
    <row r="106" spans="3:9">
      <c r="C106" s="3"/>
      <c r="D106" s="3"/>
      <c r="E106" s="3"/>
      <c r="F106" s="3"/>
      <c r="G106" s="3"/>
      <c r="H106" s="3"/>
      <c r="I106" s="3"/>
    </row>
    <row r="107" spans="3:9">
      <c r="C107" s="3"/>
      <c r="D107" s="3"/>
      <c r="E107" s="3"/>
      <c r="F107" s="3"/>
      <c r="G107" s="3"/>
      <c r="H107" s="3"/>
      <c r="I107" s="3"/>
    </row>
    <row r="108" spans="3:9">
      <c r="C108" s="3"/>
      <c r="D108" s="3"/>
      <c r="E108" s="3"/>
      <c r="F108" s="3"/>
      <c r="G108" s="3"/>
      <c r="H108" s="3"/>
      <c r="I108" s="3"/>
    </row>
    <row r="109" spans="3:9">
      <c r="C109" s="3"/>
      <c r="D109" s="3"/>
      <c r="E109" s="3"/>
      <c r="F109" s="3"/>
      <c r="G109" s="3"/>
      <c r="H109" s="3"/>
      <c r="I109" s="3"/>
    </row>
    <row r="110" spans="3:9">
      <c r="C110" s="3"/>
      <c r="D110" s="3"/>
      <c r="E110" s="3"/>
      <c r="F110" s="3"/>
      <c r="G110" s="3"/>
      <c r="H110" s="3"/>
      <c r="I110" s="3"/>
    </row>
    <row r="111" spans="3:9">
      <c r="C111" s="3"/>
      <c r="D111" s="3"/>
      <c r="E111" s="3"/>
      <c r="F111" s="3"/>
      <c r="G111" s="3"/>
      <c r="H111" s="3"/>
      <c r="I111" s="3"/>
    </row>
    <row r="112" spans="3:9">
      <c r="C112" s="3"/>
      <c r="D112" s="3"/>
      <c r="E112" s="3"/>
      <c r="F112" s="3"/>
      <c r="G112" s="3"/>
      <c r="H112" s="3"/>
      <c r="I112" s="3"/>
    </row>
    <row r="113" spans="3:9">
      <c r="C113" s="3"/>
      <c r="D113" s="3"/>
      <c r="E113" s="3"/>
      <c r="F113" s="3"/>
      <c r="G113" s="3"/>
      <c r="H113" s="3"/>
      <c r="I113" s="3"/>
    </row>
    <row r="114" spans="3:9">
      <c r="C114" s="3"/>
      <c r="D114" s="3"/>
      <c r="E114" s="3"/>
      <c r="F114" s="3"/>
      <c r="G114" s="3"/>
      <c r="H114" s="3"/>
      <c r="I114" s="3"/>
    </row>
    <row r="115" spans="3:9">
      <c r="C115" s="3"/>
      <c r="D115" s="3"/>
      <c r="E115" s="3"/>
      <c r="F115" s="3"/>
      <c r="G115" s="3"/>
      <c r="H115" s="3"/>
      <c r="I115" s="3"/>
    </row>
    <row r="116" spans="3:9">
      <c r="C116" s="3"/>
      <c r="D116" s="3"/>
      <c r="E116" s="3"/>
      <c r="F116" s="3"/>
      <c r="G116" s="3"/>
      <c r="H116" s="3"/>
      <c r="I116" s="3"/>
    </row>
    <row r="117" spans="3:9">
      <c r="C117" s="3"/>
      <c r="D117" s="3"/>
      <c r="E117" s="3"/>
      <c r="F117" s="3"/>
      <c r="G117" s="3"/>
      <c r="H117" s="3"/>
      <c r="I117" s="3"/>
    </row>
    <row r="118" spans="3:9">
      <c r="C118" s="3"/>
      <c r="D118" s="3"/>
      <c r="E118" s="3"/>
      <c r="F118" s="3"/>
      <c r="G118" s="3"/>
      <c r="H118" s="3"/>
      <c r="I118" s="3"/>
    </row>
    <row r="119" spans="3:9">
      <c r="C119" s="3"/>
      <c r="D119" s="3"/>
      <c r="E119" s="3"/>
      <c r="F119" s="3"/>
      <c r="G119" s="3"/>
      <c r="H119" s="3"/>
      <c r="I119" s="3"/>
    </row>
    <row r="120" spans="3:9">
      <c r="C120" s="3"/>
      <c r="D120" s="3"/>
      <c r="E120" s="3"/>
      <c r="F120" s="3"/>
      <c r="G120" s="3"/>
      <c r="H120" s="3"/>
      <c r="I120" s="3"/>
    </row>
    <row r="121" spans="3:9">
      <c r="C121" s="3"/>
      <c r="D121" s="3"/>
      <c r="E121" s="3"/>
      <c r="F121" s="3"/>
      <c r="G121" s="3"/>
      <c r="H121" s="3"/>
      <c r="I121" s="3"/>
    </row>
  </sheetData>
  <phoneticPr fontId="0" type="noConversion"/>
  <hyperlinks>
    <hyperlink ref="J3" location="INDICE!A40" display="VOLVER A INDICE"/>
  </hyperlinks>
  <pageMargins left="0.75" right="0.75" top="1" bottom="1" header="0" footer="0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J6"/>
  <sheetViews>
    <sheetView workbookViewId="0">
      <selection activeCell="J10" sqref="J10"/>
    </sheetView>
  </sheetViews>
  <sheetFormatPr baseColWidth="10" defaultRowHeight="12.75"/>
  <cols>
    <col min="1" max="1" width="2.7109375" style="3" customWidth="1"/>
    <col min="2" max="16384" width="11.42578125" style="3"/>
  </cols>
  <sheetData>
    <row r="5" spans="2:10">
      <c r="J5" s="572" t="s">
        <v>649</v>
      </c>
    </row>
    <row r="6" spans="2:10" ht="15.75">
      <c r="B6" s="292"/>
    </row>
  </sheetData>
  <phoneticPr fontId="0" type="noConversion"/>
  <hyperlinks>
    <hyperlink ref="J5" location="INDICE!A1" display="VOLVER A INDICE"/>
  </hyperlinks>
  <pageMargins left="0.75" right="0.75" top="1" bottom="1" header="0" footer="0"/>
  <pageSetup paperSize="9" scale="74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workbookViewId="0">
      <pane ySplit="8" topLeftCell="A9" activePane="bottomLeft" state="frozen"/>
      <selection pane="bottomLeft" activeCell="B48" sqref="B48"/>
    </sheetView>
  </sheetViews>
  <sheetFormatPr baseColWidth="10" defaultRowHeight="12.75"/>
  <cols>
    <col min="1" max="1" width="1.28515625" style="296" customWidth="1"/>
    <col min="2" max="2" width="25.140625" style="296" customWidth="1"/>
    <col min="3" max="9" width="11.42578125" style="296"/>
    <col min="10" max="23" width="11.42578125" style="3"/>
    <col min="24" max="16384" width="11.42578125" style="296"/>
  </cols>
  <sheetData>
    <row r="1" spans="1:12" ht="5.25" customHeight="1" thickBot="1">
      <c r="A1" s="504"/>
      <c r="B1" s="504"/>
      <c r="C1" s="504"/>
      <c r="D1" s="504"/>
      <c r="E1" s="504"/>
      <c r="F1" s="504"/>
      <c r="G1" s="504"/>
      <c r="H1" s="504"/>
      <c r="I1" s="504"/>
      <c r="J1" s="62"/>
      <c r="K1" s="62"/>
    </row>
    <row r="2" spans="1:12" ht="15.75" customHeight="1" thickBot="1">
      <c r="A2" s="504"/>
      <c r="B2" s="726"/>
      <c r="C2" s="727"/>
      <c r="D2" s="727"/>
      <c r="E2" s="727"/>
      <c r="F2" s="727"/>
      <c r="G2" s="727"/>
      <c r="H2" s="727"/>
      <c r="I2" s="728"/>
      <c r="J2" s="753"/>
      <c r="K2" s="753"/>
      <c r="L2" s="260"/>
    </row>
    <row r="3" spans="1:12">
      <c r="A3" s="504"/>
      <c r="B3" s="729"/>
      <c r="C3" s="730"/>
      <c r="D3" s="730"/>
      <c r="E3" s="731" t="s">
        <v>94</v>
      </c>
      <c r="F3" s="731"/>
      <c r="G3" s="730"/>
      <c r="H3" s="730"/>
      <c r="I3" s="732"/>
      <c r="J3" s="509" t="s">
        <v>649</v>
      </c>
      <c r="K3" s="753"/>
      <c r="L3" s="260"/>
    </row>
    <row r="4" spans="1:12">
      <c r="A4" s="504"/>
      <c r="B4" s="733"/>
      <c r="C4" s="734"/>
      <c r="D4" s="735"/>
      <c r="E4" s="735" t="s">
        <v>191</v>
      </c>
      <c r="F4" s="735"/>
      <c r="G4" s="734"/>
      <c r="H4" s="734"/>
      <c r="I4" s="736"/>
      <c r="J4" s="1243"/>
      <c r="K4" s="753"/>
      <c r="L4" s="260"/>
    </row>
    <row r="5" spans="1:12">
      <c r="A5" s="504"/>
      <c r="B5" s="733"/>
      <c r="C5" s="734"/>
      <c r="D5" s="734"/>
      <c r="E5" s="734" t="s">
        <v>772</v>
      </c>
      <c r="F5" s="734"/>
      <c r="G5" s="734"/>
      <c r="H5" s="734"/>
      <c r="I5" s="736"/>
      <c r="J5" s="1243"/>
      <c r="K5" s="753"/>
      <c r="L5" s="260"/>
    </row>
    <row r="6" spans="1:12">
      <c r="A6" s="504"/>
      <c r="B6" s="733"/>
      <c r="C6" s="734"/>
      <c r="D6" s="734"/>
      <c r="E6" s="734"/>
      <c r="F6" s="734"/>
      <c r="G6" s="734"/>
      <c r="H6" s="734"/>
      <c r="I6" s="736"/>
      <c r="J6" s="1243"/>
      <c r="K6" s="753"/>
      <c r="L6" s="260"/>
    </row>
    <row r="7" spans="1:12">
      <c r="A7" s="504"/>
      <c r="B7" s="737" t="s">
        <v>23</v>
      </c>
      <c r="C7" s="735" t="s">
        <v>96</v>
      </c>
      <c r="D7" s="735" t="s">
        <v>96</v>
      </c>
      <c r="E7" s="735" t="s">
        <v>96</v>
      </c>
      <c r="F7" s="735" t="s">
        <v>705</v>
      </c>
      <c r="G7" s="735" t="s">
        <v>97</v>
      </c>
      <c r="H7" s="735" t="s">
        <v>97</v>
      </c>
      <c r="I7" s="738" t="s">
        <v>98</v>
      </c>
      <c r="J7" s="1243"/>
      <c r="K7" s="753"/>
      <c r="L7" s="260"/>
    </row>
    <row r="8" spans="1:12" ht="13.5" thickBot="1">
      <c r="A8" s="504"/>
      <c r="B8" s="739"/>
      <c r="C8" s="740" t="s">
        <v>99</v>
      </c>
      <c r="D8" s="740" t="s">
        <v>100</v>
      </c>
      <c r="E8" s="740" t="s">
        <v>101</v>
      </c>
      <c r="F8" s="740" t="s">
        <v>706</v>
      </c>
      <c r="G8" s="740" t="s">
        <v>102</v>
      </c>
      <c r="H8" s="740" t="s">
        <v>103</v>
      </c>
      <c r="I8" s="741" t="s">
        <v>104</v>
      </c>
      <c r="J8" s="753"/>
      <c r="K8" s="753"/>
      <c r="L8" s="260"/>
    </row>
    <row r="9" spans="1:12">
      <c r="A9" s="504"/>
      <c r="B9" s="742" t="s">
        <v>75</v>
      </c>
      <c r="C9" s="743">
        <f>CONS_U.FIS!D12</f>
        <v>1427.6415820709999</v>
      </c>
      <c r="D9" s="743">
        <f>CONS_U.FIS!D26</f>
        <v>922.28918878170589</v>
      </c>
      <c r="E9" s="743">
        <f>CONS_U.FIS!D33</f>
        <v>59.895890806000004</v>
      </c>
      <c r="F9" s="744">
        <f>CONS_U.FIS!D44</f>
        <v>62.70768247619047</v>
      </c>
      <c r="G9" s="744">
        <f>SUM(C9:F9)</f>
        <v>2472.5343441348959</v>
      </c>
      <c r="H9" s="744">
        <f>CONS_U.FIS!D57</f>
        <v>294.7258038971035</v>
      </c>
      <c r="I9" s="745">
        <f>G9+H9</f>
        <v>2767.2601480319995</v>
      </c>
      <c r="J9" s="1244"/>
      <c r="K9" s="1244"/>
      <c r="L9" s="260"/>
    </row>
    <row r="10" spans="1:12">
      <c r="A10" s="504"/>
      <c r="B10" s="746" t="s">
        <v>182</v>
      </c>
      <c r="C10" s="743"/>
      <c r="D10" s="743"/>
      <c r="E10" s="743"/>
      <c r="F10" s="743"/>
      <c r="G10" s="743"/>
      <c r="H10" s="743"/>
      <c r="I10" s="747"/>
      <c r="J10" s="753"/>
      <c r="K10" s="753"/>
      <c r="L10" s="260"/>
    </row>
    <row r="11" spans="1:12">
      <c r="A11" s="504"/>
      <c r="B11" s="742" t="s">
        <v>76</v>
      </c>
      <c r="C11" s="743">
        <f>CONS_U.FIS!C12</f>
        <v>4272.100798356998</v>
      </c>
      <c r="D11" s="743">
        <f>CONS_U.FIS!C26</f>
        <v>2442.305256635238</v>
      </c>
      <c r="E11" s="743">
        <f>CONS_U.FIS!C33</f>
        <v>198.30984863999996</v>
      </c>
      <c r="F11" s="744">
        <f>CONS_U.FIS!C44</f>
        <v>31.923272000000001</v>
      </c>
      <c r="G11" s="744">
        <f>SUM(C11:F11)</f>
        <v>6944.6391756322364</v>
      </c>
      <c r="H11" s="744">
        <f>CONS_U.FIS!C57</f>
        <v>2861.7577333547615</v>
      </c>
      <c r="I11" s="745">
        <f>G11+H11</f>
        <v>9806.396908986997</v>
      </c>
      <c r="J11" s="1244"/>
      <c r="K11" s="1244"/>
      <c r="L11" s="260"/>
    </row>
    <row r="12" spans="1:12">
      <c r="A12" s="504"/>
      <c r="B12" s="746" t="s">
        <v>181</v>
      </c>
      <c r="C12" s="743"/>
      <c r="D12" s="743"/>
      <c r="E12" s="743"/>
      <c r="F12" s="744"/>
      <c r="G12" s="744"/>
      <c r="H12" s="744"/>
      <c r="I12" s="745"/>
      <c r="J12" s="753"/>
      <c r="K12" s="753"/>
      <c r="L12" s="260"/>
    </row>
    <row r="13" spans="1:12">
      <c r="A13" s="504"/>
      <c r="B13" s="742" t="s">
        <v>811</v>
      </c>
      <c r="C13" s="743">
        <f>CONS_U.FIS!E12</f>
        <v>3147.1160218440018</v>
      </c>
      <c r="D13" s="743">
        <f>CONS_U.FIS!E26</f>
        <v>0</v>
      </c>
      <c r="E13" s="743">
        <f>CONS_U.FIS!E33</f>
        <v>0</v>
      </c>
      <c r="F13" s="744">
        <f>CONS_U.FIS!E44</f>
        <v>0.12079999999999998</v>
      </c>
      <c r="G13" s="744">
        <f>SUM(C13:F13)</f>
        <v>3147.236821844002</v>
      </c>
      <c r="H13" s="744">
        <f>CONS_U.FIS!E57</f>
        <v>0</v>
      </c>
      <c r="I13" s="745">
        <f>G13+H13</f>
        <v>3147.236821844002</v>
      </c>
      <c r="J13" s="1244"/>
      <c r="K13" s="1244"/>
      <c r="L13" s="260"/>
    </row>
    <row r="14" spans="1:12">
      <c r="A14" s="504"/>
      <c r="B14" s="746" t="s">
        <v>181</v>
      </c>
      <c r="C14" s="743"/>
      <c r="D14" s="743"/>
      <c r="E14" s="743"/>
      <c r="F14" s="744"/>
      <c r="G14" s="744"/>
      <c r="H14" s="744"/>
      <c r="I14" s="745"/>
      <c r="J14" s="753"/>
      <c r="K14" s="753"/>
      <c r="L14" s="260"/>
    </row>
    <row r="15" spans="1:12">
      <c r="A15" s="504"/>
      <c r="B15" s="742" t="s">
        <v>77</v>
      </c>
      <c r="C15" s="743">
        <f>CONS_U.FIS!F12</f>
        <v>1.5515000000000001</v>
      </c>
      <c r="D15" s="743">
        <f>CONS_U.FIS!F26</f>
        <v>31.804340000000003</v>
      </c>
      <c r="E15" s="743">
        <f>CONS_U.FIS!F33</f>
        <v>64.188907</v>
      </c>
      <c r="F15" s="744">
        <f>CONS_U.FIS!F44</f>
        <v>0</v>
      </c>
      <c r="G15" s="744">
        <f>SUM(C15:F15)</f>
        <v>97.544747000000001</v>
      </c>
      <c r="H15" s="744">
        <f>CONS_U.FIS!F57</f>
        <v>0</v>
      </c>
      <c r="I15" s="745">
        <f>G15+H15</f>
        <v>97.544747000000001</v>
      </c>
      <c r="J15" s="1244"/>
      <c r="K15" s="1244"/>
      <c r="L15" s="260"/>
    </row>
    <row r="16" spans="1:12">
      <c r="A16" s="504"/>
      <c r="B16" s="746" t="s">
        <v>181</v>
      </c>
      <c r="C16" s="743"/>
      <c r="D16" s="743"/>
      <c r="E16" s="743"/>
      <c r="F16" s="744"/>
      <c r="G16" s="744"/>
      <c r="H16" s="744"/>
      <c r="I16" s="745"/>
      <c r="J16" s="753"/>
      <c r="K16" s="753"/>
      <c r="L16" s="260"/>
    </row>
    <row r="17" spans="1:12">
      <c r="A17" s="504"/>
      <c r="B17" s="742" t="s">
        <v>78</v>
      </c>
      <c r="C17" s="743">
        <f>CONS_U.FIS!G12</f>
        <v>2.9684026812090911</v>
      </c>
      <c r="D17" s="743">
        <f>CONS_U.FIS!G26</f>
        <v>287.22964403098172</v>
      </c>
      <c r="E17" s="743">
        <f>CONS_U.FIS!G33</f>
        <v>844.81285438567272</v>
      </c>
      <c r="F17" s="744">
        <f>CONS_U.FIS!G44</f>
        <v>108.78059323644626</v>
      </c>
      <c r="G17" s="744">
        <f>SUM(C17:F17)</f>
        <v>1243.7914943343098</v>
      </c>
      <c r="H17" s="744">
        <f>CONS_U.FIS!G57</f>
        <v>82.193764042771264</v>
      </c>
      <c r="I17" s="745">
        <f>G17+H17</f>
        <v>1325.9852583770812</v>
      </c>
      <c r="J17" s="1244"/>
      <c r="K17" s="1244"/>
      <c r="L17" s="260"/>
    </row>
    <row r="18" spans="1:12">
      <c r="A18" s="504"/>
      <c r="B18" s="746" t="s">
        <v>182</v>
      </c>
      <c r="C18" s="743"/>
      <c r="D18" s="743"/>
      <c r="E18" s="743"/>
      <c r="F18" s="744"/>
      <c r="G18" s="744"/>
      <c r="H18" s="744"/>
      <c r="I18" s="745"/>
      <c r="J18" s="753"/>
      <c r="K18" s="1244"/>
      <c r="L18" s="260"/>
    </row>
    <row r="19" spans="1:12">
      <c r="A19" s="504"/>
      <c r="B19" s="742" t="s">
        <v>79</v>
      </c>
      <c r="C19" s="743">
        <f>CONS_U.FIS!H12</f>
        <v>5.9202339999999998</v>
      </c>
      <c r="D19" s="743">
        <f>CONS_U.FIS!H26</f>
        <v>0</v>
      </c>
      <c r="E19" s="743">
        <f>CONS_U.FIS!H33</f>
        <v>0</v>
      </c>
      <c r="F19" s="744">
        <f>CONS_U.FIS!H44</f>
        <v>0</v>
      </c>
      <c r="G19" s="744">
        <f>SUM(C19:F19)</f>
        <v>5.9202339999999998</v>
      </c>
      <c r="H19" s="744">
        <f>CONS_U.FIS!H57</f>
        <v>0</v>
      </c>
      <c r="I19" s="745">
        <f>G19+H19</f>
        <v>5.9202339999999998</v>
      </c>
      <c r="J19" s="1244"/>
      <c r="K19" s="1244"/>
      <c r="L19" s="260"/>
    </row>
    <row r="20" spans="1:12">
      <c r="A20" s="504"/>
      <c r="B20" s="746" t="s">
        <v>181</v>
      </c>
      <c r="C20" s="743"/>
      <c r="D20" s="743"/>
      <c r="E20" s="743"/>
      <c r="F20" s="744"/>
      <c r="G20" s="744"/>
      <c r="H20" s="744"/>
      <c r="I20" s="745"/>
      <c r="J20" s="753"/>
      <c r="K20" s="753"/>
      <c r="L20" s="260"/>
    </row>
    <row r="21" spans="1:12">
      <c r="A21" s="504"/>
      <c r="B21" s="742" t="s">
        <v>80</v>
      </c>
      <c r="C21" s="743">
        <f>CONS_U.FIS!I12</f>
        <v>1056.7205860000001</v>
      </c>
      <c r="D21" s="743">
        <f>CONS_U.FIS!I26</f>
        <v>0</v>
      </c>
      <c r="E21" s="743">
        <f>CONS_U.FIS!I33</f>
        <v>0</v>
      </c>
      <c r="F21" s="744">
        <f>CONS_U.FIS!I44</f>
        <v>0</v>
      </c>
      <c r="G21" s="744">
        <f>SUM(C21:F21)</f>
        <v>1056.7205860000001</v>
      </c>
      <c r="H21" s="744">
        <f>CONS_U.FIS!I57</f>
        <v>0</v>
      </c>
      <c r="I21" s="745">
        <f>G21+H21</f>
        <v>1056.7205860000001</v>
      </c>
      <c r="J21" s="1244"/>
      <c r="K21" s="1244"/>
      <c r="L21" s="260"/>
    </row>
    <row r="22" spans="1:12">
      <c r="A22" s="504"/>
      <c r="B22" s="746" t="s">
        <v>181</v>
      </c>
      <c r="C22" s="743"/>
      <c r="D22" s="743"/>
      <c r="E22" s="743"/>
      <c r="F22" s="744"/>
      <c r="G22" s="744"/>
      <c r="H22" s="744"/>
      <c r="I22" s="745"/>
      <c r="J22" s="753"/>
      <c r="K22" s="753"/>
      <c r="L22" s="260"/>
    </row>
    <row r="23" spans="1:12">
      <c r="A23" s="504"/>
      <c r="B23" s="742" t="s">
        <v>81</v>
      </c>
      <c r="C23" s="743">
        <f>CONS_U.FIS!J12</f>
        <v>0.30562</v>
      </c>
      <c r="D23" s="743">
        <f>CONS_U.FIS!J26</f>
        <v>2.2620300000000002</v>
      </c>
      <c r="E23" s="743">
        <f>CONS_U.FIS!J33</f>
        <v>0</v>
      </c>
      <c r="F23" s="744">
        <f>CONS_U.FIS!J44</f>
        <v>139.60084000000001</v>
      </c>
      <c r="G23" s="744">
        <f>SUM(C23:F23)</f>
        <v>142.16849000000002</v>
      </c>
      <c r="H23" s="744">
        <f>CONS_U.FIS!J57</f>
        <v>4.2999999999999991E-3</v>
      </c>
      <c r="I23" s="745">
        <f>G23+H23</f>
        <v>142.17279000000002</v>
      </c>
      <c r="J23" s="1244"/>
      <c r="K23" s="1244"/>
      <c r="L23" s="260"/>
    </row>
    <row r="24" spans="1:12">
      <c r="A24" s="504"/>
      <c r="B24" s="746" t="s">
        <v>181</v>
      </c>
      <c r="C24" s="743"/>
      <c r="D24" s="743"/>
      <c r="E24" s="743"/>
      <c r="F24" s="744"/>
      <c r="G24" s="744"/>
      <c r="H24" s="744"/>
      <c r="I24" s="745"/>
      <c r="J24" s="753"/>
      <c r="K24" s="753"/>
      <c r="L24" s="260"/>
    </row>
    <row r="25" spans="1:12">
      <c r="A25" s="504"/>
      <c r="B25" s="742" t="s">
        <v>82</v>
      </c>
      <c r="C25" s="743">
        <f>CONS_U.FIS!K12</f>
        <v>0</v>
      </c>
      <c r="D25" s="743">
        <f>CONS_U.FIS!K26</f>
        <v>0.72166666666666668</v>
      </c>
      <c r="E25" s="743">
        <f>CONS_U.FIS!K33</f>
        <v>0</v>
      </c>
      <c r="F25" s="744">
        <f>CONS_U.FIS!K44</f>
        <v>800.58413800000017</v>
      </c>
      <c r="G25" s="744">
        <f>SUM(C25:F25)</f>
        <v>801.30580466666686</v>
      </c>
      <c r="H25" s="744">
        <f>CONS_U.FIS!K57</f>
        <v>40.249643329285206</v>
      </c>
      <c r="I25" s="745">
        <f>G25+H25</f>
        <v>841.55544799595202</v>
      </c>
      <c r="J25" s="1244"/>
      <c r="K25" s="1244"/>
      <c r="L25" s="260"/>
    </row>
    <row r="26" spans="1:12">
      <c r="A26" s="504"/>
      <c r="B26" s="746" t="s">
        <v>181</v>
      </c>
      <c r="C26" s="743"/>
      <c r="D26" s="743"/>
      <c r="E26" s="743"/>
      <c r="F26" s="744"/>
      <c r="G26" s="744"/>
      <c r="H26" s="744"/>
      <c r="I26" s="745"/>
      <c r="J26" s="753"/>
      <c r="K26" s="753"/>
      <c r="L26" s="260"/>
    </row>
    <row r="27" spans="1:12">
      <c r="A27" s="504"/>
      <c r="B27" s="742" t="s">
        <v>38</v>
      </c>
      <c r="C27" s="743">
        <f>CONS_U.FIS!L12</f>
        <v>426.3526509336312</v>
      </c>
      <c r="D27" s="743">
        <f>CONS_U.FIS!L26</f>
        <v>36633.667090339368</v>
      </c>
      <c r="E27" s="743">
        <f>CONS_U.FIS!L33</f>
        <v>16385.377985637533</v>
      </c>
      <c r="F27" s="744">
        <f>CONS_U.FIS!L44</f>
        <v>2332.0539901348511</v>
      </c>
      <c r="G27" s="744">
        <f>SUM(C27:F27)</f>
        <v>55777.451717045384</v>
      </c>
      <c r="H27" s="744">
        <f>CONS_U.FIS!L57</f>
        <v>0</v>
      </c>
      <c r="I27" s="745">
        <f>G27+H27</f>
        <v>55777.451717045384</v>
      </c>
      <c r="J27" s="1244"/>
      <c r="K27" s="1244"/>
      <c r="L27" s="260"/>
    </row>
    <row r="28" spans="1:12">
      <c r="A28" s="504"/>
      <c r="B28" s="746" t="s">
        <v>184</v>
      </c>
      <c r="C28" s="743"/>
      <c r="D28" s="743"/>
      <c r="E28" s="743"/>
      <c r="F28" s="744"/>
      <c r="G28" s="744"/>
      <c r="H28" s="744"/>
      <c r="I28" s="745"/>
      <c r="J28" s="753"/>
      <c r="K28" s="753"/>
      <c r="L28" s="260"/>
    </row>
    <row r="29" spans="1:12">
      <c r="A29" s="504"/>
      <c r="B29" s="742" t="s">
        <v>27</v>
      </c>
      <c r="C29" s="743">
        <f>CONS_U.FIS!M12</f>
        <v>2.7200000000000002E-2</v>
      </c>
      <c r="D29" s="743">
        <f>CONS_U.FIS!M26</f>
        <v>564.1279438307929</v>
      </c>
      <c r="E29" s="743">
        <f>CONS_U.FIS!M33</f>
        <v>6.2658696129855365</v>
      </c>
      <c r="F29" s="744">
        <f>CONS_U.FIS!M44</f>
        <v>0</v>
      </c>
      <c r="G29" s="744">
        <f>SUM(C29:F29)</f>
        <v>570.42101344377841</v>
      </c>
      <c r="H29" s="744">
        <f>CONS_U.FIS!M57</f>
        <v>5671.7507932500912</v>
      </c>
      <c r="I29" s="745">
        <f>G29+H29</f>
        <v>6242.1718066938693</v>
      </c>
      <c r="J29" s="1244"/>
      <c r="K29" s="1244"/>
      <c r="L29" s="260"/>
    </row>
    <row r="30" spans="1:12">
      <c r="A30" s="504"/>
      <c r="B30" s="746" t="s">
        <v>182</v>
      </c>
      <c r="C30" s="743"/>
      <c r="D30" s="743"/>
      <c r="E30" s="743"/>
      <c r="F30" s="744"/>
      <c r="G30" s="744"/>
      <c r="H30" s="744"/>
      <c r="I30" s="745"/>
      <c r="J30" s="753"/>
      <c r="K30" s="753"/>
      <c r="L30" s="260"/>
    </row>
    <row r="31" spans="1:12">
      <c r="A31" s="504"/>
      <c r="B31" s="742" t="s">
        <v>84</v>
      </c>
      <c r="C31" s="743">
        <f>CONS_U.FIS!N12</f>
        <v>0</v>
      </c>
      <c r="D31" s="743">
        <f>CONS_U.FIS!N26</f>
        <v>417.44826709797496</v>
      </c>
      <c r="E31" s="743">
        <f>CONS_U.FIS!N33</f>
        <v>0</v>
      </c>
      <c r="F31" s="744">
        <f>CONS_U.FIS!N44</f>
        <v>0</v>
      </c>
      <c r="G31" s="744">
        <f>SUM(C31:F31)</f>
        <v>417.44826709797496</v>
      </c>
      <c r="H31" s="744">
        <f>CONS_U.FIS!N57</f>
        <v>867.63023571428585</v>
      </c>
      <c r="I31" s="745">
        <f>G31+H31</f>
        <v>1285.0785028122609</v>
      </c>
      <c r="J31" s="1244"/>
      <c r="K31" s="1244"/>
      <c r="L31" s="260"/>
    </row>
    <row r="32" spans="1:12">
      <c r="A32" s="504"/>
      <c r="B32" s="746" t="s">
        <v>182</v>
      </c>
      <c r="C32" s="743"/>
      <c r="D32" s="743"/>
      <c r="E32" s="743"/>
      <c r="F32" s="744"/>
      <c r="G32" s="744"/>
      <c r="H32" s="744"/>
      <c r="I32" s="745"/>
      <c r="J32" s="753"/>
      <c r="K32" s="753"/>
      <c r="L32" s="260"/>
    </row>
    <row r="33" spans="1:12">
      <c r="A33" s="504"/>
      <c r="B33" s="742" t="s">
        <v>185</v>
      </c>
      <c r="C33" s="743">
        <f>CONS_U.FIS!O12</f>
        <v>0</v>
      </c>
      <c r="D33" s="743">
        <f>CONS_U.FIS!O26</f>
        <v>0</v>
      </c>
      <c r="E33" s="743">
        <f>CONS_U.FIS!O33</f>
        <v>0</v>
      </c>
      <c r="F33" s="744">
        <f>CONS_U.FIS!O44</f>
        <v>16926.25</v>
      </c>
      <c r="G33" s="744">
        <f>SUM(C33:F33)</f>
        <v>16926.25</v>
      </c>
      <c r="H33" s="744">
        <f>CONS_U.FIS!O57</f>
        <v>0</v>
      </c>
      <c r="I33" s="745">
        <f>G33+H33</f>
        <v>16926.25</v>
      </c>
      <c r="J33" s="1244"/>
      <c r="K33" s="1244"/>
      <c r="L33" s="260"/>
    </row>
    <row r="34" spans="1:12">
      <c r="A34" s="504"/>
      <c r="B34" s="746" t="s">
        <v>181</v>
      </c>
      <c r="C34" s="743"/>
      <c r="D34" s="743"/>
      <c r="E34" s="743"/>
      <c r="F34" s="744"/>
      <c r="G34" s="744"/>
      <c r="H34" s="744"/>
      <c r="I34" s="745"/>
      <c r="J34" s="753"/>
      <c r="K34" s="753"/>
      <c r="L34" s="260"/>
    </row>
    <row r="35" spans="1:12">
      <c r="A35" s="504"/>
      <c r="B35" s="742" t="s">
        <v>40</v>
      </c>
      <c r="C35" s="743">
        <f>CONS_U.FIS!P12</f>
        <v>0</v>
      </c>
      <c r="D35" s="743">
        <f>CONS_U.FIS!P26</f>
        <v>187.22647245361563</v>
      </c>
      <c r="E35" s="743">
        <f>CONS_U.FIS!P33</f>
        <v>63.683603143726074</v>
      </c>
      <c r="F35" s="744">
        <f>CONS_U.FIS!P44</f>
        <v>85.740777546384365</v>
      </c>
      <c r="G35" s="744">
        <f>SUM(C35:F35)</f>
        <v>336.65085314372607</v>
      </c>
      <c r="H35" s="744">
        <f>CONS_U.FIS!P57</f>
        <v>0</v>
      </c>
      <c r="I35" s="745">
        <f>G35+H35</f>
        <v>336.65085314372607</v>
      </c>
      <c r="J35" s="1244"/>
      <c r="K35" s="1244"/>
      <c r="L35" s="260"/>
    </row>
    <row r="36" spans="1:12">
      <c r="A36" s="504"/>
      <c r="B36" s="746" t="s">
        <v>183</v>
      </c>
      <c r="C36" s="743"/>
      <c r="D36" s="743"/>
      <c r="E36" s="743"/>
      <c r="F36" s="744"/>
      <c r="G36" s="744"/>
      <c r="H36" s="744"/>
      <c r="I36" s="745"/>
      <c r="J36" s="753"/>
      <c r="K36" s="753"/>
      <c r="L36" s="260"/>
    </row>
    <row r="37" spans="1:12">
      <c r="A37" s="504"/>
      <c r="B37" s="742" t="s">
        <v>87</v>
      </c>
      <c r="C37" s="743">
        <f>CONS_U.FIS!Q12</f>
        <v>0</v>
      </c>
      <c r="D37" s="743">
        <f>CONS_U.FIS!Q26</f>
        <v>194.5146133333333</v>
      </c>
      <c r="E37" s="743">
        <f>CONS_U.FIS!Q33</f>
        <v>0</v>
      </c>
      <c r="F37" s="744">
        <f>CONS_U.FIS!Q44</f>
        <v>917.18777777777791</v>
      </c>
      <c r="G37" s="744">
        <f>SUM(C37:F37)</f>
        <v>1111.7023911111112</v>
      </c>
      <c r="H37" s="744">
        <f>CONS_U.FIS!Q57</f>
        <v>0</v>
      </c>
      <c r="I37" s="745">
        <f>G37+H37</f>
        <v>1111.7023911111112</v>
      </c>
      <c r="J37" s="1244"/>
      <c r="K37" s="1244"/>
      <c r="L37" s="260"/>
    </row>
    <row r="38" spans="1:12">
      <c r="A38" s="504"/>
      <c r="B38" s="746" t="s">
        <v>182</v>
      </c>
      <c r="C38" s="743"/>
      <c r="D38" s="743"/>
      <c r="E38" s="743"/>
      <c r="F38" s="744"/>
      <c r="G38" s="744"/>
      <c r="H38" s="744"/>
      <c r="I38" s="745"/>
      <c r="J38" s="753"/>
      <c r="K38" s="753"/>
      <c r="L38" s="260"/>
    </row>
    <row r="39" spans="1:12">
      <c r="A39" s="504"/>
      <c r="B39" s="742" t="s">
        <v>193</v>
      </c>
      <c r="C39" s="743">
        <f>CONS_U.FIS!R12</f>
        <v>15.375529254405231</v>
      </c>
      <c r="D39" s="743">
        <f>CONS_U.FIS!R26</f>
        <v>71.162391131056367</v>
      </c>
      <c r="E39" s="743">
        <f>CONS_U.FIS!R33</f>
        <v>560.30876812604663</v>
      </c>
      <c r="F39" s="744">
        <f>CONS_U.FIS!R44</f>
        <v>1.3550381869213783</v>
      </c>
      <c r="G39" s="744">
        <f>SUM(C39:F39)</f>
        <v>648.20172669842964</v>
      </c>
      <c r="H39" s="744">
        <f>CONS_U.FIS!R57</f>
        <v>1987.0271608765945</v>
      </c>
      <c r="I39" s="745">
        <f>G39+H39</f>
        <v>2635.2288875750241</v>
      </c>
      <c r="J39" s="1244"/>
      <c r="K39" s="1244"/>
      <c r="L39" s="260"/>
    </row>
    <row r="40" spans="1:12">
      <c r="A40" s="504"/>
      <c r="B40" s="746" t="s">
        <v>183</v>
      </c>
      <c r="C40" s="743"/>
      <c r="D40" s="743"/>
      <c r="E40" s="743"/>
      <c r="F40" s="744"/>
      <c r="G40" s="744"/>
      <c r="H40" s="744"/>
      <c r="I40" s="745"/>
      <c r="J40" s="753"/>
      <c r="K40" s="753"/>
      <c r="L40" s="260"/>
    </row>
    <row r="41" spans="1:12">
      <c r="A41" s="504"/>
      <c r="B41" s="742" t="s">
        <v>42</v>
      </c>
      <c r="C41" s="743">
        <f>CONS_U.FIS!S12</f>
        <v>0</v>
      </c>
      <c r="D41" s="743">
        <f>CONS_U.FIS!S26</f>
        <v>95.391220000000018</v>
      </c>
      <c r="E41" s="743">
        <f>CONS_U.FIS!S33</f>
        <v>0</v>
      </c>
      <c r="F41" s="744">
        <f>CONS_U.FIS!S44</f>
        <v>0</v>
      </c>
      <c r="G41" s="744">
        <f>SUM(C41:F41)</f>
        <v>95.391220000000018</v>
      </c>
      <c r="H41" s="744">
        <f>CONS_U.FIS!S57</f>
        <v>0</v>
      </c>
      <c r="I41" s="745">
        <f>G41+H41</f>
        <v>95.391220000000018</v>
      </c>
      <c r="J41" s="1244"/>
      <c r="K41" s="1244"/>
      <c r="L41" s="260"/>
    </row>
    <row r="42" spans="1:12">
      <c r="A42" s="504"/>
      <c r="B42" s="746" t="s">
        <v>182</v>
      </c>
      <c r="C42" s="743"/>
      <c r="D42" s="743"/>
      <c r="E42" s="743"/>
      <c r="F42" s="744"/>
      <c r="G42" s="744"/>
      <c r="H42" s="744"/>
      <c r="I42" s="745"/>
      <c r="J42" s="753"/>
      <c r="K42" s="753"/>
      <c r="L42" s="260"/>
    </row>
    <row r="43" spans="1:12">
      <c r="A43" s="504"/>
      <c r="B43" s="742" t="s">
        <v>29</v>
      </c>
      <c r="C43" s="743">
        <f>CONS_U.FIS!U12</f>
        <v>0</v>
      </c>
      <c r="D43" s="743">
        <f>CONS_U.FIS!U26</f>
        <v>4649.2055894789619</v>
      </c>
      <c r="E43" s="743">
        <f>CONS_U.FIS!U33</f>
        <v>8430.0618929089123</v>
      </c>
      <c r="F43" s="744">
        <f>CONS_U.FIS!U44</f>
        <v>0</v>
      </c>
      <c r="G43" s="744">
        <f>SUM(C43:F43)</f>
        <v>13079.267482387873</v>
      </c>
      <c r="H43" s="744">
        <f>CONS_U.FIS!U57</f>
        <v>1540.6120390390688</v>
      </c>
      <c r="I43" s="745">
        <f>G43+H43</f>
        <v>14619.879521426941</v>
      </c>
      <c r="J43" s="1244"/>
      <c r="K43" s="1244"/>
      <c r="L43" s="260"/>
    </row>
    <row r="44" spans="1:12">
      <c r="A44" s="504"/>
      <c r="B44" s="746" t="s">
        <v>182</v>
      </c>
      <c r="C44" s="743"/>
      <c r="D44" s="743"/>
      <c r="E44" s="743"/>
      <c r="F44" s="744"/>
      <c r="G44" s="744"/>
      <c r="H44" s="744"/>
      <c r="I44" s="745"/>
      <c r="J44" s="753"/>
      <c r="K44" s="753"/>
      <c r="L44" s="260"/>
    </row>
    <row r="45" spans="1:12">
      <c r="A45" s="504"/>
      <c r="B45" s="742" t="s">
        <v>30</v>
      </c>
      <c r="C45" s="743">
        <v>0</v>
      </c>
      <c r="D45" s="743">
        <v>0</v>
      </c>
      <c r="E45" s="743">
        <v>0</v>
      </c>
      <c r="F45" s="743">
        <v>0</v>
      </c>
      <c r="G45" s="744">
        <f>SUM(C45:F45)</f>
        <v>0</v>
      </c>
      <c r="H45" s="744">
        <v>0</v>
      </c>
      <c r="I45" s="745">
        <f>G45+H45</f>
        <v>0</v>
      </c>
      <c r="J45" s="1244"/>
      <c r="K45" s="753"/>
      <c r="L45" s="260"/>
    </row>
    <row r="46" spans="1:12" ht="13.5" thickBot="1">
      <c r="A46" s="504"/>
      <c r="B46" s="748" t="s">
        <v>182</v>
      </c>
      <c r="C46" s="749"/>
      <c r="D46" s="749"/>
      <c r="E46" s="749"/>
      <c r="F46" s="749"/>
      <c r="G46" s="749"/>
      <c r="H46" s="749"/>
      <c r="I46" s="750"/>
      <c r="J46" s="1244"/>
      <c r="K46" s="753"/>
      <c r="L46" s="260"/>
    </row>
    <row r="47" spans="1:12">
      <c r="A47" s="504"/>
      <c r="B47" s="812" t="s">
        <v>16</v>
      </c>
      <c r="C47" s="752"/>
      <c r="D47" s="752"/>
      <c r="E47" s="752"/>
      <c r="F47" s="752"/>
      <c r="G47" s="752"/>
      <c r="H47" s="752"/>
      <c r="I47" s="752"/>
      <c r="J47" s="1244"/>
      <c r="K47" s="753"/>
      <c r="L47" s="260"/>
    </row>
    <row r="48" spans="1:12">
      <c r="A48" s="504"/>
      <c r="B48" s="500" t="s">
        <v>34</v>
      </c>
      <c r="C48" s="500"/>
      <c r="D48" s="500"/>
      <c r="E48" s="500"/>
      <c r="F48" s="500"/>
      <c r="G48" s="500"/>
      <c r="H48" s="500"/>
      <c r="I48" s="500"/>
      <c r="J48" s="459"/>
      <c r="K48" s="459"/>
      <c r="L48" s="6"/>
    </row>
    <row r="49" spans="1:12">
      <c r="A49" s="504"/>
      <c r="B49" s="500" t="s">
        <v>770</v>
      </c>
      <c r="C49" s="500"/>
      <c r="D49" s="500"/>
      <c r="E49" s="500"/>
      <c r="F49" s="500"/>
      <c r="G49" s="500"/>
      <c r="H49" s="500"/>
      <c r="I49" s="500"/>
      <c r="J49" s="459"/>
      <c r="K49" s="459"/>
      <c r="L49" s="6"/>
    </row>
    <row r="50" spans="1:12">
      <c r="A50" s="504"/>
      <c r="B50" s="753"/>
      <c r="C50" s="753"/>
      <c r="D50" s="753"/>
      <c r="E50" s="753"/>
      <c r="F50" s="753"/>
      <c r="G50" s="753"/>
      <c r="H50" s="753"/>
      <c r="I50" s="753"/>
      <c r="J50" s="753"/>
      <c r="K50" s="753"/>
      <c r="L50" s="260"/>
    </row>
    <row r="51" spans="1:12">
      <c r="A51" s="504"/>
      <c r="B51" s="753"/>
      <c r="C51" s="753"/>
      <c r="D51" s="753"/>
      <c r="E51" s="753"/>
      <c r="F51" s="753"/>
      <c r="G51" s="753"/>
      <c r="H51" s="753"/>
      <c r="I51" s="753"/>
      <c r="J51" s="753"/>
      <c r="K51" s="753"/>
      <c r="L51" s="260"/>
    </row>
    <row r="52" spans="1:12">
      <c r="A52" s="504"/>
      <c r="B52" s="753"/>
      <c r="C52" s="753"/>
      <c r="D52" s="753"/>
      <c r="E52" s="753"/>
      <c r="F52" s="753"/>
      <c r="G52" s="753"/>
      <c r="H52" s="753"/>
      <c r="I52" s="753"/>
      <c r="J52" s="753"/>
      <c r="K52" s="753"/>
      <c r="L52" s="260"/>
    </row>
    <row r="53" spans="1:12">
      <c r="A53" s="504"/>
      <c r="B53" s="753"/>
      <c r="C53" s="753"/>
      <c r="D53" s="753"/>
      <c r="E53" s="753"/>
      <c r="F53" s="753"/>
      <c r="G53" s="753"/>
      <c r="H53" s="753"/>
      <c r="I53" s="753"/>
      <c r="J53" s="753"/>
      <c r="K53" s="753"/>
      <c r="L53" s="260"/>
    </row>
    <row r="54" spans="1:12">
      <c r="A54" s="504"/>
      <c r="B54" s="753"/>
      <c r="C54" s="753"/>
      <c r="D54" s="753"/>
      <c r="E54" s="753"/>
      <c r="F54" s="753"/>
      <c r="G54" s="753"/>
      <c r="H54" s="753"/>
      <c r="I54" s="753"/>
      <c r="J54" s="753"/>
      <c r="K54" s="753"/>
      <c r="L54" s="260"/>
    </row>
    <row r="55" spans="1:12">
      <c r="A55" s="504"/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2">
      <c r="A56" s="504"/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2">
      <c r="A57" s="504"/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2">
      <c r="A58" s="504"/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2">
      <c r="B59" s="3"/>
      <c r="C59" s="3"/>
      <c r="D59" s="3"/>
      <c r="E59" s="3"/>
      <c r="F59" s="3"/>
      <c r="G59" s="3"/>
      <c r="H59" s="3"/>
      <c r="I59" s="3"/>
    </row>
    <row r="60" spans="1:12">
      <c r="B60" s="3"/>
      <c r="C60" s="3"/>
      <c r="D60" s="3"/>
      <c r="E60" s="3"/>
      <c r="F60" s="3"/>
      <c r="G60" s="3"/>
      <c r="H60" s="3"/>
      <c r="I60" s="3"/>
    </row>
    <row r="61" spans="1:12">
      <c r="B61" s="3"/>
      <c r="C61" s="3"/>
      <c r="D61" s="3"/>
      <c r="E61" s="3"/>
      <c r="F61" s="3"/>
      <c r="G61" s="3"/>
      <c r="H61" s="3"/>
      <c r="I61" s="3"/>
    </row>
    <row r="62" spans="1:12">
      <c r="B62" s="3"/>
      <c r="C62" s="3"/>
      <c r="D62" s="3"/>
      <c r="E62" s="3"/>
      <c r="F62" s="3"/>
      <c r="G62" s="3"/>
      <c r="H62" s="3"/>
      <c r="I62" s="3"/>
    </row>
    <row r="63" spans="1:12">
      <c r="B63" s="3"/>
      <c r="C63" s="3"/>
      <c r="D63" s="3"/>
      <c r="E63" s="3"/>
      <c r="F63" s="3"/>
      <c r="G63" s="3"/>
      <c r="H63" s="3"/>
      <c r="I63" s="3"/>
    </row>
    <row r="64" spans="1:12">
      <c r="A64" s="3"/>
      <c r="B64" s="3"/>
      <c r="C64" s="3"/>
      <c r="D64" s="3"/>
      <c r="E64" s="3"/>
      <c r="F64" s="3"/>
      <c r="G64" s="3"/>
      <c r="H64" s="3"/>
      <c r="I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</sheetData>
  <phoneticPr fontId="0" type="noConversion"/>
  <hyperlinks>
    <hyperlink ref="J3" location="INDICE!A40" display="VOLVER A INDICE"/>
  </hyperlinks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B31" sqref="B31"/>
    </sheetView>
  </sheetViews>
  <sheetFormatPr baseColWidth="10" defaultRowHeight="12.75"/>
  <cols>
    <col min="1" max="1" width="1.5703125" style="296" customWidth="1"/>
    <col min="2" max="2" width="30" style="296" customWidth="1"/>
    <col min="3" max="7" width="11.42578125" style="296"/>
    <col min="8" max="17" width="11.42578125" style="3"/>
    <col min="18" max="16384" width="11.42578125" style="296"/>
  </cols>
  <sheetData>
    <row r="1" spans="1:9" ht="4.5" customHeight="1" thickBot="1">
      <c r="A1" s="504"/>
      <c r="B1" s="504"/>
      <c r="C1" s="504"/>
      <c r="D1" s="504"/>
      <c r="E1" s="504"/>
      <c r="F1" s="504"/>
      <c r="G1" s="504"/>
      <c r="H1" s="62"/>
      <c r="I1" s="62"/>
    </row>
    <row r="2" spans="1:9" ht="15.75" customHeight="1" thickBot="1">
      <c r="A2" s="504"/>
      <c r="B2" s="788"/>
      <c r="C2" s="789"/>
      <c r="D2" s="789"/>
      <c r="E2" s="789"/>
      <c r="F2" s="789"/>
      <c r="G2" s="790"/>
      <c r="H2" s="791"/>
      <c r="I2" s="791"/>
    </row>
    <row r="3" spans="1:9" ht="15.75">
      <c r="A3" s="504"/>
      <c r="B3" s="792" t="s">
        <v>194</v>
      </c>
      <c r="C3" s="793"/>
      <c r="D3" s="731" t="s">
        <v>94</v>
      </c>
      <c r="E3" s="793"/>
      <c r="F3" s="793"/>
      <c r="G3" s="794"/>
      <c r="H3" s="509" t="s">
        <v>649</v>
      </c>
      <c r="I3" s="791"/>
    </row>
    <row r="4" spans="1:9" ht="15.75">
      <c r="A4" s="504"/>
      <c r="B4" s="795"/>
      <c r="C4" s="796"/>
      <c r="D4" s="797" t="s">
        <v>772</v>
      </c>
      <c r="E4" s="796"/>
      <c r="F4" s="796"/>
      <c r="G4" s="798"/>
      <c r="H4" s="791"/>
      <c r="I4" s="791"/>
    </row>
    <row r="5" spans="1:9" ht="15.75">
      <c r="A5" s="504"/>
      <c r="B5" s="795"/>
      <c r="C5" s="796"/>
      <c r="D5" s="796" t="s">
        <v>195</v>
      </c>
      <c r="E5" s="796"/>
      <c r="F5" s="796"/>
      <c r="G5" s="798"/>
      <c r="H5" s="791"/>
      <c r="I5" s="791"/>
    </row>
    <row r="6" spans="1:9" ht="15.75">
      <c r="A6" s="504"/>
      <c r="B6" s="795"/>
      <c r="C6" s="796"/>
      <c r="D6" s="797" t="s">
        <v>556</v>
      </c>
      <c r="E6" s="796"/>
      <c r="F6" s="796"/>
      <c r="G6" s="798"/>
      <c r="H6" s="791"/>
      <c r="I6" s="791"/>
    </row>
    <row r="7" spans="1:9" ht="15.75">
      <c r="A7" s="504"/>
      <c r="B7" s="795"/>
      <c r="C7" s="796"/>
      <c r="D7" s="796"/>
      <c r="E7" s="796"/>
      <c r="F7" s="796"/>
      <c r="G7" s="798"/>
      <c r="H7" s="791"/>
      <c r="I7" s="791"/>
    </row>
    <row r="8" spans="1:9" ht="16.5" thickBot="1">
      <c r="A8" s="504"/>
      <c r="B8" s="799" t="s">
        <v>23</v>
      </c>
      <c r="C8" s="800" t="s">
        <v>108</v>
      </c>
      <c r="D8" s="800" t="s">
        <v>109</v>
      </c>
      <c r="E8" s="800" t="s">
        <v>110</v>
      </c>
      <c r="F8" s="800" t="s">
        <v>111</v>
      </c>
      <c r="G8" s="801" t="s">
        <v>31</v>
      </c>
      <c r="H8" s="791"/>
      <c r="I8" s="791"/>
    </row>
    <row r="9" spans="1:9">
      <c r="A9" s="504"/>
      <c r="B9" s="802" t="s">
        <v>196</v>
      </c>
      <c r="C9" s="813">
        <f>CONS_U.FIS!D7</f>
        <v>0.18303030000000001</v>
      </c>
      <c r="D9" s="813">
        <f>CONS_U.FIS!D8</f>
        <v>0</v>
      </c>
      <c r="E9" s="813">
        <f>CONS_U.FIS!D9</f>
        <v>1427.458551771</v>
      </c>
      <c r="F9" s="813">
        <f>CONS_U.FIS!D10</f>
        <v>0</v>
      </c>
      <c r="G9" s="814">
        <f>SUM(C9:F9)</f>
        <v>1427.6415820709999</v>
      </c>
      <c r="H9" s="805"/>
      <c r="I9" s="791"/>
    </row>
    <row r="10" spans="1:9">
      <c r="A10" s="504"/>
      <c r="B10" s="806" t="s">
        <v>182</v>
      </c>
      <c r="C10" s="813"/>
      <c r="D10" s="813"/>
      <c r="E10" s="813"/>
      <c r="F10" s="813"/>
      <c r="G10" s="814"/>
      <c r="H10" s="791"/>
      <c r="I10" s="791"/>
    </row>
    <row r="11" spans="1:9">
      <c r="A11" s="504"/>
      <c r="B11" s="802" t="s">
        <v>76</v>
      </c>
      <c r="C11" s="813">
        <f>CONS_U.FIS!C7</f>
        <v>3823.3199948469992</v>
      </c>
      <c r="D11" s="813">
        <f>CONS_U.FIS!C8</f>
        <v>53.004670999999988</v>
      </c>
      <c r="E11" s="813">
        <f>CONS_U.FIS!C9</f>
        <v>394.96454099999994</v>
      </c>
      <c r="F11" s="813">
        <f>CONS_U.FIS!C10</f>
        <v>0.81159150999999996</v>
      </c>
      <c r="G11" s="814">
        <f>SUM(C11:F11)</f>
        <v>4272.1007983569989</v>
      </c>
      <c r="H11" s="805"/>
      <c r="I11" s="791"/>
    </row>
    <row r="12" spans="1:9">
      <c r="A12" s="504"/>
      <c r="B12" s="806" t="s">
        <v>181</v>
      </c>
      <c r="C12" s="813"/>
      <c r="D12" s="813"/>
      <c r="E12" s="813"/>
      <c r="F12" s="813"/>
      <c r="G12" s="814"/>
      <c r="H12" s="791"/>
      <c r="I12" s="791"/>
    </row>
    <row r="13" spans="1:9">
      <c r="A13" s="504"/>
      <c r="B13" s="802" t="s">
        <v>811</v>
      </c>
      <c r="C13" s="813">
        <f>CONS_U.FIS!E7</f>
        <v>3141.1350648440016</v>
      </c>
      <c r="D13" s="813">
        <f>CONS_U.FIS!E8</f>
        <v>0</v>
      </c>
      <c r="E13" s="813">
        <f>CONS_U.FIS!E9</f>
        <v>5.9809569999999992</v>
      </c>
      <c r="F13" s="813">
        <f>CONS_U.FIS!E10</f>
        <v>0</v>
      </c>
      <c r="G13" s="814">
        <f>SUM(C13:F13)</f>
        <v>3147.1160218440018</v>
      </c>
      <c r="H13" s="805"/>
      <c r="I13" s="791"/>
    </row>
    <row r="14" spans="1:9">
      <c r="A14" s="504"/>
      <c r="B14" s="806" t="s">
        <v>181</v>
      </c>
      <c r="C14" s="813"/>
      <c r="D14" s="813"/>
      <c r="E14" s="813"/>
      <c r="F14" s="813"/>
      <c r="G14" s="814"/>
      <c r="H14" s="791"/>
      <c r="I14" s="791"/>
    </row>
    <row r="15" spans="1:9">
      <c r="A15" s="504"/>
      <c r="B15" s="802" t="s">
        <v>197</v>
      </c>
      <c r="C15" s="813">
        <f>CONS_U.FIS!H7</f>
        <v>6.0000000000000005E-2</v>
      </c>
      <c r="D15" s="813">
        <f>CONS_U.FIS!H8</f>
        <v>0</v>
      </c>
      <c r="E15" s="813">
        <f>CONS_U.FIS!H9</f>
        <v>0</v>
      </c>
      <c r="F15" s="813">
        <f>CONS_U.FIS!H10</f>
        <v>5.8602340000000002</v>
      </c>
      <c r="G15" s="814">
        <f>SUM(C15:F15)</f>
        <v>5.9202339999999998</v>
      </c>
      <c r="H15" s="805"/>
      <c r="I15" s="791"/>
    </row>
    <row r="16" spans="1:9">
      <c r="A16" s="504"/>
      <c r="B16" s="806" t="s">
        <v>181</v>
      </c>
      <c r="C16" s="813"/>
      <c r="D16" s="813"/>
      <c r="E16" s="813"/>
      <c r="F16" s="813"/>
      <c r="G16" s="814"/>
      <c r="H16" s="791"/>
      <c r="I16" s="791"/>
    </row>
    <row r="17" spans="1:9">
      <c r="A17" s="504"/>
      <c r="B17" s="802" t="s">
        <v>80</v>
      </c>
      <c r="C17" s="813">
        <f>CONS_U.FIS!I7</f>
        <v>0.187</v>
      </c>
      <c r="D17" s="813">
        <f>CONS_U.FIS!I8</f>
        <v>0</v>
      </c>
      <c r="E17" s="813">
        <f>CONS_U.FIS!I9</f>
        <v>0</v>
      </c>
      <c r="F17" s="813">
        <f>CONS_U.FIS!I10</f>
        <v>1056.533586</v>
      </c>
      <c r="G17" s="814">
        <f>SUM(C17:F17)</f>
        <v>1056.7205859999999</v>
      </c>
      <c r="H17" s="805"/>
      <c r="I17" s="791"/>
    </row>
    <row r="18" spans="1:9">
      <c r="A18" s="504"/>
      <c r="B18" s="806" t="s">
        <v>181</v>
      </c>
      <c r="C18" s="813"/>
      <c r="D18" s="813"/>
      <c r="E18" s="813"/>
      <c r="F18" s="813"/>
      <c r="G18" s="814"/>
      <c r="H18" s="791"/>
      <c r="I18" s="791"/>
    </row>
    <row r="19" spans="1:9">
      <c r="A19" s="504"/>
      <c r="B19" s="387" t="s">
        <v>77</v>
      </c>
      <c r="C19" s="813">
        <f>CONS_U.FIS!F7</f>
        <v>1.4215</v>
      </c>
      <c r="D19" s="813">
        <f>CONS_U.FIS!F8</f>
        <v>0</v>
      </c>
      <c r="E19" s="813">
        <f>CONS_U.FIS!F9</f>
        <v>0.13000000000000003</v>
      </c>
      <c r="F19" s="813">
        <f>CONS_U.FIS!F10</f>
        <v>0</v>
      </c>
      <c r="G19" s="814">
        <f>SUM(C19:F19)</f>
        <v>1.5515000000000001</v>
      </c>
      <c r="H19" s="791"/>
      <c r="I19" s="791"/>
    </row>
    <row r="20" spans="1:9">
      <c r="A20" s="504"/>
      <c r="B20" s="806" t="s">
        <v>181</v>
      </c>
      <c r="C20" s="813"/>
      <c r="D20" s="813"/>
      <c r="E20" s="813"/>
      <c r="F20" s="813"/>
      <c r="G20" s="814"/>
      <c r="H20" s="791"/>
      <c r="I20" s="791"/>
    </row>
    <row r="21" spans="1:9">
      <c r="A21" s="504"/>
      <c r="B21" s="387" t="s">
        <v>78</v>
      </c>
      <c r="C21" s="813">
        <f>CONS_U.FIS!G7</f>
        <v>2.9684026812090911</v>
      </c>
      <c r="D21" s="813">
        <f>CONS_U.FIS!G8</f>
        <v>0</v>
      </c>
      <c r="E21" s="813">
        <f>CONS_U.FIS!G9</f>
        <v>0</v>
      </c>
      <c r="F21" s="813">
        <f>CONS_U.FIS!G10</f>
        <v>0</v>
      </c>
      <c r="G21" s="814">
        <f>SUM(C21:F21)</f>
        <v>2.9684026812090911</v>
      </c>
      <c r="H21" s="791"/>
      <c r="I21" s="791"/>
    </row>
    <row r="22" spans="1:9">
      <c r="A22" s="504"/>
      <c r="B22" s="806" t="s">
        <v>182</v>
      </c>
      <c r="C22" s="813"/>
      <c r="D22" s="813"/>
      <c r="E22" s="813"/>
      <c r="F22" s="813"/>
      <c r="G22" s="814"/>
      <c r="H22" s="791"/>
      <c r="I22" s="791"/>
    </row>
    <row r="23" spans="1:9">
      <c r="A23" s="504"/>
      <c r="B23" s="802" t="s">
        <v>38</v>
      </c>
      <c r="C23" s="813">
        <f>CONS_U.FIS!L7</f>
        <v>373.05652493363118</v>
      </c>
      <c r="D23" s="813">
        <f>CONS_U.FIS!L8</f>
        <v>53.296126000000008</v>
      </c>
      <c r="E23" s="813">
        <f>CONS_U.FIS!L9</f>
        <v>0</v>
      </c>
      <c r="F23" s="813">
        <f>CONS_U.FIS!L10</f>
        <v>0</v>
      </c>
      <c r="G23" s="814">
        <f>SUM(C23:F23)</f>
        <v>426.3526509336312</v>
      </c>
      <c r="H23" s="805"/>
      <c r="I23" s="807"/>
    </row>
    <row r="24" spans="1:9">
      <c r="A24" s="504"/>
      <c r="B24" s="806" t="s">
        <v>184</v>
      </c>
      <c r="C24" s="813"/>
      <c r="D24" s="813"/>
      <c r="E24" s="813"/>
      <c r="F24" s="813"/>
      <c r="G24" s="814"/>
      <c r="H24" s="791"/>
      <c r="I24" s="791"/>
    </row>
    <row r="25" spans="1:9">
      <c r="A25" s="504"/>
      <c r="B25" s="802" t="s">
        <v>26</v>
      </c>
      <c r="C25" s="813">
        <f>CONS_U.FIS!R7</f>
        <v>15.375529254405231</v>
      </c>
      <c r="D25" s="813">
        <f>CONS_U.FIS!R8</f>
        <v>0</v>
      </c>
      <c r="E25" s="813">
        <f>CONS_U.FIS!R9</f>
        <v>0</v>
      </c>
      <c r="F25" s="813">
        <f>CONS_U.FIS!R10</f>
        <v>0</v>
      </c>
      <c r="G25" s="814">
        <f>SUM(C25:F25)</f>
        <v>15.375529254405231</v>
      </c>
      <c r="H25" s="805"/>
      <c r="I25" s="791"/>
    </row>
    <row r="26" spans="1:9">
      <c r="A26" s="504"/>
      <c r="B26" s="806" t="s">
        <v>183</v>
      </c>
      <c r="C26" s="813"/>
      <c r="D26" s="813"/>
      <c r="E26" s="813"/>
      <c r="F26" s="813"/>
      <c r="G26" s="814"/>
      <c r="H26" s="791"/>
      <c r="I26" s="791"/>
    </row>
    <row r="27" spans="1:9">
      <c r="A27" s="504"/>
      <c r="B27" s="802" t="s">
        <v>27</v>
      </c>
      <c r="C27" s="813">
        <f>CONS_U.FIS!M7</f>
        <v>0</v>
      </c>
      <c r="D27" s="813">
        <f>CONS_U.FIS!M8</f>
        <v>2.7200000000000002E-2</v>
      </c>
      <c r="E27" s="813">
        <f>CONS_U.FIS!M9</f>
        <v>0</v>
      </c>
      <c r="F27" s="813">
        <f>CONS_U.FIS!M10</f>
        <v>0</v>
      </c>
      <c r="G27" s="814">
        <f>SUM(C27:F27)</f>
        <v>2.7200000000000002E-2</v>
      </c>
      <c r="H27" s="805"/>
      <c r="I27" s="791"/>
    </row>
    <row r="28" spans="1:9">
      <c r="A28" s="504"/>
      <c r="B28" s="806" t="s">
        <v>182</v>
      </c>
      <c r="C28" s="803"/>
      <c r="D28" s="803"/>
      <c r="E28" s="803"/>
      <c r="F28" s="803"/>
      <c r="G28" s="804"/>
      <c r="H28" s="791"/>
      <c r="I28" s="791"/>
    </row>
    <row r="29" spans="1:9" ht="13.5" thickBot="1">
      <c r="A29" s="504"/>
      <c r="B29" s="808"/>
      <c r="C29" s="809"/>
      <c r="D29" s="809"/>
      <c r="E29" s="809"/>
      <c r="F29" s="809"/>
      <c r="G29" s="810"/>
      <c r="H29" s="791"/>
      <c r="I29" s="791"/>
    </row>
    <row r="30" spans="1:9">
      <c r="A30" s="504"/>
      <c r="B30" s="812" t="s">
        <v>16</v>
      </c>
      <c r="C30" s="811"/>
      <c r="D30" s="811"/>
      <c r="E30" s="811"/>
      <c r="F30" s="811"/>
      <c r="G30" s="811"/>
      <c r="H30" s="791"/>
      <c r="I30" s="791"/>
    </row>
    <row r="31" spans="1:9">
      <c r="A31" s="504"/>
      <c r="B31" s="500" t="s">
        <v>34</v>
      </c>
      <c r="C31" s="500"/>
      <c r="D31" s="500"/>
      <c r="E31" s="500"/>
      <c r="F31" s="500"/>
      <c r="G31" s="500"/>
      <c r="H31" s="500"/>
      <c r="I31" s="459"/>
    </row>
    <row r="32" spans="1:9">
      <c r="A32" s="504"/>
      <c r="B32" s="500" t="s">
        <v>769</v>
      </c>
      <c r="C32" s="500"/>
      <c r="D32" s="500"/>
      <c r="E32" s="500"/>
      <c r="F32" s="500"/>
      <c r="G32" s="500"/>
      <c r="H32" s="500"/>
      <c r="I32" s="459"/>
    </row>
    <row r="33" spans="1:9">
      <c r="A33" s="504"/>
      <c r="B33" s="791"/>
      <c r="C33" s="791"/>
      <c r="D33" s="791"/>
      <c r="E33" s="791"/>
      <c r="F33" s="791"/>
      <c r="G33" s="791"/>
      <c r="H33" s="791"/>
      <c r="I33" s="791"/>
    </row>
    <row r="34" spans="1:9">
      <c r="A34" s="504"/>
      <c r="B34" s="62"/>
      <c r="C34" s="62"/>
      <c r="D34" s="62"/>
      <c r="E34" s="62"/>
      <c r="F34" s="62"/>
      <c r="G34" s="62"/>
      <c r="H34" s="62"/>
      <c r="I34" s="62"/>
    </row>
    <row r="35" spans="1:9">
      <c r="A35" s="504"/>
      <c r="B35" s="62"/>
      <c r="C35" s="62"/>
      <c r="D35" s="62"/>
      <c r="E35" s="62"/>
      <c r="F35" s="62"/>
      <c r="G35" s="62"/>
      <c r="H35" s="62"/>
      <c r="I35" s="62"/>
    </row>
    <row r="36" spans="1:9">
      <c r="A36" s="62"/>
      <c r="B36" s="62"/>
      <c r="C36" s="62"/>
      <c r="D36" s="62"/>
      <c r="E36" s="62"/>
      <c r="F36" s="62"/>
      <c r="G36" s="62"/>
      <c r="H36" s="62"/>
      <c r="I36" s="62"/>
    </row>
    <row r="37" spans="1:9">
      <c r="A37" s="62"/>
      <c r="B37" s="62"/>
      <c r="C37" s="62"/>
      <c r="D37" s="62"/>
      <c r="E37" s="62"/>
      <c r="F37" s="62"/>
      <c r="G37" s="62"/>
      <c r="H37" s="62"/>
      <c r="I37" s="62"/>
    </row>
    <row r="38" spans="1:9">
      <c r="A38" s="3"/>
      <c r="B38" s="3"/>
      <c r="C38" s="3"/>
      <c r="D38" s="3"/>
      <c r="E38" s="3"/>
      <c r="F38" s="3"/>
      <c r="G38" s="3"/>
    </row>
    <row r="39" spans="1:9">
      <c r="A39" s="3"/>
      <c r="B39" s="3"/>
      <c r="C39" s="3"/>
      <c r="D39" s="3"/>
      <c r="E39" s="3"/>
      <c r="F39" s="3"/>
      <c r="G39" s="3"/>
    </row>
    <row r="40" spans="1:9">
      <c r="A40" s="3"/>
      <c r="B40" s="3"/>
      <c r="C40" s="3"/>
      <c r="D40" s="3"/>
      <c r="E40" s="3"/>
      <c r="F40" s="3"/>
      <c r="G40" s="3"/>
    </row>
    <row r="41" spans="1:9">
      <c r="A41" s="3"/>
      <c r="B41" s="3"/>
      <c r="C41" s="3"/>
      <c r="D41" s="3"/>
      <c r="E41" s="3"/>
      <c r="F41" s="3"/>
      <c r="G41" s="3"/>
    </row>
    <row r="42" spans="1:9">
      <c r="A42" s="3"/>
      <c r="B42" s="3"/>
      <c r="C42" s="3"/>
      <c r="D42" s="3"/>
      <c r="E42" s="3"/>
      <c r="F42" s="3"/>
      <c r="G42" s="3"/>
    </row>
    <row r="43" spans="1:9">
      <c r="A43" s="3"/>
      <c r="B43" s="3"/>
      <c r="C43" s="3"/>
      <c r="D43" s="3"/>
      <c r="E43" s="3"/>
      <c r="F43" s="3"/>
      <c r="G43" s="3"/>
    </row>
    <row r="44" spans="1:9">
      <c r="A44" s="3"/>
      <c r="B44" s="3"/>
      <c r="C44" s="3"/>
      <c r="D44" s="3"/>
      <c r="E44" s="3"/>
      <c r="F44" s="3"/>
      <c r="G44" s="3"/>
    </row>
    <row r="45" spans="1:9">
      <c r="A45" s="3"/>
      <c r="B45" s="3"/>
      <c r="C45" s="3"/>
      <c r="D45" s="3"/>
      <c r="E45" s="3"/>
      <c r="F45" s="3"/>
      <c r="G45" s="3"/>
    </row>
    <row r="46" spans="1:9">
      <c r="A46" s="3"/>
      <c r="B46" s="3"/>
      <c r="C46" s="3"/>
      <c r="D46" s="3"/>
      <c r="E46" s="3"/>
      <c r="F46" s="3"/>
      <c r="G46" s="3"/>
    </row>
    <row r="47" spans="1:9">
      <c r="A47" s="3"/>
      <c r="B47" s="3"/>
      <c r="C47" s="3"/>
      <c r="D47" s="3"/>
      <c r="E47" s="3"/>
      <c r="F47" s="3"/>
      <c r="G47" s="3"/>
    </row>
    <row r="48" spans="1:9">
      <c r="A48" s="3"/>
      <c r="B48" s="3"/>
      <c r="C48" s="3"/>
      <c r="D48" s="3"/>
      <c r="E48" s="3"/>
      <c r="F48" s="3"/>
      <c r="G48" s="3"/>
    </row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pans="3:7" s="3" customFormat="1"/>
    <row r="66" spans="3:7" s="3" customFormat="1"/>
    <row r="67" spans="3:7" s="3" customFormat="1"/>
    <row r="68" spans="3:7" s="3" customFormat="1"/>
    <row r="69" spans="3:7" s="3" customFormat="1"/>
    <row r="70" spans="3:7" s="3" customFormat="1"/>
    <row r="71" spans="3:7" s="3" customFormat="1"/>
    <row r="72" spans="3:7" s="3" customFormat="1"/>
    <row r="73" spans="3:7" s="3" customFormat="1"/>
    <row r="74" spans="3:7" s="3" customFormat="1"/>
    <row r="75" spans="3:7" s="3" customFormat="1"/>
    <row r="76" spans="3:7" s="3" customFormat="1"/>
    <row r="77" spans="3:7" s="3" customFormat="1"/>
    <row r="78" spans="3:7">
      <c r="C78" s="3"/>
      <c r="D78" s="3"/>
      <c r="E78" s="3"/>
      <c r="F78" s="3"/>
      <c r="G78" s="3"/>
    </row>
    <row r="79" spans="3:7">
      <c r="C79" s="3"/>
      <c r="D79" s="3"/>
      <c r="E79" s="3"/>
      <c r="F79" s="3"/>
      <c r="G79" s="3"/>
    </row>
    <row r="80" spans="3:7">
      <c r="C80" s="3"/>
      <c r="D80" s="3"/>
      <c r="E80" s="3"/>
      <c r="F80" s="3"/>
      <c r="G80" s="3"/>
    </row>
    <row r="81" spans="3:7">
      <c r="C81" s="3"/>
      <c r="D81" s="3"/>
      <c r="E81" s="3"/>
      <c r="F81" s="3"/>
      <c r="G81" s="3"/>
    </row>
    <row r="82" spans="3:7">
      <c r="C82" s="3"/>
      <c r="D82" s="3"/>
      <c r="E82" s="3"/>
      <c r="F82" s="3"/>
      <c r="G82" s="3"/>
    </row>
    <row r="83" spans="3:7">
      <c r="C83" s="3"/>
      <c r="D83" s="3"/>
      <c r="E83" s="3"/>
      <c r="F83" s="3"/>
      <c r="G83" s="3"/>
    </row>
    <row r="84" spans="3:7">
      <c r="C84" s="3"/>
      <c r="D84" s="3"/>
      <c r="E84" s="3"/>
      <c r="F84" s="3"/>
      <c r="G84" s="3"/>
    </row>
    <row r="85" spans="3:7">
      <c r="C85" s="3"/>
      <c r="D85" s="3"/>
      <c r="E85" s="3"/>
      <c r="F85" s="3"/>
      <c r="G85" s="3"/>
    </row>
  </sheetData>
  <phoneticPr fontId="0" type="noConversion"/>
  <hyperlinks>
    <hyperlink ref="H3" location="INDICE!A40" display="VOLVER A INDICE"/>
  </hyperlinks>
  <pageMargins left="0.75" right="0.75" top="1" bottom="1" header="0" footer="0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showGridLines="0" workbookViewId="0">
      <pane ySplit="8" topLeftCell="A9" activePane="bottomLeft" state="frozen"/>
      <selection pane="bottomLeft" activeCell="E47" sqref="E47"/>
    </sheetView>
  </sheetViews>
  <sheetFormatPr baseColWidth="10" defaultRowHeight="12.75"/>
  <cols>
    <col min="1" max="1" width="1.85546875" style="296" customWidth="1"/>
    <col min="2" max="2" width="27.85546875" customWidth="1"/>
    <col min="14" max="14" width="15.140625" customWidth="1"/>
    <col min="15" max="15" width="11.42578125" style="3"/>
    <col min="16" max="16" width="19.28515625" style="3" customWidth="1"/>
    <col min="17" max="17" width="19.42578125" style="3" customWidth="1"/>
    <col min="18" max="24" width="11.42578125" style="3"/>
    <col min="26" max="26" width="21.5703125" customWidth="1"/>
  </cols>
  <sheetData>
    <row r="1" spans="1:26" ht="5.25" customHeight="1" thickBot="1">
      <c r="A1" s="504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2"/>
    </row>
    <row r="2" spans="1:26" ht="15.75" customHeight="1" thickBot="1">
      <c r="A2" s="504"/>
      <c r="B2" s="816"/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7"/>
      <c r="N2" s="818"/>
      <c r="O2" s="819"/>
    </row>
    <row r="3" spans="1:26" ht="15.75">
      <c r="A3" s="504"/>
      <c r="B3" s="820"/>
      <c r="C3" s="821"/>
      <c r="D3" s="821"/>
      <c r="E3" s="821"/>
      <c r="F3" s="822"/>
      <c r="G3" s="731" t="s">
        <v>94</v>
      </c>
      <c r="H3" s="821"/>
      <c r="I3" s="821"/>
      <c r="J3" s="821"/>
      <c r="K3" s="821"/>
      <c r="L3" s="821"/>
      <c r="M3" s="821"/>
      <c r="N3" s="823"/>
      <c r="O3" s="824"/>
    </row>
    <row r="4" spans="1:26" ht="15.75">
      <c r="A4" s="504"/>
      <c r="B4" s="825"/>
      <c r="C4" s="826"/>
      <c r="D4" s="826"/>
      <c r="E4" s="826"/>
      <c r="F4" s="827" t="s">
        <v>198</v>
      </c>
      <c r="G4" s="827"/>
      <c r="H4" s="826"/>
      <c r="I4" s="826"/>
      <c r="J4" s="826"/>
      <c r="K4" s="826"/>
      <c r="L4" s="826"/>
      <c r="M4" s="826"/>
      <c r="N4" s="828"/>
      <c r="O4" s="824"/>
    </row>
    <row r="5" spans="1:26" ht="15.75">
      <c r="A5" s="504"/>
      <c r="B5" s="825"/>
      <c r="C5" s="826"/>
      <c r="D5" s="826"/>
      <c r="E5" s="826"/>
      <c r="F5" s="829" t="s">
        <v>823</v>
      </c>
      <c r="G5" s="829"/>
      <c r="H5" s="826"/>
      <c r="I5" s="826"/>
      <c r="J5" s="826"/>
      <c r="K5" s="826"/>
      <c r="L5" s="826"/>
      <c r="M5" s="826"/>
      <c r="N5" s="828"/>
      <c r="O5" s="824"/>
    </row>
    <row r="6" spans="1:26" ht="15.75">
      <c r="A6" s="504"/>
      <c r="B6" s="825"/>
      <c r="C6" s="826"/>
      <c r="D6" s="826"/>
      <c r="E6" s="826"/>
      <c r="F6" s="827" t="s">
        <v>199</v>
      </c>
      <c r="G6" s="826"/>
      <c r="H6" s="826"/>
      <c r="I6" s="826"/>
      <c r="J6" s="826"/>
      <c r="K6" s="826"/>
      <c r="L6" s="826"/>
      <c r="M6" s="826"/>
      <c r="N6" s="828"/>
      <c r="O6" s="509" t="s">
        <v>649</v>
      </c>
    </row>
    <row r="7" spans="1:26" ht="15.75">
      <c r="A7" s="504"/>
      <c r="B7" s="825"/>
      <c r="C7" s="829" t="s">
        <v>113</v>
      </c>
      <c r="D7" s="829" t="s">
        <v>114</v>
      </c>
      <c r="E7" s="829" t="s">
        <v>115</v>
      </c>
      <c r="F7" s="829" t="s">
        <v>116</v>
      </c>
      <c r="G7" s="829" t="s">
        <v>117</v>
      </c>
      <c r="H7" s="829" t="s">
        <v>118</v>
      </c>
      <c r="I7" s="829" t="s">
        <v>119</v>
      </c>
      <c r="J7" s="829" t="s">
        <v>120</v>
      </c>
      <c r="K7" s="829" t="s">
        <v>121</v>
      </c>
      <c r="L7" s="829" t="s">
        <v>122</v>
      </c>
      <c r="M7" s="829" t="s">
        <v>123</v>
      </c>
      <c r="N7" s="830" t="s">
        <v>31</v>
      </c>
      <c r="O7" s="831"/>
      <c r="P7" s="429"/>
      <c r="Q7" s="429"/>
      <c r="R7" s="429"/>
      <c r="S7" s="429"/>
      <c r="T7" s="429"/>
      <c r="U7" s="429"/>
      <c r="V7" s="429"/>
      <c r="W7" s="429"/>
      <c r="X7" s="429"/>
      <c r="Y7" s="429"/>
      <c r="Z7" s="429"/>
    </row>
    <row r="8" spans="1:26" ht="16.5" thickBot="1">
      <c r="A8" s="504"/>
      <c r="B8" s="832" t="s">
        <v>23</v>
      </c>
      <c r="C8" s="833"/>
      <c r="D8" s="833"/>
      <c r="E8" s="833"/>
      <c r="F8" s="833" t="s">
        <v>124</v>
      </c>
      <c r="G8" s="833" t="s">
        <v>200</v>
      </c>
      <c r="H8" s="833" t="s">
        <v>126</v>
      </c>
      <c r="I8" s="833"/>
      <c r="J8" s="833"/>
      <c r="K8" s="833"/>
      <c r="L8" s="833" t="s">
        <v>127</v>
      </c>
      <c r="M8" s="833" t="s">
        <v>127</v>
      </c>
      <c r="N8" s="834"/>
      <c r="O8" s="831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</row>
    <row r="9" spans="1:26">
      <c r="A9" s="504"/>
      <c r="B9" s="835" t="s">
        <v>75</v>
      </c>
      <c r="C9" s="836">
        <f>CONS_U.FIS!D14</f>
        <v>144.45684346372497</v>
      </c>
      <c r="D9" s="837">
        <f>CONS_U.FIS!D15</f>
        <v>38.804000000000002</v>
      </c>
      <c r="E9" s="837">
        <f>CONS_U.FIS!D16</f>
        <v>3.6389999999999998</v>
      </c>
      <c r="F9" s="837">
        <f>CONS_U.FIS!D17</f>
        <v>215.21400441089645</v>
      </c>
      <c r="G9" s="837">
        <f>CONS_U.FIS!D18</f>
        <v>42.62019047619048</v>
      </c>
      <c r="H9" s="837">
        <f>CONS_U.FIS!D19</f>
        <v>1.0663188299999999</v>
      </c>
      <c r="I9" s="837">
        <f>CONS_U.FIS!D20</f>
        <v>15.595935670000003</v>
      </c>
      <c r="J9" s="837">
        <f>CONS_U.FIS!D21</f>
        <v>17.654837944222223</v>
      </c>
      <c r="K9" s="837">
        <f>CONS_U.FIS!D22</f>
        <v>58.897829757999993</v>
      </c>
      <c r="L9" s="837">
        <f>CONS_U.FIS!D23</f>
        <v>357.52995326739659</v>
      </c>
      <c r="M9" s="836">
        <f>CONS_U.FIS!D24</f>
        <v>26.810274961275045</v>
      </c>
      <c r="N9" s="838">
        <f>SUM(C9:M9)</f>
        <v>922.28918878170577</v>
      </c>
      <c r="O9" s="839"/>
      <c r="P9" s="431"/>
      <c r="Q9" s="431"/>
      <c r="R9" s="431"/>
      <c r="S9" s="431"/>
      <c r="T9" s="431"/>
      <c r="U9" s="431"/>
      <c r="V9" s="431"/>
      <c r="W9" s="431"/>
      <c r="X9" s="431"/>
      <c r="Y9" s="431"/>
      <c r="Z9" s="431"/>
    </row>
    <row r="10" spans="1:26">
      <c r="A10" s="504"/>
      <c r="B10" s="840" t="s">
        <v>182</v>
      </c>
      <c r="C10" s="837"/>
      <c r="D10" s="837"/>
      <c r="E10" s="837"/>
      <c r="F10" s="837"/>
      <c r="G10" s="837"/>
      <c r="H10" s="837"/>
      <c r="I10" s="837"/>
      <c r="J10" s="837"/>
      <c r="K10" s="837"/>
      <c r="L10" s="837"/>
      <c r="M10" s="837"/>
      <c r="N10" s="838"/>
      <c r="O10" s="841"/>
      <c r="P10" s="431"/>
      <c r="Q10" s="431"/>
      <c r="R10" s="430"/>
      <c r="S10" s="430"/>
      <c r="T10" s="430"/>
      <c r="U10" s="430"/>
      <c r="V10" s="430"/>
      <c r="W10" s="430"/>
      <c r="X10" s="430"/>
      <c r="Y10" s="430"/>
      <c r="Z10" s="430"/>
    </row>
    <row r="11" spans="1:26">
      <c r="A11" s="504"/>
      <c r="B11" s="835" t="s">
        <v>76</v>
      </c>
      <c r="C11" s="836">
        <f>CONS_U.FIS!C14</f>
        <v>1055.5868849611957</v>
      </c>
      <c r="D11" s="837">
        <f>CONS_U.FIS!C15</f>
        <v>43.268999999999998</v>
      </c>
      <c r="E11" s="837">
        <f>CONS_U.FIS!C16</f>
        <v>4.0996759999999997</v>
      </c>
      <c r="F11" s="837">
        <f>CONS_U.FIS!C17</f>
        <v>11.326438796140264</v>
      </c>
      <c r="G11" s="837">
        <f>CONS_U.FIS!C18</f>
        <v>2.6299830000000002</v>
      </c>
      <c r="H11" s="837">
        <f>CONS_U.FIS!C19</f>
        <v>0.29718999999999995</v>
      </c>
      <c r="I11" s="837">
        <f>CONS_U.FIS!C20</f>
        <v>12.2042813</v>
      </c>
      <c r="J11" s="837">
        <f>CONS_U.FIS!C21</f>
        <v>0.35140520200000003</v>
      </c>
      <c r="K11" s="837">
        <f>CONS_U.FIS!C22</f>
        <v>78.787730999999994</v>
      </c>
      <c r="L11" s="837">
        <f>CONS_U.FIS!C23</f>
        <v>924.3321708099545</v>
      </c>
      <c r="M11" s="837">
        <f>CONS_U.FIS!C24</f>
        <v>309.42049556594753</v>
      </c>
      <c r="N11" s="838">
        <f>SUM(C11:M11)</f>
        <v>2442.305256635238</v>
      </c>
      <c r="O11" s="839"/>
      <c r="P11" s="431"/>
      <c r="Q11" s="431"/>
      <c r="R11" s="431"/>
      <c r="S11" s="431"/>
      <c r="T11" s="431"/>
      <c r="U11" s="431"/>
      <c r="V11" s="431"/>
      <c r="W11" s="431"/>
      <c r="X11" s="431"/>
      <c r="Y11" s="431"/>
      <c r="Z11" s="431"/>
    </row>
    <row r="12" spans="1:26">
      <c r="A12" s="504"/>
      <c r="B12" s="840" t="s">
        <v>181</v>
      </c>
      <c r="C12" s="837"/>
      <c r="D12" s="837"/>
      <c r="E12" s="837"/>
      <c r="F12" s="837"/>
      <c r="G12" s="837"/>
      <c r="H12" s="837"/>
      <c r="I12" s="837"/>
      <c r="J12" s="837"/>
      <c r="K12" s="837"/>
      <c r="L12" s="837"/>
      <c r="M12" s="837"/>
      <c r="N12" s="838"/>
      <c r="O12" s="841"/>
      <c r="P12" s="432"/>
      <c r="Q12" s="432"/>
      <c r="R12" s="430"/>
      <c r="S12" s="430"/>
      <c r="T12" s="430"/>
      <c r="U12" s="430"/>
      <c r="V12" s="430"/>
      <c r="W12" s="430"/>
      <c r="X12" s="430"/>
      <c r="Y12" s="430"/>
      <c r="Z12" s="430"/>
    </row>
    <row r="13" spans="1:26">
      <c r="A13" s="504"/>
      <c r="B13" s="835" t="s">
        <v>77</v>
      </c>
      <c r="C13" s="836">
        <f>CONS_U.FIS!F14</f>
        <v>8.9064630000000005</v>
      </c>
      <c r="D13" s="837">
        <f>CONS_U.FIS!F15</f>
        <v>0</v>
      </c>
      <c r="E13" s="837">
        <f>CONS_U.FIS!F16</f>
        <v>0</v>
      </c>
      <c r="F13" s="837">
        <f>CONS_U.FIS!F17</f>
        <v>7.3239999999999998E-3</v>
      </c>
      <c r="G13" s="837">
        <f>CONS_U.FIS!F18</f>
        <v>0</v>
      </c>
      <c r="H13" s="837">
        <f>CONS_U.FIS!F19</f>
        <v>0</v>
      </c>
      <c r="I13" s="837">
        <f>CONS_U.FIS!F20</f>
        <v>0</v>
      </c>
      <c r="J13" s="837">
        <f>CONS_U.FIS!F21</f>
        <v>0</v>
      </c>
      <c r="K13" s="837">
        <f>CONS_U.FIS!F22</f>
        <v>0</v>
      </c>
      <c r="L13" s="837">
        <f>CONS_U.FIS!F23</f>
        <v>16.511776000000001</v>
      </c>
      <c r="M13" s="837">
        <f>CONS_U.FIS!F24</f>
        <v>6.3787769999999977</v>
      </c>
      <c r="N13" s="838">
        <f>SUM(C13:M13)</f>
        <v>31.804340000000003</v>
      </c>
      <c r="O13" s="839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</row>
    <row r="14" spans="1:26">
      <c r="A14" s="504"/>
      <c r="B14" s="840" t="s">
        <v>181</v>
      </c>
      <c r="C14" s="837"/>
      <c r="D14" s="837"/>
      <c r="E14" s="837"/>
      <c r="F14" s="837"/>
      <c r="G14" s="837"/>
      <c r="H14" s="837"/>
      <c r="I14" s="837"/>
      <c r="J14" s="837"/>
      <c r="K14" s="837"/>
      <c r="L14" s="837"/>
      <c r="M14" s="837"/>
      <c r="N14" s="838"/>
      <c r="O14" s="841"/>
      <c r="P14" s="432"/>
      <c r="Q14" s="432"/>
      <c r="R14" s="430"/>
      <c r="S14" s="430"/>
      <c r="T14" s="430"/>
      <c r="U14" s="430"/>
      <c r="V14" s="430"/>
      <c r="W14" s="430"/>
      <c r="X14" s="430"/>
      <c r="Y14" s="430"/>
      <c r="Z14" s="430"/>
    </row>
    <row r="15" spans="1:26">
      <c r="A15" s="504"/>
      <c r="B15" s="835" t="s">
        <v>78</v>
      </c>
      <c r="C15" s="836">
        <f>CONS_U.FIS!G14</f>
        <v>5.311219330486999</v>
      </c>
      <c r="D15" s="837">
        <f>CONS_U.FIS!G15</f>
        <v>0.205871</v>
      </c>
      <c r="E15" s="837">
        <f>CONS_U.FIS!G16</f>
        <v>0</v>
      </c>
      <c r="F15" s="837">
        <f>CONS_U.FIS!G17</f>
        <v>15.706172224672734</v>
      </c>
      <c r="G15" s="837">
        <f>CONS_U.FIS!G18</f>
        <v>5.2771567859091011</v>
      </c>
      <c r="H15" s="837">
        <f>CONS_U.FIS!G19</f>
        <v>0</v>
      </c>
      <c r="I15" s="837">
        <f>CONS_U.FIS!G20</f>
        <v>0.41082567136363635</v>
      </c>
      <c r="J15" s="837">
        <f>CONS_U.FIS!G21</f>
        <v>0.25869791454545454</v>
      </c>
      <c r="K15" s="837">
        <f>CONS_U.FIS!G22</f>
        <v>2.1621144830545451</v>
      </c>
      <c r="L15" s="837">
        <f>CONS_U.FIS!G23</f>
        <v>256.19778142113103</v>
      </c>
      <c r="M15" s="837">
        <f>CONS_U.FIS!G24</f>
        <v>1.6998051998181822</v>
      </c>
      <c r="N15" s="838">
        <f>SUM(C15:M15)</f>
        <v>287.22964403098166</v>
      </c>
      <c r="O15" s="839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</row>
    <row r="16" spans="1:26">
      <c r="A16" s="504"/>
      <c r="B16" s="840" t="s">
        <v>182</v>
      </c>
      <c r="C16" s="837"/>
      <c r="D16" s="837"/>
      <c r="E16" s="837"/>
      <c r="F16" s="837"/>
      <c r="G16" s="837"/>
      <c r="H16" s="837"/>
      <c r="I16" s="837"/>
      <c r="J16" s="837"/>
      <c r="K16" s="837"/>
      <c r="L16" s="837"/>
      <c r="M16" s="837"/>
      <c r="N16" s="838"/>
      <c r="O16" s="841"/>
      <c r="P16" s="432"/>
      <c r="Q16" s="432"/>
      <c r="R16" s="430"/>
      <c r="S16" s="430"/>
      <c r="T16" s="430"/>
      <c r="U16" s="430"/>
      <c r="V16" s="430"/>
      <c r="W16" s="430"/>
      <c r="X16" s="430"/>
      <c r="Y16" s="430"/>
      <c r="Z16" s="430"/>
    </row>
    <row r="17" spans="1:26">
      <c r="A17" s="504"/>
      <c r="B17" s="835" t="s">
        <v>81</v>
      </c>
      <c r="C17" s="836">
        <f>CONS_U.FIS!J14</f>
        <v>2.0576080000000001</v>
      </c>
      <c r="D17" s="837">
        <f>CONS_U.FIS!J15</f>
        <v>0</v>
      </c>
      <c r="E17" s="837">
        <f>CONS_U.FIS!J16</f>
        <v>0</v>
      </c>
      <c r="F17" s="837">
        <f>CONS_U.FIS!J17</f>
        <v>3.4999999999999996E-3</v>
      </c>
      <c r="G17" s="837">
        <f>CONS_U.FIS!J18</f>
        <v>0</v>
      </c>
      <c r="H17" s="836">
        <f>CONS_U.FIS!J19</f>
        <v>0</v>
      </c>
      <c r="I17" s="837">
        <f>CONS_U.FIS!J20</f>
        <v>0</v>
      </c>
      <c r="J17" s="837">
        <f>CONS_U.FIS!J21</f>
        <v>0</v>
      </c>
      <c r="K17" s="837">
        <f>CONS_U.FIS!J22</f>
        <v>8.5921999999999998E-2</v>
      </c>
      <c r="L17" s="837">
        <f>CONS_U.FIS!J23</f>
        <v>0</v>
      </c>
      <c r="M17" s="837">
        <f>CONS_U.FIS!J24</f>
        <v>0.115</v>
      </c>
      <c r="N17" s="838">
        <f>SUM(C17:M17)</f>
        <v>2.2620300000000002</v>
      </c>
      <c r="O17" s="839"/>
      <c r="P17" s="431"/>
      <c r="Q17" s="431"/>
      <c r="R17" s="431"/>
      <c r="S17" s="431"/>
      <c r="T17" s="431"/>
      <c r="U17" s="431"/>
      <c r="V17" s="431"/>
      <c r="W17" s="431"/>
      <c r="X17" s="431"/>
      <c r="Y17" s="431"/>
      <c r="Z17" s="431"/>
    </row>
    <row r="18" spans="1:26">
      <c r="A18" s="504"/>
      <c r="B18" s="840" t="s">
        <v>181</v>
      </c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8"/>
      <c r="O18" s="841"/>
      <c r="P18" s="432"/>
      <c r="Q18" s="432"/>
      <c r="R18" s="430"/>
      <c r="S18" s="430"/>
      <c r="T18" s="430"/>
      <c r="U18" s="430"/>
      <c r="V18" s="430"/>
      <c r="W18" s="430"/>
      <c r="X18" s="430"/>
      <c r="Y18" s="430"/>
      <c r="Z18" s="430"/>
    </row>
    <row r="19" spans="1:26">
      <c r="A19" s="504"/>
      <c r="B19" s="835" t="s">
        <v>82</v>
      </c>
      <c r="C19" s="836">
        <f>CONS_U.FIS!K14</f>
        <v>0</v>
      </c>
      <c r="D19" s="837">
        <f>CONS_U.FIS!K15</f>
        <v>0</v>
      </c>
      <c r="E19" s="837">
        <f>CONS_U.FIS!K16</f>
        <v>0</v>
      </c>
      <c r="F19" s="837">
        <f>CONS_U.FIS!K17</f>
        <v>0</v>
      </c>
      <c r="G19" s="837">
        <f>CONS_U.FIS!K18</f>
        <v>0</v>
      </c>
      <c r="H19" s="837">
        <f>CONS_U.FIS!K19</f>
        <v>0.72166666666666668</v>
      </c>
      <c r="I19" s="837">
        <f>CONS_U.FIS!K20</f>
        <v>0</v>
      </c>
      <c r="J19" s="837">
        <f>CONS_U.FIS!K21</f>
        <v>0</v>
      </c>
      <c r="K19" s="837">
        <f>CONS_U.FIS!K22</f>
        <v>0</v>
      </c>
      <c r="L19" s="837">
        <f>CONS_U.FIS!K23</f>
        <v>0</v>
      </c>
      <c r="M19" s="837">
        <f>CONS_U.FIS!K24</f>
        <v>0</v>
      </c>
      <c r="N19" s="838">
        <f>SUM(C19:M19)</f>
        <v>0.72166666666666668</v>
      </c>
      <c r="O19" s="839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431"/>
    </row>
    <row r="20" spans="1:26">
      <c r="A20" s="504"/>
      <c r="B20" s="840" t="s">
        <v>181</v>
      </c>
      <c r="C20" s="837"/>
      <c r="D20" s="837"/>
      <c r="E20" s="837"/>
      <c r="F20" s="837"/>
      <c r="G20" s="837"/>
      <c r="H20" s="837"/>
      <c r="I20" s="837"/>
      <c r="J20" s="837"/>
      <c r="K20" s="837"/>
      <c r="L20" s="837"/>
      <c r="M20" s="837"/>
      <c r="N20" s="838"/>
      <c r="O20" s="841"/>
      <c r="P20" s="432"/>
      <c r="Q20" s="432"/>
      <c r="R20" s="430"/>
      <c r="S20" s="430"/>
      <c r="T20" s="430"/>
      <c r="U20" s="430"/>
      <c r="V20" s="430"/>
      <c r="W20" s="430"/>
      <c r="X20" s="430"/>
      <c r="Y20" s="430"/>
      <c r="Z20" s="430"/>
    </row>
    <row r="21" spans="1:26">
      <c r="A21" s="504"/>
      <c r="B21" s="835" t="s">
        <v>38</v>
      </c>
      <c r="C21" s="836">
        <f>CONS_U.FIS!L14</f>
        <v>17847.540897925472</v>
      </c>
      <c r="D21" s="837">
        <f>CONS_U.FIS!L15</f>
        <v>404.53327075137952</v>
      </c>
      <c r="E21" s="837">
        <f>CONS_U.FIS!L16</f>
        <v>473.23781800000006</v>
      </c>
      <c r="F21" s="837">
        <f>CONS_U.FIS!L17</f>
        <v>5344.955561976516</v>
      </c>
      <c r="G21" s="837">
        <f>CONS_U.FIS!L18</f>
        <v>605.38285700000006</v>
      </c>
      <c r="H21" s="837">
        <f>CONS_U.FIS!L19</f>
        <v>536.05267817741947</v>
      </c>
      <c r="I21" s="836">
        <f>CONS_U.FIS!L20</f>
        <v>607.25376738604666</v>
      </c>
      <c r="J21" s="837">
        <f>CONS_U.FIS!L21</f>
        <v>73.001949999999994</v>
      </c>
      <c r="K21" s="837">
        <f>CONS_U.FIS!L22</f>
        <v>188.49438119595706</v>
      </c>
      <c r="L21" s="837">
        <f>CONS_U.FIS!L23</f>
        <v>8999.1947824158888</v>
      </c>
      <c r="M21" s="837">
        <f>CONS_U.FIS!L24</f>
        <v>1554.0191255106895</v>
      </c>
      <c r="N21" s="838">
        <f>SUM(C21:M21)</f>
        <v>36633.667090339375</v>
      </c>
      <c r="O21" s="839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</row>
    <row r="22" spans="1:26">
      <c r="A22" s="504"/>
      <c r="B22" s="840" t="s">
        <v>184</v>
      </c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8"/>
      <c r="O22" s="841"/>
      <c r="P22" s="432"/>
      <c r="Q22" s="432"/>
      <c r="R22" s="430"/>
      <c r="S22" s="430"/>
      <c r="T22" s="430"/>
      <c r="U22" s="430"/>
      <c r="V22" s="430"/>
      <c r="W22" s="430"/>
      <c r="X22" s="430"/>
      <c r="Y22" s="430"/>
      <c r="Z22" s="430"/>
    </row>
    <row r="23" spans="1:26">
      <c r="A23" s="504"/>
      <c r="B23" s="835" t="s">
        <v>27</v>
      </c>
      <c r="C23" s="836">
        <f>CONS_U.FIS!M14</f>
        <v>0.18093199999999998</v>
      </c>
      <c r="D23" s="837">
        <f>CONS_U.FIS!M15</f>
        <v>0</v>
      </c>
      <c r="E23" s="837">
        <f>CONS_U.FIS!M16</f>
        <v>83.562171428571432</v>
      </c>
      <c r="F23" s="837">
        <f>CONS_U.FIS!M17</f>
        <v>4.6480914285714284E-2</v>
      </c>
      <c r="G23" s="837">
        <f>CONS_U.FIS!M18</f>
        <v>0</v>
      </c>
      <c r="H23" s="837">
        <f>CONS_U.FIS!M19</f>
        <v>0</v>
      </c>
      <c r="I23" s="837">
        <f>CONS_U.FIS!M20</f>
        <v>306.14478577154381</v>
      </c>
      <c r="J23" s="837">
        <f>CONS_U.FIS!M21</f>
        <v>58.4442963931169</v>
      </c>
      <c r="K23" s="837">
        <f>CONS_U.FIS!M22</f>
        <v>10.372526004642495</v>
      </c>
      <c r="L23" s="837">
        <f>CONS_U.FIS!M23</f>
        <v>105.37675131863254</v>
      </c>
      <c r="M23" s="836">
        <f>CONS_U.FIS!M24</f>
        <v>0</v>
      </c>
      <c r="N23" s="838">
        <f>SUM(C23:M23)</f>
        <v>564.1279438307929</v>
      </c>
      <c r="O23" s="839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</row>
    <row r="24" spans="1:26">
      <c r="A24" s="504"/>
      <c r="B24" s="840" t="s">
        <v>182</v>
      </c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8"/>
      <c r="O24" s="841"/>
      <c r="P24" s="432"/>
      <c r="Q24" s="432"/>
      <c r="R24" s="430"/>
      <c r="S24" s="430"/>
      <c r="T24" s="430"/>
      <c r="U24" s="430"/>
      <c r="V24" s="430"/>
      <c r="W24" s="430"/>
      <c r="X24" s="430"/>
      <c r="Y24" s="430"/>
      <c r="Z24" s="430"/>
    </row>
    <row r="25" spans="1:26">
      <c r="A25" s="504"/>
      <c r="B25" s="835" t="s">
        <v>84</v>
      </c>
      <c r="C25" s="836">
        <f>CONS_U.FIS!N14</f>
        <v>15.813730428571427</v>
      </c>
      <c r="D25" s="837">
        <f>CONS_U.FIS!N15</f>
        <v>0</v>
      </c>
      <c r="E25" s="837">
        <f>CONS_U.FIS!N16</f>
        <v>0</v>
      </c>
      <c r="F25" s="837">
        <f>CONS_U.FIS!N17</f>
        <v>0</v>
      </c>
      <c r="G25" s="837">
        <f>CONS_U.FIS!N18</f>
        <v>326.0443618571428</v>
      </c>
      <c r="H25" s="837">
        <f>CONS_U.FIS!N19</f>
        <v>0</v>
      </c>
      <c r="I25" s="837">
        <f>CONS_U.FIS!N20</f>
        <v>66.397379142857147</v>
      </c>
      <c r="J25" s="837">
        <f>CONS_U.FIS!N21</f>
        <v>3.1634932408321488</v>
      </c>
      <c r="K25" s="837">
        <f>CONS_U.FIS!N22</f>
        <v>0</v>
      </c>
      <c r="L25" s="837">
        <f>CONS_U.FIS!N23</f>
        <v>1.858231</v>
      </c>
      <c r="M25" s="837">
        <f>CONS_U.FIS!N24</f>
        <v>4.1710714285714285</v>
      </c>
      <c r="N25" s="838">
        <f>SUM(C25:M25)</f>
        <v>417.44826709797496</v>
      </c>
      <c r="O25" s="839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431"/>
    </row>
    <row r="26" spans="1:26">
      <c r="A26" s="504"/>
      <c r="B26" s="840" t="s">
        <v>182</v>
      </c>
      <c r="C26" s="837"/>
      <c r="D26" s="837"/>
      <c r="E26" s="837"/>
      <c r="F26" s="837"/>
      <c r="G26" s="837"/>
      <c r="H26" s="837"/>
      <c r="I26" s="837"/>
      <c r="J26" s="837"/>
      <c r="K26" s="837"/>
      <c r="L26" s="837"/>
      <c r="M26" s="837"/>
      <c r="N26" s="838"/>
      <c r="O26" s="841"/>
      <c r="P26" s="432"/>
      <c r="Q26" s="432"/>
      <c r="R26" s="430"/>
      <c r="S26" s="430"/>
      <c r="T26" s="430"/>
      <c r="U26" s="430"/>
      <c r="V26" s="430"/>
      <c r="W26" s="430"/>
      <c r="X26" s="430"/>
      <c r="Y26" s="430"/>
      <c r="Z26" s="430"/>
    </row>
    <row r="27" spans="1:26">
      <c r="A27" s="504"/>
      <c r="B27" s="835" t="s">
        <v>185</v>
      </c>
      <c r="C27" s="836">
        <f>CONS_U.FIS!O14</f>
        <v>0</v>
      </c>
      <c r="D27" s="837">
        <f>CONS_U.FIS!O15</f>
        <v>0</v>
      </c>
      <c r="E27" s="837">
        <f>CONS_U.FIS!O16</f>
        <v>0</v>
      </c>
      <c r="F27" s="837">
        <f>CONS_U.FIS!O17</f>
        <v>0</v>
      </c>
      <c r="G27" s="837">
        <f>CONS_U.FIS!O18</f>
        <v>0</v>
      </c>
      <c r="H27" s="837">
        <f>CONS_U.FIS!O19</f>
        <v>0</v>
      </c>
      <c r="I27" s="837">
        <f>CONS_U.FIS!O20</f>
        <v>0</v>
      </c>
      <c r="J27" s="837">
        <f>CONS_U.FIS!O21</f>
        <v>0</v>
      </c>
      <c r="K27" s="837">
        <f>CONS_U.FIS!O22</f>
        <v>0</v>
      </c>
      <c r="L27" s="837">
        <f>CONS_U.FIS!O23</f>
        <v>0</v>
      </c>
      <c r="M27" s="837">
        <f>CONS_U.FIS!O24</f>
        <v>0</v>
      </c>
      <c r="N27" s="838">
        <f>SUM(C27:M27)</f>
        <v>0</v>
      </c>
      <c r="O27" s="839"/>
      <c r="P27" s="431"/>
      <c r="Q27" s="431"/>
      <c r="R27" s="431"/>
      <c r="S27" s="431"/>
      <c r="T27" s="431"/>
      <c r="U27" s="431"/>
      <c r="V27" s="431"/>
      <c r="W27" s="431"/>
      <c r="X27" s="431"/>
      <c r="Y27" s="431"/>
      <c r="Z27" s="431"/>
    </row>
    <row r="28" spans="1:26">
      <c r="A28" s="504"/>
      <c r="B28" s="840" t="s">
        <v>181</v>
      </c>
      <c r="C28" s="837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8"/>
      <c r="O28" s="841"/>
      <c r="P28" s="432"/>
      <c r="Q28" s="432"/>
      <c r="R28" s="430"/>
      <c r="S28" s="430"/>
      <c r="T28" s="430"/>
      <c r="U28" s="430"/>
      <c r="V28" s="430"/>
      <c r="W28" s="430"/>
      <c r="X28" s="430"/>
      <c r="Y28" s="430"/>
      <c r="Z28" s="430"/>
    </row>
    <row r="29" spans="1:26">
      <c r="A29" s="504"/>
      <c r="B29" s="835" t="s">
        <v>40</v>
      </c>
      <c r="C29" s="836">
        <f>CONS_U.FIS!P14</f>
        <v>0</v>
      </c>
      <c r="D29" s="837">
        <f>CONS_U.FIS!P15</f>
        <v>0</v>
      </c>
      <c r="E29" s="837">
        <f>CONS_U.FIS!P16</f>
        <v>0</v>
      </c>
      <c r="F29" s="837">
        <f>CONS_U.FIS!P17</f>
        <v>0</v>
      </c>
      <c r="G29" s="837">
        <f>CONS_U.FIS!P18</f>
        <v>187.22647245361563</v>
      </c>
      <c r="H29" s="837">
        <f>CONS_U.FIS!P19</f>
        <v>0</v>
      </c>
      <c r="I29" s="837">
        <f>CONS_U.FIS!P20</f>
        <v>0</v>
      </c>
      <c r="J29" s="837">
        <f>CONS_U.FIS!P21</f>
        <v>0</v>
      </c>
      <c r="K29" s="837">
        <f>CONS_U.FIS!P22</f>
        <v>0</v>
      </c>
      <c r="L29" s="837">
        <f>CONS_U.FIS!P23</f>
        <v>0</v>
      </c>
      <c r="M29" s="837">
        <f>CONS_U.FIS!P24</f>
        <v>0</v>
      </c>
      <c r="N29" s="838">
        <f>SUM(C29:M29)</f>
        <v>187.22647245361563</v>
      </c>
      <c r="O29" s="839"/>
      <c r="P29" s="431"/>
      <c r="Q29" s="431"/>
      <c r="R29" s="431"/>
      <c r="S29" s="431"/>
      <c r="T29" s="431"/>
      <c r="U29" s="431"/>
      <c r="V29" s="431"/>
      <c r="W29" s="431"/>
      <c r="X29" s="431"/>
      <c r="Y29" s="431"/>
      <c r="Z29" s="431"/>
    </row>
    <row r="30" spans="1:26">
      <c r="A30" s="504"/>
      <c r="B30" s="840" t="s">
        <v>183</v>
      </c>
      <c r="C30" s="837"/>
      <c r="D30" s="837"/>
      <c r="E30" s="837"/>
      <c r="F30" s="837"/>
      <c r="G30" s="837"/>
      <c r="H30" s="837"/>
      <c r="I30" s="837"/>
      <c r="J30" s="837"/>
      <c r="K30" s="837"/>
      <c r="L30" s="837"/>
      <c r="M30" s="837"/>
      <c r="N30" s="838"/>
      <c r="O30" s="841"/>
      <c r="P30" s="432"/>
      <c r="Q30" s="432"/>
      <c r="R30" s="430"/>
      <c r="S30" s="430"/>
      <c r="T30" s="430"/>
      <c r="U30" s="430"/>
      <c r="V30" s="430"/>
      <c r="W30" s="430"/>
      <c r="X30" s="430"/>
      <c r="Y30" s="430"/>
      <c r="Z30" s="430"/>
    </row>
    <row r="31" spans="1:26">
      <c r="A31" s="504"/>
      <c r="B31" s="835" t="s">
        <v>87</v>
      </c>
      <c r="C31" s="836">
        <f>CONS_U.FIS!Q14</f>
        <v>0</v>
      </c>
      <c r="D31" s="837">
        <f>CONS_U.FIS!Q15</f>
        <v>0</v>
      </c>
      <c r="E31" s="837">
        <f>CONS_U.FIS!Q16</f>
        <v>0</v>
      </c>
      <c r="F31" s="837">
        <f>CONS_U.FIS!Q17</f>
        <v>0</v>
      </c>
      <c r="G31" s="837">
        <f>CONS_U.FIS!Q18</f>
        <v>194.5146133333333</v>
      </c>
      <c r="H31" s="837">
        <f>CONS_U.FIS!Q19</f>
        <v>0</v>
      </c>
      <c r="I31" s="837">
        <f>CONS_U.FIS!Q20</f>
        <v>0</v>
      </c>
      <c r="J31" s="837">
        <f>CONS_U.FIS!Q21</f>
        <v>0</v>
      </c>
      <c r="K31" s="837">
        <f>CONS_U.FIS!Q22</f>
        <v>0</v>
      </c>
      <c r="L31" s="837">
        <f>CONS_U.FIS!Q23</f>
        <v>0</v>
      </c>
      <c r="M31" s="837">
        <f>CONS_U.FIS!Q24</f>
        <v>0</v>
      </c>
      <c r="N31" s="838">
        <f>SUM(C31:M31)</f>
        <v>194.5146133333333</v>
      </c>
      <c r="O31" s="839"/>
      <c r="P31" s="431"/>
      <c r="Q31" s="431"/>
      <c r="R31" s="431"/>
      <c r="S31" s="431"/>
      <c r="T31" s="431"/>
      <c r="U31" s="431"/>
      <c r="V31" s="431"/>
      <c r="W31" s="431"/>
      <c r="X31" s="431"/>
      <c r="Y31" s="431"/>
      <c r="Z31" s="431"/>
    </row>
    <row r="32" spans="1:26">
      <c r="A32" s="504"/>
      <c r="B32" s="840" t="s">
        <v>182</v>
      </c>
      <c r="C32" s="837"/>
      <c r="D32" s="837"/>
      <c r="E32" s="837"/>
      <c r="F32" s="837"/>
      <c r="G32" s="837"/>
      <c r="H32" s="837"/>
      <c r="I32" s="837"/>
      <c r="J32" s="837"/>
      <c r="K32" s="837"/>
      <c r="L32" s="837"/>
      <c r="M32" s="837"/>
      <c r="N32" s="838"/>
      <c r="O32" s="841"/>
      <c r="P32" s="432"/>
      <c r="Q32" s="432"/>
      <c r="R32" s="430"/>
      <c r="S32" s="430"/>
      <c r="T32" s="430"/>
      <c r="U32" s="430"/>
      <c r="V32" s="430"/>
      <c r="W32" s="430"/>
      <c r="X32" s="430"/>
      <c r="Y32" s="430"/>
      <c r="Z32" s="430"/>
    </row>
    <row r="33" spans="1:26">
      <c r="A33" s="504"/>
      <c r="B33" s="835" t="s">
        <v>193</v>
      </c>
      <c r="C33" s="836">
        <f>CONS_U.FIS!R14</f>
        <v>25.88185119564378</v>
      </c>
      <c r="D33" s="837">
        <f>CONS_U.FIS!R15</f>
        <v>4.1852236478663523</v>
      </c>
      <c r="E33" s="837">
        <f>CONS_U.FIS!R16</f>
        <v>0</v>
      </c>
      <c r="F33" s="837">
        <f>CONS_U.FIS!R17</f>
        <v>1.9478948149139534</v>
      </c>
      <c r="G33" s="837">
        <f>CONS_U.FIS!R18</f>
        <v>0</v>
      </c>
      <c r="H33" s="837">
        <f>CONS_U.FIS!R19</f>
        <v>0</v>
      </c>
      <c r="I33" s="837">
        <f>CONS_U.FIS!R20</f>
        <v>0.4948643400064231</v>
      </c>
      <c r="J33" s="836">
        <f>CONS_U.FIS!R21</f>
        <v>0</v>
      </c>
      <c r="K33" s="837">
        <f>CONS_U.FIS!R22</f>
        <v>0.92368484102344506</v>
      </c>
      <c r="L33" s="837">
        <f>CONS_U.FIS!R23</f>
        <v>37.481155382384991</v>
      </c>
      <c r="M33" s="837">
        <f>CONS_U.FIS!R24</f>
        <v>0.24771690921742856</v>
      </c>
      <c r="N33" s="838">
        <f>SUM(C33:M33)</f>
        <v>71.162391131056367</v>
      </c>
      <c r="O33" s="839"/>
      <c r="P33" s="431"/>
      <c r="Q33" s="431"/>
      <c r="R33" s="431"/>
      <c r="S33" s="431"/>
      <c r="T33" s="431"/>
      <c r="U33" s="431"/>
      <c r="V33" s="431"/>
      <c r="W33" s="431"/>
      <c r="X33" s="431"/>
      <c r="Y33" s="431"/>
      <c r="Z33" s="431"/>
    </row>
    <row r="34" spans="1:26">
      <c r="A34" s="504"/>
      <c r="B34" s="840" t="s">
        <v>183</v>
      </c>
      <c r="C34" s="837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8"/>
      <c r="O34" s="841"/>
      <c r="P34" s="432"/>
      <c r="Q34" s="432"/>
      <c r="R34" s="430"/>
      <c r="S34" s="430"/>
      <c r="T34" s="430"/>
      <c r="U34" s="430"/>
      <c r="V34" s="430"/>
      <c r="W34" s="430"/>
      <c r="X34" s="430"/>
      <c r="Y34" s="430"/>
      <c r="Z34" s="430"/>
    </row>
    <row r="35" spans="1:26">
      <c r="A35" s="504"/>
      <c r="B35" s="835" t="s">
        <v>42</v>
      </c>
      <c r="C35" s="836">
        <f>CONS_U.FIS!S14</f>
        <v>0</v>
      </c>
      <c r="D35" s="837">
        <f>CONS_U.FIS!S15</f>
        <v>0</v>
      </c>
      <c r="E35" s="837">
        <f>CONS_U.FIS!S16</f>
        <v>0</v>
      </c>
      <c r="F35" s="837">
        <f>CONS_U.FIS!S17</f>
        <v>0</v>
      </c>
      <c r="G35" s="837">
        <f>CONS_U.FIS!S18</f>
        <v>0</v>
      </c>
      <c r="H35" s="837">
        <f>CONS_U.FIS!S19</f>
        <v>0</v>
      </c>
      <c r="I35" s="837">
        <f>CONS_U.FIS!S20</f>
        <v>0</v>
      </c>
      <c r="J35" s="837">
        <f>CONS_U.FIS!S21</f>
        <v>0</v>
      </c>
      <c r="K35" s="837">
        <f>CONS_U.FIS!S22</f>
        <v>0</v>
      </c>
      <c r="L35" s="837">
        <f>CONS_U.FIS!S23</f>
        <v>95.391220000000018</v>
      </c>
      <c r="M35" s="837">
        <f>CONS_U.FIS!S24</f>
        <v>0</v>
      </c>
      <c r="N35" s="838">
        <f>SUM(C35:M35)</f>
        <v>95.391220000000018</v>
      </c>
      <c r="O35" s="839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431"/>
    </row>
    <row r="36" spans="1:26">
      <c r="A36" s="504"/>
      <c r="B36" s="840" t="s">
        <v>182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842"/>
      <c r="O36" s="843"/>
      <c r="P36" s="430"/>
      <c r="Q36" s="430"/>
      <c r="R36" s="430"/>
      <c r="S36" s="430"/>
      <c r="T36" s="430"/>
      <c r="U36" s="430"/>
      <c r="V36" s="430"/>
      <c r="W36" s="430"/>
      <c r="X36" s="430"/>
      <c r="Y36" s="430"/>
      <c r="Z36" s="430"/>
    </row>
    <row r="37" spans="1:26">
      <c r="A37" s="504"/>
      <c r="B37" s="835" t="s">
        <v>29</v>
      </c>
      <c r="C37" s="836">
        <f>CONS_U.FIS!U14</f>
        <v>0</v>
      </c>
      <c r="D37" s="837">
        <f>CONS_U.FIS!U15</f>
        <v>0</v>
      </c>
      <c r="E37" s="837">
        <f>CONS_U.FIS!U16</f>
        <v>0</v>
      </c>
      <c r="F37" s="837">
        <f>CONS_U.FIS!U17</f>
        <v>3540.1289252122206</v>
      </c>
      <c r="G37" s="837">
        <f>CONS_U.FIS!U18</f>
        <v>0</v>
      </c>
      <c r="H37" s="837">
        <f>CONS_U.FIS!U19</f>
        <v>0</v>
      </c>
      <c r="I37" s="837">
        <f>CONS_U.FIS!U20</f>
        <v>0</v>
      </c>
      <c r="J37" s="837">
        <f>CONS_U.FIS!U21</f>
        <v>0</v>
      </c>
      <c r="K37" s="837">
        <f>CONS_U.FIS!U22</f>
        <v>0</v>
      </c>
      <c r="L37" s="837">
        <f>CONS_U.FIS!U23</f>
        <v>1109.0766642667415</v>
      </c>
      <c r="M37" s="837">
        <f>CONS_U.FIS!U24</f>
        <v>0</v>
      </c>
      <c r="N37" s="838">
        <f>SUM(C37:M37)</f>
        <v>4649.2055894789619</v>
      </c>
      <c r="O37" s="839"/>
      <c r="P37" s="431"/>
      <c r="Q37" s="431"/>
      <c r="R37" s="431"/>
      <c r="S37" s="431"/>
      <c r="T37" s="431"/>
      <c r="U37" s="431"/>
      <c r="V37" s="431"/>
      <c r="W37" s="431"/>
      <c r="X37" s="431"/>
      <c r="Y37" s="431"/>
      <c r="Z37" s="431"/>
    </row>
    <row r="38" spans="1:26" ht="13.5" thickBot="1">
      <c r="A38" s="504"/>
      <c r="B38" s="844" t="s">
        <v>182</v>
      </c>
      <c r="C38" s="845"/>
      <c r="D38" s="845"/>
      <c r="E38" s="845"/>
      <c r="F38" s="845"/>
      <c r="G38" s="845"/>
      <c r="H38" s="845"/>
      <c r="I38" s="845"/>
      <c r="J38" s="845"/>
      <c r="K38" s="845"/>
      <c r="L38" s="845"/>
      <c r="M38" s="845"/>
      <c r="N38" s="846"/>
      <c r="O38" s="831"/>
      <c r="P38" s="430"/>
      <c r="Q38" s="430"/>
      <c r="R38" s="430"/>
      <c r="S38" s="430"/>
      <c r="T38" s="430"/>
      <c r="U38" s="430"/>
      <c r="V38" s="430"/>
      <c r="W38" s="430"/>
      <c r="X38" s="430"/>
      <c r="Y38" s="430"/>
      <c r="Z38" s="430"/>
    </row>
    <row r="39" spans="1:26">
      <c r="A39" s="504"/>
      <c r="B39" s="500" t="s">
        <v>34</v>
      </c>
      <c r="C39" s="500"/>
      <c r="D39" s="500"/>
      <c r="E39" s="500"/>
      <c r="F39" s="500"/>
      <c r="G39" s="500"/>
      <c r="H39" s="500"/>
      <c r="I39" s="459"/>
      <c r="J39" s="459"/>
      <c r="K39" s="459"/>
      <c r="L39" s="459"/>
      <c r="M39" s="459"/>
      <c r="N39" s="459"/>
      <c r="O39" s="847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</row>
    <row r="40" spans="1:26">
      <c r="A40" s="504"/>
      <c r="B40" s="500" t="s">
        <v>769</v>
      </c>
      <c r="C40" s="500"/>
      <c r="D40" s="500"/>
      <c r="E40" s="500"/>
      <c r="F40" s="500"/>
      <c r="G40" s="500"/>
      <c r="H40" s="500"/>
      <c r="I40" s="459"/>
      <c r="J40" s="848"/>
      <c r="K40" s="459"/>
      <c r="L40" s="459"/>
      <c r="M40" s="459"/>
      <c r="N40" s="459"/>
      <c r="O40" s="847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</row>
    <row r="41" spans="1:26">
      <c r="A41" s="504"/>
      <c r="B41" s="819"/>
      <c r="C41" s="819"/>
      <c r="D41" s="819"/>
      <c r="E41" s="819"/>
      <c r="F41" s="819"/>
      <c r="G41" s="819"/>
      <c r="H41" s="819"/>
      <c r="I41" s="819"/>
      <c r="J41" s="819"/>
      <c r="K41" s="819"/>
      <c r="L41" s="819"/>
      <c r="M41" s="819"/>
      <c r="N41" s="819"/>
      <c r="O41" s="849"/>
      <c r="P41" s="434"/>
      <c r="Q41" s="435"/>
      <c r="R41" s="435"/>
      <c r="S41" s="435"/>
      <c r="T41" s="435"/>
      <c r="U41" s="435"/>
      <c r="V41" s="435"/>
      <c r="W41" s="435"/>
      <c r="X41" s="435"/>
      <c r="Y41" s="435"/>
      <c r="Z41" s="435"/>
    </row>
    <row r="42" spans="1:26">
      <c r="A42" s="504"/>
      <c r="B42" s="819"/>
      <c r="C42" s="819"/>
      <c r="D42" s="819"/>
      <c r="E42" s="819"/>
      <c r="F42" s="819"/>
      <c r="G42" s="819"/>
      <c r="H42" s="819"/>
      <c r="I42" s="819"/>
      <c r="J42" s="819"/>
      <c r="K42" s="819"/>
      <c r="L42" s="819"/>
      <c r="M42" s="819"/>
      <c r="N42" s="819"/>
      <c r="O42" s="849"/>
      <c r="P42" s="435"/>
      <c r="Q42" s="435"/>
      <c r="R42" s="435"/>
      <c r="S42" s="435"/>
      <c r="T42" s="435"/>
      <c r="U42" s="435"/>
      <c r="V42" s="435"/>
      <c r="W42" s="435"/>
      <c r="X42" s="435"/>
      <c r="Y42" s="435"/>
      <c r="Z42" s="435"/>
    </row>
    <row r="43" spans="1:26">
      <c r="A43" s="504"/>
      <c r="B43" s="819"/>
      <c r="C43" s="819"/>
      <c r="D43" s="819"/>
      <c r="E43" s="819"/>
      <c r="F43" s="819"/>
      <c r="G43" s="819"/>
      <c r="H43" s="819"/>
      <c r="I43" s="819"/>
      <c r="J43" s="819"/>
      <c r="K43" s="819"/>
      <c r="L43" s="819"/>
      <c r="M43" s="819"/>
      <c r="N43" s="819"/>
      <c r="O43" s="849"/>
      <c r="P43" s="435"/>
      <c r="Q43" s="435"/>
      <c r="R43" s="435"/>
      <c r="S43" s="435"/>
      <c r="T43" s="435"/>
      <c r="U43" s="435"/>
      <c r="V43" s="435"/>
      <c r="W43" s="435"/>
      <c r="X43" s="435"/>
      <c r="Y43" s="435"/>
      <c r="Z43" s="435"/>
    </row>
    <row r="44" spans="1:26">
      <c r="A44" s="504"/>
      <c r="B44" s="819"/>
      <c r="C44" s="819"/>
      <c r="D44" s="819"/>
      <c r="E44" s="819"/>
      <c r="F44" s="819"/>
      <c r="G44" s="819"/>
      <c r="H44" s="819"/>
      <c r="I44" s="819"/>
      <c r="J44" s="819"/>
      <c r="K44" s="819"/>
      <c r="L44" s="819"/>
      <c r="M44" s="819"/>
      <c r="N44" s="819"/>
      <c r="O44" s="849"/>
      <c r="P44" s="435"/>
      <c r="Q44" s="435"/>
      <c r="R44" s="435"/>
      <c r="S44" s="435"/>
      <c r="T44" s="435"/>
      <c r="U44" s="435"/>
      <c r="V44" s="435"/>
      <c r="W44" s="435"/>
      <c r="X44" s="435"/>
      <c r="Y44" s="435"/>
      <c r="Z44" s="435"/>
    </row>
    <row r="45" spans="1:26">
      <c r="A45" s="504"/>
      <c r="B45" s="819"/>
      <c r="C45" s="819"/>
      <c r="D45" s="819"/>
      <c r="E45" s="819"/>
      <c r="F45" s="819"/>
      <c r="G45" s="819"/>
      <c r="H45" s="819"/>
      <c r="I45" s="819"/>
      <c r="J45" s="819"/>
      <c r="K45" s="819"/>
      <c r="L45" s="819"/>
      <c r="M45" s="819"/>
      <c r="N45" s="819"/>
      <c r="O45" s="433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</row>
    <row r="46" spans="1:26">
      <c r="A46" s="504"/>
      <c r="B46" s="819"/>
      <c r="C46" s="819"/>
      <c r="D46" s="819"/>
      <c r="E46" s="819"/>
      <c r="F46" s="819"/>
      <c r="G46" s="819"/>
      <c r="H46" s="819"/>
      <c r="I46" s="819"/>
      <c r="J46" s="819"/>
      <c r="K46" s="819"/>
      <c r="L46" s="819"/>
      <c r="M46" s="819"/>
      <c r="N46" s="819"/>
      <c r="O46" s="433"/>
      <c r="P46" s="435"/>
      <c r="Q46" s="435"/>
      <c r="R46" s="435"/>
      <c r="S46" s="435"/>
      <c r="T46" s="435"/>
      <c r="U46" s="435"/>
      <c r="V46" s="435"/>
      <c r="W46" s="435"/>
      <c r="X46" s="435"/>
      <c r="Y46" s="435"/>
      <c r="Z46" s="435"/>
    </row>
    <row r="47" spans="1:26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433"/>
      <c r="P47" s="435"/>
      <c r="Q47" s="435"/>
      <c r="R47" s="435"/>
      <c r="S47" s="435"/>
      <c r="T47" s="435"/>
      <c r="U47" s="435"/>
      <c r="V47" s="435"/>
      <c r="W47" s="435"/>
      <c r="X47" s="435"/>
      <c r="Y47" s="435"/>
      <c r="Z47" s="435"/>
    </row>
    <row r="48" spans="1:26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433"/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35"/>
    </row>
    <row r="49" spans="2:26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433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</row>
    <row r="50" spans="2:26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433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</row>
    <row r="51" spans="2:26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433"/>
      <c r="P51" s="435"/>
      <c r="Q51" s="435"/>
      <c r="R51" s="435"/>
      <c r="S51" s="435"/>
      <c r="T51" s="435"/>
      <c r="U51" s="435"/>
      <c r="V51" s="435"/>
      <c r="W51" s="435"/>
      <c r="X51" s="435"/>
      <c r="Y51" s="435"/>
      <c r="Z51" s="435"/>
    </row>
    <row r="52" spans="2:26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433"/>
      <c r="P52" s="435"/>
      <c r="Q52" s="435"/>
      <c r="R52" s="435"/>
      <c r="S52" s="435"/>
      <c r="T52" s="435"/>
      <c r="U52" s="435"/>
      <c r="V52" s="435"/>
      <c r="W52" s="435"/>
      <c r="X52" s="435"/>
      <c r="Y52" s="435"/>
      <c r="Z52" s="435"/>
    </row>
    <row r="53" spans="2:26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433"/>
      <c r="P53" s="435"/>
      <c r="Q53" s="435"/>
      <c r="R53" s="435"/>
      <c r="S53" s="435"/>
      <c r="T53" s="435"/>
      <c r="U53" s="435"/>
      <c r="V53" s="435"/>
      <c r="W53" s="435"/>
      <c r="X53" s="435"/>
      <c r="Y53" s="435"/>
      <c r="Z53" s="435"/>
    </row>
    <row r="54" spans="2:26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433"/>
      <c r="P54" s="435"/>
      <c r="Q54" s="435"/>
      <c r="R54" s="435"/>
      <c r="S54" s="435"/>
      <c r="T54" s="435"/>
      <c r="U54" s="435"/>
      <c r="V54" s="435"/>
      <c r="W54" s="435"/>
      <c r="X54" s="435"/>
      <c r="Y54" s="435"/>
      <c r="Z54" s="435"/>
    </row>
    <row r="55" spans="2:26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433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435"/>
    </row>
    <row r="56" spans="2:26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433"/>
      <c r="P56" s="435"/>
      <c r="Q56" s="435"/>
      <c r="R56" s="435"/>
      <c r="S56" s="435"/>
      <c r="T56" s="435"/>
      <c r="U56" s="435"/>
      <c r="V56" s="435"/>
      <c r="W56" s="435"/>
      <c r="X56" s="435"/>
      <c r="Y56" s="435"/>
      <c r="Z56" s="435"/>
    </row>
    <row r="57" spans="2:26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433"/>
      <c r="P57" s="435"/>
      <c r="Q57" s="435"/>
      <c r="R57" s="435"/>
      <c r="S57" s="435"/>
      <c r="T57" s="435"/>
      <c r="U57" s="435"/>
      <c r="V57" s="435"/>
      <c r="W57" s="435"/>
      <c r="X57" s="435"/>
      <c r="Y57" s="435"/>
      <c r="Z57" s="435"/>
    </row>
    <row r="58" spans="2:26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433"/>
      <c r="P58" s="435"/>
      <c r="Q58" s="435"/>
      <c r="R58" s="435"/>
      <c r="S58" s="435"/>
      <c r="T58" s="435"/>
      <c r="U58" s="435"/>
      <c r="V58" s="435"/>
      <c r="W58" s="435"/>
      <c r="X58" s="435"/>
      <c r="Y58" s="435"/>
      <c r="Z58" s="435"/>
    </row>
    <row r="59" spans="2:2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30"/>
      <c r="P59" s="435"/>
      <c r="Q59" s="435"/>
      <c r="R59" s="435"/>
      <c r="S59" s="435"/>
      <c r="T59" s="435"/>
      <c r="U59" s="435"/>
      <c r="V59" s="435"/>
      <c r="W59" s="435"/>
      <c r="X59" s="435"/>
      <c r="Y59" s="435"/>
      <c r="Z59" s="435"/>
    </row>
    <row r="60" spans="2:2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30"/>
      <c r="P60" s="435"/>
      <c r="Q60" s="435"/>
      <c r="R60" s="435"/>
      <c r="S60" s="435"/>
      <c r="T60" s="435"/>
      <c r="U60" s="435"/>
      <c r="V60" s="435"/>
      <c r="W60" s="435"/>
      <c r="X60" s="435"/>
      <c r="Y60" s="435"/>
      <c r="Z60" s="435"/>
    </row>
    <row r="61" spans="2:2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30"/>
      <c r="P61" s="435"/>
      <c r="Q61" s="435"/>
      <c r="R61" s="435"/>
      <c r="S61" s="435"/>
      <c r="T61" s="435"/>
      <c r="U61" s="435"/>
      <c r="V61" s="435"/>
      <c r="W61" s="435"/>
      <c r="X61" s="435"/>
      <c r="Y61" s="435"/>
      <c r="Z61" s="435"/>
    </row>
    <row r="62" spans="2:26">
      <c r="O62" s="430"/>
      <c r="P62" s="435"/>
      <c r="Q62" s="435"/>
      <c r="R62" s="435"/>
      <c r="S62" s="435"/>
      <c r="T62" s="435"/>
      <c r="U62" s="435"/>
      <c r="V62" s="435"/>
      <c r="W62" s="435"/>
      <c r="X62" s="435"/>
      <c r="Y62" s="435"/>
      <c r="Z62" s="435"/>
    </row>
    <row r="63" spans="2:26">
      <c r="O63" s="430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435"/>
    </row>
    <row r="64" spans="2:26">
      <c r="O64" s="430"/>
      <c r="P64" s="435"/>
      <c r="Q64" s="435"/>
      <c r="R64" s="435"/>
      <c r="S64" s="435"/>
      <c r="T64" s="435"/>
      <c r="U64" s="435"/>
      <c r="V64" s="435"/>
      <c r="W64" s="435"/>
      <c r="X64" s="435"/>
      <c r="Y64" s="435"/>
      <c r="Z64" s="435"/>
    </row>
    <row r="65" spans="15:26">
      <c r="O65" s="430"/>
      <c r="P65" s="435"/>
      <c r="Q65" s="435"/>
      <c r="R65" s="435"/>
      <c r="S65" s="435"/>
      <c r="T65" s="435"/>
      <c r="U65" s="435"/>
      <c r="V65" s="435"/>
      <c r="W65" s="435"/>
      <c r="X65" s="435"/>
      <c r="Y65" s="435"/>
      <c r="Z65" s="435"/>
    </row>
    <row r="66" spans="15:26">
      <c r="O66" s="430"/>
      <c r="P66" s="435"/>
      <c r="Q66" s="435"/>
      <c r="R66" s="435"/>
      <c r="S66" s="435"/>
      <c r="T66" s="435"/>
      <c r="U66" s="435"/>
      <c r="V66" s="435"/>
      <c r="W66" s="435"/>
      <c r="X66" s="435"/>
      <c r="Y66" s="435"/>
      <c r="Z66" s="435"/>
    </row>
    <row r="67" spans="15:26">
      <c r="O67" s="430"/>
      <c r="P67" s="435"/>
      <c r="Q67" s="435"/>
      <c r="R67" s="435"/>
      <c r="S67" s="435"/>
      <c r="T67" s="435"/>
      <c r="U67" s="435"/>
      <c r="V67" s="435"/>
      <c r="W67" s="435"/>
      <c r="X67" s="435"/>
      <c r="Y67" s="435"/>
      <c r="Z67" s="435"/>
    </row>
    <row r="68" spans="15:26">
      <c r="O68" s="430"/>
      <c r="P68" s="435"/>
      <c r="Q68" s="435"/>
      <c r="R68" s="435"/>
      <c r="S68" s="435"/>
      <c r="T68" s="435"/>
      <c r="U68" s="435"/>
      <c r="V68" s="435"/>
      <c r="W68" s="435"/>
      <c r="X68" s="435"/>
      <c r="Y68" s="435"/>
      <c r="Z68" s="435"/>
    </row>
    <row r="69" spans="15:26">
      <c r="O69" s="430"/>
      <c r="P69" s="435"/>
      <c r="Q69" s="435"/>
      <c r="R69" s="435"/>
      <c r="S69" s="435"/>
      <c r="T69" s="435"/>
      <c r="U69" s="435"/>
      <c r="V69" s="435"/>
      <c r="W69" s="435"/>
      <c r="X69" s="435"/>
      <c r="Y69" s="435"/>
      <c r="Z69" s="435"/>
    </row>
  </sheetData>
  <phoneticPr fontId="0" type="noConversion"/>
  <hyperlinks>
    <hyperlink ref="O6" location="INDICE!A40" display="VOLVER A INDICE"/>
  </hyperlinks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2" sqref="H12"/>
    </sheetView>
  </sheetViews>
  <sheetFormatPr baseColWidth="10" defaultRowHeight="12.75"/>
  <cols>
    <col min="1" max="1" width="1.42578125" style="296" customWidth="1"/>
    <col min="2" max="2" width="30" style="296" customWidth="1"/>
    <col min="3" max="3" width="13.85546875" style="296" customWidth="1"/>
    <col min="4" max="6" width="11.42578125" style="296"/>
    <col min="7" max="17" width="11.42578125" style="3"/>
    <col min="18" max="16384" width="11.42578125" style="296"/>
  </cols>
  <sheetData>
    <row r="1" spans="1:9" ht="6.75" customHeight="1" thickBot="1">
      <c r="A1" s="504"/>
      <c r="B1" s="504"/>
      <c r="C1" s="504"/>
      <c r="D1" s="504"/>
      <c r="E1" s="504"/>
      <c r="F1" s="504"/>
      <c r="G1" s="62"/>
      <c r="H1" s="62"/>
      <c r="I1" s="62"/>
    </row>
    <row r="2" spans="1:9" ht="15.75" customHeight="1" thickBot="1">
      <c r="A2" s="504"/>
      <c r="B2" s="850"/>
      <c r="C2" s="851"/>
      <c r="D2" s="851"/>
      <c r="E2" s="851"/>
      <c r="F2" s="852"/>
      <c r="G2" s="853"/>
      <c r="H2" s="853"/>
      <c r="I2" s="853"/>
    </row>
    <row r="3" spans="1:9" ht="15.75">
      <c r="A3" s="504"/>
      <c r="B3" s="854"/>
      <c r="C3" s="731" t="s">
        <v>94</v>
      </c>
      <c r="D3" s="855"/>
      <c r="E3" s="855"/>
      <c r="F3" s="856"/>
      <c r="G3" s="509" t="s">
        <v>649</v>
      </c>
      <c r="H3" s="853"/>
      <c r="I3" s="853"/>
    </row>
    <row r="4" spans="1:9" ht="15.75">
      <c r="A4" s="504"/>
      <c r="B4" s="857"/>
      <c r="C4" s="858" t="s">
        <v>772</v>
      </c>
      <c r="D4" s="859"/>
      <c r="E4" s="860"/>
      <c r="F4" s="861"/>
      <c r="G4" s="853"/>
      <c r="H4" s="853"/>
      <c r="I4" s="853"/>
    </row>
    <row r="5" spans="1:9" ht="15.75">
      <c r="A5" s="504"/>
      <c r="B5" s="857"/>
      <c r="C5" s="860" t="s">
        <v>557</v>
      </c>
      <c r="D5" s="860"/>
      <c r="E5" s="860"/>
      <c r="F5" s="861"/>
      <c r="G5" s="853"/>
      <c r="H5" s="853"/>
      <c r="I5" s="853"/>
    </row>
    <row r="6" spans="1:9" ht="15.75">
      <c r="A6" s="504"/>
      <c r="B6" s="857"/>
      <c r="C6" s="860" t="s">
        <v>725</v>
      </c>
      <c r="D6" s="860"/>
      <c r="E6" s="860"/>
      <c r="F6" s="861"/>
      <c r="G6" s="853"/>
      <c r="H6" s="853"/>
      <c r="I6" s="853"/>
    </row>
    <row r="7" spans="1:9" ht="15.75">
      <c r="A7" s="504"/>
      <c r="B7" s="857"/>
      <c r="C7" s="858" t="s">
        <v>726</v>
      </c>
      <c r="D7" s="860"/>
      <c r="E7" s="860"/>
      <c r="F7" s="861"/>
      <c r="G7" s="853"/>
      <c r="H7" s="853"/>
      <c r="I7" s="853"/>
    </row>
    <row r="8" spans="1:9" ht="15.75">
      <c r="A8" s="504"/>
      <c r="B8" s="857"/>
      <c r="C8" s="860"/>
      <c r="D8" s="860"/>
      <c r="E8" s="860"/>
      <c r="F8" s="861"/>
      <c r="G8" s="853"/>
      <c r="H8" s="853"/>
      <c r="I8" s="853"/>
    </row>
    <row r="9" spans="1:9" ht="15.75">
      <c r="A9" s="504"/>
      <c r="B9" s="862" t="s">
        <v>23</v>
      </c>
      <c r="C9" s="876" t="s">
        <v>132</v>
      </c>
      <c r="D9" s="876" t="s">
        <v>133</v>
      </c>
      <c r="E9" s="876" t="s">
        <v>134</v>
      </c>
      <c r="F9" s="877" t="s">
        <v>31</v>
      </c>
      <c r="G9" s="853"/>
      <c r="H9" s="853"/>
      <c r="I9" s="853"/>
    </row>
    <row r="10" spans="1:9" ht="13.5" thickBot="1">
      <c r="A10" s="504"/>
      <c r="B10" s="863"/>
      <c r="C10" s="864"/>
      <c r="D10" s="864"/>
      <c r="E10" s="864"/>
      <c r="F10" s="865"/>
      <c r="G10" s="853"/>
      <c r="H10" s="853"/>
      <c r="I10" s="853"/>
    </row>
    <row r="11" spans="1:9">
      <c r="A11" s="504"/>
      <c r="B11" s="866" t="s">
        <v>135</v>
      </c>
      <c r="C11" s="874">
        <f>CONS_U.FIS!D29</f>
        <v>56.241615118000006</v>
      </c>
      <c r="D11" s="874">
        <f>CONS_U.FIS!D30</f>
        <v>3.6542756880000002</v>
      </c>
      <c r="E11" s="874">
        <f>CONS_U.FIS!D31</f>
        <v>0</v>
      </c>
      <c r="F11" s="875">
        <f>SUM(C11:E11)</f>
        <v>59.895890806000004</v>
      </c>
      <c r="G11" s="869"/>
      <c r="H11" s="869"/>
      <c r="I11" s="853"/>
    </row>
    <row r="12" spans="1:9">
      <c r="A12" s="504"/>
      <c r="B12" s="870" t="s">
        <v>182</v>
      </c>
      <c r="C12" s="874"/>
      <c r="D12" s="874"/>
      <c r="E12" s="874"/>
      <c r="F12" s="875"/>
      <c r="G12" s="853"/>
      <c r="H12" s="869"/>
      <c r="I12" s="853"/>
    </row>
    <row r="13" spans="1:9">
      <c r="A13" s="504"/>
      <c r="B13" s="866" t="s">
        <v>136</v>
      </c>
      <c r="C13" s="874">
        <f>CONS_U.FIS!C29</f>
        <v>185.71163332999998</v>
      </c>
      <c r="D13" s="874">
        <f>CONS_U.FIS!C30</f>
        <v>6.8584605199999995</v>
      </c>
      <c r="E13" s="874">
        <f>CONS_U.FIS!C31</f>
        <v>5.739754790000001</v>
      </c>
      <c r="F13" s="875">
        <f>SUM(C13:E13)</f>
        <v>198.30984863999998</v>
      </c>
      <c r="G13" s="869"/>
      <c r="H13" s="869"/>
      <c r="I13" s="853"/>
    </row>
    <row r="14" spans="1:9">
      <c r="A14" s="504"/>
      <c r="B14" s="870" t="s">
        <v>181</v>
      </c>
      <c r="C14" s="874"/>
      <c r="D14" s="874"/>
      <c r="E14" s="874"/>
      <c r="F14" s="875"/>
      <c r="G14" s="853"/>
      <c r="H14" s="869"/>
      <c r="I14" s="853"/>
    </row>
    <row r="15" spans="1:9">
      <c r="A15" s="504"/>
      <c r="B15" s="866" t="s">
        <v>77</v>
      </c>
      <c r="C15" s="874">
        <f>CONS_U.FIS!F29</f>
        <v>0.40839999999999999</v>
      </c>
      <c r="D15" s="874">
        <f>CONS_U.FIS!F30</f>
        <v>0.28000000000000003</v>
      </c>
      <c r="E15" s="874">
        <f>CONS_U.FIS!F31</f>
        <v>63.500506999999999</v>
      </c>
      <c r="F15" s="875">
        <f>SUM(C15:E15)</f>
        <v>64.188907</v>
      </c>
      <c r="G15" s="869"/>
      <c r="H15" s="869"/>
      <c r="I15" s="853"/>
    </row>
    <row r="16" spans="1:9">
      <c r="A16" s="504"/>
      <c r="B16" s="870" t="s">
        <v>181</v>
      </c>
      <c r="C16" s="874"/>
      <c r="D16" s="874"/>
      <c r="E16" s="874"/>
      <c r="F16" s="875"/>
      <c r="G16" s="853"/>
      <c r="H16" s="869"/>
      <c r="I16" s="853"/>
    </row>
    <row r="17" spans="1:9">
      <c r="A17" s="504"/>
      <c r="B17" s="387" t="s">
        <v>81</v>
      </c>
      <c r="C17" s="874">
        <f>CONS_U.FIS!J29</f>
        <v>0</v>
      </c>
      <c r="D17" s="874">
        <f>CONS_U.FIS!J30</f>
        <v>0</v>
      </c>
      <c r="E17" s="874">
        <f>CONS_U.FIS!J31</f>
        <v>0</v>
      </c>
      <c r="F17" s="875">
        <f>SUM(C17:E17)</f>
        <v>0</v>
      </c>
      <c r="G17" s="853"/>
      <c r="H17" s="869"/>
      <c r="I17" s="853"/>
    </row>
    <row r="18" spans="1:9">
      <c r="A18" s="504"/>
      <c r="B18" s="870" t="s">
        <v>181</v>
      </c>
      <c r="C18" s="874"/>
      <c r="D18" s="874"/>
      <c r="E18" s="874"/>
      <c r="F18" s="875"/>
      <c r="G18" s="853"/>
      <c r="H18" s="869"/>
      <c r="I18" s="853"/>
    </row>
    <row r="19" spans="1:9">
      <c r="A19" s="504"/>
      <c r="B19" s="866" t="s">
        <v>78</v>
      </c>
      <c r="C19" s="874">
        <f>CONS_U.FIS!G29</f>
        <v>87.627346273863651</v>
      </c>
      <c r="D19" s="874">
        <f>CONS_U.FIS!G30</f>
        <v>16.221060288364363</v>
      </c>
      <c r="E19" s="874">
        <f>CONS_U.FIS!G31</f>
        <v>740.96444782344463</v>
      </c>
      <c r="F19" s="875">
        <f>SUM(C19:E19)</f>
        <v>844.81285438567261</v>
      </c>
      <c r="G19" s="869"/>
      <c r="H19" s="869"/>
      <c r="I19" s="853"/>
    </row>
    <row r="20" spans="1:9">
      <c r="A20" s="504"/>
      <c r="B20" s="870" t="s">
        <v>182</v>
      </c>
      <c r="C20" s="874"/>
      <c r="D20" s="874"/>
      <c r="E20" s="874"/>
      <c r="F20" s="875"/>
      <c r="G20" s="853"/>
      <c r="H20" s="869"/>
      <c r="I20" s="853"/>
    </row>
    <row r="21" spans="1:9">
      <c r="A21" s="504"/>
      <c r="B21" s="866" t="s">
        <v>38</v>
      </c>
      <c r="C21" s="874">
        <f>CONS_U.FIS!L29</f>
        <v>6197.9706806203094</v>
      </c>
      <c r="D21" s="874">
        <f>CONS_U.FIS!L30</f>
        <v>1438.4538394867427</v>
      </c>
      <c r="E21" s="874">
        <f>CONS_U.FIS!L31</f>
        <v>8748.9534655304797</v>
      </c>
      <c r="F21" s="875">
        <f>SUM(C21:E21)</f>
        <v>16385.377985637533</v>
      </c>
      <c r="G21" s="869"/>
      <c r="H21" s="869"/>
      <c r="I21" s="853"/>
    </row>
    <row r="22" spans="1:9">
      <c r="A22" s="504"/>
      <c r="B22" s="870" t="s">
        <v>184</v>
      </c>
      <c r="C22" s="874"/>
      <c r="D22" s="874"/>
      <c r="E22" s="874"/>
      <c r="F22" s="875"/>
      <c r="G22" s="853"/>
      <c r="H22" s="869"/>
      <c r="I22" s="853"/>
    </row>
    <row r="23" spans="1:9">
      <c r="A23" s="504"/>
      <c r="B23" s="866" t="s">
        <v>27</v>
      </c>
      <c r="C23" s="874">
        <f>CONS_U.FIS!M29</f>
        <v>0</v>
      </c>
      <c r="D23" s="874">
        <f>CONS_U.FIS!M30</f>
        <v>6.2449794701283938</v>
      </c>
      <c r="E23" s="874">
        <f>CONS_U.FIS!M31</f>
        <v>2.0890142857142857E-2</v>
      </c>
      <c r="F23" s="875">
        <f>SUM(C23:E23)</f>
        <v>6.2658696129855365</v>
      </c>
      <c r="G23" s="869"/>
      <c r="H23" s="869"/>
      <c r="I23" s="853"/>
    </row>
    <row r="24" spans="1:9">
      <c r="A24" s="504"/>
      <c r="B24" s="870" t="s">
        <v>182</v>
      </c>
      <c r="C24" s="874"/>
      <c r="D24" s="874"/>
      <c r="E24" s="874"/>
      <c r="F24" s="875"/>
      <c r="G24" s="853"/>
      <c r="H24" s="869"/>
      <c r="I24" s="853"/>
    </row>
    <row r="25" spans="1:9">
      <c r="A25" s="504"/>
      <c r="B25" s="866" t="s">
        <v>40</v>
      </c>
      <c r="C25" s="874">
        <f>CONS_U.FIS!P29</f>
        <v>31.300546831448742</v>
      </c>
      <c r="D25" s="874">
        <f>CONS_U.FIS!P30</f>
        <v>3.0285726588157518</v>
      </c>
      <c r="E25" s="874">
        <f>CONS_U.FIS!P31</f>
        <v>29.354483653461575</v>
      </c>
      <c r="F25" s="875">
        <f>SUM(C25:E25)</f>
        <v>63.683603143726074</v>
      </c>
      <c r="G25" s="869"/>
      <c r="H25" s="869"/>
      <c r="I25" s="853"/>
    </row>
    <row r="26" spans="1:9">
      <c r="A26" s="504"/>
      <c r="B26" s="870" t="s">
        <v>183</v>
      </c>
      <c r="C26" s="874"/>
      <c r="D26" s="874"/>
      <c r="E26" s="874"/>
      <c r="F26" s="875"/>
      <c r="G26" s="853"/>
      <c r="H26" s="869"/>
      <c r="I26" s="853"/>
    </row>
    <row r="27" spans="1:9">
      <c r="A27" s="504"/>
      <c r="B27" s="866" t="s">
        <v>26</v>
      </c>
      <c r="C27" s="874">
        <f>CONS_U.FIS!R29</f>
        <v>117.22664359844985</v>
      </c>
      <c r="D27" s="874">
        <f>CONS_U.FIS!R30</f>
        <v>19.77237780543286</v>
      </c>
      <c r="E27" s="874">
        <f>CONS_U.FIS!R31</f>
        <v>423.30974672216388</v>
      </c>
      <c r="F27" s="875">
        <f>SUM(C27:E27)</f>
        <v>560.30876812604663</v>
      </c>
      <c r="G27" s="869"/>
      <c r="H27" s="869"/>
      <c r="I27" s="853"/>
    </row>
    <row r="28" spans="1:9">
      <c r="A28" s="504"/>
      <c r="B28" s="870" t="s">
        <v>183</v>
      </c>
      <c r="C28" s="874"/>
      <c r="D28" s="874"/>
      <c r="E28" s="874"/>
      <c r="F28" s="875"/>
      <c r="G28" s="853"/>
      <c r="H28" s="869"/>
      <c r="I28" s="853"/>
    </row>
    <row r="29" spans="1:9">
      <c r="A29" s="504"/>
      <c r="B29" s="866" t="s">
        <v>29</v>
      </c>
      <c r="C29" s="874">
        <f>CONS_U.FIS!U29</f>
        <v>0</v>
      </c>
      <c r="D29" s="874">
        <f>CONS_U.FIS!U30</f>
        <v>0</v>
      </c>
      <c r="E29" s="874">
        <f>CONS_U.FIS!U31</f>
        <v>8430.0618929089123</v>
      </c>
      <c r="F29" s="875">
        <f>SUM(C29:E29)</f>
        <v>8430.0618929089123</v>
      </c>
      <c r="G29" s="869"/>
      <c r="H29" s="869"/>
      <c r="I29" s="853"/>
    </row>
    <row r="30" spans="1:9">
      <c r="A30" s="504"/>
      <c r="B30" s="870" t="s">
        <v>182</v>
      </c>
      <c r="C30" s="867"/>
      <c r="D30" s="867"/>
      <c r="E30" s="867"/>
      <c r="F30" s="868"/>
      <c r="G30" s="853"/>
      <c r="H30" s="853"/>
      <c r="I30" s="853"/>
    </row>
    <row r="31" spans="1:9" ht="13.5" thickBot="1">
      <c r="A31" s="504"/>
      <c r="B31" s="871"/>
      <c r="C31" s="872"/>
      <c r="D31" s="872"/>
      <c r="E31" s="872"/>
      <c r="F31" s="873"/>
      <c r="G31" s="853"/>
      <c r="H31" s="853"/>
      <c r="I31" s="853"/>
    </row>
    <row r="32" spans="1:9">
      <c r="A32" s="504"/>
      <c r="B32" s="500" t="s">
        <v>34</v>
      </c>
      <c r="C32" s="500"/>
      <c r="D32" s="500"/>
      <c r="E32" s="500"/>
      <c r="F32" s="500"/>
      <c r="G32" s="500"/>
      <c r="H32" s="500"/>
      <c r="I32" s="459"/>
    </row>
    <row r="33" spans="1:9">
      <c r="A33" s="504"/>
      <c r="B33" s="500" t="s">
        <v>769</v>
      </c>
      <c r="C33" s="500"/>
      <c r="D33" s="500"/>
      <c r="E33" s="500"/>
      <c r="F33" s="500"/>
      <c r="G33" s="500"/>
      <c r="H33" s="500"/>
      <c r="I33" s="459"/>
    </row>
    <row r="34" spans="1:9">
      <c r="A34" s="504"/>
      <c r="B34" s="853"/>
      <c r="C34" s="853"/>
      <c r="D34" s="853"/>
      <c r="E34" s="853"/>
      <c r="F34" s="853"/>
      <c r="G34" s="853"/>
      <c r="H34" s="853"/>
      <c r="I34" s="853"/>
    </row>
    <row r="35" spans="1:9">
      <c r="A35" s="504"/>
      <c r="B35" s="853"/>
      <c r="C35" s="853"/>
      <c r="D35" s="853"/>
      <c r="E35" s="853"/>
      <c r="F35" s="853"/>
      <c r="G35" s="853"/>
      <c r="H35" s="853"/>
      <c r="I35" s="853"/>
    </row>
    <row r="36" spans="1:9">
      <c r="A36" s="504"/>
      <c r="B36" s="62"/>
      <c r="C36" s="62"/>
      <c r="D36" s="62"/>
      <c r="E36" s="62"/>
      <c r="F36" s="62"/>
      <c r="G36" s="62"/>
      <c r="H36" s="62"/>
      <c r="I36" s="62"/>
    </row>
    <row r="37" spans="1:9">
      <c r="A37" s="504"/>
      <c r="B37" s="62"/>
      <c r="C37" s="62"/>
      <c r="D37" s="62"/>
      <c r="E37" s="62"/>
      <c r="F37" s="62"/>
      <c r="G37" s="62"/>
      <c r="H37" s="62"/>
      <c r="I37" s="62"/>
    </row>
    <row r="38" spans="1:9">
      <c r="A38" s="504"/>
      <c r="B38" s="62"/>
      <c r="C38" s="62"/>
      <c r="D38" s="62"/>
      <c r="E38" s="62"/>
      <c r="F38" s="62"/>
      <c r="G38" s="62"/>
      <c r="H38" s="62"/>
      <c r="I38" s="62"/>
    </row>
    <row r="39" spans="1:9">
      <c r="A39" s="504"/>
      <c r="B39" s="62"/>
      <c r="C39" s="62"/>
      <c r="D39" s="62"/>
      <c r="E39" s="62"/>
      <c r="F39" s="62"/>
      <c r="G39" s="62"/>
      <c r="H39" s="62"/>
      <c r="I39" s="62"/>
    </row>
    <row r="40" spans="1:9">
      <c r="B40" s="3"/>
      <c r="C40" s="3"/>
      <c r="D40" s="3"/>
      <c r="E40" s="3"/>
      <c r="F40" s="3"/>
    </row>
    <row r="41" spans="1:9">
      <c r="B41" s="3"/>
      <c r="C41" s="3"/>
      <c r="D41" s="3"/>
      <c r="E41" s="3"/>
      <c r="F41" s="3"/>
    </row>
    <row r="42" spans="1:9">
      <c r="B42" s="3"/>
      <c r="C42" s="3"/>
      <c r="D42" s="3"/>
      <c r="E42" s="3"/>
      <c r="F42" s="3"/>
    </row>
    <row r="43" spans="1:9">
      <c r="B43" s="3"/>
      <c r="C43" s="3"/>
      <c r="D43" s="3"/>
      <c r="E43" s="3"/>
      <c r="F43" s="3"/>
    </row>
    <row r="44" spans="1:9">
      <c r="B44" s="3"/>
      <c r="C44" s="3"/>
      <c r="D44" s="3"/>
      <c r="E44" s="3"/>
      <c r="F44" s="3"/>
    </row>
    <row r="45" spans="1:9">
      <c r="B45" s="3"/>
      <c r="C45" s="3"/>
      <c r="D45" s="3"/>
      <c r="E45" s="3"/>
      <c r="F45" s="3"/>
    </row>
    <row r="46" spans="1:9">
      <c r="B46" s="3"/>
      <c r="C46" s="3"/>
      <c r="D46" s="3"/>
      <c r="E46" s="3"/>
      <c r="F46" s="3"/>
    </row>
    <row r="47" spans="1:9">
      <c r="B47" s="3"/>
      <c r="C47" s="3"/>
      <c r="D47" s="3"/>
      <c r="E47" s="3"/>
      <c r="F47" s="3"/>
    </row>
    <row r="48" spans="1:9">
      <c r="B48" s="3"/>
      <c r="C48" s="3"/>
      <c r="D48" s="3"/>
      <c r="E48" s="3"/>
      <c r="F48" s="3"/>
    </row>
    <row r="49" spans="2:6">
      <c r="B49" s="3"/>
      <c r="C49" s="3"/>
      <c r="D49" s="3"/>
      <c r="E49" s="3"/>
      <c r="F49" s="3"/>
    </row>
    <row r="50" spans="2:6">
      <c r="B50" s="3"/>
      <c r="C50" s="3"/>
      <c r="D50" s="3"/>
      <c r="E50" s="3"/>
      <c r="F50" s="3"/>
    </row>
    <row r="51" spans="2:6" s="3" customFormat="1"/>
    <row r="52" spans="2:6" s="3" customFormat="1"/>
    <row r="53" spans="2:6" s="3" customFormat="1"/>
    <row r="54" spans="2:6" s="3" customFormat="1"/>
    <row r="55" spans="2:6" s="3" customFormat="1"/>
    <row r="56" spans="2:6" s="3" customFormat="1"/>
    <row r="57" spans="2:6" s="3" customFormat="1"/>
    <row r="58" spans="2:6" s="3" customFormat="1"/>
    <row r="59" spans="2:6" s="3" customFormat="1"/>
    <row r="60" spans="2:6" s="3" customFormat="1"/>
    <row r="61" spans="2:6" s="3" customFormat="1"/>
    <row r="62" spans="2:6" s="3" customFormat="1"/>
    <row r="63" spans="2:6" s="3" customFormat="1"/>
    <row r="64" spans="2:6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</sheetData>
  <phoneticPr fontId="0" type="noConversion"/>
  <hyperlinks>
    <hyperlink ref="G3" location="INDICE!A40" display="VOLVER A INDICE"/>
  </hyperlinks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workbookViewId="0">
      <selection activeCell="F39" sqref="F39"/>
    </sheetView>
  </sheetViews>
  <sheetFormatPr baseColWidth="10" defaultRowHeight="12.75"/>
  <cols>
    <col min="1" max="1" width="2.85546875" customWidth="1"/>
    <col min="2" max="2" width="31.28515625" customWidth="1"/>
    <col min="3" max="3" width="15.7109375" customWidth="1"/>
    <col min="4" max="4" width="13.7109375" customWidth="1"/>
  </cols>
  <sheetData>
    <row r="1" spans="1:9" ht="7.5" customHeight="1" thickBot="1">
      <c r="A1" s="815"/>
      <c r="B1" s="815"/>
      <c r="C1" s="815"/>
      <c r="D1" s="815"/>
      <c r="E1" s="815"/>
      <c r="F1" s="815"/>
      <c r="G1" s="815"/>
      <c r="H1" s="815"/>
      <c r="I1" s="815"/>
    </row>
    <row r="2" spans="1:9" ht="13.5" thickBot="1">
      <c r="A2" s="815"/>
      <c r="B2" s="878"/>
      <c r="C2" s="879"/>
      <c r="D2" s="879"/>
      <c r="E2" s="879"/>
      <c r="F2" s="879"/>
      <c r="G2" s="879"/>
      <c r="H2" s="880"/>
      <c r="I2" s="815"/>
    </row>
    <row r="3" spans="1:9" ht="15.75">
      <c r="A3" s="815"/>
      <c r="B3" s="881"/>
      <c r="C3" s="882"/>
      <c r="D3" s="731" t="s">
        <v>94</v>
      </c>
      <c r="E3" s="882"/>
      <c r="F3" s="882"/>
      <c r="G3" s="882"/>
      <c r="H3" s="883"/>
      <c r="I3" s="815"/>
    </row>
    <row r="4" spans="1:9" ht="15.75">
      <c r="A4" s="815"/>
      <c r="B4" s="884"/>
      <c r="C4" s="885"/>
      <c r="D4" s="886" t="s">
        <v>833</v>
      </c>
      <c r="E4" s="885"/>
      <c r="F4" s="885"/>
      <c r="G4" s="885"/>
      <c r="H4" s="887"/>
      <c r="I4" s="815"/>
    </row>
    <row r="5" spans="1:9" ht="15.75">
      <c r="A5" s="815"/>
      <c r="B5" s="884"/>
      <c r="C5" s="885"/>
      <c r="D5" s="885" t="s">
        <v>558</v>
      </c>
      <c r="E5" s="885"/>
      <c r="F5" s="885"/>
      <c r="G5" s="885"/>
      <c r="H5" s="887"/>
      <c r="I5" s="509" t="s">
        <v>649</v>
      </c>
    </row>
    <row r="6" spans="1:9" ht="15.75">
      <c r="A6" s="815"/>
      <c r="B6" s="884"/>
      <c r="C6" s="885"/>
      <c r="D6" s="888" t="s">
        <v>709</v>
      </c>
      <c r="E6" s="885"/>
      <c r="F6" s="885"/>
      <c r="G6" s="885"/>
      <c r="H6" s="887"/>
      <c r="I6" s="815"/>
    </row>
    <row r="7" spans="1:9" ht="15.75">
      <c r="A7" s="815"/>
      <c r="B7" s="884"/>
      <c r="C7" s="885"/>
      <c r="D7" s="885"/>
      <c r="E7" s="885"/>
      <c r="F7" s="885"/>
      <c r="G7" s="885"/>
      <c r="H7" s="887"/>
      <c r="I7" s="815"/>
    </row>
    <row r="8" spans="1:9" ht="15.75">
      <c r="A8" s="815"/>
      <c r="B8" s="884"/>
      <c r="C8" s="888"/>
      <c r="D8" s="888"/>
      <c r="E8" s="888"/>
      <c r="F8" s="888"/>
      <c r="G8" s="888"/>
      <c r="H8" s="889"/>
      <c r="I8" s="815"/>
    </row>
    <row r="9" spans="1:9" ht="15.75">
      <c r="A9" s="815"/>
      <c r="B9" s="884" t="s">
        <v>23</v>
      </c>
      <c r="C9" s="890" t="s">
        <v>738</v>
      </c>
      <c r="D9" s="890" t="s">
        <v>739</v>
      </c>
      <c r="E9" s="890" t="s">
        <v>138</v>
      </c>
      <c r="F9" s="890" t="s">
        <v>139</v>
      </c>
      <c r="G9" s="890" t="s">
        <v>26</v>
      </c>
      <c r="H9" s="891" t="s">
        <v>31</v>
      </c>
      <c r="I9" s="815"/>
    </row>
    <row r="10" spans="1:9" ht="16.5" thickBot="1">
      <c r="A10" s="815"/>
      <c r="B10" s="892"/>
      <c r="C10" s="893"/>
      <c r="D10" s="893"/>
      <c r="E10" s="893" t="s">
        <v>26</v>
      </c>
      <c r="F10" s="893" t="s">
        <v>740</v>
      </c>
      <c r="G10" s="893" t="s">
        <v>741</v>
      </c>
      <c r="H10" s="894"/>
      <c r="I10" s="815"/>
    </row>
    <row r="11" spans="1:9">
      <c r="A11" s="815"/>
      <c r="B11" s="742" t="s">
        <v>75</v>
      </c>
      <c r="C11" s="874">
        <f>CONS_U.FIS!D36+CONS_U.FIS!D37</f>
        <v>0</v>
      </c>
      <c r="D11" s="874">
        <f>CONS_U.FIS!D38+CONS_U.FIS!D39</f>
        <v>25.696190476190473</v>
      </c>
      <c r="E11" s="874">
        <f>CONS_U.FIS!D40</f>
        <v>37.011491999999997</v>
      </c>
      <c r="F11" s="874">
        <f>CONS_U.FIS!D41</f>
        <v>0</v>
      </c>
      <c r="G11" s="874">
        <f>CONS_U.FIS!D42</f>
        <v>0</v>
      </c>
      <c r="H11" s="875">
        <f>SUM(C11:G11)</f>
        <v>62.70768247619047</v>
      </c>
      <c r="I11" s="815"/>
    </row>
    <row r="12" spans="1:9">
      <c r="A12" s="815"/>
      <c r="B12" s="746" t="s">
        <v>203</v>
      </c>
      <c r="C12" s="874"/>
      <c r="D12" s="874"/>
      <c r="E12" s="874"/>
      <c r="F12" s="874"/>
      <c r="G12" s="874"/>
      <c r="H12" s="875"/>
      <c r="I12" s="815"/>
    </row>
    <row r="13" spans="1:9">
      <c r="A13" s="815"/>
      <c r="B13" s="742" t="s">
        <v>76</v>
      </c>
      <c r="C13" s="874">
        <f>CONS_U.FIS!C36+CONS_U.FIS!C37</f>
        <v>0</v>
      </c>
      <c r="D13" s="874">
        <f>CONS_U.FIS!C38+CONS_U.FIS!C39</f>
        <v>0</v>
      </c>
      <c r="E13" s="874">
        <f>CONS_U.FIS!C40</f>
        <v>31.853499999999997</v>
      </c>
      <c r="F13" s="874">
        <f>CONS_U.FIS!C41</f>
        <v>0</v>
      </c>
      <c r="G13" s="874">
        <f>CONS_U.FIS!C42</f>
        <v>6.9771999999999987E-2</v>
      </c>
      <c r="H13" s="875">
        <f>SUM(C13:G13)</f>
        <v>31.923271999999997</v>
      </c>
      <c r="I13" s="815"/>
    </row>
    <row r="14" spans="1:9">
      <c r="A14" s="815"/>
      <c r="B14" s="746" t="s">
        <v>181</v>
      </c>
      <c r="C14" s="874"/>
      <c r="D14" s="874"/>
      <c r="E14" s="874"/>
      <c r="F14" s="874"/>
      <c r="G14" s="874"/>
      <c r="H14" s="875"/>
      <c r="I14" s="815"/>
    </row>
    <row r="15" spans="1:9">
      <c r="A15" s="815"/>
      <c r="B15" s="742" t="s">
        <v>192</v>
      </c>
      <c r="C15" s="874">
        <f>CONS_U.FIS!E36+CONS_U.FIS!E37</f>
        <v>0</v>
      </c>
      <c r="D15" s="874">
        <f>CONS_U.FIS!E38+CONS_U.FIS!E39</f>
        <v>0</v>
      </c>
      <c r="E15" s="874">
        <f>CONS_U.FIS!E40</f>
        <v>0.12079999999999998</v>
      </c>
      <c r="F15" s="874">
        <f>CONS_U.FIS!E41</f>
        <v>0</v>
      </c>
      <c r="G15" s="874">
        <f>CONS_U.FIS!E42</f>
        <v>0</v>
      </c>
      <c r="H15" s="875">
        <f>SUM(C15:G15)</f>
        <v>0.12079999999999998</v>
      </c>
      <c r="I15" s="815"/>
    </row>
    <row r="16" spans="1:9">
      <c r="A16" s="815"/>
      <c r="B16" s="746" t="s">
        <v>181</v>
      </c>
      <c r="C16" s="874"/>
      <c r="D16" s="874"/>
      <c r="E16" s="874"/>
      <c r="F16" s="874"/>
      <c r="G16" s="874"/>
      <c r="H16" s="875"/>
      <c r="I16" s="815"/>
    </row>
    <row r="17" spans="1:9">
      <c r="A17" s="815"/>
      <c r="B17" s="742" t="s">
        <v>78</v>
      </c>
      <c r="C17" s="874">
        <f>CONS_U.FIS!G36+CONS_U.FIS!G37</f>
        <v>0</v>
      </c>
      <c r="D17" s="874">
        <f>CONS_U.FIS!G38+CONS_U.FIS!G39</f>
        <v>0.54757823644628112</v>
      </c>
      <c r="E17" s="874">
        <f>CONS_U.FIS!G40</f>
        <v>108.23301499999999</v>
      </c>
      <c r="F17" s="874">
        <f>CONS_U.FIS!G41</f>
        <v>0</v>
      </c>
      <c r="G17" s="874">
        <f>CONS_U.FIS!G42</f>
        <v>0</v>
      </c>
      <c r="H17" s="875">
        <f>SUM(C17:G17)</f>
        <v>108.78059323644628</v>
      </c>
      <c r="I17" s="815"/>
    </row>
    <row r="18" spans="1:9">
      <c r="A18" s="815"/>
      <c r="B18" s="746" t="s">
        <v>182</v>
      </c>
      <c r="C18" s="874"/>
      <c r="D18" s="874"/>
      <c r="E18" s="874"/>
      <c r="F18" s="874"/>
      <c r="G18" s="874"/>
      <c r="H18" s="875"/>
      <c r="I18" s="815"/>
    </row>
    <row r="19" spans="1:9">
      <c r="A19" s="815"/>
      <c r="B19" s="742" t="s">
        <v>81</v>
      </c>
      <c r="C19" s="874">
        <f>CONS_U.FIS!J36+CONS_U.FIS!J37</f>
        <v>0</v>
      </c>
      <c r="D19" s="874">
        <f>CONS_U.FIS!J38+CONS_U.FIS!J39</f>
        <v>0</v>
      </c>
      <c r="E19" s="874">
        <f>CONS_U.FIS!J40</f>
        <v>139.60084000000001</v>
      </c>
      <c r="F19" s="874">
        <f>CONS_U.FIS!J41</f>
        <v>0</v>
      </c>
      <c r="G19" s="874">
        <f>CONS_U.FIS!J42</f>
        <v>0</v>
      </c>
      <c r="H19" s="875">
        <f>SUM(C19:G19)</f>
        <v>139.60084000000001</v>
      </c>
      <c r="I19" s="815"/>
    </row>
    <row r="20" spans="1:9">
      <c r="A20" s="815"/>
      <c r="B20" s="746" t="s">
        <v>181</v>
      </c>
      <c r="C20" s="874"/>
      <c r="D20" s="874"/>
      <c r="E20" s="874"/>
      <c r="F20" s="874"/>
      <c r="G20" s="874"/>
      <c r="H20" s="875"/>
      <c r="I20" s="815"/>
    </row>
    <row r="21" spans="1:9">
      <c r="A21" s="815"/>
      <c r="B21" s="742" t="s">
        <v>82</v>
      </c>
      <c r="C21" s="874">
        <f>CONS_U.FIS!K36+CONS_U.FIS!K37</f>
        <v>0</v>
      </c>
      <c r="D21" s="874">
        <f>CONS_U.FIS!K38+CONS_U.FIS!K39</f>
        <v>0</v>
      </c>
      <c r="E21" s="874">
        <f>CONS_U.FIS!K40</f>
        <v>800.58413800000017</v>
      </c>
      <c r="F21" s="874">
        <f>CONS_U.FIS!K41</f>
        <v>0</v>
      </c>
      <c r="G21" s="874">
        <f>CONS_U.FIS!K42</f>
        <v>0</v>
      </c>
      <c r="H21" s="875">
        <f>SUM(C21:G21)</f>
        <v>800.58413800000017</v>
      </c>
      <c r="I21" s="815"/>
    </row>
    <row r="22" spans="1:9">
      <c r="A22" s="815"/>
      <c r="B22" s="746" t="s">
        <v>181</v>
      </c>
      <c r="C22" s="874"/>
      <c r="D22" s="874"/>
      <c r="E22" s="874"/>
      <c r="F22" s="874"/>
      <c r="G22" s="874"/>
      <c r="H22" s="875"/>
      <c r="I22" s="815"/>
    </row>
    <row r="23" spans="1:9">
      <c r="A23" s="815"/>
      <c r="B23" s="742" t="s">
        <v>38</v>
      </c>
      <c r="C23" s="874">
        <f>CONS_U.FIS!L36+CONS_U.FIS!L37</f>
        <v>1622.5969619288514</v>
      </c>
      <c r="D23" s="874">
        <f>CONS_U.FIS!L38+CONS_U.FIS!L39</f>
        <v>0</v>
      </c>
      <c r="E23" s="874">
        <f>CONS_U.FIS!L40</f>
        <v>644.82064820599999</v>
      </c>
      <c r="F23" s="874">
        <f>CONS_U.FIS!L41</f>
        <v>0</v>
      </c>
      <c r="G23" s="874">
        <f>CONS_U.FIS!L42</f>
        <v>64.636380000000003</v>
      </c>
      <c r="H23" s="875">
        <f>SUM(C23:G23)</f>
        <v>2332.0539901348511</v>
      </c>
      <c r="I23" s="815"/>
    </row>
    <row r="24" spans="1:9">
      <c r="A24" s="815"/>
      <c r="B24" s="746" t="s">
        <v>184</v>
      </c>
      <c r="C24" s="874"/>
      <c r="D24" s="874"/>
      <c r="E24" s="874"/>
      <c r="F24" s="874"/>
      <c r="G24" s="874"/>
      <c r="H24" s="875"/>
      <c r="I24" s="815"/>
    </row>
    <row r="25" spans="1:9">
      <c r="A25" s="815"/>
      <c r="B25" s="742" t="s">
        <v>27</v>
      </c>
      <c r="C25" s="874">
        <f>CONS_U.FIS!M36+CONS_U.FIS!M37</f>
        <v>0</v>
      </c>
      <c r="D25" s="874">
        <f>CONS_U.FIS!M38+CONS_U.FIS!M39</f>
        <v>0</v>
      </c>
      <c r="E25" s="874">
        <f>CONS_U.FIS!M40</f>
        <v>0</v>
      </c>
      <c r="F25" s="874">
        <f>CONS_U.FIS!M41</f>
        <v>0</v>
      </c>
      <c r="G25" s="874">
        <f>CONS_U.FIS!M42</f>
        <v>0</v>
      </c>
      <c r="H25" s="875">
        <f>SUM(C25:G25)</f>
        <v>0</v>
      </c>
      <c r="I25" s="815"/>
    </row>
    <row r="26" spans="1:9">
      <c r="A26" s="815"/>
      <c r="B26" s="746" t="s">
        <v>182</v>
      </c>
      <c r="C26" s="874"/>
      <c r="D26" s="874"/>
      <c r="E26" s="874"/>
      <c r="F26" s="874"/>
      <c r="G26" s="874"/>
      <c r="H26" s="875"/>
      <c r="I26" s="815"/>
    </row>
    <row r="27" spans="1:9">
      <c r="A27" s="815"/>
      <c r="B27" s="742" t="s">
        <v>185</v>
      </c>
      <c r="C27" s="874">
        <f>CONS_U.FIS!O36+CONS_U.FIS!O37</f>
        <v>0</v>
      </c>
      <c r="D27" s="874">
        <f>CONS_U.FIS!O38+CONS_U.FIS!O39</f>
        <v>16926.25</v>
      </c>
      <c r="E27" s="874">
        <f>CONS_U.FIS!O40</f>
        <v>0</v>
      </c>
      <c r="F27" s="874">
        <f>CONS_U.FIS!O41</f>
        <v>0</v>
      </c>
      <c r="G27" s="874">
        <f>CONS_U.FIS!O42</f>
        <v>0</v>
      </c>
      <c r="H27" s="875">
        <f>SUM(C27:G27)</f>
        <v>16926.25</v>
      </c>
      <c r="I27" s="815"/>
    </row>
    <row r="28" spans="1:9">
      <c r="A28" s="815"/>
      <c r="B28" s="746" t="s">
        <v>181</v>
      </c>
      <c r="C28" s="874"/>
      <c r="D28" s="874"/>
      <c r="E28" s="874"/>
      <c r="F28" s="874"/>
      <c r="G28" s="874"/>
      <c r="H28" s="875"/>
      <c r="I28" s="815"/>
    </row>
    <row r="29" spans="1:9">
      <c r="A29" s="815"/>
      <c r="B29" s="742" t="s">
        <v>40</v>
      </c>
      <c r="C29" s="874">
        <f>CONS_U.FIS!P36+CONS_U.FIS!P37</f>
        <v>0</v>
      </c>
      <c r="D29" s="874">
        <f>CONS_U.FIS!P38+CONS_U.FIS!P39</f>
        <v>85.740777546384365</v>
      </c>
      <c r="E29" s="874">
        <f>CONS_U.FIS!P40</f>
        <v>0</v>
      </c>
      <c r="F29" s="874">
        <f>CONS_U.FIS!P41</f>
        <v>0</v>
      </c>
      <c r="G29" s="874">
        <f>CONS_U.FIS!P42</f>
        <v>0</v>
      </c>
      <c r="H29" s="875">
        <f>SUM(C29:G29)</f>
        <v>85.740777546384365</v>
      </c>
      <c r="I29" s="815"/>
    </row>
    <row r="30" spans="1:9">
      <c r="A30" s="815"/>
      <c r="B30" s="746" t="s">
        <v>183</v>
      </c>
      <c r="C30" s="874"/>
      <c r="D30" s="874"/>
      <c r="E30" s="874"/>
      <c r="F30" s="874"/>
      <c r="G30" s="874"/>
      <c r="H30" s="875"/>
      <c r="I30" s="815"/>
    </row>
    <row r="31" spans="1:9">
      <c r="A31" s="815"/>
      <c r="B31" s="742" t="s">
        <v>87</v>
      </c>
      <c r="C31" s="874">
        <f>CONS_U.FIS!Q36+CONS_U.FIS!Q37</f>
        <v>0</v>
      </c>
      <c r="D31" s="874">
        <f>CONS_U.FIS!Q38+CONS_U.FIS!Q39</f>
        <v>917.18777777777791</v>
      </c>
      <c r="E31" s="874">
        <f>CONS_U.FIS!Q40</f>
        <v>0</v>
      </c>
      <c r="F31" s="874">
        <f>CONS_U.FIS!Q41</f>
        <v>0</v>
      </c>
      <c r="G31" s="874">
        <f>CONS_U.FIS!Q42</f>
        <v>0</v>
      </c>
      <c r="H31" s="875">
        <f>SUM(C31:G31)</f>
        <v>917.18777777777791</v>
      </c>
      <c r="I31" s="815"/>
    </row>
    <row r="32" spans="1:9">
      <c r="A32" s="815"/>
      <c r="B32" s="746" t="s">
        <v>182</v>
      </c>
      <c r="C32" s="874"/>
      <c r="D32" s="874"/>
      <c r="E32" s="874"/>
      <c r="F32" s="874"/>
      <c r="G32" s="874"/>
      <c r="H32" s="875"/>
      <c r="I32" s="815"/>
    </row>
    <row r="33" spans="1:9">
      <c r="A33" s="815"/>
      <c r="B33" s="742" t="s">
        <v>193</v>
      </c>
      <c r="C33" s="874">
        <f>CONS_U.FIS!R36+CONS_U.FIS!R37</f>
        <v>0</v>
      </c>
      <c r="D33" s="874">
        <f>CONS_U.FIS!R38+CONS_U.FIS!R39</f>
        <v>1.3550381869213783</v>
      </c>
      <c r="E33" s="874">
        <f>CONS_U.FIS!R40</f>
        <v>0</v>
      </c>
      <c r="F33" s="874">
        <f>CONS_U.FIS!R41</f>
        <v>0</v>
      </c>
      <c r="G33" s="874">
        <f>CONS_U.FIS!R42</f>
        <v>0</v>
      </c>
      <c r="H33" s="875">
        <f>SUM(C33:G33)</f>
        <v>1.3550381869213783</v>
      </c>
      <c r="I33" s="815"/>
    </row>
    <row r="34" spans="1:9">
      <c r="A34" s="815"/>
      <c r="B34" s="746" t="s">
        <v>183</v>
      </c>
      <c r="C34" s="874"/>
      <c r="D34" s="874"/>
      <c r="E34" s="874"/>
      <c r="F34" s="874"/>
      <c r="G34" s="874"/>
      <c r="H34" s="875"/>
      <c r="I34" s="815"/>
    </row>
    <row r="35" spans="1:9">
      <c r="A35" s="815"/>
      <c r="B35" s="742" t="s">
        <v>42</v>
      </c>
      <c r="C35" s="874">
        <f>CONS_U.FIS!S36+CONS_U.FIS!S37</f>
        <v>0</v>
      </c>
      <c r="D35" s="874">
        <f>CONS_U.FIS!S38+CONS_U.FIS!S39</f>
        <v>0</v>
      </c>
      <c r="E35" s="874">
        <f>CONS_U.FIS!S40</f>
        <v>0</v>
      </c>
      <c r="F35" s="874">
        <f>CONS_U.FIS!S41</f>
        <v>0</v>
      </c>
      <c r="G35" s="874">
        <f>CONS_U.FIS!S42</f>
        <v>0</v>
      </c>
      <c r="H35" s="875">
        <f>SUM(C35:G35)</f>
        <v>0</v>
      </c>
      <c r="I35" s="815"/>
    </row>
    <row r="36" spans="1:9" ht="13.5" thickBot="1">
      <c r="A36" s="815"/>
      <c r="B36" s="748" t="s">
        <v>182</v>
      </c>
      <c r="C36" s="895"/>
      <c r="D36" s="895"/>
      <c r="E36" s="895"/>
      <c r="F36" s="895"/>
      <c r="G36" s="895"/>
      <c r="H36" s="896"/>
      <c r="I36" s="815"/>
    </row>
    <row r="37" spans="1:9" s="394" customFormat="1">
      <c r="A37" s="897"/>
      <c r="B37" s="421" t="s">
        <v>734</v>
      </c>
      <c r="C37" s="898"/>
      <c r="D37" s="898"/>
      <c r="E37" s="898"/>
      <c r="F37" s="898"/>
      <c r="G37" s="898"/>
      <c r="H37" s="898"/>
      <c r="I37" s="897"/>
    </row>
    <row r="38" spans="1:9" s="394" customFormat="1">
      <c r="A38" s="897"/>
      <c r="B38" s="421" t="s">
        <v>735</v>
      </c>
      <c r="C38" s="898"/>
      <c r="D38" s="898"/>
      <c r="E38" s="898"/>
      <c r="F38" s="898"/>
      <c r="G38" s="898"/>
      <c r="H38" s="898"/>
      <c r="I38" s="897"/>
    </row>
    <row r="39" spans="1:9" s="394" customFormat="1">
      <c r="A39" s="897"/>
      <c r="B39" s="421" t="s">
        <v>736</v>
      </c>
      <c r="C39" s="898"/>
      <c r="D39" s="898"/>
      <c r="E39" s="898"/>
      <c r="F39" s="898"/>
      <c r="G39" s="898"/>
      <c r="H39" s="898"/>
      <c r="I39" s="897"/>
    </row>
    <row r="40" spans="1:9" s="394" customFormat="1">
      <c r="A40" s="897"/>
      <c r="B40" s="421" t="s">
        <v>737</v>
      </c>
      <c r="C40" s="898"/>
      <c r="D40" s="898"/>
      <c r="E40" s="898"/>
      <c r="F40" s="898"/>
      <c r="G40" s="898"/>
      <c r="H40" s="898"/>
      <c r="I40" s="897"/>
    </row>
    <row r="41" spans="1:9">
      <c r="A41" s="815"/>
      <c r="B41" s="500" t="s">
        <v>34</v>
      </c>
      <c r="C41" s="500"/>
      <c r="D41" s="500"/>
      <c r="E41" s="500"/>
      <c r="F41" s="500"/>
      <c r="G41" s="500"/>
      <c r="H41" s="500"/>
      <c r="I41" s="815"/>
    </row>
    <row r="42" spans="1:9">
      <c r="A42" s="815"/>
      <c r="B42" s="500" t="s">
        <v>770</v>
      </c>
      <c r="C42" s="500"/>
      <c r="D42" s="500"/>
      <c r="E42" s="500"/>
      <c r="F42" s="500"/>
      <c r="G42" s="500"/>
      <c r="H42" s="500"/>
      <c r="I42" s="815"/>
    </row>
    <row r="43" spans="1:9">
      <c r="A43" s="815"/>
      <c r="B43" s="815"/>
      <c r="C43" s="815"/>
      <c r="D43" s="815"/>
      <c r="E43" s="815"/>
      <c r="F43" s="815"/>
      <c r="G43" s="815"/>
      <c r="H43" s="815"/>
      <c r="I43" s="815"/>
    </row>
    <row r="44" spans="1:9">
      <c r="A44" s="815"/>
      <c r="B44" s="815"/>
      <c r="C44" s="815"/>
      <c r="D44" s="815"/>
      <c r="E44" s="815"/>
      <c r="F44" s="815"/>
      <c r="G44" s="815"/>
      <c r="H44" s="815"/>
      <c r="I44" s="815"/>
    </row>
    <row r="45" spans="1:9">
      <c r="A45" s="815"/>
      <c r="B45" s="815"/>
      <c r="C45" s="815"/>
      <c r="D45" s="815"/>
      <c r="E45" s="815"/>
      <c r="F45" s="815"/>
      <c r="G45" s="815"/>
      <c r="H45" s="815"/>
      <c r="I45" s="815"/>
    </row>
  </sheetData>
  <phoneticPr fontId="51" type="noConversion"/>
  <hyperlinks>
    <hyperlink ref="I5" location="INDICE!A40" display="VOLVER A INDICE"/>
  </hyperlinks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G37" sqref="G37"/>
    </sheetView>
  </sheetViews>
  <sheetFormatPr baseColWidth="10" defaultRowHeight="12.75"/>
  <cols>
    <col min="1" max="1" width="1.85546875" style="296" customWidth="1"/>
    <col min="2" max="2" width="30.140625" style="296" customWidth="1"/>
    <col min="3" max="3" width="15.42578125" style="296" customWidth="1"/>
    <col min="4" max="4" width="13.5703125" style="296" customWidth="1"/>
    <col min="5" max="5" width="12.7109375" style="296" customWidth="1"/>
    <col min="6" max="6" width="11.7109375" style="296" customWidth="1"/>
    <col min="7" max="9" width="11.42578125" style="296"/>
    <col min="10" max="14" width="11.42578125" style="3"/>
    <col min="15" max="16384" width="11.42578125" style="296"/>
  </cols>
  <sheetData>
    <row r="1" spans="1:9" ht="6" customHeight="1" thickBot="1">
      <c r="A1" s="504"/>
      <c r="B1" s="504"/>
      <c r="C1" s="504"/>
      <c r="D1" s="504"/>
      <c r="E1" s="504"/>
      <c r="F1" s="504"/>
      <c r="G1" s="504"/>
      <c r="H1" s="504"/>
      <c r="I1" s="504"/>
    </row>
    <row r="2" spans="1:9" ht="13.5" thickBot="1">
      <c r="A2" s="504"/>
      <c r="B2" s="878"/>
      <c r="C2" s="879"/>
      <c r="D2" s="879"/>
      <c r="E2" s="879"/>
      <c r="F2" s="879"/>
      <c r="G2" s="879"/>
      <c r="H2" s="880"/>
      <c r="I2" s="899"/>
    </row>
    <row r="3" spans="1:9" ht="15.75">
      <c r="A3" s="504"/>
      <c r="B3" s="881"/>
      <c r="C3" s="882"/>
      <c r="D3" s="731" t="s">
        <v>94</v>
      </c>
      <c r="E3" s="882"/>
      <c r="F3" s="882"/>
      <c r="G3" s="882"/>
      <c r="H3" s="883"/>
      <c r="I3" s="509" t="s">
        <v>649</v>
      </c>
    </row>
    <row r="4" spans="1:9" ht="15.75">
      <c r="A4" s="504"/>
      <c r="B4" s="884"/>
      <c r="C4" s="885"/>
      <c r="D4" s="886" t="s">
        <v>833</v>
      </c>
      <c r="E4" s="885"/>
      <c r="F4" s="885"/>
      <c r="G4" s="885"/>
      <c r="H4" s="887"/>
      <c r="I4" s="900"/>
    </row>
    <row r="5" spans="1:9" ht="15.75">
      <c r="A5" s="504"/>
      <c r="B5" s="884"/>
      <c r="C5" s="885"/>
      <c r="D5" s="885" t="s">
        <v>558</v>
      </c>
      <c r="E5" s="885"/>
      <c r="F5" s="885"/>
      <c r="G5" s="885"/>
      <c r="H5" s="887"/>
      <c r="I5" s="900"/>
    </row>
    <row r="6" spans="1:9" ht="15.75">
      <c r="A6" s="504"/>
      <c r="B6" s="884"/>
      <c r="C6" s="885"/>
      <c r="D6" s="888" t="s">
        <v>201</v>
      </c>
      <c r="E6" s="885"/>
      <c r="F6" s="885"/>
      <c r="G6" s="885"/>
      <c r="H6" s="887"/>
      <c r="I6" s="900"/>
    </row>
    <row r="7" spans="1:9" ht="15.75">
      <c r="A7" s="504"/>
      <c r="B7" s="884"/>
      <c r="C7" s="885"/>
      <c r="D7" s="885"/>
      <c r="E7" s="885"/>
      <c r="F7" s="885"/>
      <c r="G7" s="885"/>
      <c r="H7" s="887"/>
      <c r="I7" s="900"/>
    </row>
    <row r="8" spans="1:9" ht="15.75">
      <c r="A8" s="504"/>
      <c r="B8" s="884"/>
      <c r="C8" s="888"/>
      <c r="D8" s="888"/>
      <c r="E8" s="888"/>
      <c r="F8" s="888"/>
      <c r="G8" s="888"/>
      <c r="H8" s="889"/>
      <c r="I8" s="900"/>
    </row>
    <row r="9" spans="1:9" ht="15.75">
      <c r="A9" s="504"/>
      <c r="B9" s="884" t="s">
        <v>23</v>
      </c>
      <c r="C9" s="890" t="s">
        <v>738</v>
      </c>
      <c r="D9" s="890" t="s">
        <v>739</v>
      </c>
      <c r="E9" s="890" t="s">
        <v>138</v>
      </c>
      <c r="F9" s="890" t="s">
        <v>139</v>
      </c>
      <c r="G9" s="890" t="s">
        <v>26</v>
      </c>
      <c r="H9" s="891" t="s">
        <v>31</v>
      </c>
      <c r="I9" s="900"/>
    </row>
    <row r="10" spans="1:9" ht="16.5" thickBot="1">
      <c r="A10" s="504"/>
      <c r="B10" s="892"/>
      <c r="C10" s="893"/>
      <c r="D10" s="893"/>
      <c r="E10" s="893" t="s">
        <v>26</v>
      </c>
      <c r="F10" s="893" t="s">
        <v>740</v>
      </c>
      <c r="G10" s="893" t="s">
        <v>741</v>
      </c>
      <c r="H10" s="894"/>
      <c r="I10" s="900"/>
    </row>
    <row r="11" spans="1:9">
      <c r="A11" s="504"/>
      <c r="B11" s="901" t="s">
        <v>75</v>
      </c>
      <c r="C11" s="902">
        <f>CONS_U.FIS!D49+CONS_U.FIS!D50</f>
        <v>294.7258038971035</v>
      </c>
      <c r="D11" s="903">
        <f>CONS_U.FIS!D51+CONS_U.FIS!D52</f>
        <v>0</v>
      </c>
      <c r="E11" s="903">
        <f>CONS_U.FIS!D53</f>
        <v>0</v>
      </c>
      <c r="F11" s="903">
        <f>CONS_U.FIS!D54</f>
        <v>0</v>
      </c>
      <c r="G11" s="903">
        <f>CONS_U.FIS!D55</f>
        <v>0</v>
      </c>
      <c r="H11" s="904">
        <f>SUM(C11:G11)</f>
        <v>294.7258038971035</v>
      </c>
      <c r="I11" s="905"/>
    </row>
    <row r="12" spans="1:9">
      <c r="A12" s="504"/>
      <c r="B12" s="906" t="s">
        <v>203</v>
      </c>
      <c r="C12" s="902"/>
      <c r="D12" s="902"/>
      <c r="E12" s="902"/>
      <c r="F12" s="902"/>
      <c r="G12" s="902"/>
      <c r="H12" s="907"/>
      <c r="I12" s="905"/>
    </row>
    <row r="13" spans="1:9">
      <c r="A13" s="504"/>
      <c r="B13" s="901" t="s">
        <v>76</v>
      </c>
      <c r="C13" s="902">
        <f>CONS_U.FIS!C49+CONS_U.FIS!C50</f>
        <v>2861.7577333547615</v>
      </c>
      <c r="D13" s="903">
        <f>CONS_U.FIS!C51+CONS_U.FIS!C52</f>
        <v>0</v>
      </c>
      <c r="E13" s="903">
        <f>CONS_U.FIS!C53</f>
        <v>0</v>
      </c>
      <c r="F13" s="903">
        <f>CONS_U.FIS!C54</f>
        <v>0</v>
      </c>
      <c r="G13" s="903">
        <f>CONS_U.FIS!C55</f>
        <v>0</v>
      </c>
      <c r="H13" s="904">
        <f>SUM(C13:G13)</f>
        <v>2861.7577333547615</v>
      </c>
      <c r="I13" s="905"/>
    </row>
    <row r="14" spans="1:9">
      <c r="A14" s="504"/>
      <c r="B14" s="906" t="s">
        <v>181</v>
      </c>
      <c r="C14" s="902"/>
      <c r="D14" s="903"/>
      <c r="E14" s="903"/>
      <c r="F14" s="903"/>
      <c r="G14" s="903"/>
      <c r="H14" s="904"/>
      <c r="I14" s="905"/>
    </row>
    <row r="15" spans="1:9">
      <c r="A15" s="504"/>
      <c r="B15" s="901" t="s">
        <v>78</v>
      </c>
      <c r="C15" s="902">
        <f>CONS_U.FIS!G49+CONS_U.FIS!G50</f>
        <v>3.1756489000000001</v>
      </c>
      <c r="D15" s="903">
        <f>CONS_U.FIS!G51+CONS_U.FIS!G52</f>
        <v>79.018115142771265</v>
      </c>
      <c r="E15" s="903">
        <f>CONS_U.FIS!G53</f>
        <v>0</v>
      </c>
      <c r="F15" s="903">
        <f>CONS_U.FIS!G54</f>
        <v>0</v>
      </c>
      <c r="G15" s="903">
        <f>CONS_U.FIS!G55</f>
        <v>0</v>
      </c>
      <c r="H15" s="904">
        <f>SUM(C15:G15)</f>
        <v>82.193764042771264</v>
      </c>
      <c r="I15" s="905"/>
    </row>
    <row r="16" spans="1:9">
      <c r="A16" s="504"/>
      <c r="B16" s="906" t="s">
        <v>203</v>
      </c>
      <c r="C16" s="902"/>
      <c r="D16" s="903"/>
      <c r="E16" s="903"/>
      <c r="F16" s="903"/>
      <c r="G16" s="903"/>
      <c r="H16" s="904"/>
      <c r="I16" s="905"/>
    </row>
    <row r="17" spans="1:9">
      <c r="A17" s="504"/>
      <c r="B17" s="901" t="s">
        <v>204</v>
      </c>
      <c r="C17" s="902">
        <f>CONS_U.FIS!K49+CONS_U.FIS!K50</f>
        <v>40.249643329285206</v>
      </c>
      <c r="D17" s="903">
        <f>CONS_U.FIS!K51+CONS_U.FIS!K52</f>
        <v>0</v>
      </c>
      <c r="E17" s="903">
        <f>CONS_U.FIS!K53</f>
        <v>0</v>
      </c>
      <c r="F17" s="903">
        <f>CONS_U.FIS!K54</f>
        <v>0</v>
      </c>
      <c r="G17" s="903">
        <f>CONS_U.FIS!K55</f>
        <v>0</v>
      </c>
      <c r="H17" s="904">
        <f>SUM(C17:G17)</f>
        <v>40.249643329285206</v>
      </c>
      <c r="I17" s="905"/>
    </row>
    <row r="18" spans="1:9">
      <c r="A18" s="504"/>
      <c r="B18" s="906" t="s">
        <v>181</v>
      </c>
      <c r="C18" s="902"/>
      <c r="D18" s="903"/>
      <c r="E18" s="903"/>
      <c r="F18" s="903"/>
      <c r="G18" s="903"/>
      <c r="H18" s="904"/>
      <c r="I18" s="905"/>
    </row>
    <row r="19" spans="1:9">
      <c r="A19" s="504"/>
      <c r="B19" s="901" t="s">
        <v>27</v>
      </c>
      <c r="C19" s="902">
        <f>CONS_U.FIS!M49+CONS_U.FIS!M50</f>
        <v>4977.4640503929486</v>
      </c>
      <c r="D19" s="903">
        <f>CONS_U.FIS!M51+CONS_U.FIS!M52</f>
        <v>694.28674285714271</v>
      </c>
      <c r="E19" s="903">
        <f>CONS_U.FIS!M53</f>
        <v>0</v>
      </c>
      <c r="F19" s="903">
        <f>CONS_U.FIS!M54</f>
        <v>0</v>
      </c>
      <c r="G19" s="903">
        <f>CONS_U.FIS!M55</f>
        <v>0</v>
      </c>
      <c r="H19" s="904">
        <f>SUM(C19:G19)</f>
        <v>5671.7507932500912</v>
      </c>
      <c r="I19" s="905"/>
    </row>
    <row r="20" spans="1:9">
      <c r="A20" s="504"/>
      <c r="B20" s="906" t="s">
        <v>203</v>
      </c>
      <c r="C20" s="902"/>
      <c r="D20" s="903"/>
      <c r="E20" s="903"/>
      <c r="F20" s="903"/>
      <c r="G20" s="903"/>
      <c r="H20" s="904"/>
      <c r="I20" s="905"/>
    </row>
    <row r="21" spans="1:9">
      <c r="A21" s="504"/>
      <c r="B21" s="901" t="s">
        <v>128</v>
      </c>
      <c r="C21" s="902">
        <f>CONS_U.FIS!N49+CONS_U.FIS!N50</f>
        <v>689.06054042857158</v>
      </c>
      <c r="D21" s="903">
        <f>CONS_U.FIS!N51+CONS_U.FIS!N52</f>
        <v>178.56969528571426</v>
      </c>
      <c r="E21" s="903">
        <f>CONS_U.FIS!N53</f>
        <v>0</v>
      </c>
      <c r="F21" s="903">
        <f>CONS_U.FIS!N54</f>
        <v>0</v>
      </c>
      <c r="G21" s="903">
        <f>CONS_U.FIS!N55</f>
        <v>0</v>
      </c>
      <c r="H21" s="904">
        <f>SUM(C21:G21)</f>
        <v>867.63023571428585</v>
      </c>
      <c r="I21" s="905"/>
    </row>
    <row r="22" spans="1:9">
      <c r="A22" s="504"/>
      <c r="B22" s="906" t="s">
        <v>203</v>
      </c>
      <c r="C22" s="902"/>
      <c r="D22" s="903"/>
      <c r="E22" s="903"/>
      <c r="F22" s="903"/>
      <c r="G22" s="903"/>
      <c r="H22" s="904"/>
      <c r="I22" s="905"/>
    </row>
    <row r="23" spans="1:9">
      <c r="A23" s="504"/>
      <c r="B23" s="901" t="s">
        <v>26</v>
      </c>
      <c r="C23" s="902">
        <f>CONS_U.FIS!R49+CONS_U.FIS!R50</f>
        <v>564.57165232311024</v>
      </c>
      <c r="D23" s="903">
        <f>CONS_U.FIS!R51+CONS_U.FIS!R52</f>
        <v>19.02079526817257</v>
      </c>
      <c r="E23" s="903">
        <f>CONS_U.FIS!R53</f>
        <v>390.67302663506007</v>
      </c>
      <c r="F23" s="903">
        <f>CONS_U.FIS!R54</f>
        <v>0</v>
      </c>
      <c r="G23" s="903">
        <f>CONS_U.FIS!R55</f>
        <v>1012.7616866502516</v>
      </c>
      <c r="H23" s="904">
        <f>SUM(C23:G23)</f>
        <v>1987.0271608765945</v>
      </c>
      <c r="I23" s="905"/>
    </row>
    <row r="24" spans="1:9">
      <c r="A24" s="504"/>
      <c r="B24" s="906" t="s">
        <v>205</v>
      </c>
      <c r="C24" s="902"/>
      <c r="D24" s="903"/>
      <c r="E24" s="903"/>
      <c r="F24" s="903"/>
      <c r="G24" s="903"/>
      <c r="H24" s="904"/>
      <c r="I24" s="899"/>
    </row>
    <row r="25" spans="1:9">
      <c r="A25" s="504"/>
      <c r="B25" s="901" t="s">
        <v>43</v>
      </c>
      <c r="C25" s="902">
        <f>CONS_U.FIS!U49+CONS_U.FIS!U50</f>
        <v>1540.6120390390688</v>
      </c>
      <c r="D25" s="903">
        <f>CONS_U.FIS!U51+CONS_U.FIS!U52</f>
        <v>0</v>
      </c>
      <c r="E25" s="903">
        <f>CONS_U.FIS!U53</f>
        <v>0</v>
      </c>
      <c r="F25" s="903">
        <f>CONS_U.FIS!U54</f>
        <v>0</v>
      </c>
      <c r="G25" s="903">
        <f>CONS_U.FIS!U55</f>
        <v>0</v>
      </c>
      <c r="H25" s="904">
        <f>SUM(C25:G25)</f>
        <v>1540.6120390390688</v>
      </c>
      <c r="I25" s="905"/>
    </row>
    <row r="26" spans="1:9" ht="13.5" thickBot="1">
      <c r="A26" s="504"/>
      <c r="B26" s="908" t="s">
        <v>203</v>
      </c>
      <c r="C26" s="895"/>
      <c r="D26" s="895"/>
      <c r="E26" s="895"/>
      <c r="F26" s="895"/>
      <c r="G26" s="895"/>
      <c r="H26" s="896"/>
      <c r="I26" s="899"/>
    </row>
    <row r="27" spans="1:9">
      <c r="A27" s="504"/>
      <c r="B27" s="421" t="s">
        <v>734</v>
      </c>
      <c r="C27" s="500"/>
      <c r="D27" s="500"/>
      <c r="E27" s="500"/>
      <c r="F27" s="500"/>
      <c r="G27" s="500"/>
      <c r="H27" s="500"/>
      <c r="I27" s="459"/>
    </row>
    <row r="28" spans="1:9">
      <c r="A28" s="504"/>
      <c r="B28" s="421" t="s">
        <v>735</v>
      </c>
      <c r="C28" s="500"/>
      <c r="D28" s="500"/>
      <c r="E28" s="500"/>
      <c r="F28" s="500"/>
      <c r="G28" s="500"/>
      <c r="H28" s="500"/>
      <c r="I28" s="459"/>
    </row>
    <row r="29" spans="1:9">
      <c r="A29" s="504"/>
      <c r="B29" s="421" t="s">
        <v>736</v>
      </c>
      <c r="C29" s="899"/>
      <c r="D29" s="899"/>
      <c r="E29" s="899"/>
      <c r="F29" s="899"/>
      <c r="G29" s="899"/>
      <c r="H29" s="899"/>
      <c r="I29" s="899"/>
    </row>
    <row r="30" spans="1:9">
      <c r="A30" s="504"/>
      <c r="B30" s="421" t="s">
        <v>737</v>
      </c>
      <c r="C30" s="899"/>
      <c r="D30" s="899"/>
      <c r="E30" s="899"/>
      <c r="F30" s="899"/>
      <c r="G30" s="899"/>
      <c r="H30" s="899"/>
      <c r="I30" s="899"/>
    </row>
    <row r="31" spans="1:9">
      <c r="A31" s="504"/>
      <c r="B31" s="500" t="s">
        <v>34</v>
      </c>
      <c r="C31" s="62"/>
      <c r="D31" s="62"/>
      <c r="E31" s="62"/>
      <c r="F31" s="62"/>
      <c r="G31" s="62"/>
      <c r="H31" s="62"/>
      <c r="I31" s="62"/>
    </row>
    <row r="32" spans="1:9">
      <c r="A32" s="504"/>
      <c r="B32" s="500" t="s">
        <v>770</v>
      </c>
      <c r="C32" s="62"/>
      <c r="D32" s="62"/>
      <c r="E32" s="62"/>
      <c r="F32" s="62"/>
      <c r="G32" s="62"/>
      <c r="H32" s="62"/>
      <c r="I32" s="62"/>
    </row>
    <row r="33" spans="1:9">
      <c r="A33" s="504"/>
      <c r="B33" s="62"/>
      <c r="C33" s="62"/>
      <c r="D33" s="62"/>
      <c r="E33" s="62"/>
      <c r="F33" s="62"/>
      <c r="G33" s="62"/>
      <c r="H33" s="62"/>
      <c r="I33" s="3"/>
    </row>
    <row r="34" spans="1:9">
      <c r="A34" s="504"/>
      <c r="B34" s="62"/>
      <c r="C34" s="62"/>
      <c r="D34" s="62"/>
      <c r="E34" s="62"/>
      <c r="F34" s="62"/>
      <c r="G34" s="62"/>
      <c r="H34" s="62"/>
      <c r="I34" s="3"/>
    </row>
    <row r="35" spans="1:9">
      <c r="A35" s="504"/>
      <c r="B35" s="62"/>
      <c r="C35" s="62"/>
      <c r="D35" s="62"/>
      <c r="E35" s="62"/>
      <c r="F35" s="62"/>
      <c r="G35" s="62"/>
      <c r="H35" s="62"/>
      <c r="I35" s="3"/>
    </row>
    <row r="36" spans="1:9">
      <c r="A36" s="62"/>
      <c r="B36" s="62"/>
      <c r="C36" s="62"/>
      <c r="D36" s="62"/>
      <c r="E36" s="62"/>
      <c r="F36" s="62"/>
      <c r="G36" s="62"/>
      <c r="H36" s="62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</sheetData>
  <phoneticPr fontId="0" type="noConversion"/>
  <hyperlinks>
    <hyperlink ref="I3" location="INDICE!A40" display="VOLVER A INDICE"/>
  </hyperlinks>
  <pageMargins left="0.75" right="0.75" top="1" bottom="1" header="0" footer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D25" sqref="D25"/>
    </sheetView>
  </sheetViews>
  <sheetFormatPr baseColWidth="10" defaultRowHeight="12.75"/>
  <cols>
    <col min="1" max="1" width="1.7109375" style="296" customWidth="1"/>
    <col min="2" max="2" width="11.42578125" style="296"/>
    <col min="3" max="3" width="15.28515625" style="296" customWidth="1"/>
    <col min="4" max="4" width="20.140625" style="296" customWidth="1"/>
    <col min="5" max="11" width="11.42578125" style="296"/>
    <col min="12" max="17" width="11.42578125" style="3"/>
    <col min="18" max="16384" width="11.42578125" style="296"/>
  </cols>
  <sheetData>
    <row r="1" spans="1:11" ht="6.75" customHeight="1" thickBot="1">
      <c r="A1" s="504"/>
      <c r="B1" s="504"/>
      <c r="C1" s="504"/>
      <c r="D1" s="504"/>
      <c r="E1" s="504"/>
      <c r="F1" s="504"/>
      <c r="G1" s="504"/>
    </row>
    <row r="2" spans="1:11" ht="13.5" thickBot="1">
      <c r="A2" s="504"/>
      <c r="B2" s="1245"/>
      <c r="C2" s="1246"/>
      <c r="D2" s="1247"/>
      <c r="E2" s="1248"/>
      <c r="F2" s="1248"/>
      <c r="G2" s="1248"/>
      <c r="H2" s="31"/>
      <c r="I2" s="3"/>
      <c r="J2" s="3"/>
      <c r="K2" s="3"/>
    </row>
    <row r="3" spans="1:11" ht="15.75">
      <c r="A3" s="504"/>
      <c r="B3" s="1249" t="s">
        <v>206</v>
      </c>
      <c r="C3" s="1250"/>
      <c r="D3" s="1251"/>
      <c r="E3" s="509" t="s">
        <v>649</v>
      </c>
      <c r="F3" s="1248"/>
      <c r="G3" s="1248"/>
      <c r="H3" s="31"/>
      <c r="I3" s="3"/>
      <c r="J3" s="3"/>
      <c r="K3" s="3"/>
    </row>
    <row r="4" spans="1:11" ht="15.75">
      <c r="A4" s="504"/>
      <c r="B4" s="1252" t="s">
        <v>207</v>
      </c>
      <c r="C4" s="1253"/>
      <c r="D4" s="1254"/>
      <c r="E4" s="1248"/>
      <c r="F4" s="1248"/>
      <c r="G4" s="1248"/>
      <c r="H4" s="31"/>
      <c r="I4" s="3"/>
      <c r="J4" s="3"/>
      <c r="K4" s="3"/>
    </row>
    <row r="5" spans="1:11" ht="15.75">
      <c r="A5" s="504"/>
      <c r="B5" s="1252" t="s">
        <v>208</v>
      </c>
      <c r="C5" s="1253"/>
      <c r="D5" s="1254"/>
      <c r="E5" s="1248"/>
      <c r="F5" s="1248"/>
      <c r="G5" s="1248"/>
      <c r="H5" s="31"/>
      <c r="I5" s="3"/>
      <c r="J5" s="3"/>
      <c r="K5" s="3"/>
    </row>
    <row r="6" spans="1:11" ht="15.75">
      <c r="A6" s="504"/>
      <c r="B6" s="1255"/>
      <c r="C6" s="1253">
        <v>2008</v>
      </c>
      <c r="D6" s="1254"/>
      <c r="E6" s="1248"/>
      <c r="F6" s="1248"/>
      <c r="G6" s="1248"/>
      <c r="H6" s="31"/>
      <c r="I6" s="3"/>
      <c r="J6" s="3"/>
      <c r="K6" s="3"/>
    </row>
    <row r="7" spans="1:11" ht="15.75">
      <c r="A7" s="504"/>
      <c r="B7" s="1252"/>
      <c r="C7" s="1253"/>
      <c r="D7" s="1254"/>
      <c r="E7" s="1248"/>
      <c r="F7" s="1248"/>
      <c r="G7" s="1248"/>
      <c r="H7" s="31"/>
      <c r="I7" s="3"/>
      <c r="J7" s="3"/>
      <c r="K7" s="3"/>
    </row>
    <row r="8" spans="1:11" ht="15.75">
      <c r="A8" s="504"/>
      <c r="B8" s="1252"/>
      <c r="C8" s="1253"/>
      <c r="D8" s="1256" t="s">
        <v>45</v>
      </c>
      <c r="E8" s="1248"/>
      <c r="F8" s="1248"/>
      <c r="G8" s="1248"/>
      <c r="H8" s="31"/>
      <c r="I8" s="3"/>
      <c r="J8" s="3"/>
      <c r="K8" s="3"/>
    </row>
    <row r="9" spans="1:11" ht="16.5" thickBot="1">
      <c r="A9" s="504"/>
      <c r="B9" s="1257" t="s">
        <v>143</v>
      </c>
      <c r="C9" s="1258"/>
      <c r="D9" s="1259" t="s">
        <v>50</v>
      </c>
      <c r="E9" s="1248"/>
      <c r="F9" s="1248"/>
      <c r="G9" s="1248"/>
      <c r="H9" s="31"/>
      <c r="I9" s="3"/>
      <c r="J9" s="3"/>
      <c r="K9" s="3"/>
    </row>
    <row r="10" spans="1:11" ht="16.5" customHeight="1">
      <c r="A10" s="504"/>
      <c r="B10" s="1260" t="s">
        <v>145</v>
      </c>
      <c r="C10" s="1261"/>
      <c r="D10" s="1262">
        <v>1.4183999999999999</v>
      </c>
      <c r="E10" s="1248"/>
      <c r="F10" s="1248"/>
      <c r="G10" s="1248"/>
      <c r="H10" s="31"/>
      <c r="I10" s="3"/>
      <c r="J10" s="3"/>
      <c r="K10" s="3"/>
    </row>
    <row r="11" spans="1:11" ht="16.5" customHeight="1">
      <c r="A11" s="504"/>
      <c r="B11" s="1263" t="s">
        <v>146</v>
      </c>
      <c r="C11" s="1264"/>
      <c r="D11" s="1262">
        <v>22.172599999999999</v>
      </c>
      <c r="E11" s="1248"/>
      <c r="F11" s="1248"/>
      <c r="G11" s="1248"/>
      <c r="H11" s="31"/>
      <c r="I11" s="3"/>
      <c r="J11" s="3"/>
      <c r="K11" s="3"/>
    </row>
    <row r="12" spans="1:11" ht="16.5" customHeight="1">
      <c r="A12" s="504"/>
      <c r="B12" s="1263" t="s">
        <v>147</v>
      </c>
      <c r="C12" s="1264"/>
      <c r="D12" s="1262">
        <v>18.832599999999999</v>
      </c>
      <c r="E12" s="1248"/>
      <c r="F12" s="1248"/>
      <c r="G12" s="1248"/>
      <c r="H12" s="31"/>
      <c r="I12" s="3"/>
      <c r="J12" s="3"/>
      <c r="K12" s="3"/>
    </row>
    <row r="13" spans="1:11" ht="16.5" customHeight="1">
      <c r="A13" s="504"/>
      <c r="B13" s="1263" t="s">
        <v>148</v>
      </c>
      <c r="C13" s="1264"/>
      <c r="D13" s="1262">
        <v>0</v>
      </c>
      <c r="E13" s="1248"/>
      <c r="F13" s="1248"/>
      <c r="G13" s="1248"/>
      <c r="H13" s="31"/>
      <c r="I13" s="3"/>
      <c r="J13" s="3"/>
      <c r="K13" s="3"/>
    </row>
    <row r="14" spans="1:11" ht="16.5" customHeight="1">
      <c r="A14" s="504"/>
      <c r="B14" s="1263" t="s">
        <v>149</v>
      </c>
      <c r="C14" s="1264"/>
      <c r="D14" s="1262">
        <v>0</v>
      </c>
      <c r="E14" s="1248"/>
      <c r="F14" s="1248"/>
      <c r="G14" s="1248"/>
      <c r="H14" s="31"/>
      <c r="I14" s="3"/>
      <c r="J14" s="3"/>
      <c r="K14" s="3"/>
    </row>
    <row r="15" spans="1:11" ht="16.5" customHeight="1">
      <c r="A15" s="504"/>
      <c r="B15" s="1263" t="s">
        <v>150</v>
      </c>
      <c r="C15" s="1264"/>
      <c r="D15" s="1262">
        <v>122.36192000000001</v>
      </c>
      <c r="E15" s="1248"/>
      <c r="F15" s="1248"/>
      <c r="G15" s="1248"/>
      <c r="H15" s="31"/>
      <c r="I15" s="3"/>
      <c r="J15" s="3"/>
      <c r="K15" s="3"/>
    </row>
    <row r="16" spans="1:11" ht="16.5" customHeight="1">
      <c r="A16" s="504"/>
      <c r="B16" s="1263" t="s">
        <v>151</v>
      </c>
      <c r="C16" s="1264"/>
      <c r="D16" s="1262">
        <v>75.563983000000007</v>
      </c>
      <c r="E16" s="1248"/>
      <c r="F16" s="1248"/>
      <c r="G16" s="1248"/>
      <c r="H16" s="31"/>
      <c r="I16" s="3"/>
      <c r="J16" s="3"/>
      <c r="K16" s="3"/>
    </row>
    <row r="17" spans="1:11">
      <c r="A17" s="504"/>
      <c r="B17" s="1265" t="s">
        <v>104</v>
      </c>
      <c r="C17" s="1266"/>
      <c r="D17" s="1267">
        <f>SUM(D10:D16)</f>
        <v>240.34950300000003</v>
      </c>
      <c r="E17" s="1248"/>
      <c r="F17" s="1248"/>
      <c r="G17" s="1248"/>
      <c r="H17" s="31"/>
      <c r="I17" s="3"/>
      <c r="J17" s="3"/>
      <c r="K17" s="3"/>
    </row>
    <row r="18" spans="1:11">
      <c r="A18" s="504"/>
      <c r="B18" s="500" t="s">
        <v>34</v>
      </c>
      <c r="C18" s="500"/>
      <c r="D18" s="500"/>
      <c r="E18" s="500"/>
      <c r="F18" s="500"/>
      <c r="G18" s="500"/>
      <c r="H18" s="2"/>
      <c r="I18" s="3"/>
      <c r="J18" s="3"/>
      <c r="K18" s="3"/>
    </row>
    <row r="19" spans="1:11">
      <c r="A19" s="504"/>
      <c r="B19" s="500" t="s">
        <v>770</v>
      </c>
      <c r="C19" s="500"/>
      <c r="D19" s="500"/>
      <c r="E19" s="500"/>
      <c r="F19" s="500"/>
      <c r="G19" s="500"/>
      <c r="H19" s="2"/>
      <c r="I19" s="3"/>
      <c r="J19" s="3"/>
      <c r="K19" s="3"/>
    </row>
    <row r="20" spans="1:11">
      <c r="A20" s="504"/>
      <c r="B20" s="1248"/>
      <c r="C20" s="1268"/>
      <c r="D20" s="1248"/>
      <c r="E20" s="1248"/>
      <c r="F20" s="1248"/>
      <c r="G20" s="1248"/>
      <c r="H20" s="31"/>
      <c r="I20" s="3"/>
      <c r="J20" s="3"/>
      <c r="K20" s="3"/>
    </row>
    <row r="21" spans="1:11">
      <c r="A21" s="504"/>
      <c r="B21" s="1248"/>
      <c r="C21" s="1268"/>
      <c r="D21" s="1248"/>
      <c r="E21" s="1248"/>
      <c r="F21" s="1248"/>
      <c r="G21" s="1248"/>
      <c r="H21" s="31"/>
      <c r="I21" s="3"/>
      <c r="J21" s="3"/>
      <c r="K21" s="3"/>
    </row>
    <row r="22" spans="1:11">
      <c r="A22" s="504"/>
      <c r="B22" s="62"/>
      <c r="C22" s="62"/>
      <c r="D22" s="62"/>
      <c r="E22" s="62"/>
      <c r="F22" s="62"/>
      <c r="G22" s="62"/>
      <c r="H22" s="3"/>
      <c r="I22" s="3"/>
      <c r="J22" s="3"/>
      <c r="K22" s="3"/>
    </row>
    <row r="23" spans="1:11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2:11"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2:11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2:11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2:11"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2:11"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2:11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2:11"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2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2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2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2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 s="3" customFormat="1"/>
    <row r="58" spans="2:11" s="3" customFormat="1"/>
    <row r="59" spans="2:11" s="3" customFormat="1"/>
    <row r="60" spans="2:11" s="3" customFormat="1"/>
    <row r="61" spans="2:11" s="3" customFormat="1"/>
  </sheetData>
  <phoneticPr fontId="0" type="noConversion"/>
  <hyperlinks>
    <hyperlink ref="E3" location="INDICE!A40" display="VOLVER A INDICE"/>
  </hyperlinks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showGridLines="0" zoomScale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2" sqref="E32"/>
    </sheetView>
  </sheetViews>
  <sheetFormatPr baseColWidth="10" defaultRowHeight="12.75"/>
  <cols>
    <col min="1" max="1" width="21.28515625" customWidth="1"/>
    <col min="2" max="2" width="27.85546875" customWidth="1"/>
  </cols>
  <sheetData>
    <row r="1" spans="1:27" ht="15.75">
      <c r="A1" s="35" t="s">
        <v>773</v>
      </c>
      <c r="B1" s="36"/>
      <c r="C1" s="37"/>
      <c r="D1" s="509" t="s">
        <v>649</v>
      </c>
      <c r="E1" s="37"/>
      <c r="F1" s="37"/>
      <c r="G1" s="38"/>
      <c r="H1" s="38"/>
      <c r="I1" s="39" t="s">
        <v>209</v>
      </c>
      <c r="J1" s="38"/>
      <c r="K1" s="38"/>
      <c r="L1" s="37"/>
      <c r="M1" s="37"/>
      <c r="N1" s="37"/>
      <c r="O1" s="37"/>
      <c r="P1" s="37"/>
      <c r="Q1" s="37"/>
      <c r="R1" s="37"/>
      <c r="S1" s="37"/>
      <c r="T1" s="37"/>
      <c r="U1" s="37"/>
      <c r="V1" s="40"/>
      <c r="W1" s="40"/>
      <c r="X1" s="40"/>
      <c r="Y1" s="40"/>
      <c r="Z1" s="40"/>
      <c r="AA1" s="40"/>
    </row>
    <row r="2" spans="1:27">
      <c r="A2" s="36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40"/>
      <c r="W2" s="40"/>
      <c r="X2" s="40"/>
      <c r="Y2" s="40"/>
      <c r="Z2" s="40"/>
      <c r="AA2" s="40"/>
    </row>
    <row r="3" spans="1:27">
      <c r="A3" s="41"/>
      <c r="B3" s="41"/>
      <c r="C3" s="42" t="s">
        <v>210</v>
      </c>
      <c r="D3" s="42" t="s">
        <v>211</v>
      </c>
      <c r="E3" s="42" t="s">
        <v>212</v>
      </c>
      <c r="F3" s="42" t="s">
        <v>213</v>
      </c>
      <c r="G3" s="42" t="s">
        <v>214</v>
      </c>
      <c r="H3" s="42" t="s">
        <v>212</v>
      </c>
      <c r="I3" s="42" t="s">
        <v>213</v>
      </c>
      <c r="J3" s="42" t="s">
        <v>215</v>
      </c>
      <c r="K3" s="42" t="s">
        <v>216</v>
      </c>
      <c r="L3" s="42" t="s">
        <v>218</v>
      </c>
      <c r="M3" s="42" t="s">
        <v>219</v>
      </c>
      <c r="N3" s="42" t="s">
        <v>275</v>
      </c>
      <c r="O3" s="42" t="s">
        <v>231</v>
      </c>
      <c r="P3" s="42" t="s">
        <v>214</v>
      </c>
      <c r="Q3" s="42" t="s">
        <v>216</v>
      </c>
      <c r="R3" s="42" t="s">
        <v>214</v>
      </c>
      <c r="S3" s="42" t="s">
        <v>276</v>
      </c>
      <c r="T3" s="42" t="s">
        <v>221</v>
      </c>
      <c r="U3" s="42" t="s">
        <v>222</v>
      </c>
      <c r="V3" s="40"/>
      <c r="W3" s="40"/>
      <c r="X3" s="40"/>
      <c r="Y3" s="40"/>
      <c r="Z3" s="40"/>
      <c r="AA3" s="40"/>
    </row>
    <row r="4" spans="1:27">
      <c r="A4" s="43" t="s">
        <v>223</v>
      </c>
      <c r="B4" s="44"/>
      <c r="C4" s="45" t="s">
        <v>224</v>
      </c>
      <c r="D4" s="45" t="s">
        <v>225</v>
      </c>
      <c r="E4" s="45" t="s">
        <v>834</v>
      </c>
      <c r="F4" s="45" t="s">
        <v>277</v>
      </c>
      <c r="G4" s="45" t="s">
        <v>226</v>
      </c>
      <c r="H4" s="45" t="s">
        <v>227</v>
      </c>
      <c r="I4" s="45" t="s">
        <v>227</v>
      </c>
      <c r="J4" s="45" t="s">
        <v>277</v>
      </c>
      <c r="K4" s="45" t="s">
        <v>228</v>
      </c>
      <c r="L4" s="45" t="s">
        <v>230</v>
      </c>
      <c r="M4" s="45" t="s">
        <v>277</v>
      </c>
      <c r="N4" s="44" t="s">
        <v>277</v>
      </c>
      <c r="O4" s="45" t="s">
        <v>277</v>
      </c>
      <c r="P4" s="45" t="s">
        <v>232</v>
      </c>
      <c r="Q4" s="46" t="s">
        <v>278</v>
      </c>
      <c r="R4" s="45" t="s">
        <v>234</v>
      </c>
      <c r="S4" s="45" t="s">
        <v>277</v>
      </c>
      <c r="T4" s="45" t="s">
        <v>279</v>
      </c>
      <c r="U4" s="45" t="s">
        <v>236</v>
      </c>
      <c r="V4" s="40"/>
      <c r="W4" s="40"/>
      <c r="X4" s="40"/>
      <c r="Y4" s="40"/>
      <c r="Z4" s="40"/>
      <c r="AA4" s="40"/>
    </row>
    <row r="5" spans="1:27">
      <c r="A5" s="47"/>
      <c r="B5" s="47"/>
      <c r="C5" s="48" t="s">
        <v>280</v>
      </c>
      <c r="D5" s="48" t="s">
        <v>281</v>
      </c>
      <c r="E5" s="48" t="s">
        <v>280</v>
      </c>
      <c r="F5" s="48" t="s">
        <v>282</v>
      </c>
      <c r="G5" s="48" t="s">
        <v>281</v>
      </c>
      <c r="H5" s="48" t="s">
        <v>280</v>
      </c>
      <c r="I5" s="48" t="s">
        <v>280</v>
      </c>
      <c r="J5" s="48" t="s">
        <v>282</v>
      </c>
      <c r="K5" s="48" t="s">
        <v>280</v>
      </c>
      <c r="L5" s="48" t="s">
        <v>190</v>
      </c>
      <c r="M5" s="48" t="s">
        <v>284</v>
      </c>
      <c r="N5" s="48" t="s">
        <v>285</v>
      </c>
      <c r="O5" s="48" t="s">
        <v>282</v>
      </c>
      <c r="P5" s="48" t="s">
        <v>283</v>
      </c>
      <c r="Q5" s="48" t="s">
        <v>281</v>
      </c>
      <c r="R5" s="48" t="s">
        <v>283</v>
      </c>
      <c r="S5" s="48" t="s">
        <v>285</v>
      </c>
      <c r="T5" s="48" t="s">
        <v>282</v>
      </c>
      <c r="U5" s="48" t="s">
        <v>281</v>
      </c>
      <c r="V5" s="40"/>
      <c r="W5" s="40"/>
      <c r="X5" s="40"/>
      <c r="Y5" s="40"/>
      <c r="Z5" s="40"/>
      <c r="AA5" s="40"/>
    </row>
    <row r="6" spans="1:27">
      <c r="A6" s="49"/>
      <c r="B6" s="49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40"/>
      <c r="W6" s="40"/>
      <c r="X6" s="40"/>
      <c r="Y6" s="40"/>
      <c r="Z6" s="40"/>
      <c r="AA6" s="40"/>
    </row>
    <row r="7" spans="1:27">
      <c r="A7" s="34" t="s">
        <v>238</v>
      </c>
      <c r="B7" s="33" t="s">
        <v>239</v>
      </c>
      <c r="C7" s="388">
        <f>CONS_TERAC!C7*CONS_U.FIS!C$92</f>
        <v>3823.3199948469992</v>
      </c>
      <c r="D7" s="388">
        <f>CONS_TERAC!D7*CONS_U.FIS!D$92</f>
        <v>0.18303030000000001</v>
      </c>
      <c r="E7" s="388">
        <f>CONS_TERAC!E7*CONS_U.FIS!E$92</f>
        <v>3141.1350648440016</v>
      </c>
      <c r="F7" s="388">
        <f>CONS_TERAC!F7*CONS_U.FIS!F$92</f>
        <v>1.4215</v>
      </c>
      <c r="G7" s="388">
        <f>CONS_TERAC!G7*CONS_U.FIS!G$92</f>
        <v>2.9684026812090911</v>
      </c>
      <c r="H7" s="388">
        <f>CONS_TERAC!H7*CONS_U.FIS!H$92</f>
        <v>6.0000000000000005E-2</v>
      </c>
      <c r="I7" s="388">
        <f>CONS_TERAC!I7*CONS_U.FIS!I$92</f>
        <v>0.187</v>
      </c>
      <c r="J7" s="388">
        <f>CONS_TERAC!J7*CONS_U.FIS!J$92</f>
        <v>0.30562</v>
      </c>
      <c r="K7" s="388">
        <f>CONS_TERAC!K7*CONS_U.FIS!K$92</f>
        <v>0</v>
      </c>
      <c r="L7" s="388">
        <f>CONS_TERAC!M7*CONS_U.FIS!L$92</f>
        <v>373.05652493363118</v>
      </c>
      <c r="M7" s="388">
        <f>CONS_TERAC!N7*CONS_U.FIS!M$92</f>
        <v>0</v>
      </c>
      <c r="N7" s="388">
        <f>CONS_TERAC!O7*CONS_U.FIS!N$92</f>
        <v>0</v>
      </c>
      <c r="O7" s="388">
        <f>CONS_TERAC!P7*CONS_U.FIS!O$92</f>
        <v>0</v>
      </c>
      <c r="P7" s="388">
        <f>CONS_TERAC!Q7*CONS_U.FIS!P$92</f>
        <v>0</v>
      </c>
      <c r="Q7" s="388">
        <f>CONS_TERAC!R7*CONS_U.FIS!Q$92</f>
        <v>0</v>
      </c>
      <c r="R7" s="388">
        <f>CONS_TERAC!S7*CONS_U.FIS!R$92</f>
        <v>15.375529254405231</v>
      </c>
      <c r="S7" s="388">
        <f>CONS_TERAC!T7*CONS_U.FIS!S$92</f>
        <v>0</v>
      </c>
      <c r="T7" s="386">
        <f>CONS_TERAC!U7*CONS_U.FIS!T$92</f>
        <v>0</v>
      </c>
      <c r="U7" s="388">
        <f>CONS_TERAC!V7*CONS_U.FIS!U$92</f>
        <v>0</v>
      </c>
      <c r="V7" s="40"/>
      <c r="W7" s="40"/>
      <c r="X7" s="40"/>
      <c r="Y7" s="40"/>
      <c r="Z7" s="40"/>
      <c r="AA7" s="40"/>
    </row>
    <row r="8" spans="1:27">
      <c r="A8" s="33"/>
      <c r="B8" s="33" t="s">
        <v>241</v>
      </c>
      <c r="C8" s="388">
        <f>CONS_TERAC!C8*CONS_U.FIS!$C$92</f>
        <v>53.004670999999988</v>
      </c>
      <c r="D8" s="388">
        <f>CONS_TERAC!D8*CONS_U.FIS!D$92</f>
        <v>0</v>
      </c>
      <c r="E8" s="388">
        <f>CONS_TERAC!E8*CONS_U.FIS!E$92</f>
        <v>0</v>
      </c>
      <c r="F8" s="388">
        <f>CONS_TERAC!F8*CONS_U.FIS!F$92</f>
        <v>0</v>
      </c>
      <c r="G8" s="388">
        <f>CONS_TERAC!G8*CONS_U.FIS!G$92</f>
        <v>0</v>
      </c>
      <c r="H8" s="388">
        <f>CONS_TERAC!H8*CONS_U.FIS!H$92</f>
        <v>0</v>
      </c>
      <c r="I8" s="388">
        <f>CONS_TERAC!I8*CONS_U.FIS!I$92</f>
        <v>0</v>
      </c>
      <c r="J8" s="388">
        <f>CONS_TERAC!J8*CONS_U.FIS!J$92</f>
        <v>0</v>
      </c>
      <c r="K8" s="388">
        <f>CONS_TERAC!K8*CONS_U.FIS!K$92</f>
        <v>0</v>
      </c>
      <c r="L8" s="388">
        <f>CONS_TERAC!M8*CONS_U.FIS!L$92</f>
        <v>53.296126000000008</v>
      </c>
      <c r="M8" s="389">
        <f>CONS_TERAC!N8*CONS_U.FIS!M$92</f>
        <v>2.7200000000000002E-2</v>
      </c>
      <c r="N8" s="388">
        <f>CONS_TERAC!O8*CONS_U.FIS!N$92</f>
        <v>0</v>
      </c>
      <c r="O8" s="388">
        <f>CONS_TERAC!P8*CONS_U.FIS!O$92</f>
        <v>0</v>
      </c>
      <c r="P8" s="388">
        <f>CONS_TERAC!Q8*CONS_U.FIS!P$92</f>
        <v>0</v>
      </c>
      <c r="Q8" s="388">
        <f>CONS_TERAC!R8*CONS_U.FIS!Q$92</f>
        <v>0</v>
      </c>
      <c r="R8" s="388">
        <f>CONS_TERAC!S8*CONS_U.FIS!R$92</f>
        <v>0</v>
      </c>
      <c r="S8" s="388">
        <f>CONS_TERAC!T8*CONS_U.FIS!S$92</f>
        <v>0</v>
      </c>
      <c r="T8" s="386">
        <f>CONS_TERAC!U8*CONS_U.FIS!T$92</f>
        <v>0</v>
      </c>
      <c r="U8" s="388">
        <f>CONS_TERAC!V8*CONS_U.FIS!U$92</f>
        <v>0</v>
      </c>
      <c r="V8" s="40"/>
      <c r="W8" s="40"/>
      <c r="X8" s="40"/>
      <c r="Y8" s="40"/>
      <c r="Z8" s="40"/>
      <c r="AA8" s="40"/>
    </row>
    <row r="9" spans="1:27">
      <c r="A9" s="33"/>
      <c r="B9" s="33" t="s">
        <v>242</v>
      </c>
      <c r="C9" s="388">
        <f>CONS_TERAC!C9*CONS_U.FIS!$C$92</f>
        <v>394.96454099999994</v>
      </c>
      <c r="D9" s="388">
        <f>CONS_TERAC!D9*CONS_U.FIS!D$92</f>
        <v>1427.458551771</v>
      </c>
      <c r="E9" s="388">
        <f>CONS_TERAC!E9*CONS_U.FIS!E$92</f>
        <v>5.9809569999999992</v>
      </c>
      <c r="F9" s="388">
        <f>CONS_TERAC!F9*CONS_U.FIS!F$92</f>
        <v>0.13000000000000003</v>
      </c>
      <c r="G9" s="388">
        <f>CONS_TERAC!G9*CONS_U.FIS!G$92</f>
        <v>0</v>
      </c>
      <c r="H9" s="388">
        <f>CONS_TERAC!H9*CONS_U.FIS!H$92</f>
        <v>0</v>
      </c>
      <c r="I9" s="388">
        <f>CONS_TERAC!I9*CONS_U.FIS!I$92</f>
        <v>0</v>
      </c>
      <c r="J9" s="388">
        <f>CONS_TERAC!J9*CONS_U.FIS!J$92</f>
        <v>0</v>
      </c>
      <c r="K9" s="388">
        <f>CONS_TERAC!K9*CONS_U.FIS!K$92</f>
        <v>0</v>
      </c>
      <c r="L9" s="388">
        <f>CONS_TERAC!M9*CONS_U.FIS!L$92</f>
        <v>0</v>
      </c>
      <c r="M9" s="388">
        <f>CONS_TERAC!N9*CONS_U.FIS!M$92</f>
        <v>0</v>
      </c>
      <c r="N9" s="388">
        <f>CONS_TERAC!O9*CONS_U.FIS!N$92</f>
        <v>0</v>
      </c>
      <c r="O9" s="388">
        <f>CONS_TERAC!P9*CONS_U.FIS!O$92</f>
        <v>0</v>
      </c>
      <c r="P9" s="388">
        <f>CONS_TERAC!Q9*CONS_U.FIS!P$92</f>
        <v>0</v>
      </c>
      <c r="Q9" s="388">
        <f>CONS_TERAC!R9*CONS_U.FIS!Q$92</f>
        <v>0</v>
      </c>
      <c r="R9" s="388">
        <f>CONS_TERAC!S9*CONS_U.FIS!R$92</f>
        <v>0</v>
      </c>
      <c r="S9" s="388">
        <f>CONS_TERAC!T9*CONS_U.FIS!S$92</f>
        <v>0</v>
      </c>
      <c r="T9" s="386">
        <f>CONS_TERAC!U9*CONS_U.FIS!T$92</f>
        <v>0</v>
      </c>
      <c r="U9" s="388">
        <f>CONS_TERAC!V9*CONS_U.FIS!U$92</f>
        <v>0</v>
      </c>
      <c r="V9" s="40"/>
      <c r="W9" s="40"/>
      <c r="X9" s="40"/>
      <c r="Y9" s="40"/>
      <c r="Z9" s="40"/>
      <c r="AA9" s="40"/>
    </row>
    <row r="10" spans="1:27">
      <c r="A10" s="33"/>
      <c r="B10" s="33" t="s">
        <v>243</v>
      </c>
      <c r="C10" s="388">
        <f>CONS_TERAC!C10*CONS_U.FIS!$C$92</f>
        <v>0.81159150999999996</v>
      </c>
      <c r="D10" s="388">
        <f>CONS_TERAC!D10*CONS_U.FIS!D$92</f>
        <v>0</v>
      </c>
      <c r="E10" s="388">
        <f>CONS_TERAC!E10*CONS_U.FIS!E$92</f>
        <v>0</v>
      </c>
      <c r="F10" s="388">
        <f>CONS_TERAC!F10*CONS_U.FIS!F$92</f>
        <v>0</v>
      </c>
      <c r="G10" s="388">
        <f>CONS_TERAC!G10*CONS_U.FIS!G$92</f>
        <v>0</v>
      </c>
      <c r="H10" s="388">
        <f>CONS_TERAC!H10*CONS_U.FIS!H$92</f>
        <v>5.8602340000000002</v>
      </c>
      <c r="I10" s="388">
        <f>CONS_TERAC!I10*CONS_U.FIS!I$92</f>
        <v>1056.533586</v>
      </c>
      <c r="J10" s="388">
        <f>CONS_TERAC!J10*CONS_U.FIS!J$92</f>
        <v>0</v>
      </c>
      <c r="K10" s="388">
        <f>CONS_TERAC!K10*CONS_U.FIS!K$92</f>
        <v>0</v>
      </c>
      <c r="L10" s="388">
        <f>CONS_TERAC!M10*CONS_U.FIS!L$92</f>
        <v>0</v>
      </c>
      <c r="M10" s="388">
        <f>CONS_TERAC!N10*CONS_U.FIS!M$92</f>
        <v>0</v>
      </c>
      <c r="N10" s="388">
        <f>CONS_TERAC!O10*CONS_U.FIS!N$92</f>
        <v>0</v>
      </c>
      <c r="O10" s="388">
        <f>CONS_TERAC!P10*CONS_U.FIS!O$92</f>
        <v>0</v>
      </c>
      <c r="P10" s="388">
        <f>CONS_TERAC!Q10*CONS_U.FIS!P$92</f>
        <v>0</v>
      </c>
      <c r="Q10" s="388">
        <f>CONS_TERAC!R10*CONS_U.FIS!Q$92</f>
        <v>0</v>
      </c>
      <c r="R10" s="388">
        <f>CONS_TERAC!S10*CONS_U.FIS!R$92</f>
        <v>0</v>
      </c>
      <c r="S10" s="388">
        <f>CONS_TERAC!T10*CONS_U.FIS!S$92</f>
        <v>0</v>
      </c>
      <c r="T10" s="386">
        <f>CONS_TERAC!U10*CONS_U.FIS!T$92</f>
        <v>0</v>
      </c>
      <c r="U10" s="388">
        <f>CONS_TERAC!V10*CONS_U.FIS!U$92</f>
        <v>0</v>
      </c>
      <c r="V10" s="40"/>
      <c r="W10" s="40"/>
      <c r="X10" s="40"/>
      <c r="Y10" s="40"/>
      <c r="Z10" s="40"/>
      <c r="AA10" s="40"/>
    </row>
    <row r="11" spans="1:27">
      <c r="A11" s="33"/>
      <c r="B11" s="33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40"/>
      <c r="W11" s="40"/>
      <c r="X11" s="40"/>
      <c r="Y11" s="40"/>
      <c r="Z11" s="40"/>
      <c r="AA11" s="40"/>
    </row>
    <row r="12" spans="1:27">
      <c r="A12" s="33" t="s">
        <v>244</v>
      </c>
      <c r="B12" s="33"/>
      <c r="C12" s="390">
        <f>CONS_TERAC!C12*CONS_U.FIS!$C$92</f>
        <v>4272.100798356998</v>
      </c>
      <c r="D12" s="390">
        <f>CONS_TERAC!D12*CONS_U.FIS!D$92</f>
        <v>1427.6415820709999</v>
      </c>
      <c r="E12" s="390">
        <f>CONS_TERAC!E12*CONS_U.FIS!E$92</f>
        <v>3147.1160218440018</v>
      </c>
      <c r="F12" s="390">
        <f>CONS_TERAC!F12*CONS_U.FIS!F$92</f>
        <v>1.5515000000000001</v>
      </c>
      <c r="G12" s="390">
        <f>CONS_TERAC!G12*CONS_U.FIS!G$92</f>
        <v>2.9684026812090911</v>
      </c>
      <c r="H12" s="390">
        <f>CONS_TERAC!H12*CONS_U.FIS!H$92</f>
        <v>5.9202339999999998</v>
      </c>
      <c r="I12" s="390">
        <f>CONS_TERAC!I12*CONS_U.FIS!I$92</f>
        <v>1056.7205860000001</v>
      </c>
      <c r="J12" s="390">
        <f>CONS_TERAC!J12*CONS_U.FIS!J$92</f>
        <v>0.30562</v>
      </c>
      <c r="K12" s="390">
        <f>CONS_TERAC!K12*CONS_U.FIS!K$92</f>
        <v>0</v>
      </c>
      <c r="L12" s="390">
        <f>CONS_TERAC!M12*CONS_U.FIS!L$92</f>
        <v>426.3526509336312</v>
      </c>
      <c r="M12" s="390">
        <f>CONS_TERAC!N12*CONS_U.FIS!M$92</f>
        <v>2.7200000000000002E-2</v>
      </c>
      <c r="N12" s="390">
        <f>CONS_TERAC!O12*CONS_U.FIS!N$92</f>
        <v>0</v>
      </c>
      <c r="O12" s="390">
        <f>CONS_TERAC!P12*CONS_U.FIS!O$92</f>
        <v>0</v>
      </c>
      <c r="P12" s="390">
        <f>CONS_TERAC!Q12*CONS_U.FIS!P$92</f>
        <v>0</v>
      </c>
      <c r="Q12" s="390">
        <f>CONS_TERAC!R12*CONS_U.FIS!Q$92</f>
        <v>0</v>
      </c>
      <c r="R12" s="390">
        <f>CONS_TERAC!S12*CONS_U.FIS!R$92</f>
        <v>15.375529254405231</v>
      </c>
      <c r="S12" s="390">
        <f>CONS_TERAC!T12*CONS_U.FIS!S$92</f>
        <v>0</v>
      </c>
      <c r="T12" s="390">
        <f>CONS_TERAC!U12*CONS_U.FIS!T$92</f>
        <v>0</v>
      </c>
      <c r="U12" s="390">
        <f>CONS_TERAC!V12*CONS_U.FIS!U$92</f>
        <v>0</v>
      </c>
      <c r="V12" s="40"/>
      <c r="W12" s="40"/>
      <c r="X12" s="40"/>
      <c r="Y12" s="40"/>
      <c r="Z12" s="40"/>
      <c r="AA12" s="40"/>
    </row>
    <row r="13" spans="1:27">
      <c r="A13" s="33"/>
      <c r="B13" s="33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40"/>
      <c r="W13" s="40"/>
      <c r="X13" s="40"/>
      <c r="Y13" s="40"/>
      <c r="Z13" s="40"/>
      <c r="AA13" s="40"/>
    </row>
    <row r="14" spans="1:27">
      <c r="A14" s="34" t="s">
        <v>245</v>
      </c>
      <c r="B14" s="33" t="s">
        <v>246</v>
      </c>
      <c r="C14" s="388">
        <f>CONS_TERAC!C14*CONS_U.FIS!$C$92</f>
        <v>1055.5868849611957</v>
      </c>
      <c r="D14" s="388">
        <f>CONS_TERAC!D14*CONS_U.FIS!D$92</f>
        <v>144.45684346372497</v>
      </c>
      <c r="E14" s="388">
        <f>CONS_TERAC!E14*CONS_U.FIS!E$92</f>
        <v>0</v>
      </c>
      <c r="F14" s="388">
        <f>CONS_TERAC!F14*CONS_U.FIS!F$92</f>
        <v>8.9064630000000005</v>
      </c>
      <c r="G14" s="388">
        <f>CONS_TERAC!G14*CONS_U.FIS!G$92</f>
        <v>5.311219330486999</v>
      </c>
      <c r="H14" s="388">
        <f>CONS_TERAC!H14*CONS_U.FIS!H$92</f>
        <v>0</v>
      </c>
      <c r="I14" s="388">
        <f>CONS_TERAC!I14*CONS_U.FIS!I$92</f>
        <v>0</v>
      </c>
      <c r="J14" s="388">
        <f>CONS_TERAC!J14*CONS_U.FIS!J$92</f>
        <v>2.0576080000000001</v>
      </c>
      <c r="K14" s="388">
        <f>CONS_TERAC!K14*CONS_U.FIS!K$92</f>
        <v>0</v>
      </c>
      <c r="L14" s="388">
        <f>CONS_TERAC!M14*CONS_U.FIS!L$92</f>
        <v>17847.540897925472</v>
      </c>
      <c r="M14" s="388">
        <f>CONS_TERAC!N14*CONS_U.FIS!M$92</f>
        <v>0.18093199999999998</v>
      </c>
      <c r="N14" s="388">
        <f>CONS_TERAC!O14*CONS_U.FIS!N$92</f>
        <v>15.813730428571427</v>
      </c>
      <c r="O14" s="388">
        <f>CONS_TERAC!P14*CONS_U.FIS!O$92</f>
        <v>0</v>
      </c>
      <c r="P14" s="388">
        <f>CONS_TERAC!Q14*CONS_U.FIS!P$92</f>
        <v>0</v>
      </c>
      <c r="Q14" s="388">
        <f>CONS_TERAC!R14*CONS_U.FIS!Q$92</f>
        <v>0</v>
      </c>
      <c r="R14" s="388">
        <f>CONS_TERAC!S14*CONS_U.FIS!R$92</f>
        <v>25.88185119564378</v>
      </c>
      <c r="S14" s="388">
        <f>CONS_TERAC!T14*CONS_U.FIS!S$92</f>
        <v>0</v>
      </c>
      <c r="T14" s="386">
        <f>CONS_TERAC!U14*CONS_U.FIS!T$92</f>
        <v>0</v>
      </c>
      <c r="U14" s="388">
        <f>CONS_TERAC!V14*CONS_U.FIS!U$92</f>
        <v>0</v>
      </c>
      <c r="V14" s="40"/>
      <c r="W14" s="40"/>
      <c r="X14" s="40"/>
      <c r="Y14" s="40"/>
      <c r="Z14" s="40"/>
      <c r="AA14" s="40"/>
    </row>
    <row r="15" spans="1:27">
      <c r="A15" s="34" t="s">
        <v>247</v>
      </c>
      <c r="B15" s="33" t="s">
        <v>248</v>
      </c>
      <c r="C15" s="388">
        <f>CONS_TERAC!C15*CONS_U.FIS!$C$92</f>
        <v>43.268999999999998</v>
      </c>
      <c r="D15" s="388">
        <f>CONS_TERAC!D15*CONS_U.FIS!D$92</f>
        <v>38.804000000000002</v>
      </c>
      <c r="E15" s="388">
        <f>CONS_TERAC!E15*CONS_U.FIS!E$92</f>
        <v>0</v>
      </c>
      <c r="F15" s="388">
        <f>CONS_TERAC!F15*CONS_U.FIS!F$92</f>
        <v>0</v>
      </c>
      <c r="G15" s="388">
        <f>CONS_TERAC!G15*CONS_U.FIS!G$92</f>
        <v>0.205871</v>
      </c>
      <c r="H15" s="388">
        <f>CONS_TERAC!H15*CONS_U.FIS!H$92</f>
        <v>0</v>
      </c>
      <c r="I15" s="388">
        <f>CONS_TERAC!I15*CONS_U.FIS!I$92</f>
        <v>0</v>
      </c>
      <c r="J15" s="388">
        <f>CONS_TERAC!J15*CONS_U.FIS!J$92</f>
        <v>0</v>
      </c>
      <c r="K15" s="388">
        <f>CONS_TERAC!K15*CONS_U.FIS!K$92</f>
        <v>0</v>
      </c>
      <c r="L15" s="388">
        <f>CONS_TERAC!M15*CONS_U.FIS!L$92</f>
        <v>404.53327075137952</v>
      </c>
      <c r="M15" s="388">
        <f>CONS_TERAC!N15*CONS_U.FIS!M$92</f>
        <v>0</v>
      </c>
      <c r="N15" s="388">
        <f>CONS_TERAC!O15*CONS_U.FIS!N$92</f>
        <v>0</v>
      </c>
      <c r="O15" s="388">
        <f>CONS_TERAC!P15*CONS_U.FIS!O$92</f>
        <v>0</v>
      </c>
      <c r="P15" s="388">
        <f>CONS_TERAC!Q15*CONS_U.FIS!P$92</f>
        <v>0</v>
      </c>
      <c r="Q15" s="388">
        <f>CONS_TERAC!R15*CONS_U.FIS!Q$92</f>
        <v>0</v>
      </c>
      <c r="R15" s="388">
        <f>CONS_TERAC!S15*CONS_U.FIS!R$92</f>
        <v>4.1852236478663523</v>
      </c>
      <c r="S15" s="388">
        <f>CONS_TERAC!T15*CONS_U.FIS!S$92</f>
        <v>0</v>
      </c>
      <c r="T15" s="386">
        <f>CONS_TERAC!U15*CONS_U.FIS!T$92</f>
        <v>0</v>
      </c>
      <c r="U15" s="388">
        <f>CONS_TERAC!V15*CONS_U.FIS!U$92</f>
        <v>0</v>
      </c>
      <c r="V15" s="40"/>
      <c r="W15" s="40"/>
      <c r="X15" s="40"/>
      <c r="Y15" s="40"/>
      <c r="Z15" s="40"/>
      <c r="AA15" s="40"/>
    </row>
    <row r="16" spans="1:27">
      <c r="A16" s="33"/>
      <c r="B16" s="33" t="s">
        <v>249</v>
      </c>
      <c r="C16" s="388">
        <f>CONS_TERAC!C16*CONS_U.FIS!$C$92</f>
        <v>4.0996759999999997</v>
      </c>
      <c r="D16" s="388">
        <f>CONS_TERAC!D16*CONS_U.FIS!D$92</f>
        <v>3.6389999999999998</v>
      </c>
      <c r="E16" s="388">
        <f>CONS_TERAC!E16*CONS_U.FIS!E$92</f>
        <v>0</v>
      </c>
      <c r="F16" s="388">
        <f>CONS_TERAC!F16*CONS_U.FIS!F$92</f>
        <v>0</v>
      </c>
      <c r="G16" s="388">
        <f>CONS_TERAC!G16*CONS_U.FIS!G$92</f>
        <v>0</v>
      </c>
      <c r="H16" s="388">
        <f>CONS_TERAC!H16*CONS_U.FIS!H$92</f>
        <v>0</v>
      </c>
      <c r="I16" s="388">
        <f>CONS_TERAC!I16*CONS_U.FIS!I$92</f>
        <v>0</v>
      </c>
      <c r="J16" s="388">
        <f>CONS_TERAC!J16*CONS_U.FIS!J$92</f>
        <v>0</v>
      </c>
      <c r="K16" s="388">
        <f>CONS_TERAC!K16*CONS_U.FIS!K$92</f>
        <v>0</v>
      </c>
      <c r="L16" s="388">
        <f>CONS_TERAC!M16*CONS_U.FIS!L$92</f>
        <v>473.23781800000006</v>
      </c>
      <c r="M16" s="388">
        <f>CONS_TERAC!N16*CONS_U.FIS!M$92</f>
        <v>83.562171428571432</v>
      </c>
      <c r="N16" s="388">
        <f>CONS_TERAC!O16*CONS_U.FIS!N$92</f>
        <v>0</v>
      </c>
      <c r="O16" s="388">
        <f>CONS_TERAC!P16*CONS_U.FIS!O$92</f>
        <v>0</v>
      </c>
      <c r="P16" s="388">
        <f>CONS_TERAC!Q16*CONS_U.FIS!P$92</f>
        <v>0</v>
      </c>
      <c r="Q16" s="388">
        <f>CONS_TERAC!R16*CONS_U.FIS!Q$92</f>
        <v>0</v>
      </c>
      <c r="R16" s="388">
        <f>CONS_TERAC!S16*CONS_U.FIS!R$92</f>
        <v>0</v>
      </c>
      <c r="S16" s="388">
        <f>CONS_TERAC!T16*CONS_U.FIS!S$92</f>
        <v>0</v>
      </c>
      <c r="T16" s="386">
        <f>CONS_TERAC!U16*CONS_U.FIS!T$92</f>
        <v>0</v>
      </c>
      <c r="U16" s="388">
        <f>CONS_TERAC!V16*CONS_U.FIS!U$92</f>
        <v>0</v>
      </c>
      <c r="V16" s="40"/>
      <c r="W16" s="40"/>
      <c r="X16" s="40"/>
      <c r="Y16" s="40"/>
      <c r="Z16" s="40"/>
      <c r="AA16" s="40"/>
    </row>
    <row r="17" spans="1:27">
      <c r="A17" s="33"/>
      <c r="B17" s="33" t="s">
        <v>250</v>
      </c>
      <c r="C17" s="388">
        <f>CONS_TERAC!C17*CONS_U.FIS!$C$92</f>
        <v>11.326438796140264</v>
      </c>
      <c r="D17" s="388">
        <f>CONS_TERAC!D17*CONS_U.FIS!D$92</f>
        <v>215.21400441089645</v>
      </c>
      <c r="E17" s="388">
        <f>CONS_TERAC!E17*CONS_U.FIS!E$92</f>
        <v>0</v>
      </c>
      <c r="F17" s="388">
        <f>CONS_TERAC!F17*CONS_U.FIS!F$92</f>
        <v>7.3239999999999998E-3</v>
      </c>
      <c r="G17" s="388">
        <f>CONS_TERAC!G17*CONS_U.FIS!G$92</f>
        <v>15.706172224672734</v>
      </c>
      <c r="H17" s="388">
        <f>CONS_TERAC!H17*CONS_U.FIS!H$92</f>
        <v>0</v>
      </c>
      <c r="I17" s="388">
        <f>CONS_TERAC!I17*CONS_U.FIS!I$92</f>
        <v>0</v>
      </c>
      <c r="J17" s="388">
        <f>CONS_TERAC!J17*CONS_U.FIS!J$92</f>
        <v>3.4999999999999996E-3</v>
      </c>
      <c r="K17" s="388">
        <f>CONS_TERAC!K17*CONS_U.FIS!K$92</f>
        <v>0</v>
      </c>
      <c r="L17" s="388">
        <f>CONS_TERAC!M17*CONS_U.FIS!L$92</f>
        <v>5344.955561976516</v>
      </c>
      <c r="M17" s="388">
        <f>CONS_TERAC!N17*CONS_U.FIS!M$92</f>
        <v>4.6480914285714284E-2</v>
      </c>
      <c r="N17" s="388">
        <f>CONS_TERAC!O17*CONS_U.FIS!N$92</f>
        <v>0</v>
      </c>
      <c r="O17" s="388">
        <f>CONS_TERAC!P17*CONS_U.FIS!O$92</f>
        <v>0</v>
      </c>
      <c r="P17" s="388">
        <f>CONS_TERAC!Q17*CONS_U.FIS!P$92</f>
        <v>0</v>
      </c>
      <c r="Q17" s="388">
        <f>CONS_TERAC!R17*CONS_U.FIS!Q$92</f>
        <v>0</v>
      </c>
      <c r="R17" s="388">
        <f>CONS_TERAC!S17*CONS_U.FIS!R$92</f>
        <v>1.9478948149139534</v>
      </c>
      <c r="S17" s="388">
        <f>CONS_TERAC!T17*CONS_U.FIS!S$92</f>
        <v>0</v>
      </c>
      <c r="T17" s="386">
        <f>CONS_TERAC!U17*CONS_U.FIS!T$92</f>
        <v>0</v>
      </c>
      <c r="U17" s="388">
        <f>CONS_TERAC!V17*CONS_U.FIS!U$92</f>
        <v>3540.1289252122206</v>
      </c>
      <c r="V17" s="40"/>
      <c r="W17" s="40"/>
      <c r="X17" s="40"/>
      <c r="Y17" s="40"/>
      <c r="Z17" s="40"/>
      <c r="AA17" s="40"/>
    </row>
    <row r="18" spans="1:27">
      <c r="A18" s="33"/>
      <c r="B18" s="33" t="s">
        <v>251</v>
      </c>
      <c r="C18" s="388">
        <f>CONS_TERAC!C18*CONS_U.FIS!$C$92</f>
        <v>2.6299830000000002</v>
      </c>
      <c r="D18" s="388">
        <f>CONS_TERAC!D18*CONS_U.FIS!D$92</f>
        <v>42.62019047619048</v>
      </c>
      <c r="E18" s="388">
        <f>CONS_TERAC!E18*CONS_U.FIS!E$92</f>
        <v>0</v>
      </c>
      <c r="F18" s="388">
        <f>CONS_TERAC!F18*CONS_U.FIS!F$92</f>
        <v>0</v>
      </c>
      <c r="G18" s="388">
        <f>CONS_TERAC!G18*CONS_U.FIS!G$92</f>
        <v>5.2771567859091011</v>
      </c>
      <c r="H18" s="388">
        <f>CONS_TERAC!H18*CONS_U.FIS!H$92</f>
        <v>0</v>
      </c>
      <c r="I18" s="388">
        <f>CONS_TERAC!I18*CONS_U.FIS!I$92</f>
        <v>0</v>
      </c>
      <c r="J18" s="388">
        <f>CONS_TERAC!J18*CONS_U.FIS!J$92</f>
        <v>0</v>
      </c>
      <c r="K18" s="388">
        <f>CONS_TERAC!K18*CONS_U.FIS!K$92</f>
        <v>0</v>
      </c>
      <c r="L18" s="388">
        <f>CONS_TERAC!M18*CONS_U.FIS!L$92</f>
        <v>605.38285700000006</v>
      </c>
      <c r="M18" s="388">
        <f>CONS_TERAC!N18*CONS_U.FIS!M$92</f>
        <v>0</v>
      </c>
      <c r="N18" s="388">
        <f>CONS_TERAC!O18*CONS_U.FIS!N$92</f>
        <v>326.0443618571428</v>
      </c>
      <c r="O18" s="388">
        <f>CONS_TERAC!P18*CONS_U.FIS!O$92</f>
        <v>0</v>
      </c>
      <c r="P18" s="388">
        <f>CONS_TERAC!Q18*CONS_U.FIS!P$92</f>
        <v>187.22647245361563</v>
      </c>
      <c r="Q18" s="388">
        <f>CONS_TERAC!R18*CONS_U.FIS!Q$92</f>
        <v>194.5146133333333</v>
      </c>
      <c r="R18" s="388">
        <f>CONS_TERAC!S18*CONS_U.FIS!R$92</f>
        <v>0</v>
      </c>
      <c r="S18" s="388">
        <f>CONS_TERAC!T18*CONS_U.FIS!S$92</f>
        <v>0</v>
      </c>
      <c r="T18" s="386">
        <f>CONS_TERAC!U18*CONS_U.FIS!T$92</f>
        <v>0</v>
      </c>
      <c r="U18" s="388">
        <f>CONS_TERAC!V18*CONS_U.FIS!U$92</f>
        <v>0</v>
      </c>
      <c r="V18" s="40"/>
      <c r="W18" s="40"/>
      <c r="X18" s="40"/>
      <c r="Y18" s="40"/>
      <c r="Z18" s="40"/>
      <c r="AA18" s="40"/>
    </row>
    <row r="19" spans="1:27">
      <c r="A19" s="33"/>
      <c r="B19" s="33" t="s">
        <v>252</v>
      </c>
      <c r="C19" s="388">
        <f>CONS_TERAC!C19*CONS_U.FIS!$C$92</f>
        <v>0.29718999999999995</v>
      </c>
      <c r="D19" s="388">
        <f>CONS_TERAC!D19*CONS_U.FIS!D$92</f>
        <v>1.0663188299999999</v>
      </c>
      <c r="E19" s="388">
        <f>CONS_TERAC!E19*CONS_U.FIS!E$92</f>
        <v>0</v>
      </c>
      <c r="F19" s="388">
        <f>CONS_TERAC!F19*CONS_U.FIS!F$92</f>
        <v>0</v>
      </c>
      <c r="G19" s="388">
        <f>CONS_TERAC!G19*CONS_U.FIS!G$92</f>
        <v>0</v>
      </c>
      <c r="H19" s="388">
        <f>CONS_TERAC!H19*CONS_U.FIS!H$92</f>
        <v>0</v>
      </c>
      <c r="I19" s="388">
        <f>CONS_TERAC!I19*CONS_U.FIS!I$92</f>
        <v>0</v>
      </c>
      <c r="J19" s="388">
        <f>CONS_TERAC!J19*CONS_U.FIS!J$92</f>
        <v>0</v>
      </c>
      <c r="K19" s="388">
        <f>CONS_TERAC!K19*CONS_U.FIS!K$92</f>
        <v>0.72166666666666668</v>
      </c>
      <c r="L19" s="388">
        <f>CONS_TERAC!M19*CONS_U.FIS!L$92</f>
        <v>536.05267817741947</v>
      </c>
      <c r="M19" s="388">
        <f>CONS_TERAC!N19*CONS_U.FIS!M$92</f>
        <v>0</v>
      </c>
      <c r="N19" s="388">
        <f>CONS_TERAC!O19*CONS_U.FIS!N$92</f>
        <v>0</v>
      </c>
      <c r="O19" s="388">
        <f>CONS_TERAC!P19*CONS_U.FIS!O$92</f>
        <v>0</v>
      </c>
      <c r="P19" s="388">
        <f>CONS_TERAC!Q19*CONS_U.FIS!P$92</f>
        <v>0</v>
      </c>
      <c r="Q19" s="388">
        <f>CONS_TERAC!R19*CONS_U.FIS!Q$92</f>
        <v>0</v>
      </c>
      <c r="R19" s="388">
        <f>CONS_TERAC!S19*CONS_U.FIS!R$92</f>
        <v>0</v>
      </c>
      <c r="S19" s="388">
        <f>CONS_TERAC!T19*CONS_U.FIS!S$92</f>
        <v>0</v>
      </c>
      <c r="T19" s="386">
        <f>CONS_TERAC!U19*CONS_U.FIS!T$92</f>
        <v>0</v>
      </c>
      <c r="U19" s="388">
        <f>CONS_TERAC!V19*CONS_U.FIS!U$92</f>
        <v>0</v>
      </c>
      <c r="V19" s="40"/>
      <c r="W19" s="40"/>
      <c r="X19" s="40"/>
      <c r="Y19" s="40"/>
      <c r="Z19" s="40"/>
      <c r="AA19" s="40"/>
    </row>
    <row r="20" spans="1:27">
      <c r="A20" s="33"/>
      <c r="B20" s="33" t="s">
        <v>253</v>
      </c>
      <c r="C20" s="388">
        <f>CONS_TERAC!C20*CONS_U.FIS!$C$92</f>
        <v>12.2042813</v>
      </c>
      <c r="D20" s="388">
        <f>CONS_TERAC!D20*CONS_U.FIS!D$92</f>
        <v>15.595935670000003</v>
      </c>
      <c r="E20" s="388">
        <f>CONS_TERAC!E20*CONS_U.FIS!E$92</f>
        <v>0</v>
      </c>
      <c r="F20" s="388">
        <f>CONS_TERAC!F20*CONS_U.FIS!F$92</f>
        <v>0</v>
      </c>
      <c r="G20" s="388">
        <f>CONS_TERAC!G20*CONS_U.FIS!G$92</f>
        <v>0.41082567136363635</v>
      </c>
      <c r="H20" s="388">
        <f>CONS_TERAC!H20*CONS_U.FIS!H$92</f>
        <v>0</v>
      </c>
      <c r="I20" s="388">
        <f>CONS_TERAC!I20*CONS_U.FIS!I$92</f>
        <v>0</v>
      </c>
      <c r="J20" s="388">
        <f>CONS_TERAC!J20*CONS_U.FIS!J$92</f>
        <v>0</v>
      </c>
      <c r="K20" s="388">
        <f>CONS_TERAC!K20*CONS_U.FIS!K$92</f>
        <v>0</v>
      </c>
      <c r="L20" s="388">
        <f>CONS_TERAC!M20*CONS_U.FIS!L$92</f>
        <v>607.25376738604666</v>
      </c>
      <c r="M20" s="388">
        <f>CONS_TERAC!N20*CONS_U.FIS!M$92</f>
        <v>306.14478577154381</v>
      </c>
      <c r="N20" s="388">
        <f>CONS_TERAC!O20*CONS_U.FIS!N$92</f>
        <v>66.397379142857147</v>
      </c>
      <c r="O20" s="388">
        <f>CONS_TERAC!P20*CONS_U.FIS!O$92</f>
        <v>0</v>
      </c>
      <c r="P20" s="388">
        <f>CONS_TERAC!Q20*CONS_U.FIS!P$92</f>
        <v>0</v>
      </c>
      <c r="Q20" s="388">
        <f>CONS_TERAC!R20*CONS_U.FIS!Q$92</f>
        <v>0</v>
      </c>
      <c r="R20" s="388">
        <f>CONS_TERAC!S20*CONS_U.FIS!R$92</f>
        <v>0.4948643400064231</v>
      </c>
      <c r="S20" s="388">
        <f>CONS_TERAC!T20*CONS_U.FIS!S$92</f>
        <v>0</v>
      </c>
      <c r="T20" s="386">
        <f>CONS_TERAC!U20*CONS_U.FIS!T$92</f>
        <v>0</v>
      </c>
      <c r="U20" s="388">
        <f>CONS_TERAC!V20*CONS_U.FIS!U$92</f>
        <v>0</v>
      </c>
      <c r="V20" s="40"/>
      <c r="W20" s="40"/>
      <c r="X20" s="40"/>
      <c r="Y20" s="40"/>
      <c r="Z20" s="40"/>
      <c r="AA20" s="40"/>
    </row>
    <row r="21" spans="1:27">
      <c r="A21" s="33"/>
      <c r="B21" s="33" t="s">
        <v>254</v>
      </c>
      <c r="C21" s="388">
        <f>CONS_TERAC!C21*CONS_U.FIS!$C$92</f>
        <v>0.35140520200000003</v>
      </c>
      <c r="D21" s="388">
        <f>CONS_TERAC!D21*CONS_U.FIS!D$92</f>
        <v>17.654837944222223</v>
      </c>
      <c r="E21" s="388">
        <f>CONS_TERAC!E21*CONS_U.FIS!E$92</f>
        <v>0</v>
      </c>
      <c r="F21" s="388">
        <f>CONS_TERAC!F21*CONS_U.FIS!F$92</f>
        <v>0</v>
      </c>
      <c r="G21" s="388">
        <f>CONS_TERAC!G21*CONS_U.FIS!G$92</f>
        <v>0.25869791454545454</v>
      </c>
      <c r="H21" s="388">
        <f>CONS_TERAC!H21*CONS_U.FIS!H$92</f>
        <v>0</v>
      </c>
      <c r="I21" s="388">
        <f>CONS_TERAC!I21*CONS_U.FIS!I$92</f>
        <v>0</v>
      </c>
      <c r="J21" s="388">
        <f>CONS_TERAC!J21*CONS_U.FIS!J$92</f>
        <v>0</v>
      </c>
      <c r="K21" s="388">
        <f>CONS_TERAC!K21*CONS_U.FIS!K$92</f>
        <v>0</v>
      </c>
      <c r="L21" s="388">
        <f>CONS_TERAC!M21*CONS_U.FIS!L$92</f>
        <v>73.001949999999994</v>
      </c>
      <c r="M21" s="388">
        <f>CONS_TERAC!N21*CONS_U.FIS!M$92</f>
        <v>58.4442963931169</v>
      </c>
      <c r="N21" s="388">
        <f>CONS_TERAC!O21*CONS_U.FIS!N$92</f>
        <v>3.1634932408321488</v>
      </c>
      <c r="O21" s="388">
        <f>CONS_TERAC!P21*CONS_U.FIS!O$92</f>
        <v>0</v>
      </c>
      <c r="P21" s="388">
        <f>CONS_TERAC!Q21*CONS_U.FIS!P$92</f>
        <v>0</v>
      </c>
      <c r="Q21" s="388">
        <f>CONS_TERAC!R21*CONS_U.FIS!Q$92</f>
        <v>0</v>
      </c>
      <c r="R21" s="388">
        <f>CONS_TERAC!S21*CONS_U.FIS!R$92</f>
        <v>0</v>
      </c>
      <c r="S21" s="388">
        <f>CONS_TERAC!T21*CONS_U.FIS!S$92</f>
        <v>0</v>
      </c>
      <c r="T21" s="386">
        <f>CONS_TERAC!U21*CONS_U.FIS!T$92</f>
        <v>0</v>
      </c>
      <c r="U21" s="388">
        <f>CONS_TERAC!V21*CONS_U.FIS!U$92</f>
        <v>0</v>
      </c>
      <c r="V21" s="40"/>
      <c r="W21" s="40"/>
      <c r="X21" s="40"/>
      <c r="Y21" s="40"/>
      <c r="Z21" s="40"/>
      <c r="AA21" s="40"/>
    </row>
    <row r="22" spans="1:27">
      <c r="A22" s="33"/>
      <c r="B22" s="33" t="s">
        <v>255</v>
      </c>
      <c r="C22" s="388">
        <f>CONS_TERAC!C22*CONS_U.FIS!$C$92</f>
        <v>78.787730999999994</v>
      </c>
      <c r="D22" s="388">
        <f>CONS_TERAC!D22*CONS_U.FIS!D$92</f>
        <v>58.897829757999993</v>
      </c>
      <c r="E22" s="388">
        <f>CONS_TERAC!E22*CONS_U.FIS!E$92</f>
        <v>0</v>
      </c>
      <c r="F22" s="388">
        <f>CONS_TERAC!F22*CONS_U.FIS!F$92</f>
        <v>0</v>
      </c>
      <c r="G22" s="388">
        <f>CONS_TERAC!G22*CONS_U.FIS!G$92</f>
        <v>2.1621144830545451</v>
      </c>
      <c r="H22" s="388">
        <f>CONS_TERAC!H22*CONS_U.FIS!H$92</f>
        <v>0</v>
      </c>
      <c r="I22" s="388">
        <f>CONS_TERAC!I22*CONS_U.FIS!I$92</f>
        <v>0</v>
      </c>
      <c r="J22" s="388">
        <f>CONS_TERAC!J22*CONS_U.FIS!J$92</f>
        <v>8.5921999999999998E-2</v>
      </c>
      <c r="K22" s="388">
        <f>CONS_TERAC!K22*CONS_U.FIS!K$92</f>
        <v>0</v>
      </c>
      <c r="L22" s="388">
        <f>CONS_TERAC!M22*CONS_U.FIS!L$92</f>
        <v>188.49438119595706</v>
      </c>
      <c r="M22" s="388">
        <f>CONS_TERAC!N22*CONS_U.FIS!M$92</f>
        <v>10.372526004642495</v>
      </c>
      <c r="N22" s="388">
        <f>CONS_TERAC!O22*CONS_U.FIS!N$92</f>
        <v>0</v>
      </c>
      <c r="O22" s="388">
        <f>CONS_TERAC!P22*CONS_U.FIS!O$92</f>
        <v>0</v>
      </c>
      <c r="P22" s="388">
        <f>CONS_TERAC!Q22*CONS_U.FIS!P$92</f>
        <v>0</v>
      </c>
      <c r="Q22" s="388">
        <f>CONS_TERAC!R22*CONS_U.FIS!Q$92</f>
        <v>0</v>
      </c>
      <c r="R22" s="388">
        <f>CONS_TERAC!S22*CONS_U.FIS!R$92</f>
        <v>0.92368484102344506</v>
      </c>
      <c r="S22" s="388">
        <f>CONS_TERAC!T22*CONS_U.FIS!S$92</f>
        <v>0</v>
      </c>
      <c r="T22" s="386">
        <f>CONS_TERAC!U22*CONS_U.FIS!T$92</f>
        <v>0</v>
      </c>
      <c r="U22" s="388">
        <f>CONS_TERAC!V22*CONS_U.FIS!U$92</f>
        <v>0</v>
      </c>
      <c r="V22" s="40"/>
      <c r="W22" s="40"/>
      <c r="X22" s="40"/>
      <c r="Y22" s="40"/>
      <c r="Z22" s="40"/>
      <c r="AA22" s="40"/>
    </row>
    <row r="23" spans="1:27">
      <c r="A23" s="33"/>
      <c r="B23" s="33" t="s">
        <v>256</v>
      </c>
      <c r="C23" s="388">
        <f>CONS_TERAC!C23*CONS_U.FIS!$C$92</f>
        <v>924.3321708099545</v>
      </c>
      <c r="D23" s="388">
        <f>CONS_TERAC!D23*CONS_U.FIS!D$92</f>
        <v>357.52995326739659</v>
      </c>
      <c r="E23" s="388">
        <f>CONS_TERAC!E23*CONS_U.FIS!E$92</f>
        <v>0</v>
      </c>
      <c r="F23" s="388">
        <f>CONS_TERAC!F23*CONS_U.FIS!F$92</f>
        <v>16.511776000000001</v>
      </c>
      <c r="G23" s="388">
        <f>CONS_TERAC!G23*CONS_U.FIS!G$92</f>
        <v>256.19778142113103</v>
      </c>
      <c r="H23" s="388">
        <f>CONS_TERAC!H23*CONS_U.FIS!H$92</f>
        <v>0</v>
      </c>
      <c r="I23" s="388">
        <f>CONS_TERAC!I23*CONS_U.FIS!I$92</f>
        <v>0</v>
      </c>
      <c r="J23" s="388">
        <f>CONS_TERAC!J23*CONS_U.FIS!J$92</f>
        <v>0</v>
      </c>
      <c r="K23" s="388">
        <f>CONS_TERAC!K23*CONS_U.FIS!K$92</f>
        <v>0</v>
      </c>
      <c r="L23" s="388">
        <f>CONS_TERAC!M23*CONS_U.FIS!L$92</f>
        <v>8999.1947824158888</v>
      </c>
      <c r="M23" s="388">
        <f>CONS_TERAC!N23*CONS_U.FIS!M$92</f>
        <v>105.37675131863254</v>
      </c>
      <c r="N23" s="388">
        <f>CONS_TERAC!O23*CONS_U.FIS!N$92</f>
        <v>1.858231</v>
      </c>
      <c r="O23" s="388">
        <f>CONS_TERAC!P23*CONS_U.FIS!O$92</f>
        <v>0</v>
      </c>
      <c r="P23" s="388">
        <f>CONS_TERAC!Q23*CONS_U.FIS!P$92</f>
        <v>0</v>
      </c>
      <c r="Q23" s="388">
        <f>CONS_TERAC!R23*CONS_U.FIS!Q$92</f>
        <v>0</v>
      </c>
      <c r="R23" s="388">
        <f>CONS_TERAC!S23*CONS_U.FIS!R$92</f>
        <v>37.481155382384991</v>
      </c>
      <c r="S23" s="388">
        <f>CONS_TERAC!T23*CONS_U.FIS!S$92</f>
        <v>95.391220000000018</v>
      </c>
      <c r="T23" s="386">
        <f>CONS_TERAC!U23*CONS_U.FIS!T$92</f>
        <v>0</v>
      </c>
      <c r="U23" s="388">
        <f>CONS_TERAC!V23*CONS_U.FIS!U$92</f>
        <v>1109.0766642667415</v>
      </c>
      <c r="V23" s="40"/>
      <c r="W23" s="40"/>
      <c r="X23" s="40"/>
      <c r="Y23" s="40"/>
      <c r="Z23" s="40"/>
      <c r="AA23" s="40"/>
    </row>
    <row r="24" spans="1:27">
      <c r="A24" s="33"/>
      <c r="B24" s="33" t="s">
        <v>257</v>
      </c>
      <c r="C24" s="388">
        <f>CONS_TERAC!C24*CONS_U.FIS!$C$92</f>
        <v>309.42049556594753</v>
      </c>
      <c r="D24" s="388">
        <f>CONS_TERAC!D24*CONS_U.FIS!D$92</f>
        <v>26.810274961275045</v>
      </c>
      <c r="E24" s="388">
        <f>CONS_TERAC!E24*CONS_U.FIS!E$92</f>
        <v>0</v>
      </c>
      <c r="F24" s="388">
        <f>CONS_TERAC!F24*CONS_U.FIS!F$92</f>
        <v>6.3787769999999977</v>
      </c>
      <c r="G24" s="388">
        <f>CONS_TERAC!G24*CONS_U.FIS!G$92</f>
        <v>1.6998051998181822</v>
      </c>
      <c r="H24" s="388">
        <f>CONS_TERAC!H24*CONS_U.FIS!H$92</f>
        <v>0</v>
      </c>
      <c r="I24" s="388">
        <f>CONS_TERAC!I24*CONS_U.FIS!I$92</f>
        <v>0</v>
      </c>
      <c r="J24" s="388">
        <f>CONS_TERAC!J24*CONS_U.FIS!J$92</f>
        <v>0.115</v>
      </c>
      <c r="K24" s="388">
        <f>CONS_TERAC!K24*CONS_U.FIS!K$92</f>
        <v>0</v>
      </c>
      <c r="L24" s="388">
        <f>CONS_TERAC!M24*CONS_U.FIS!L$92</f>
        <v>1554.0191255106895</v>
      </c>
      <c r="M24" s="388">
        <f>CONS_TERAC!N24*CONS_U.FIS!M$92</f>
        <v>0</v>
      </c>
      <c r="N24" s="388">
        <f>CONS_TERAC!O24*CONS_U.FIS!N$92</f>
        <v>4.1710714285714285</v>
      </c>
      <c r="O24" s="388">
        <f>CONS_TERAC!P24*CONS_U.FIS!O$92</f>
        <v>0</v>
      </c>
      <c r="P24" s="388">
        <f>CONS_TERAC!Q24*CONS_U.FIS!P$92</f>
        <v>0</v>
      </c>
      <c r="Q24" s="388">
        <f>CONS_TERAC!R24*CONS_U.FIS!Q$92</f>
        <v>0</v>
      </c>
      <c r="R24" s="388">
        <f>CONS_TERAC!S24*CONS_U.FIS!R$92</f>
        <v>0.24771690921742856</v>
      </c>
      <c r="S24" s="388">
        <f>CONS_TERAC!T24*CONS_U.FIS!S$92</f>
        <v>0</v>
      </c>
      <c r="T24" s="386">
        <f>CONS_TERAC!U24*CONS_U.FIS!T$92</f>
        <v>0</v>
      </c>
      <c r="U24" s="388">
        <f>CONS_TERAC!V24*CONS_U.FIS!U$92</f>
        <v>0</v>
      </c>
      <c r="V24" s="40"/>
      <c r="W24" s="40"/>
      <c r="X24" s="40"/>
      <c r="Y24" s="40"/>
      <c r="Z24" s="40"/>
      <c r="AA24" s="40"/>
    </row>
    <row r="25" spans="1:27">
      <c r="A25" s="33"/>
      <c r="B25" s="33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40"/>
      <c r="W25" s="40"/>
      <c r="X25" s="40"/>
      <c r="Y25" s="40"/>
      <c r="Z25" s="40"/>
      <c r="AA25" s="40"/>
    </row>
    <row r="26" spans="1:27">
      <c r="A26" s="33" t="s">
        <v>258</v>
      </c>
      <c r="B26" s="33"/>
      <c r="C26" s="390">
        <f>CONS_TERAC!C26*CONS_U.FIS!$C$92</f>
        <v>2442.305256635238</v>
      </c>
      <c r="D26" s="390">
        <f>CONS_TERAC!D26*CONS_U.FIS!D$92</f>
        <v>922.28918878170589</v>
      </c>
      <c r="E26" s="390">
        <f>CONS_TERAC!E26*CONS_U.FIS!E$92</f>
        <v>0</v>
      </c>
      <c r="F26" s="390">
        <f>CONS_TERAC!F26*CONS_U.FIS!F$92</f>
        <v>31.804340000000003</v>
      </c>
      <c r="G26" s="390">
        <f>CONS_TERAC!G26*CONS_U.FIS!G$92</f>
        <v>287.22964403098172</v>
      </c>
      <c r="H26" s="390">
        <f>CONS_TERAC!H26*CONS_U.FIS!H$92</f>
        <v>0</v>
      </c>
      <c r="I26" s="390">
        <f>CONS_TERAC!I26*CONS_U.FIS!I$92</f>
        <v>0</v>
      </c>
      <c r="J26" s="390">
        <f>CONS_TERAC!J26*CONS_U.FIS!J$92</f>
        <v>2.2620300000000002</v>
      </c>
      <c r="K26" s="390">
        <f>CONS_TERAC!K26*CONS_U.FIS!K$92</f>
        <v>0.72166666666666668</v>
      </c>
      <c r="L26" s="390">
        <f>CONS_TERAC!M26*CONS_U.FIS!L$92</f>
        <v>36633.667090339368</v>
      </c>
      <c r="M26" s="390">
        <f>CONS_TERAC!N26*CONS_U.FIS!M$92</f>
        <v>564.1279438307929</v>
      </c>
      <c r="N26" s="390">
        <f>CONS_TERAC!O26*CONS_U.FIS!N$92</f>
        <v>417.44826709797496</v>
      </c>
      <c r="O26" s="390">
        <f>CONS_TERAC!P26*CONS_U.FIS!O$92</f>
        <v>0</v>
      </c>
      <c r="P26" s="390">
        <f>CONS_TERAC!Q26*CONS_U.FIS!P$92</f>
        <v>187.22647245361563</v>
      </c>
      <c r="Q26" s="390">
        <f>CONS_TERAC!R26*CONS_U.FIS!Q$92</f>
        <v>194.5146133333333</v>
      </c>
      <c r="R26" s="390">
        <f>CONS_TERAC!S26*CONS_U.FIS!R$92</f>
        <v>71.162391131056367</v>
      </c>
      <c r="S26" s="390">
        <f>CONS_TERAC!T26*CONS_U.FIS!S$92</f>
        <v>95.391220000000018</v>
      </c>
      <c r="T26" s="390">
        <f>CONS_TERAC!U26*CONS_U.FIS!T$92</f>
        <v>0</v>
      </c>
      <c r="U26" s="390">
        <f>CONS_TERAC!V26*CONS_U.FIS!U$92</f>
        <v>4649.2055894789619</v>
      </c>
      <c r="V26" s="40"/>
      <c r="W26" s="40"/>
      <c r="X26" s="40"/>
      <c r="Y26" s="40"/>
      <c r="Z26" s="40"/>
      <c r="AA26" s="40"/>
    </row>
    <row r="27" spans="1:27">
      <c r="A27" s="33"/>
      <c r="B27" s="33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4" t="s">
        <v>259</v>
      </c>
      <c r="B28" s="33" t="s">
        <v>260</v>
      </c>
      <c r="C28" s="388">
        <f>CONS_TERAC!C28*CONS_U.FIS!$C$92</f>
        <v>0</v>
      </c>
      <c r="D28" s="388">
        <f>CONS_TERAC!D28*CONS_U.FIS!D$92</f>
        <v>0</v>
      </c>
      <c r="E28" s="388">
        <f>CONS_TERAC!E28*CONS_U.FIS!E$92</f>
        <v>0</v>
      </c>
      <c r="F28" s="388">
        <f>CONS_TERAC!F28*CONS_U.FIS!F$92</f>
        <v>0</v>
      </c>
      <c r="G28" s="388">
        <f>CONS_TERAC!G28*CONS_U.FIS!G$92</f>
        <v>0</v>
      </c>
      <c r="H28" s="388">
        <f>CONS_TERAC!H28*CONS_U.FIS!H$92</f>
        <v>0</v>
      </c>
      <c r="I28" s="388">
        <f>CONS_TERAC!I28*CONS_U.FIS!I$92</f>
        <v>0</v>
      </c>
      <c r="J28" s="388">
        <f>CONS_TERAC!J28*CONS_U.FIS!J$92</f>
        <v>0</v>
      </c>
      <c r="K28" s="388">
        <f>CONS_TERAC!K28*CONS_U.FIS!K$92</f>
        <v>0</v>
      </c>
      <c r="L28" s="388">
        <f>CONS_TERAC!M28*CONS_U.FIS!L$92</f>
        <v>0</v>
      </c>
      <c r="M28" s="388">
        <f>CONS_TERAC!N28*CONS_U.FIS!M$92</f>
        <v>0</v>
      </c>
      <c r="N28" s="388">
        <f>CONS_TERAC!O28*CONS_U.FIS!N$92</f>
        <v>0</v>
      </c>
      <c r="O28" s="388">
        <f>CONS_TERAC!P28*CONS_U.FIS!O$92</f>
        <v>0</v>
      </c>
      <c r="P28" s="388">
        <f>CONS_TERAC!Q28*CONS_U.FIS!P$92</f>
        <v>0</v>
      </c>
      <c r="Q28" s="388">
        <f>CONS_TERAC!R28*CONS_U.FIS!Q$92</f>
        <v>0</v>
      </c>
      <c r="R28" s="388">
        <f>CONS_TERAC!S28*CONS_U.FIS!R$92</f>
        <v>0</v>
      </c>
      <c r="S28" s="388">
        <f>CONS_TERAC!T28*CONS_U.FIS!S$92</f>
        <v>0</v>
      </c>
      <c r="T28" s="386">
        <f>CONS_TERAC!U28*CONS_U.FIS!T$92</f>
        <v>0</v>
      </c>
      <c r="U28" s="388">
        <f>CONS_TERAC!V28*CONS_U.FIS!U$92</f>
        <v>0</v>
      </c>
      <c r="V28" s="40"/>
      <c r="W28" s="40"/>
      <c r="X28" s="40"/>
      <c r="Y28" s="40"/>
      <c r="Z28" s="40"/>
      <c r="AA28" s="40"/>
    </row>
    <row r="29" spans="1:27">
      <c r="A29" s="34" t="s">
        <v>261</v>
      </c>
      <c r="B29" s="33" t="s">
        <v>262</v>
      </c>
      <c r="C29" s="388">
        <f>CONS_TERAC!C29*CONS_U.FIS!$C$92</f>
        <v>185.71163332999998</v>
      </c>
      <c r="D29" s="388">
        <f>CONS_TERAC!D29*CONS_U.FIS!D$92</f>
        <v>56.241615118000006</v>
      </c>
      <c r="E29" s="388">
        <f>CONS_TERAC!E29*CONS_U.FIS!E$92</f>
        <v>0</v>
      </c>
      <c r="F29" s="388">
        <f>CONS_TERAC!F29*CONS_U.FIS!F$92</f>
        <v>0.40839999999999999</v>
      </c>
      <c r="G29" s="388">
        <f>CONS_TERAC!G29*CONS_U.FIS!G$92</f>
        <v>87.627346273863651</v>
      </c>
      <c r="H29" s="388">
        <f>CONS_TERAC!H29*CONS_U.FIS!H$92</f>
        <v>0</v>
      </c>
      <c r="I29" s="388">
        <f>CONS_TERAC!I29*CONS_U.FIS!I$92</f>
        <v>0</v>
      </c>
      <c r="J29" s="388">
        <f>CONS_TERAC!J29*CONS_U.FIS!J$92</f>
        <v>0</v>
      </c>
      <c r="K29" s="388">
        <f>CONS_TERAC!K29*CONS_U.FIS!K$92</f>
        <v>0</v>
      </c>
      <c r="L29" s="388">
        <f>CONS_TERAC!M29*CONS_U.FIS!L$92</f>
        <v>6197.9706806203094</v>
      </c>
      <c r="M29" s="388">
        <f>CONS_TERAC!N29*CONS_U.FIS!M$92</f>
        <v>0</v>
      </c>
      <c r="N29" s="388">
        <f>CONS_TERAC!O29*CONS_U.FIS!N$92</f>
        <v>0</v>
      </c>
      <c r="O29" s="388">
        <f>CONS_TERAC!P29*CONS_U.FIS!O$92</f>
        <v>0</v>
      </c>
      <c r="P29" s="388">
        <f>CONS_TERAC!Q29*CONS_U.FIS!P$92</f>
        <v>31.300546831448742</v>
      </c>
      <c r="Q29" s="388">
        <f>CONS_TERAC!R29*CONS_U.FIS!Q$92</f>
        <v>0</v>
      </c>
      <c r="R29" s="388">
        <f>CONS_TERAC!S29*CONS_U.FIS!R$92</f>
        <v>117.22664359844985</v>
      </c>
      <c r="S29" s="388">
        <f>CONS_TERAC!T29*CONS_U.FIS!S$92</f>
        <v>0</v>
      </c>
      <c r="T29" s="386">
        <f>CONS_TERAC!U29*CONS_U.FIS!T$92</f>
        <v>0</v>
      </c>
      <c r="U29" s="388">
        <f>CONS_TERAC!V29*CONS_U.FIS!U$92</f>
        <v>0</v>
      </c>
      <c r="V29" s="40"/>
      <c r="W29" s="40"/>
      <c r="X29" s="40"/>
      <c r="Y29" s="40"/>
      <c r="Z29" s="40"/>
      <c r="AA29" s="40"/>
    </row>
    <row r="30" spans="1:27">
      <c r="A30" s="34"/>
      <c r="B30" s="33" t="s">
        <v>263</v>
      </c>
      <c r="C30" s="388">
        <f>CONS_TERAC!C30*CONS_U.FIS!$C$92</f>
        <v>6.8584605199999995</v>
      </c>
      <c r="D30" s="388">
        <f>CONS_TERAC!D30*CONS_U.FIS!D$92</f>
        <v>3.6542756880000002</v>
      </c>
      <c r="E30" s="388">
        <f>CONS_TERAC!E30*CONS_U.FIS!E$92</f>
        <v>0</v>
      </c>
      <c r="F30" s="388">
        <f>CONS_TERAC!F30*CONS_U.FIS!F$92</f>
        <v>0.28000000000000003</v>
      </c>
      <c r="G30" s="388">
        <f>CONS_TERAC!G30*CONS_U.FIS!G$92</f>
        <v>16.221060288364363</v>
      </c>
      <c r="H30" s="388">
        <f>CONS_TERAC!H30*CONS_U.FIS!H$92</f>
        <v>0</v>
      </c>
      <c r="I30" s="388">
        <f>CONS_TERAC!I30*CONS_U.FIS!I$92</f>
        <v>0</v>
      </c>
      <c r="J30" s="388">
        <f>CONS_TERAC!J30*CONS_U.FIS!J$92</f>
        <v>0</v>
      </c>
      <c r="K30" s="388">
        <f>CONS_TERAC!K30*CONS_U.FIS!K$92</f>
        <v>0</v>
      </c>
      <c r="L30" s="388">
        <f>CONS_TERAC!M30*CONS_U.FIS!L$92</f>
        <v>1438.4538394867427</v>
      </c>
      <c r="M30" s="388">
        <f>CONS_TERAC!N30*CONS_U.FIS!M$92</f>
        <v>6.2449794701283938</v>
      </c>
      <c r="N30" s="388">
        <f>CONS_TERAC!O30*CONS_U.FIS!N$92</f>
        <v>0</v>
      </c>
      <c r="O30" s="388">
        <f>CONS_TERAC!P30*CONS_U.FIS!O$92</f>
        <v>0</v>
      </c>
      <c r="P30" s="388">
        <f>CONS_TERAC!Q30*CONS_U.FIS!P$92</f>
        <v>3.0285726588157518</v>
      </c>
      <c r="Q30" s="388">
        <f>CONS_TERAC!R30*CONS_U.FIS!Q$92</f>
        <v>0</v>
      </c>
      <c r="R30" s="388">
        <f>CONS_TERAC!S30*CONS_U.FIS!R$92</f>
        <v>19.77237780543286</v>
      </c>
      <c r="S30" s="388">
        <f>CONS_TERAC!T30*CONS_U.FIS!S$92</f>
        <v>0</v>
      </c>
      <c r="T30" s="386">
        <f>CONS_TERAC!U30*CONS_U.FIS!T$92</f>
        <v>0</v>
      </c>
      <c r="U30" s="388">
        <f>CONS_TERAC!V30*CONS_U.FIS!U$92</f>
        <v>0</v>
      </c>
      <c r="V30" s="40"/>
      <c r="W30" s="40"/>
      <c r="X30" s="40"/>
      <c r="Y30" s="40"/>
      <c r="Z30" s="40"/>
      <c r="AA30" s="40"/>
    </row>
    <row r="31" spans="1:27">
      <c r="A31" s="34"/>
      <c r="B31" s="33" t="s">
        <v>264</v>
      </c>
      <c r="C31" s="388">
        <f>CONS_TERAC!C31*CONS_U.FIS!$C$92</f>
        <v>5.739754790000001</v>
      </c>
      <c r="D31" s="388">
        <f>CONS_TERAC!D31*CONS_U.FIS!D$92</f>
        <v>0</v>
      </c>
      <c r="E31" s="388">
        <f>CONS_TERAC!E31*CONS_U.FIS!E$92</f>
        <v>0</v>
      </c>
      <c r="F31" s="388">
        <f>CONS_TERAC!F31*CONS_U.FIS!F$92</f>
        <v>63.500506999999999</v>
      </c>
      <c r="G31" s="388">
        <f>CONS_TERAC!G31*CONS_U.FIS!G$92</f>
        <v>740.96444782344463</v>
      </c>
      <c r="H31" s="388">
        <f>CONS_TERAC!H31*CONS_U.FIS!H$92</f>
        <v>0</v>
      </c>
      <c r="I31" s="388">
        <f>CONS_TERAC!I31*CONS_U.FIS!I$92</f>
        <v>0</v>
      </c>
      <c r="J31" s="388">
        <f>CONS_TERAC!J31*CONS_U.FIS!J$92</f>
        <v>0</v>
      </c>
      <c r="K31" s="388">
        <f>CONS_TERAC!K31*CONS_U.FIS!K$92</f>
        <v>0</v>
      </c>
      <c r="L31" s="388">
        <f>CONS_TERAC!M31*CONS_U.FIS!L$92</f>
        <v>8748.9534655304797</v>
      </c>
      <c r="M31" s="388">
        <f>CONS_TERAC!N31*CONS_U.FIS!M$92</f>
        <v>2.0890142857142857E-2</v>
      </c>
      <c r="N31" s="388">
        <f>CONS_TERAC!O31*CONS_U.FIS!N$92</f>
        <v>0</v>
      </c>
      <c r="O31" s="388">
        <f>CONS_TERAC!P31*CONS_U.FIS!O$92</f>
        <v>0</v>
      </c>
      <c r="P31" s="388">
        <f>CONS_TERAC!Q31*CONS_U.FIS!P$92</f>
        <v>29.354483653461575</v>
      </c>
      <c r="Q31" s="388">
        <f>CONS_TERAC!R31*CONS_U.FIS!Q$92</f>
        <v>0</v>
      </c>
      <c r="R31" s="388">
        <f>CONS_TERAC!S31*CONS_U.FIS!R$92</f>
        <v>423.30974672216388</v>
      </c>
      <c r="S31" s="388">
        <f>CONS_TERAC!T31*CONS_U.FIS!S$92</f>
        <v>0</v>
      </c>
      <c r="T31" s="386">
        <f>CONS_TERAC!U31*CONS_U.FIS!T$92</f>
        <v>0</v>
      </c>
      <c r="U31" s="388">
        <f>CONS_TERAC!V31*CONS_U.FIS!U$92</f>
        <v>8430.0618929089123</v>
      </c>
      <c r="V31" s="40"/>
      <c r="W31" s="40"/>
      <c r="X31" s="40"/>
      <c r="Y31" s="40"/>
      <c r="Z31" s="40"/>
      <c r="AA31" s="40"/>
    </row>
    <row r="32" spans="1:27">
      <c r="A32" s="33"/>
      <c r="B32" s="33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40"/>
      <c r="W32" s="40"/>
      <c r="X32" s="40"/>
      <c r="Y32" s="40"/>
      <c r="Z32" s="40"/>
      <c r="AA32" s="40"/>
    </row>
    <row r="33" spans="1:27">
      <c r="A33" s="33" t="s">
        <v>265</v>
      </c>
      <c r="B33" s="33"/>
      <c r="C33" s="390">
        <f>CONS_TERAC!C33*CONS_U.FIS!$C$92</f>
        <v>198.30984863999996</v>
      </c>
      <c r="D33" s="390">
        <f>CONS_TERAC!D33*CONS_U.FIS!D$92</f>
        <v>59.895890806000004</v>
      </c>
      <c r="E33" s="390">
        <f>CONS_TERAC!E33*CONS_U.FIS!E$92</f>
        <v>0</v>
      </c>
      <c r="F33" s="390">
        <f>CONS_TERAC!F33*CONS_U.FIS!F$92</f>
        <v>64.188907</v>
      </c>
      <c r="G33" s="390">
        <f>CONS_TERAC!G33*CONS_U.FIS!G$92</f>
        <v>844.81285438567272</v>
      </c>
      <c r="H33" s="390">
        <f>CONS_TERAC!H33*CONS_U.FIS!H$92</f>
        <v>0</v>
      </c>
      <c r="I33" s="390">
        <f>CONS_TERAC!I33*CONS_U.FIS!I$92</f>
        <v>0</v>
      </c>
      <c r="J33" s="390">
        <f>CONS_TERAC!J33*CONS_U.FIS!J$92</f>
        <v>0</v>
      </c>
      <c r="K33" s="390">
        <f>CONS_TERAC!K33*CONS_U.FIS!K$92</f>
        <v>0</v>
      </c>
      <c r="L33" s="390">
        <f>CONS_TERAC!M33*CONS_U.FIS!L$92</f>
        <v>16385.377985637533</v>
      </c>
      <c r="M33" s="390">
        <f>CONS_TERAC!N33*CONS_U.FIS!M$92</f>
        <v>6.2658696129855365</v>
      </c>
      <c r="N33" s="390">
        <f>CONS_TERAC!O33*CONS_U.FIS!N$92</f>
        <v>0</v>
      </c>
      <c r="O33" s="390">
        <f>CONS_TERAC!P33*CONS_U.FIS!O$92</f>
        <v>0</v>
      </c>
      <c r="P33" s="390">
        <f>CONS_TERAC!Q33*CONS_U.FIS!P$92</f>
        <v>63.683603143726074</v>
      </c>
      <c r="Q33" s="390">
        <f>CONS_TERAC!R33*CONS_U.FIS!Q$92</f>
        <v>0</v>
      </c>
      <c r="R33" s="390">
        <f>CONS_TERAC!S33*CONS_U.FIS!R$92</f>
        <v>560.30876812604663</v>
      </c>
      <c r="S33" s="390">
        <f>CONS_TERAC!T33*CONS_U.FIS!S$92</f>
        <v>0</v>
      </c>
      <c r="T33" s="390">
        <f>CONS_TERAC!U33*CONS_U.FIS!T$92</f>
        <v>0</v>
      </c>
      <c r="U33" s="390">
        <f>CONS_TERAC!V33*CONS_U.FIS!U$92</f>
        <v>8430.0618929089123</v>
      </c>
      <c r="V33" s="40"/>
      <c r="W33" s="40"/>
      <c r="X33" s="40"/>
      <c r="Y33" s="40"/>
      <c r="Z33" s="40"/>
      <c r="AA33" s="40"/>
    </row>
    <row r="34" spans="1:27" s="394" customFormat="1">
      <c r="A34" s="395"/>
      <c r="B34" s="395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7"/>
      <c r="W34" s="397"/>
      <c r="X34" s="397"/>
      <c r="Y34" s="397"/>
      <c r="Z34" s="397"/>
      <c r="AA34" s="397"/>
    </row>
    <row r="35" spans="1:27" s="394" customFormat="1">
      <c r="A35" s="34" t="s">
        <v>703</v>
      </c>
      <c r="B35" s="395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7"/>
      <c r="W35" s="397"/>
      <c r="X35" s="397"/>
      <c r="Y35" s="397"/>
      <c r="Z35" s="397"/>
      <c r="AA35" s="397"/>
    </row>
    <row r="36" spans="1:27" s="394" customFormat="1">
      <c r="A36" s="395"/>
      <c r="B36" s="395" t="s">
        <v>268</v>
      </c>
      <c r="C36" s="399">
        <f>CONS_TERAC!C36*CONS_U.FIS!$C$92</f>
        <v>0</v>
      </c>
      <c r="D36" s="399">
        <f>CONS_TERAC!D36*CONS_U.FIS!D$92</f>
        <v>0</v>
      </c>
      <c r="E36" s="399">
        <f>CONS_TERAC!E36*CONS_U.FIS!E$92</f>
        <v>0</v>
      </c>
      <c r="F36" s="399">
        <f>CONS_TERAC!F36*CONS_U.FIS!F$92</f>
        <v>0</v>
      </c>
      <c r="G36" s="399">
        <f>CONS_TERAC!G36*CONS_U.FIS!G$92</f>
        <v>0</v>
      </c>
      <c r="H36" s="399">
        <f>CONS_TERAC!H36*CONS_U.FIS!H$92</f>
        <v>0</v>
      </c>
      <c r="I36" s="399">
        <f>CONS_TERAC!I36*CONS_U.FIS!I$92</f>
        <v>0</v>
      </c>
      <c r="J36" s="399">
        <f>CONS_TERAC!J36*CONS_U.FIS!J$92</f>
        <v>0</v>
      </c>
      <c r="K36" s="399">
        <f>CONS_TERAC!K36*CONS_U.FIS!K$92</f>
        <v>0</v>
      </c>
      <c r="L36" s="399">
        <f>CONS_TERAC!M36*CONS_U.FIS!L$92</f>
        <v>69.375559794000011</v>
      </c>
      <c r="M36" s="399">
        <f>CONS_TERAC!N36*CONS_U.FIS!M$92</f>
        <v>0</v>
      </c>
      <c r="N36" s="399">
        <f>CONS_TERAC!O36*CONS_U.FIS!N$92</f>
        <v>0</v>
      </c>
      <c r="O36" s="399">
        <f>CONS_TERAC!P36*CONS_U.FIS!O$92</f>
        <v>0</v>
      </c>
      <c r="P36" s="399">
        <f>CONS_TERAC!Q36*CONS_U.FIS!P$92</f>
        <v>0</v>
      </c>
      <c r="Q36" s="399">
        <f>CONS_TERAC!R36*CONS_U.FIS!Q$92</f>
        <v>0</v>
      </c>
      <c r="R36" s="399">
        <f>CONS_TERAC!S36*CONS_U.FIS!R$92</f>
        <v>0</v>
      </c>
      <c r="S36" s="399">
        <f>CONS_TERAC!T36*CONS_U.FIS!S$92</f>
        <v>0</v>
      </c>
      <c r="T36" s="393">
        <f>CONS_TERAC!U36*CONS_U.FIS!T$92</f>
        <v>0</v>
      </c>
      <c r="U36" s="393">
        <f>CONS_TERAC!V36*CONS_U.FIS!U$92</f>
        <v>0</v>
      </c>
      <c r="V36" s="397"/>
      <c r="W36" s="397"/>
      <c r="X36" s="397"/>
      <c r="Y36" s="397"/>
      <c r="Z36" s="397"/>
      <c r="AA36" s="397"/>
    </row>
    <row r="37" spans="1:27" s="394" customFormat="1">
      <c r="A37" s="395"/>
      <c r="B37" s="395" t="s">
        <v>287</v>
      </c>
      <c r="C37" s="399">
        <f>CONS_TERAC!C37*CONS_U.FIS!$C$92</f>
        <v>0</v>
      </c>
      <c r="D37" s="399">
        <f>CONS_TERAC!D37*CONS_U.FIS!D$92</f>
        <v>0</v>
      </c>
      <c r="E37" s="399">
        <f>CONS_TERAC!E37*CONS_U.FIS!E$92</f>
        <v>0</v>
      </c>
      <c r="F37" s="399">
        <f>CONS_TERAC!F37*CONS_U.FIS!F$92</f>
        <v>0</v>
      </c>
      <c r="G37" s="399">
        <f>CONS_TERAC!G37*CONS_U.FIS!G$92</f>
        <v>0</v>
      </c>
      <c r="H37" s="399">
        <f>CONS_TERAC!H37*CONS_U.FIS!H$92</f>
        <v>0</v>
      </c>
      <c r="I37" s="399">
        <f>CONS_TERAC!I37*CONS_U.FIS!I$92</f>
        <v>0</v>
      </c>
      <c r="J37" s="399">
        <f>CONS_TERAC!J37*CONS_U.FIS!J$92</f>
        <v>0</v>
      </c>
      <c r="K37" s="399">
        <f>CONS_TERAC!K37*CONS_U.FIS!K$92</f>
        <v>0</v>
      </c>
      <c r="L37" s="399">
        <f>CONS_TERAC!M37*CONS_U.FIS!L$92</f>
        <v>1553.2214021348514</v>
      </c>
      <c r="M37" s="399">
        <f>CONS_TERAC!N37*CONS_U.FIS!M$92</f>
        <v>0</v>
      </c>
      <c r="N37" s="399">
        <f>CONS_TERAC!O37*CONS_U.FIS!N$92</f>
        <v>0</v>
      </c>
      <c r="O37" s="399">
        <f>CONS_TERAC!P37*CONS_U.FIS!O$92</f>
        <v>0</v>
      </c>
      <c r="P37" s="399">
        <f>CONS_TERAC!Q37*CONS_U.FIS!P$92</f>
        <v>0</v>
      </c>
      <c r="Q37" s="399">
        <f>CONS_TERAC!R37*CONS_U.FIS!Q$92</f>
        <v>0</v>
      </c>
      <c r="R37" s="399">
        <f>CONS_TERAC!S37*CONS_U.FIS!R$92</f>
        <v>0</v>
      </c>
      <c r="S37" s="399">
        <f>CONS_TERAC!T37*CONS_U.FIS!S$92</f>
        <v>0</v>
      </c>
      <c r="T37" s="393">
        <f>CONS_TERAC!U37*CONS_U.FIS!T$92</f>
        <v>0</v>
      </c>
      <c r="U37" s="393">
        <f>CONS_TERAC!V37*CONS_U.FIS!U$92</f>
        <v>0</v>
      </c>
      <c r="V37" s="397"/>
      <c r="W37" s="397"/>
      <c r="X37" s="397"/>
      <c r="Y37" s="397"/>
      <c r="Z37" s="397"/>
      <c r="AA37" s="397"/>
    </row>
    <row r="38" spans="1:27" s="394" customFormat="1">
      <c r="A38" s="395"/>
      <c r="B38" s="395" t="s">
        <v>269</v>
      </c>
      <c r="C38" s="399">
        <f>CONS_TERAC!C38*CONS_U.FIS!$C$92</f>
        <v>0</v>
      </c>
      <c r="D38" s="399">
        <f>CONS_TERAC!D38*CONS_U.FIS!D$92</f>
        <v>0</v>
      </c>
      <c r="E38" s="399">
        <f>CONS_TERAC!E38*CONS_U.FIS!E$92</f>
        <v>0</v>
      </c>
      <c r="F38" s="399">
        <f>CONS_TERAC!F38*CONS_U.FIS!F$92</f>
        <v>0</v>
      </c>
      <c r="G38" s="399">
        <f>CONS_TERAC!G38*CONS_U.FIS!G$92</f>
        <v>0.54757823644628112</v>
      </c>
      <c r="H38" s="399">
        <f>CONS_TERAC!H38*CONS_U.FIS!H$92</f>
        <v>0</v>
      </c>
      <c r="I38" s="399">
        <f>CONS_TERAC!I38*CONS_U.FIS!I$92</f>
        <v>0</v>
      </c>
      <c r="J38" s="399">
        <f>CONS_TERAC!J38*CONS_U.FIS!J$92</f>
        <v>0</v>
      </c>
      <c r="K38" s="399">
        <f>CONS_TERAC!K38*CONS_U.FIS!K$92</f>
        <v>0</v>
      </c>
      <c r="L38" s="399">
        <f>CONS_TERAC!M38*CONS_U.FIS!L$92</f>
        <v>0</v>
      </c>
      <c r="M38" s="399">
        <f>CONS_TERAC!N38*CONS_U.FIS!M$92</f>
        <v>0</v>
      </c>
      <c r="N38" s="399">
        <f>CONS_TERAC!O38*CONS_U.FIS!N$92</f>
        <v>0</v>
      </c>
      <c r="O38" s="399">
        <f>CONS_TERAC!P38*CONS_U.FIS!O$92</f>
        <v>0</v>
      </c>
      <c r="P38" s="399">
        <f>CONS_TERAC!Q38*CONS_U.FIS!P$92</f>
        <v>0</v>
      </c>
      <c r="Q38" s="399">
        <f>CONS_TERAC!R38*CONS_U.FIS!Q$92</f>
        <v>0</v>
      </c>
      <c r="R38" s="399">
        <f>CONS_TERAC!S38*CONS_U.FIS!R$92</f>
        <v>1.3550381869213783</v>
      </c>
      <c r="S38" s="399">
        <f>CONS_TERAC!T38*CONS_U.FIS!S$92</f>
        <v>0</v>
      </c>
      <c r="T38" s="393">
        <f>CONS_TERAC!U38*CONS_U.FIS!T$92</f>
        <v>0</v>
      </c>
      <c r="U38" s="399">
        <f>CONS_TERAC!V38*CONS_U.FIS!U$92</f>
        <v>0</v>
      </c>
      <c r="V38" s="397"/>
      <c r="W38" s="397"/>
      <c r="X38" s="397"/>
      <c r="Y38" s="397"/>
      <c r="Z38" s="397"/>
      <c r="AA38" s="397"/>
    </row>
    <row r="39" spans="1:27" s="394" customFormat="1">
      <c r="A39" s="395"/>
      <c r="B39" s="395" t="s">
        <v>286</v>
      </c>
      <c r="C39" s="399">
        <f>CONS_TERAC!C39*CONS_U.FIS!$C$92</f>
        <v>0</v>
      </c>
      <c r="D39" s="399">
        <f>CONS_TERAC!D39*CONS_U.FIS!D$92</f>
        <v>25.696190476190473</v>
      </c>
      <c r="E39" s="399">
        <f>CONS_TERAC!E39*CONS_U.FIS!E$92</f>
        <v>0</v>
      </c>
      <c r="F39" s="399">
        <f>CONS_TERAC!F39*CONS_U.FIS!F$92</f>
        <v>0</v>
      </c>
      <c r="G39" s="399">
        <f>CONS_TERAC!G39*CONS_U.FIS!G$92</f>
        <v>0</v>
      </c>
      <c r="H39" s="399">
        <f>CONS_TERAC!H39*CONS_U.FIS!H$92</f>
        <v>0</v>
      </c>
      <c r="I39" s="399">
        <f>CONS_TERAC!I39*CONS_U.FIS!I$92</f>
        <v>0</v>
      </c>
      <c r="J39" s="399">
        <f>CONS_TERAC!J39*CONS_U.FIS!J$92</f>
        <v>0</v>
      </c>
      <c r="K39" s="399">
        <f>CONS_TERAC!K39*CONS_U.FIS!K$92</f>
        <v>0</v>
      </c>
      <c r="L39" s="399">
        <f>CONS_TERAC!M39*CONS_U.FIS!L$92</f>
        <v>0</v>
      </c>
      <c r="M39" s="399">
        <f>CONS_TERAC!N39*CONS_U.FIS!M$92</f>
        <v>0</v>
      </c>
      <c r="N39" s="399">
        <f>CONS_TERAC!O39*CONS_U.FIS!N$92</f>
        <v>0</v>
      </c>
      <c r="O39" s="399">
        <f>CONS_TERAC!P39*CONS_U.FIS!O$92</f>
        <v>16926.25</v>
      </c>
      <c r="P39" s="399">
        <f>CONS_TERAC!Q39*CONS_U.FIS!P$92</f>
        <v>85.740777546384365</v>
      </c>
      <c r="Q39" s="399">
        <f>CONS_TERAC!R39*CONS_U.FIS!Q$92</f>
        <v>917.18777777777791</v>
      </c>
      <c r="R39" s="399">
        <f>CONS_TERAC!S39*CONS_U.FIS!R$92</f>
        <v>0</v>
      </c>
      <c r="S39" s="399">
        <f>CONS_TERAC!T39*CONS_U.FIS!S$92</f>
        <v>0</v>
      </c>
      <c r="T39" s="393">
        <f>CONS_TERAC!U39*CONS_U.FIS!T$92</f>
        <v>0</v>
      </c>
      <c r="U39" s="399">
        <f>CONS_TERAC!V39*CONS_U.FIS!U$92</f>
        <v>0</v>
      </c>
      <c r="V39" s="397"/>
      <c r="W39" s="397"/>
      <c r="X39" s="397"/>
      <c r="Y39" s="397"/>
      <c r="Z39" s="397"/>
      <c r="AA39" s="397"/>
    </row>
    <row r="40" spans="1:27" s="394" customFormat="1">
      <c r="A40" s="395"/>
      <c r="B40" s="395" t="s">
        <v>270</v>
      </c>
      <c r="C40" s="399">
        <f>CONS_TERAC!C40*CONS_U.FIS!$C$92</f>
        <v>31.853499999999997</v>
      </c>
      <c r="D40" s="399">
        <f>CONS_TERAC!D40*CONS_U.FIS!D$92</f>
        <v>37.011491999999997</v>
      </c>
      <c r="E40" s="399">
        <f>CONS_TERAC!E40*CONS_U.FIS!E$92</f>
        <v>0.12079999999999998</v>
      </c>
      <c r="F40" s="399">
        <f>CONS_TERAC!F40*CONS_U.FIS!F$92</f>
        <v>0</v>
      </c>
      <c r="G40" s="399">
        <f>CONS_TERAC!G40*CONS_U.FIS!G$92</f>
        <v>108.23301499999999</v>
      </c>
      <c r="H40" s="399">
        <f>CONS_TERAC!H40*CONS_U.FIS!H$92</f>
        <v>0</v>
      </c>
      <c r="I40" s="399">
        <f>CONS_TERAC!I40*CONS_U.FIS!I$92</f>
        <v>0</v>
      </c>
      <c r="J40" s="399">
        <f>CONS_TERAC!J40*CONS_U.FIS!J$92</f>
        <v>139.60084000000001</v>
      </c>
      <c r="K40" s="399">
        <f>CONS_TERAC!K40*CONS_U.FIS!K$92</f>
        <v>800.58413800000017</v>
      </c>
      <c r="L40" s="399">
        <f>CONS_TERAC!M40*CONS_U.FIS!L$92</f>
        <v>644.82064820599999</v>
      </c>
      <c r="M40" s="399">
        <f>CONS_TERAC!N40*CONS_U.FIS!M$92</f>
        <v>0</v>
      </c>
      <c r="N40" s="399">
        <f>CONS_TERAC!O40*CONS_U.FIS!N$92</f>
        <v>0</v>
      </c>
      <c r="O40" s="399">
        <f>CONS_TERAC!P40*CONS_U.FIS!O$92</f>
        <v>0</v>
      </c>
      <c r="P40" s="399">
        <f>CONS_TERAC!Q40*CONS_U.FIS!P$92</f>
        <v>0</v>
      </c>
      <c r="Q40" s="399">
        <f>CONS_TERAC!R40*CONS_U.FIS!Q$92</f>
        <v>0</v>
      </c>
      <c r="R40" s="399">
        <f>CONS_TERAC!S40*CONS_U.FIS!R$92</f>
        <v>0</v>
      </c>
      <c r="S40" s="399">
        <f>CONS_TERAC!T40*CONS_U.FIS!S$92</f>
        <v>0</v>
      </c>
      <c r="T40" s="393">
        <f>CONS_TERAC!U40*CONS_U.FIS!T$92</f>
        <v>0</v>
      </c>
      <c r="U40" s="399">
        <f>CONS_TERAC!V40*CONS_U.FIS!U$92</f>
        <v>0</v>
      </c>
      <c r="V40" s="397"/>
      <c r="W40" s="397"/>
      <c r="X40" s="397"/>
      <c r="Y40" s="397"/>
      <c r="Z40" s="397"/>
      <c r="AA40" s="397"/>
    </row>
    <row r="41" spans="1:27" s="394" customFormat="1">
      <c r="A41" s="395"/>
      <c r="B41" s="395" t="s">
        <v>271</v>
      </c>
      <c r="C41" s="399">
        <f>CONS_TERAC!C41*CONS_U.FIS!$C$92</f>
        <v>0</v>
      </c>
      <c r="D41" s="399">
        <f>CONS_TERAC!D41*CONS_U.FIS!D$92</f>
        <v>0</v>
      </c>
      <c r="E41" s="399">
        <f>CONS_TERAC!E41*CONS_U.FIS!E$92</f>
        <v>0</v>
      </c>
      <c r="F41" s="399">
        <f>CONS_TERAC!F41*CONS_U.FIS!F$92</f>
        <v>0</v>
      </c>
      <c r="G41" s="399">
        <f>CONS_TERAC!G41*CONS_U.FIS!G$92</f>
        <v>0</v>
      </c>
      <c r="H41" s="399">
        <f>CONS_TERAC!H41*CONS_U.FIS!H$92</f>
        <v>0</v>
      </c>
      <c r="I41" s="399">
        <f>CONS_TERAC!I41*CONS_U.FIS!I$92</f>
        <v>0</v>
      </c>
      <c r="J41" s="399">
        <f>CONS_TERAC!J41*CONS_U.FIS!J$92</f>
        <v>0</v>
      </c>
      <c r="K41" s="399">
        <f>CONS_TERAC!K41*CONS_U.FIS!K$92</f>
        <v>0</v>
      </c>
      <c r="L41" s="399">
        <f>CONS_TERAC!M41*CONS_U.FIS!L$92</f>
        <v>0</v>
      </c>
      <c r="M41" s="399">
        <f>CONS_TERAC!N41*CONS_U.FIS!M$92</f>
        <v>0</v>
      </c>
      <c r="N41" s="399">
        <f>CONS_TERAC!O41*CONS_U.FIS!N$92</f>
        <v>0</v>
      </c>
      <c r="O41" s="399">
        <f>CONS_TERAC!P41*CONS_U.FIS!O$92</f>
        <v>0</v>
      </c>
      <c r="P41" s="399">
        <f>CONS_TERAC!Q41*CONS_U.FIS!P$92</f>
        <v>0</v>
      </c>
      <c r="Q41" s="399">
        <f>CONS_TERAC!R41*CONS_U.FIS!Q$92</f>
        <v>0</v>
      </c>
      <c r="R41" s="399">
        <f>CONS_TERAC!S41*CONS_U.FIS!R$92</f>
        <v>0</v>
      </c>
      <c r="S41" s="399">
        <f>CONS_TERAC!T41*CONS_U.FIS!S$92</f>
        <v>0</v>
      </c>
      <c r="T41" s="393">
        <f>CONS_TERAC!U41*CONS_U.FIS!T$92</f>
        <v>0</v>
      </c>
      <c r="U41" s="399">
        <f>CONS_TERAC!V41*CONS_U.FIS!U$92</f>
        <v>0</v>
      </c>
      <c r="V41" s="397"/>
      <c r="W41" s="397"/>
      <c r="X41" s="397"/>
      <c r="Y41" s="397"/>
      <c r="Z41" s="397"/>
      <c r="AA41" s="397"/>
    </row>
    <row r="42" spans="1:27" s="394" customFormat="1">
      <c r="A42" s="395"/>
      <c r="B42" s="395" t="s">
        <v>272</v>
      </c>
      <c r="C42" s="399">
        <f>CONS_TERAC!C42*CONS_U.FIS!$C$92</f>
        <v>6.9771999999999987E-2</v>
      </c>
      <c r="D42" s="399">
        <f>CONS_TERAC!D42*CONS_U.FIS!D$92</f>
        <v>0</v>
      </c>
      <c r="E42" s="399">
        <f>CONS_TERAC!E42*CONS_U.FIS!E$92</f>
        <v>0</v>
      </c>
      <c r="F42" s="399">
        <f>CONS_TERAC!F42*CONS_U.FIS!F$92</f>
        <v>0</v>
      </c>
      <c r="G42" s="399">
        <f>CONS_TERAC!G42*CONS_U.FIS!G$92</f>
        <v>0</v>
      </c>
      <c r="H42" s="399">
        <f>CONS_TERAC!H42*CONS_U.FIS!H$92</f>
        <v>0</v>
      </c>
      <c r="I42" s="399">
        <f>CONS_TERAC!I42*CONS_U.FIS!I$92</f>
        <v>0</v>
      </c>
      <c r="J42" s="399">
        <f>CONS_TERAC!J42*CONS_U.FIS!J$92</f>
        <v>0</v>
      </c>
      <c r="K42" s="399">
        <f>CONS_TERAC!K42*CONS_U.FIS!K$92</f>
        <v>0</v>
      </c>
      <c r="L42" s="399">
        <f>CONS_TERAC!M42*CONS_U.FIS!L$92</f>
        <v>64.636380000000003</v>
      </c>
      <c r="M42" s="399">
        <f>CONS_TERAC!N42*CONS_U.FIS!M$92</f>
        <v>0</v>
      </c>
      <c r="N42" s="399">
        <f>CONS_TERAC!O42*CONS_U.FIS!N$92</f>
        <v>0</v>
      </c>
      <c r="O42" s="399">
        <f>CONS_TERAC!P42*CONS_U.FIS!O$92</f>
        <v>0</v>
      </c>
      <c r="P42" s="399">
        <f>CONS_TERAC!Q42*CONS_U.FIS!P$92</f>
        <v>0</v>
      </c>
      <c r="Q42" s="399">
        <f>CONS_TERAC!R42*CONS_U.FIS!Q$92</f>
        <v>0</v>
      </c>
      <c r="R42" s="399">
        <f>CONS_TERAC!S42*CONS_U.FIS!R$92</f>
        <v>0</v>
      </c>
      <c r="S42" s="399">
        <f>CONS_TERAC!T42*CONS_U.FIS!S$92</f>
        <v>0</v>
      </c>
      <c r="T42" s="393">
        <f>CONS_TERAC!U42*CONS_U.FIS!T$92</f>
        <v>0</v>
      </c>
      <c r="U42" s="399">
        <f>CONS_TERAC!V42*CONS_U.FIS!U$92</f>
        <v>0</v>
      </c>
      <c r="V42" s="397"/>
      <c r="W42" s="397"/>
      <c r="X42" s="397"/>
      <c r="Y42" s="397"/>
      <c r="Z42" s="397"/>
      <c r="AA42" s="397"/>
    </row>
    <row r="43" spans="1:27" s="394" customFormat="1">
      <c r="A43" s="395"/>
      <c r="B43" s="395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7"/>
      <c r="W43" s="397"/>
      <c r="X43" s="397"/>
      <c r="Y43" s="397"/>
      <c r="Z43" s="397"/>
      <c r="AA43" s="397"/>
    </row>
    <row r="44" spans="1:27" s="394" customFormat="1">
      <c r="A44" s="395" t="s">
        <v>704</v>
      </c>
      <c r="B44" s="395"/>
      <c r="C44" s="398">
        <f>CONS_TERAC!C44*CONS_U.FIS!$C$92</f>
        <v>31.923272000000001</v>
      </c>
      <c r="D44" s="398">
        <f>CONS_TERAC!D44*CONS_U.FIS!D$92</f>
        <v>62.70768247619047</v>
      </c>
      <c r="E44" s="398">
        <f>CONS_TERAC!E44*CONS_U.FIS!E$92</f>
        <v>0.12079999999999998</v>
      </c>
      <c r="F44" s="398">
        <f>CONS_TERAC!F44*CONS_U.FIS!F$92</f>
        <v>0</v>
      </c>
      <c r="G44" s="398">
        <f>CONS_TERAC!G44*CONS_U.FIS!G$92</f>
        <v>108.78059323644626</v>
      </c>
      <c r="H44" s="398">
        <f>CONS_TERAC!H44*CONS_U.FIS!H$92</f>
        <v>0</v>
      </c>
      <c r="I44" s="398">
        <f>CONS_TERAC!I44*CONS_U.FIS!I$92</f>
        <v>0</v>
      </c>
      <c r="J44" s="398">
        <f>CONS_TERAC!J44*CONS_U.FIS!J$92</f>
        <v>139.60084000000001</v>
      </c>
      <c r="K44" s="398">
        <f>CONS_TERAC!K44*CONS_U.FIS!K$92</f>
        <v>800.58413800000017</v>
      </c>
      <c r="L44" s="398">
        <f>CONS_TERAC!M44*CONS_U.FIS!L$92</f>
        <v>2332.0539901348511</v>
      </c>
      <c r="M44" s="398">
        <f>CONS_TERAC!N44*CONS_U.FIS!M$92</f>
        <v>0</v>
      </c>
      <c r="N44" s="398">
        <f>CONS_TERAC!O44*CONS_U.FIS!N$92</f>
        <v>0</v>
      </c>
      <c r="O44" s="398">
        <f>CONS_TERAC!P44*CONS_U.FIS!O$92</f>
        <v>16926.25</v>
      </c>
      <c r="P44" s="398">
        <f>CONS_TERAC!Q44*CONS_U.FIS!P$92</f>
        <v>85.740777546384365</v>
      </c>
      <c r="Q44" s="398">
        <f>CONS_TERAC!R44*CONS_U.FIS!Q$92</f>
        <v>917.18777777777791</v>
      </c>
      <c r="R44" s="398">
        <f>CONS_TERAC!S44*CONS_U.FIS!R$92</f>
        <v>1.3550381869213783</v>
      </c>
      <c r="S44" s="398">
        <f>CONS_TERAC!T44*CONS_U.FIS!S$92</f>
        <v>0</v>
      </c>
      <c r="T44" s="398">
        <f>CONS_TERAC!U44*CONS_U.FIS!T$92</f>
        <v>0</v>
      </c>
      <c r="U44" s="398">
        <f>CONS_TERAC!V44*CONS_U.FIS!U$92</f>
        <v>0</v>
      </c>
      <c r="V44" s="397"/>
      <c r="W44" s="397"/>
      <c r="X44" s="397"/>
      <c r="Y44" s="397"/>
      <c r="Z44" s="397"/>
      <c r="AA44" s="397"/>
    </row>
    <row r="45" spans="1:27" s="394" customFormat="1">
      <c r="A45" s="395"/>
      <c r="B45" s="395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7"/>
      <c r="W45" s="397"/>
      <c r="X45" s="397"/>
      <c r="Y45" s="397"/>
      <c r="Z45" s="397"/>
      <c r="AA45" s="397"/>
    </row>
    <row r="46" spans="1:27">
      <c r="A46" s="33"/>
      <c r="B46" s="33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4" t="s">
        <v>266</v>
      </c>
      <c r="B47" s="33"/>
      <c r="C47" s="390">
        <f>CONS_TERAC!C47*CONS_U.FIS!$C$92</f>
        <v>6944.6391756322373</v>
      </c>
      <c r="D47" s="390">
        <f>CONS_TERAC!D47*CONS_U.FIS!D$92</f>
        <v>2472.5343441348964</v>
      </c>
      <c r="E47" s="390">
        <f>CONS_TERAC!E47*CONS_U.FIS!E$92</f>
        <v>3147.236821844002</v>
      </c>
      <c r="F47" s="390">
        <f>CONS_TERAC!F47*CONS_U.FIS!F$92</f>
        <v>97.544747000000015</v>
      </c>
      <c r="G47" s="390">
        <f>CONS_TERAC!G47*CONS_U.FIS!G$92</f>
        <v>1243.7914943343098</v>
      </c>
      <c r="H47" s="390">
        <f>CONS_TERAC!H47*CONS_U.FIS!H$92</f>
        <v>5.9202339999999998</v>
      </c>
      <c r="I47" s="390">
        <f>CONS_TERAC!I47*CONS_U.FIS!I$92</f>
        <v>1056.7205860000001</v>
      </c>
      <c r="J47" s="390">
        <f>CONS_TERAC!J47*CONS_U.FIS!J$92</f>
        <v>142.16848999999999</v>
      </c>
      <c r="K47" s="390">
        <f>CONS_TERAC!K47*CONS_U.FIS!K$92</f>
        <v>801.30580466666686</v>
      </c>
      <c r="L47" s="390">
        <f>CONS_TERAC!M47*CONS_U.FIS!L$92</f>
        <v>55777.451717045384</v>
      </c>
      <c r="M47" s="390">
        <f>CONS_TERAC!N47*CONS_U.FIS!M$92</f>
        <v>570.42101344377841</v>
      </c>
      <c r="N47" s="390">
        <f>CONS_TERAC!O47*CONS_U.FIS!N$92</f>
        <v>417.44826709797496</v>
      </c>
      <c r="O47" s="390">
        <f>CONS_TERAC!P47*CONS_U.FIS!O$92</f>
        <v>16926.25</v>
      </c>
      <c r="P47" s="390">
        <f>CONS_TERAC!Q47*CONS_U.FIS!P$92</f>
        <v>336.65085314372607</v>
      </c>
      <c r="Q47" s="390">
        <f>CONS_TERAC!R47*CONS_U.FIS!Q$92</f>
        <v>1111.7023911111112</v>
      </c>
      <c r="R47" s="390">
        <f>CONS_TERAC!S47*CONS_U.FIS!R$92</f>
        <v>648.20172669842964</v>
      </c>
      <c r="S47" s="390">
        <f>CONS_TERAC!T47*CONS_U.FIS!S$92</f>
        <v>95.391220000000018</v>
      </c>
      <c r="T47" s="390">
        <f>CONS_TERAC!U47*CONS_U.FIS!T$92</f>
        <v>0</v>
      </c>
      <c r="U47" s="390">
        <f>CONS_TERAC!V47*CONS_U.FIS!U$92</f>
        <v>13079.267482387873</v>
      </c>
      <c r="V47" s="40"/>
      <c r="W47" s="40"/>
      <c r="X47" s="40"/>
      <c r="Y47" s="40"/>
      <c r="Z47" s="40"/>
      <c r="AA47" s="40"/>
    </row>
    <row r="48" spans="1:27" s="394" customFormat="1">
      <c r="A48" s="32"/>
      <c r="B48" s="33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7"/>
      <c r="W48" s="397"/>
      <c r="X48" s="397"/>
      <c r="Y48" s="397"/>
      <c r="Z48" s="397"/>
      <c r="AA48" s="397"/>
    </row>
    <row r="49" spans="1:27">
      <c r="A49" s="34" t="s">
        <v>267</v>
      </c>
      <c r="B49" s="33" t="s">
        <v>268</v>
      </c>
      <c r="C49" s="399">
        <f>CONS_TERAC!C49*CONS_U.FIS!$C$92</f>
        <v>40.91671335476191</v>
      </c>
      <c r="D49" s="399">
        <f>CONS_TERAC!D49*CONS_U.FIS!D$92</f>
        <v>112.77706681710352</v>
      </c>
      <c r="E49" s="399">
        <f>CONS_TERAC!E49*CONS_U.FIS!E$92</f>
        <v>0</v>
      </c>
      <c r="F49" s="399">
        <f>CONS_TERAC!F49*CONS_U.FIS!F$92</f>
        <v>0</v>
      </c>
      <c r="G49" s="399">
        <f>CONS_TERAC!G49*CONS_U.FIS!G$92</f>
        <v>0.83163799999999999</v>
      </c>
      <c r="H49" s="399">
        <f>CONS_TERAC!H49*CONS_U.FIS!H$92</f>
        <v>0</v>
      </c>
      <c r="I49" s="399">
        <f>CONS_TERAC!I49*CONS_U.FIS!I$92</f>
        <v>0</v>
      </c>
      <c r="J49" s="399">
        <f>CONS_TERAC!J49*CONS_U.FIS!J$92</f>
        <v>4.2999999999999991E-3</v>
      </c>
      <c r="K49" s="399">
        <f>CONS_TERAC!K49*CONS_U.FIS!K$92</f>
        <v>40.249643329285206</v>
      </c>
      <c r="L49" s="399">
        <f>CONS_TERAC!M49*CONS_U.FIS!L$92</f>
        <v>0</v>
      </c>
      <c r="M49" s="399">
        <f>CONS_TERAC!N49*CONS_U.FIS!M$92</f>
        <v>6.8439066493280354</v>
      </c>
      <c r="N49" s="399">
        <f>CONS_TERAC!O49*CONS_U.FIS!N$92</f>
        <v>0</v>
      </c>
      <c r="O49" s="399">
        <f>CONS_TERAC!P49*CONS_U.FIS!O$92</f>
        <v>0</v>
      </c>
      <c r="P49" s="399">
        <f>CONS_TERAC!Q49*CONS_U.FIS!P$92</f>
        <v>0</v>
      </c>
      <c r="Q49" s="399">
        <f>CONS_TERAC!R49*CONS_U.FIS!Q$92</f>
        <v>0</v>
      </c>
      <c r="R49" s="399">
        <f>CONS_TERAC!S49*CONS_U.FIS!R$92</f>
        <v>60.412794408971195</v>
      </c>
      <c r="S49" s="399">
        <f>CONS_TERAC!T49*CONS_U.FIS!S$92</f>
        <v>0</v>
      </c>
      <c r="T49" s="393">
        <f>CONS_TERAC!U49*CONS_U.FIS!T$92</f>
        <v>0</v>
      </c>
      <c r="U49" s="399">
        <f>CONS_TERAC!V49*CONS_U.FIS!U$92</f>
        <v>1479.0832712649358</v>
      </c>
      <c r="V49" s="40"/>
      <c r="W49" s="40"/>
      <c r="X49" s="40"/>
      <c r="Y49" s="40"/>
      <c r="Z49" s="40"/>
      <c r="AA49" s="40"/>
    </row>
    <row r="50" spans="1:27">
      <c r="A50" s="34" t="s">
        <v>702</v>
      </c>
      <c r="B50" s="33" t="s">
        <v>287</v>
      </c>
      <c r="C50" s="399">
        <f>CONS_TERAC!C50*CONS_U.FIS!$C$92</f>
        <v>2820.8410199999994</v>
      </c>
      <c r="D50" s="399">
        <f>CONS_TERAC!D50*CONS_U.FIS!D$92</f>
        <v>181.94873707999997</v>
      </c>
      <c r="E50" s="399">
        <f>CONS_TERAC!E50*CONS_U.FIS!E$92</f>
        <v>0</v>
      </c>
      <c r="F50" s="399">
        <f>CONS_TERAC!F50*CONS_U.FIS!F$92</f>
        <v>0</v>
      </c>
      <c r="G50" s="399">
        <f>CONS_TERAC!G50*CONS_U.FIS!G$92</f>
        <v>2.3440109000000002</v>
      </c>
      <c r="H50" s="399">
        <f>CONS_TERAC!H50*CONS_U.FIS!H$92</f>
        <v>0</v>
      </c>
      <c r="I50" s="399">
        <f>CONS_TERAC!I50*CONS_U.FIS!I$92</f>
        <v>0</v>
      </c>
      <c r="J50" s="399">
        <f>CONS_TERAC!J50*CONS_U.FIS!J$92</f>
        <v>0</v>
      </c>
      <c r="K50" s="399">
        <f>CONS_TERAC!K50*CONS_U.FIS!K$92</f>
        <v>0</v>
      </c>
      <c r="L50" s="399">
        <f>CONS_TERAC!M50*CONS_U.FIS!L$92</f>
        <v>0</v>
      </c>
      <c r="M50" s="399">
        <f>CONS_TERAC!N50*CONS_U.FIS!M$92</f>
        <v>4970.6201437436202</v>
      </c>
      <c r="N50" s="399">
        <f>CONS_TERAC!O50*CONS_U.FIS!N$92</f>
        <v>689.06054042857158</v>
      </c>
      <c r="O50" s="399">
        <f>CONS_TERAC!P50*CONS_U.FIS!O$92</f>
        <v>0</v>
      </c>
      <c r="P50" s="399">
        <f>CONS_TERAC!Q50*CONS_U.FIS!P$92</f>
        <v>0</v>
      </c>
      <c r="Q50" s="399">
        <f>CONS_TERAC!R50*CONS_U.FIS!Q$92</f>
        <v>0</v>
      </c>
      <c r="R50" s="399">
        <f>CONS_TERAC!S50*CONS_U.FIS!R$92</f>
        <v>504.15885791413905</v>
      </c>
      <c r="S50" s="399">
        <f>CONS_TERAC!T50*CONS_U.FIS!S$92</f>
        <v>0</v>
      </c>
      <c r="T50" s="393">
        <f>CONS_TERAC!U50*CONS_U.FIS!T$92</f>
        <v>0</v>
      </c>
      <c r="U50" s="399">
        <f>CONS_TERAC!V50*CONS_U.FIS!U$92</f>
        <v>61.528767774133051</v>
      </c>
      <c r="V50" s="40"/>
      <c r="W50" s="40"/>
      <c r="X50" s="40"/>
      <c r="Y50" s="40"/>
      <c r="Z50" s="40"/>
      <c r="AA50" s="40"/>
    </row>
    <row r="51" spans="1:27">
      <c r="A51" s="33"/>
      <c r="B51" s="33" t="s">
        <v>269</v>
      </c>
      <c r="C51" s="399">
        <f>CONS_TERAC!C51*CONS_U.FIS!$C$92</f>
        <v>0</v>
      </c>
      <c r="D51" s="399">
        <f>CONS_TERAC!D51*CONS_U.FIS!D$92</f>
        <v>0</v>
      </c>
      <c r="E51" s="399">
        <f>CONS_TERAC!E51*CONS_U.FIS!E$92</f>
        <v>0</v>
      </c>
      <c r="F51" s="399">
        <f>CONS_TERAC!F51*CONS_U.FIS!F$92</f>
        <v>0</v>
      </c>
      <c r="G51" s="399">
        <f>CONS_TERAC!G51*CONS_U.FIS!G$92</f>
        <v>79.018115142771265</v>
      </c>
      <c r="H51" s="399">
        <f>CONS_TERAC!H51*CONS_U.FIS!H$92</f>
        <v>0</v>
      </c>
      <c r="I51" s="399">
        <f>CONS_TERAC!I51*CONS_U.FIS!I$92</f>
        <v>0</v>
      </c>
      <c r="J51" s="399">
        <f>CONS_TERAC!J51*CONS_U.FIS!J$92</f>
        <v>0</v>
      </c>
      <c r="K51" s="399">
        <f>CONS_TERAC!K51*CONS_U.FIS!K$92</f>
        <v>0</v>
      </c>
      <c r="L51" s="399">
        <f>CONS_TERAC!M51*CONS_U.FIS!L$92</f>
        <v>0</v>
      </c>
      <c r="M51" s="399">
        <f>CONS_TERAC!N51*CONS_U.FIS!M$92</f>
        <v>0</v>
      </c>
      <c r="N51" s="399">
        <f>CONS_TERAC!O51*CONS_U.FIS!N$92</f>
        <v>178.56969528571426</v>
      </c>
      <c r="O51" s="399">
        <f>CONS_TERAC!P51*CONS_U.FIS!O$92</f>
        <v>0</v>
      </c>
      <c r="P51" s="399">
        <f>CONS_TERAC!Q51*CONS_U.FIS!P$92</f>
        <v>0</v>
      </c>
      <c r="Q51" s="399">
        <f>CONS_TERAC!R51*CONS_U.FIS!Q$92</f>
        <v>0</v>
      </c>
      <c r="R51" s="399">
        <f>CONS_TERAC!S51*CONS_U.FIS!R$92</f>
        <v>19.02079526817257</v>
      </c>
      <c r="S51" s="399">
        <f>CONS_TERAC!T51*CONS_U.FIS!S$92</f>
        <v>0</v>
      </c>
      <c r="T51" s="393">
        <f>CONS_TERAC!U51*CONS_U.FIS!T$92</f>
        <v>0</v>
      </c>
      <c r="U51" s="393">
        <f>CONS_TERAC!V51*CONS_U.FIS!U$92</f>
        <v>0</v>
      </c>
      <c r="V51" s="40"/>
      <c r="W51" s="40"/>
      <c r="X51" s="40"/>
      <c r="Y51" s="40"/>
      <c r="Z51" s="40"/>
      <c r="AA51" s="40"/>
    </row>
    <row r="52" spans="1:27">
      <c r="A52" s="33"/>
      <c r="B52" s="33" t="s">
        <v>286</v>
      </c>
      <c r="C52" s="399">
        <f>CONS_TERAC!C52*CONS_U.FIS!$C$92</f>
        <v>0</v>
      </c>
      <c r="D52" s="399">
        <f>CONS_TERAC!D52*CONS_U.FIS!D$92</f>
        <v>0</v>
      </c>
      <c r="E52" s="399">
        <f>CONS_TERAC!E52*CONS_U.FIS!E$92</f>
        <v>0</v>
      </c>
      <c r="F52" s="399">
        <f>CONS_TERAC!F52*CONS_U.FIS!F$92</f>
        <v>0</v>
      </c>
      <c r="G52" s="399">
        <f>CONS_TERAC!G52*CONS_U.FIS!G$92</f>
        <v>0</v>
      </c>
      <c r="H52" s="399">
        <f>CONS_TERAC!H52*CONS_U.FIS!H$92</f>
        <v>0</v>
      </c>
      <c r="I52" s="399">
        <f>CONS_TERAC!I52*CONS_U.FIS!I$92</f>
        <v>0</v>
      </c>
      <c r="J52" s="399">
        <f>CONS_TERAC!J52*CONS_U.FIS!J$92</f>
        <v>0</v>
      </c>
      <c r="K52" s="399">
        <f>CONS_TERAC!K52*CONS_U.FIS!K$92</f>
        <v>0</v>
      </c>
      <c r="L52" s="399">
        <f>CONS_TERAC!M52*CONS_U.FIS!L$92</f>
        <v>0</v>
      </c>
      <c r="M52" s="399">
        <f>CONS_TERAC!N52*CONS_U.FIS!M$92</f>
        <v>694.28674285714271</v>
      </c>
      <c r="N52" s="399">
        <f>CONS_TERAC!O52*CONS_U.FIS!N$92</f>
        <v>0</v>
      </c>
      <c r="O52" s="399">
        <f>CONS_TERAC!P52*CONS_U.FIS!O$92</f>
        <v>0</v>
      </c>
      <c r="P52" s="399">
        <f>CONS_TERAC!Q52*CONS_U.FIS!P$92</f>
        <v>0</v>
      </c>
      <c r="Q52" s="399">
        <f>CONS_TERAC!R52*CONS_U.FIS!Q$92</f>
        <v>0</v>
      </c>
      <c r="R52" s="399">
        <f>CONS_TERAC!S52*CONS_U.FIS!R$92</f>
        <v>0</v>
      </c>
      <c r="S52" s="399">
        <f>CONS_TERAC!T52*CONS_U.FIS!S$92</f>
        <v>0</v>
      </c>
      <c r="T52" s="393">
        <f>CONS_TERAC!U52*CONS_U.FIS!T$92</f>
        <v>0</v>
      </c>
      <c r="U52" s="393">
        <f>CONS_TERAC!V52*CONS_U.FIS!U$92</f>
        <v>0</v>
      </c>
      <c r="V52" s="40"/>
      <c r="W52" s="40"/>
      <c r="X52" s="40"/>
      <c r="Y52" s="40"/>
      <c r="Z52" s="40"/>
      <c r="AA52" s="40"/>
    </row>
    <row r="53" spans="1:27">
      <c r="A53" s="33"/>
      <c r="B53" s="33" t="s">
        <v>270</v>
      </c>
      <c r="C53" s="399">
        <f>CONS_TERAC!C53*CONS_U.FIS!$C$92</f>
        <v>0</v>
      </c>
      <c r="D53" s="399">
        <f>CONS_TERAC!D53*CONS_U.FIS!D$92</f>
        <v>0</v>
      </c>
      <c r="E53" s="399">
        <f>CONS_TERAC!E53*CONS_U.FIS!E$92</f>
        <v>0</v>
      </c>
      <c r="F53" s="399">
        <f>CONS_TERAC!F53*CONS_U.FIS!F$92</f>
        <v>0</v>
      </c>
      <c r="G53" s="399">
        <f>CONS_TERAC!G53*CONS_U.FIS!G$92</f>
        <v>0</v>
      </c>
      <c r="H53" s="399">
        <f>CONS_TERAC!H53*CONS_U.FIS!H$92</f>
        <v>0</v>
      </c>
      <c r="I53" s="399">
        <f>CONS_TERAC!I53*CONS_U.FIS!I$92</f>
        <v>0</v>
      </c>
      <c r="J53" s="399">
        <f>CONS_TERAC!J53*CONS_U.FIS!J$92</f>
        <v>0</v>
      </c>
      <c r="K53" s="399">
        <f>CONS_TERAC!K53*CONS_U.FIS!K$92</f>
        <v>0</v>
      </c>
      <c r="L53" s="399">
        <f>CONS_TERAC!M53*CONS_U.FIS!L$92</f>
        <v>0</v>
      </c>
      <c r="M53" s="399">
        <f>CONS_TERAC!N53*CONS_U.FIS!M$92</f>
        <v>0</v>
      </c>
      <c r="N53" s="399">
        <f>CONS_TERAC!O53*CONS_U.FIS!N$92</f>
        <v>0</v>
      </c>
      <c r="O53" s="399">
        <f>CONS_TERAC!P53*CONS_U.FIS!O$92</f>
        <v>0</v>
      </c>
      <c r="P53" s="399">
        <f>CONS_TERAC!Q53*CONS_U.FIS!P$92</f>
        <v>0</v>
      </c>
      <c r="Q53" s="399">
        <f>CONS_TERAC!R53*CONS_U.FIS!Q$92</f>
        <v>0</v>
      </c>
      <c r="R53" s="399">
        <f>CONS_TERAC!S53*CONS_U.FIS!R$92</f>
        <v>390.67302663506007</v>
      </c>
      <c r="S53" s="399">
        <f>CONS_TERAC!T53*CONS_U.FIS!S$92</f>
        <v>0</v>
      </c>
      <c r="T53" s="393">
        <f>CONS_TERAC!U53*CONS_U.FIS!T$92</f>
        <v>0</v>
      </c>
      <c r="U53" s="393">
        <f>CONS_TERAC!V53*CONS_U.FIS!U$92</f>
        <v>0</v>
      </c>
      <c r="V53" s="40"/>
      <c r="W53" s="40"/>
      <c r="X53" s="40"/>
      <c r="Y53" s="40"/>
      <c r="Z53" s="40"/>
      <c r="AA53" s="40"/>
    </row>
    <row r="54" spans="1:27">
      <c r="A54" s="33"/>
      <c r="B54" s="33" t="s">
        <v>271</v>
      </c>
      <c r="C54" s="399">
        <f>CONS_TERAC!C54*CONS_U.FIS!$C$92</f>
        <v>0</v>
      </c>
      <c r="D54" s="399">
        <f>CONS_TERAC!D54*CONS_U.FIS!D$92</f>
        <v>0</v>
      </c>
      <c r="E54" s="399">
        <f>CONS_TERAC!E54*CONS_U.FIS!E$92</f>
        <v>0</v>
      </c>
      <c r="F54" s="399">
        <f>CONS_TERAC!F54*CONS_U.FIS!F$92</f>
        <v>0</v>
      </c>
      <c r="G54" s="399">
        <f>CONS_TERAC!G54*CONS_U.FIS!G$92</f>
        <v>0</v>
      </c>
      <c r="H54" s="399">
        <f>CONS_TERAC!H54*CONS_U.FIS!H$92</f>
        <v>0</v>
      </c>
      <c r="I54" s="399">
        <f>CONS_TERAC!I54*CONS_U.FIS!I$92</f>
        <v>0</v>
      </c>
      <c r="J54" s="399">
        <f>CONS_TERAC!J54*CONS_U.FIS!J$92</f>
        <v>0</v>
      </c>
      <c r="K54" s="399">
        <f>CONS_TERAC!K54*CONS_U.FIS!K$92</f>
        <v>0</v>
      </c>
      <c r="L54" s="399">
        <f>CONS_TERAC!M54*CONS_U.FIS!L$92</f>
        <v>0</v>
      </c>
      <c r="M54" s="399">
        <f>CONS_TERAC!N54*CONS_U.FIS!M$92</f>
        <v>0</v>
      </c>
      <c r="N54" s="399">
        <f>CONS_TERAC!O54*CONS_U.FIS!N$92</f>
        <v>0</v>
      </c>
      <c r="O54" s="399">
        <f>CONS_TERAC!P54*CONS_U.FIS!O$92</f>
        <v>0</v>
      </c>
      <c r="P54" s="399">
        <f>CONS_TERAC!Q54*CONS_U.FIS!P$92</f>
        <v>0</v>
      </c>
      <c r="Q54" s="399">
        <f>CONS_TERAC!R54*CONS_U.FIS!Q$92</f>
        <v>0</v>
      </c>
      <c r="R54" s="399">
        <f>CONS_TERAC!S54*CONS_U.FIS!R$92</f>
        <v>0</v>
      </c>
      <c r="S54" s="399">
        <f>CONS_TERAC!T54*CONS_U.FIS!S$92</f>
        <v>0</v>
      </c>
      <c r="T54" s="393">
        <f>CONS_TERAC!U54*CONS_U.FIS!T$92</f>
        <v>0</v>
      </c>
      <c r="U54" s="393">
        <f>CONS_TERAC!V54*CONS_U.FIS!U$92</f>
        <v>0</v>
      </c>
      <c r="V54" s="40"/>
      <c r="W54" s="40"/>
      <c r="X54" s="40"/>
      <c r="Y54" s="40"/>
      <c r="Z54" s="40"/>
      <c r="AA54" s="40"/>
    </row>
    <row r="55" spans="1:27">
      <c r="A55" s="33"/>
      <c r="B55" s="33" t="s">
        <v>272</v>
      </c>
      <c r="C55" s="399">
        <f>CONS_TERAC!C55*CONS_U.FIS!$C$92</f>
        <v>0</v>
      </c>
      <c r="D55" s="399">
        <f>CONS_TERAC!D55*CONS_U.FIS!D$92</f>
        <v>0</v>
      </c>
      <c r="E55" s="399">
        <f>CONS_TERAC!E55*CONS_U.FIS!E$92</f>
        <v>0</v>
      </c>
      <c r="F55" s="399">
        <f>CONS_TERAC!F55*CONS_U.FIS!F$92</f>
        <v>0</v>
      </c>
      <c r="G55" s="399">
        <f>CONS_TERAC!G55*CONS_U.FIS!G$92</f>
        <v>0</v>
      </c>
      <c r="H55" s="399">
        <f>CONS_TERAC!H55*CONS_U.FIS!H$92</f>
        <v>0</v>
      </c>
      <c r="I55" s="399">
        <f>CONS_TERAC!I55*CONS_U.FIS!I$92</f>
        <v>0</v>
      </c>
      <c r="J55" s="399">
        <f>CONS_TERAC!J55*CONS_U.FIS!J$92</f>
        <v>0</v>
      </c>
      <c r="K55" s="399">
        <f>CONS_TERAC!K55*CONS_U.FIS!K$92</f>
        <v>0</v>
      </c>
      <c r="L55" s="399">
        <f>CONS_TERAC!M55*CONS_U.FIS!L$92</f>
        <v>0</v>
      </c>
      <c r="M55" s="399">
        <f>CONS_TERAC!N55*CONS_U.FIS!M$92</f>
        <v>0</v>
      </c>
      <c r="N55" s="399">
        <f>CONS_TERAC!O55*CONS_U.FIS!N$92</f>
        <v>0</v>
      </c>
      <c r="O55" s="399">
        <f>CONS_TERAC!P55*CONS_U.FIS!O$92</f>
        <v>0</v>
      </c>
      <c r="P55" s="399">
        <f>CONS_TERAC!Q55*CONS_U.FIS!P$92</f>
        <v>0</v>
      </c>
      <c r="Q55" s="399">
        <f>CONS_TERAC!R55*CONS_U.FIS!Q$92</f>
        <v>0</v>
      </c>
      <c r="R55" s="399">
        <f>CONS_TERAC!S55*CONS_U.FIS!R$92</f>
        <v>1012.7616866502516</v>
      </c>
      <c r="S55" s="399">
        <f>CONS_TERAC!T55*CONS_U.FIS!S$92</f>
        <v>0</v>
      </c>
      <c r="T55" s="393">
        <f>CONS_TERAC!U55*CONS_U.FIS!T$92</f>
        <v>0</v>
      </c>
      <c r="U55" s="393">
        <f>CONS_TERAC!V55*CONS_U.FIS!U$92</f>
        <v>0</v>
      </c>
      <c r="V55" s="40"/>
      <c r="W55" s="40"/>
      <c r="X55" s="40"/>
      <c r="Y55" s="40"/>
      <c r="Z55" s="40"/>
      <c r="AA55" s="40"/>
    </row>
    <row r="56" spans="1:27">
      <c r="A56" s="33"/>
      <c r="B56" s="33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40"/>
      <c r="W56" s="40"/>
      <c r="X56" s="40"/>
      <c r="Y56" s="40"/>
      <c r="Z56" s="40"/>
      <c r="AA56" s="40"/>
    </row>
    <row r="57" spans="1:27">
      <c r="A57" s="33" t="s">
        <v>273</v>
      </c>
      <c r="B57" s="33"/>
      <c r="C57" s="390">
        <f>CONS_TERAC!C57*CONS_U.FIS!$C$92</f>
        <v>2861.7577333547615</v>
      </c>
      <c r="D57" s="390">
        <f>CONS_TERAC!D57*CONS_U.FIS!D$92</f>
        <v>294.7258038971035</v>
      </c>
      <c r="E57" s="390">
        <f>CONS_TERAC!E57*CONS_U.FIS!E$92</f>
        <v>0</v>
      </c>
      <c r="F57" s="390">
        <f>CONS_TERAC!F57*CONS_U.FIS!F$92</f>
        <v>0</v>
      </c>
      <c r="G57" s="390">
        <f>CONS_TERAC!G57*CONS_U.FIS!G$92</f>
        <v>82.193764042771264</v>
      </c>
      <c r="H57" s="390">
        <f>CONS_TERAC!H57*CONS_U.FIS!H$92</f>
        <v>0</v>
      </c>
      <c r="I57" s="390">
        <f>CONS_TERAC!I57*CONS_U.FIS!I$92</f>
        <v>0</v>
      </c>
      <c r="J57" s="390">
        <f>CONS_TERAC!J57*CONS_U.FIS!J$92</f>
        <v>4.2999999999999991E-3</v>
      </c>
      <c r="K57" s="390">
        <f>CONS_TERAC!K57*CONS_U.FIS!K$92</f>
        <v>40.249643329285206</v>
      </c>
      <c r="L57" s="390">
        <f>CONS_TERAC!M57*CONS_U.FIS!L$92</f>
        <v>0</v>
      </c>
      <c r="M57" s="390">
        <f>CONS_TERAC!N57*CONS_U.FIS!M$92</f>
        <v>5671.7507932500912</v>
      </c>
      <c r="N57" s="390">
        <f>CONS_TERAC!O57*CONS_U.FIS!N$92</f>
        <v>867.63023571428585</v>
      </c>
      <c r="O57" s="390">
        <f>CONS_TERAC!P57*CONS_U.FIS!O$92</f>
        <v>0</v>
      </c>
      <c r="P57" s="390">
        <f>CONS_TERAC!Q57*CONS_U.FIS!P$92</f>
        <v>0</v>
      </c>
      <c r="Q57" s="390">
        <f>CONS_TERAC!R57*CONS_U.FIS!Q$92</f>
        <v>0</v>
      </c>
      <c r="R57" s="390">
        <f>CONS_TERAC!S57*CONS_U.FIS!R$92</f>
        <v>1987.0271608765945</v>
      </c>
      <c r="S57" s="390">
        <f>CONS_TERAC!T57*CONS_U.FIS!S$92</f>
        <v>0</v>
      </c>
      <c r="T57" s="390">
        <f>CONS_TERAC!U57*CONS_U.FIS!T$92</f>
        <v>0</v>
      </c>
      <c r="U57" s="390">
        <f>CONS_TERAC!V57*CONS_U.FIS!U$92</f>
        <v>1540.6120390390688</v>
      </c>
      <c r="V57" s="40"/>
      <c r="W57" s="40"/>
      <c r="X57" s="40"/>
      <c r="Y57" s="40"/>
      <c r="Z57" s="40"/>
      <c r="AA57" s="40"/>
    </row>
    <row r="58" spans="1:27">
      <c r="A58" s="33"/>
      <c r="B58" s="33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40"/>
      <c r="W58" s="40"/>
      <c r="X58" s="40"/>
      <c r="Y58" s="40"/>
      <c r="Z58" s="40"/>
      <c r="AA58" s="40"/>
    </row>
    <row r="59" spans="1:27">
      <c r="A59" s="33"/>
      <c r="B59" s="33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40"/>
      <c r="W59" s="40"/>
      <c r="X59" s="40"/>
      <c r="Y59" s="40"/>
      <c r="Z59" s="40"/>
      <c r="AA59" s="40"/>
    </row>
    <row r="60" spans="1:27">
      <c r="A60" s="34" t="s">
        <v>274</v>
      </c>
      <c r="B60" s="34"/>
      <c r="C60" s="390">
        <f>CONS_TERAC!C60*CONS_U.FIS!$C$92</f>
        <v>9806.3969089869988</v>
      </c>
      <c r="D60" s="390">
        <f>CONS_TERAC!D60*CONS_U.FIS!D$92</f>
        <v>2767.260148032</v>
      </c>
      <c r="E60" s="390">
        <f>CONS_TERAC!E60*CONS_U.FIS!E$92</f>
        <v>3147.236821844002</v>
      </c>
      <c r="F60" s="390">
        <f>CONS_TERAC!F60*CONS_U.FIS!F$92</f>
        <v>97.544747000000015</v>
      </c>
      <c r="G60" s="390">
        <f>CONS_TERAC!G60*CONS_U.FIS!G$92</f>
        <v>1325.985258377081</v>
      </c>
      <c r="H60" s="390">
        <f>CONS_TERAC!H60*CONS_U.FIS!H$92</f>
        <v>5.9202339999999998</v>
      </c>
      <c r="I60" s="390">
        <f>CONS_TERAC!I60*CONS_U.FIS!I$92</f>
        <v>1056.7205860000001</v>
      </c>
      <c r="J60" s="390">
        <f>CONS_TERAC!J60*CONS_U.FIS!J$92</f>
        <v>142.17278999999999</v>
      </c>
      <c r="K60" s="390">
        <f>CONS_TERAC!K60*CONS_U.FIS!K$92</f>
        <v>841.55544799595202</v>
      </c>
      <c r="L60" s="390">
        <f>CONS_TERAC!M60*CONS_U.FIS!L$92</f>
        <v>55777.451717045384</v>
      </c>
      <c r="M60" s="390">
        <f>CONS_TERAC!N60*CONS_U.FIS!M$92</f>
        <v>6242.1718066938702</v>
      </c>
      <c r="N60" s="390">
        <f>CONS_TERAC!O60*CONS_U.FIS!N$92</f>
        <v>1285.0785028122609</v>
      </c>
      <c r="O60" s="390">
        <f>CONS_TERAC!P60*CONS_U.FIS!O$92</f>
        <v>16926.25</v>
      </c>
      <c r="P60" s="390">
        <f>CONS_TERAC!Q60*CONS_U.FIS!P$92</f>
        <v>336.65085314372607</v>
      </c>
      <c r="Q60" s="390">
        <f>CONS_TERAC!R60*CONS_U.FIS!Q$92</f>
        <v>1111.7023911111112</v>
      </c>
      <c r="R60" s="390">
        <f>CONS_TERAC!S60*CONS_U.FIS!R$92</f>
        <v>2635.2288875750241</v>
      </c>
      <c r="S60" s="390">
        <f>CONS_TERAC!T60*CONS_U.FIS!S$92</f>
        <v>95.391220000000018</v>
      </c>
      <c r="T60" s="390">
        <f>CONS_TERAC!U60*CONS_U.FIS!T$92</f>
        <v>0</v>
      </c>
      <c r="U60" s="390">
        <f>CONS_TERAC!V60*CONS_U.FIS!U$92</f>
        <v>14619.879521426943</v>
      </c>
      <c r="V60" s="40"/>
      <c r="W60" s="40"/>
      <c r="X60" s="40"/>
      <c r="Y60" s="40"/>
      <c r="Z60" s="40"/>
      <c r="AA60" s="40"/>
    </row>
    <row r="61" spans="1:27">
      <c r="A61" s="34"/>
      <c r="B61" s="34"/>
      <c r="C61" s="50"/>
      <c r="D61" s="51"/>
      <c r="E61" s="50"/>
      <c r="F61" s="50"/>
      <c r="G61" s="50"/>
      <c r="H61" s="50"/>
      <c r="I61" s="50"/>
      <c r="J61" s="50"/>
      <c r="K61" s="51"/>
      <c r="L61" s="50"/>
      <c r="M61" s="51"/>
      <c r="N61" s="50"/>
      <c r="O61" s="50"/>
      <c r="P61" s="50"/>
      <c r="Q61" s="50"/>
      <c r="R61" s="50"/>
      <c r="S61" s="50"/>
      <c r="T61" s="50"/>
      <c r="U61" s="50"/>
      <c r="V61" s="40"/>
      <c r="W61" s="52"/>
      <c r="X61" s="52"/>
      <c r="Y61" s="53"/>
      <c r="Z61" s="53"/>
      <c r="AA61" s="53"/>
    </row>
    <row r="62" spans="1:27">
      <c r="A62" s="40"/>
      <c r="B62" s="40"/>
      <c r="C62" s="50"/>
      <c r="D62" s="51"/>
      <c r="E62" s="50"/>
      <c r="F62" s="50"/>
      <c r="G62" s="50"/>
      <c r="H62" s="50"/>
      <c r="I62" s="50"/>
      <c r="J62" s="50"/>
      <c r="K62" s="51"/>
      <c r="L62" s="50"/>
      <c r="M62" s="51"/>
      <c r="N62" s="50"/>
      <c r="O62" s="50"/>
      <c r="P62" s="50"/>
      <c r="Q62" s="50"/>
      <c r="R62" s="50"/>
      <c r="S62" s="50"/>
      <c r="T62" s="50"/>
      <c r="U62" s="50"/>
      <c r="V62" s="40"/>
      <c r="W62" s="52"/>
      <c r="X62" s="52"/>
      <c r="Y62" s="53"/>
      <c r="Z62" s="53"/>
      <c r="AA62" s="53"/>
    </row>
    <row r="63" spans="1:27">
      <c r="A63" s="40"/>
      <c r="B63" s="40"/>
      <c r="C63" s="50"/>
      <c r="D63" s="51"/>
      <c r="E63" s="50"/>
      <c r="F63" s="50"/>
      <c r="G63" s="50"/>
      <c r="H63" s="50"/>
      <c r="I63" s="50"/>
      <c r="J63" s="50"/>
      <c r="K63" s="51"/>
      <c r="L63" s="50"/>
      <c r="M63" s="51"/>
      <c r="N63" s="50"/>
      <c r="O63" s="50"/>
      <c r="P63" s="50"/>
      <c r="Q63" s="50"/>
      <c r="R63" s="50"/>
      <c r="S63" s="50"/>
      <c r="T63" s="50"/>
      <c r="U63" s="50"/>
      <c r="V63" s="40"/>
      <c r="W63" s="52"/>
      <c r="X63" s="52"/>
      <c r="Y63" s="53"/>
      <c r="Z63" s="53"/>
      <c r="AA63" s="53"/>
    </row>
    <row r="64" spans="1:27">
      <c r="A64" s="40"/>
      <c r="B64" s="40"/>
      <c r="C64" s="50"/>
      <c r="D64" s="51"/>
      <c r="E64" s="50"/>
      <c r="F64" s="50"/>
      <c r="G64" s="50"/>
      <c r="H64" s="50"/>
      <c r="I64" s="50"/>
      <c r="J64" s="50"/>
      <c r="K64" s="51"/>
      <c r="L64" s="50"/>
      <c r="M64" s="51"/>
      <c r="N64" s="50"/>
      <c r="O64" s="50"/>
      <c r="P64" s="50"/>
      <c r="Q64" s="50"/>
      <c r="R64" s="50"/>
      <c r="S64" s="50"/>
      <c r="T64" s="50"/>
      <c r="U64" s="50"/>
      <c r="V64" s="40"/>
      <c r="W64" s="52"/>
      <c r="X64" s="52"/>
      <c r="Y64" s="53"/>
      <c r="Z64" s="53"/>
      <c r="AA64" s="53"/>
    </row>
    <row r="65" spans="1:27">
      <c r="A65" s="40"/>
      <c r="B65" s="40"/>
      <c r="C65" s="50"/>
      <c r="D65" s="51"/>
      <c r="E65" s="50"/>
      <c r="F65" s="50"/>
      <c r="G65" s="50"/>
      <c r="H65" s="50"/>
      <c r="I65" s="50"/>
      <c r="J65" s="50"/>
      <c r="K65" s="51"/>
      <c r="L65" s="50"/>
      <c r="M65" s="51"/>
      <c r="N65" s="50"/>
      <c r="O65" s="50"/>
      <c r="P65" s="50"/>
      <c r="Q65" s="50"/>
      <c r="R65" s="50"/>
      <c r="S65" s="50"/>
      <c r="T65" s="50"/>
      <c r="U65" s="50"/>
      <c r="V65" s="40"/>
      <c r="W65" s="52"/>
      <c r="X65" s="52"/>
      <c r="Y65" s="53"/>
      <c r="Z65" s="53"/>
      <c r="AA65" s="53"/>
    </row>
    <row r="66" spans="1:27">
      <c r="A66" s="40"/>
      <c r="B66" s="40"/>
      <c r="C66" s="50"/>
      <c r="D66" s="51"/>
      <c r="E66" s="50"/>
      <c r="F66" s="50"/>
      <c r="G66" s="50"/>
      <c r="H66" s="50"/>
      <c r="I66" s="50"/>
      <c r="J66" s="50"/>
      <c r="K66" s="51"/>
      <c r="L66" s="50"/>
      <c r="M66" s="51"/>
      <c r="N66" s="50"/>
      <c r="O66" s="50"/>
      <c r="P66" s="50"/>
      <c r="Q66" s="50"/>
      <c r="R66" s="50"/>
      <c r="S66" s="50"/>
      <c r="T66" s="50"/>
      <c r="U66" s="50"/>
      <c r="V66" s="40"/>
      <c r="W66" s="52"/>
      <c r="X66" s="52"/>
      <c r="Y66" s="53"/>
      <c r="Z66" s="53"/>
      <c r="AA66" s="53"/>
    </row>
    <row r="67" spans="1:27">
      <c r="A67" s="40"/>
      <c r="B67" s="40"/>
      <c r="C67" s="50"/>
      <c r="D67" s="51"/>
      <c r="E67" s="50"/>
      <c r="F67" s="50"/>
      <c r="G67" s="50"/>
      <c r="H67" s="50"/>
      <c r="I67" s="50"/>
      <c r="J67" s="50"/>
      <c r="K67" s="51"/>
      <c r="L67" s="50"/>
      <c r="M67" s="51"/>
      <c r="N67" s="50"/>
      <c r="O67" s="50"/>
      <c r="P67" s="50"/>
      <c r="Q67" s="50"/>
      <c r="R67" s="50"/>
      <c r="S67" s="50"/>
      <c r="T67" s="50"/>
      <c r="U67" s="50"/>
      <c r="V67" s="40"/>
      <c r="W67" s="52"/>
      <c r="X67" s="52"/>
      <c r="Y67" s="53"/>
      <c r="Z67" s="53"/>
      <c r="AA67" s="53"/>
    </row>
    <row r="68" spans="1:27">
      <c r="A68" s="40"/>
      <c r="B68" s="40"/>
      <c r="C68" s="50"/>
      <c r="D68" s="51"/>
      <c r="E68" s="50"/>
      <c r="F68" s="50"/>
      <c r="G68" s="50"/>
      <c r="H68" s="50"/>
      <c r="I68" s="50"/>
      <c r="J68" s="50"/>
      <c r="K68" s="51"/>
      <c r="L68" s="50"/>
      <c r="M68" s="51"/>
      <c r="N68" s="50"/>
      <c r="O68" s="50"/>
      <c r="P68" s="50"/>
      <c r="Q68" s="50"/>
      <c r="R68" s="50"/>
      <c r="S68" s="50"/>
      <c r="T68" s="50"/>
      <c r="U68" s="50"/>
      <c r="V68" s="40"/>
      <c r="W68" s="52"/>
      <c r="X68" s="52"/>
      <c r="Y68" s="53"/>
      <c r="Z68" s="53"/>
      <c r="AA68" s="53"/>
    </row>
    <row r="69" spans="1:27">
      <c r="A69" s="40"/>
      <c r="B69" s="40"/>
      <c r="C69" s="50"/>
      <c r="D69" s="51"/>
      <c r="E69" s="50"/>
      <c r="F69" s="50"/>
      <c r="G69" s="50"/>
      <c r="H69" s="50"/>
      <c r="I69" s="50"/>
      <c r="J69" s="50"/>
      <c r="K69" s="51"/>
      <c r="L69" s="50"/>
      <c r="M69" s="51"/>
      <c r="N69" s="50"/>
      <c r="O69" s="50"/>
      <c r="P69" s="50"/>
      <c r="Q69" s="50"/>
      <c r="R69" s="50"/>
      <c r="S69" s="50"/>
      <c r="T69" s="50"/>
      <c r="U69" s="50"/>
      <c r="V69" s="40"/>
      <c r="W69" s="52"/>
      <c r="X69" s="52"/>
      <c r="Y69" s="53"/>
      <c r="Z69" s="53"/>
      <c r="AA69" s="53"/>
    </row>
    <row r="70" spans="1:27">
      <c r="A70" s="40"/>
      <c r="B70" s="40"/>
      <c r="C70" s="50"/>
      <c r="D70" s="51"/>
      <c r="E70" s="50"/>
      <c r="F70" s="50"/>
      <c r="G70" s="50"/>
      <c r="H70" s="50"/>
      <c r="I70" s="50"/>
      <c r="J70" s="50"/>
      <c r="K70" s="51"/>
      <c r="L70" s="50"/>
      <c r="M70" s="51"/>
      <c r="N70" s="50"/>
      <c r="O70" s="50"/>
      <c r="P70" s="50"/>
      <c r="Q70" s="50"/>
      <c r="R70" s="50"/>
      <c r="S70" s="50"/>
      <c r="T70" s="50"/>
      <c r="U70" s="50"/>
      <c r="V70" s="40"/>
      <c r="W70" s="52"/>
      <c r="X70" s="52"/>
      <c r="Y70" s="53"/>
      <c r="Z70" s="53"/>
      <c r="AA70" s="53"/>
    </row>
    <row r="71" spans="1:27">
      <c r="A71" s="40"/>
      <c r="B71" s="40"/>
      <c r="C71" s="50"/>
      <c r="D71" s="51"/>
      <c r="E71" s="50"/>
      <c r="F71" s="50"/>
      <c r="G71" s="50"/>
      <c r="H71" s="50"/>
      <c r="I71" s="50"/>
      <c r="J71" s="50"/>
      <c r="K71" s="51"/>
      <c r="L71" s="50"/>
      <c r="M71" s="51"/>
      <c r="N71" s="50"/>
      <c r="O71" s="50"/>
      <c r="P71" s="50"/>
      <c r="Q71" s="50"/>
      <c r="R71" s="50"/>
      <c r="S71" s="50"/>
      <c r="T71" s="50"/>
      <c r="U71" s="50"/>
      <c r="V71" s="40"/>
      <c r="W71" s="52"/>
      <c r="X71" s="52"/>
      <c r="Y71" s="53"/>
      <c r="Z71" s="53"/>
      <c r="AA71" s="53"/>
    </row>
    <row r="72" spans="1:27">
      <c r="A72" s="40"/>
      <c r="B72" s="40"/>
      <c r="C72" s="50"/>
      <c r="D72" s="51"/>
      <c r="E72" s="50"/>
      <c r="F72" s="50"/>
      <c r="G72" s="50"/>
      <c r="H72" s="50"/>
      <c r="I72" s="50"/>
      <c r="J72" s="50"/>
      <c r="K72" s="51"/>
      <c r="L72" s="50"/>
      <c r="M72" s="51"/>
      <c r="N72" s="50"/>
      <c r="O72" s="50"/>
      <c r="P72" s="50"/>
      <c r="Q72" s="50"/>
      <c r="R72" s="50"/>
      <c r="S72" s="50"/>
      <c r="T72" s="50"/>
      <c r="U72" s="50"/>
      <c r="V72" s="40"/>
      <c r="W72" s="52"/>
      <c r="X72" s="52"/>
      <c r="Y72" s="53"/>
      <c r="Z72" s="53"/>
      <c r="AA72" s="53"/>
    </row>
    <row r="73" spans="1:27">
      <c r="A73" s="40"/>
      <c r="B73" s="40"/>
      <c r="C73" s="50"/>
      <c r="D73" s="51"/>
      <c r="E73" s="50"/>
      <c r="F73" s="50"/>
      <c r="G73" s="50"/>
      <c r="H73" s="50"/>
      <c r="I73" s="50"/>
      <c r="J73" s="50"/>
      <c r="K73" s="51"/>
      <c r="L73" s="50"/>
      <c r="M73" s="51"/>
      <c r="N73" s="50"/>
      <c r="O73" s="50"/>
      <c r="P73" s="50"/>
      <c r="Q73" s="50"/>
      <c r="R73" s="50"/>
      <c r="S73" s="50"/>
      <c r="T73" s="50"/>
      <c r="U73" s="50"/>
      <c r="V73" s="40"/>
      <c r="W73" s="52"/>
      <c r="X73" s="52"/>
      <c r="Y73" s="53"/>
      <c r="Z73" s="53"/>
      <c r="AA73" s="53"/>
    </row>
    <row r="74" spans="1:27">
      <c r="A74" s="40"/>
      <c r="B74" s="40"/>
      <c r="C74" s="50"/>
      <c r="D74" s="51"/>
      <c r="E74" s="50"/>
      <c r="F74" s="50"/>
      <c r="G74" s="50"/>
      <c r="H74" s="50"/>
      <c r="I74" s="50"/>
      <c r="J74" s="50"/>
      <c r="K74" s="51"/>
      <c r="L74" s="50"/>
      <c r="M74" s="51"/>
      <c r="N74" s="50"/>
      <c r="O74" s="50"/>
      <c r="P74" s="50"/>
      <c r="Q74" s="50"/>
      <c r="R74" s="50"/>
      <c r="S74" s="50"/>
      <c r="T74" s="50"/>
      <c r="U74" s="50"/>
      <c r="V74" s="40"/>
      <c r="W74" s="52"/>
      <c r="X74" s="52"/>
      <c r="Y74" s="53"/>
      <c r="Z74" s="53"/>
      <c r="AA74" s="53"/>
    </row>
    <row r="75" spans="1:27">
      <c r="A75" s="40"/>
      <c r="B75" s="40"/>
      <c r="C75" s="50"/>
      <c r="D75" s="51"/>
      <c r="E75" s="50"/>
      <c r="F75" s="50"/>
      <c r="G75" s="50"/>
      <c r="H75" s="50"/>
      <c r="I75" s="50"/>
      <c r="J75" s="50"/>
      <c r="K75" s="51"/>
      <c r="L75" s="50"/>
      <c r="M75" s="51"/>
      <c r="N75" s="50"/>
      <c r="O75" s="50"/>
      <c r="P75" s="50"/>
      <c r="Q75" s="50"/>
      <c r="R75" s="50"/>
      <c r="S75" s="50"/>
      <c r="T75" s="50"/>
      <c r="U75" s="50"/>
      <c r="V75" s="40"/>
      <c r="W75" s="52"/>
      <c r="X75" s="52"/>
      <c r="Y75" s="53"/>
      <c r="Z75" s="53"/>
      <c r="AA75" s="53"/>
    </row>
    <row r="76" spans="1:27">
      <c r="A76" s="40"/>
      <c r="B76" s="40"/>
      <c r="C76" s="50"/>
      <c r="D76" s="51"/>
      <c r="E76" s="50"/>
      <c r="F76" s="50"/>
      <c r="G76" s="50"/>
      <c r="H76" s="50"/>
      <c r="I76" s="50"/>
      <c r="J76" s="50"/>
      <c r="K76" s="51"/>
      <c r="L76" s="50"/>
      <c r="M76" s="51"/>
      <c r="N76" s="50"/>
      <c r="O76" s="50"/>
      <c r="P76" s="50"/>
      <c r="Q76" s="50"/>
      <c r="R76" s="50"/>
      <c r="S76" s="50"/>
      <c r="T76" s="50"/>
      <c r="U76" s="50"/>
      <c r="V76" s="40"/>
      <c r="W76" s="52"/>
      <c r="X76" s="52"/>
      <c r="Y76" s="53"/>
      <c r="Z76" s="53"/>
      <c r="AA76" s="53"/>
    </row>
    <row r="77" spans="1:27">
      <c r="A77" s="40"/>
      <c r="B77" s="40"/>
      <c r="C77" s="50"/>
      <c r="D77" s="51"/>
      <c r="E77" s="50"/>
      <c r="F77" s="50"/>
      <c r="G77" s="50"/>
      <c r="H77" s="50"/>
      <c r="I77" s="50"/>
      <c r="J77" s="50"/>
      <c r="K77" s="51"/>
      <c r="L77" s="50"/>
      <c r="M77" s="51"/>
      <c r="N77" s="50"/>
      <c r="O77" s="50"/>
      <c r="P77" s="50"/>
      <c r="Q77" s="50"/>
      <c r="R77" s="50"/>
      <c r="S77" s="50"/>
      <c r="T77" s="50"/>
      <c r="U77" s="50"/>
      <c r="V77" s="40"/>
      <c r="W77" s="52"/>
      <c r="X77" s="52"/>
      <c r="Y77" s="53"/>
      <c r="Z77" s="53"/>
      <c r="AA77" s="53"/>
    </row>
    <row r="78" spans="1:27">
      <c r="A78" s="40"/>
      <c r="B78" s="40"/>
      <c r="C78" s="50"/>
      <c r="D78" s="51"/>
      <c r="E78" s="50"/>
      <c r="F78" s="50"/>
      <c r="G78" s="50"/>
      <c r="H78" s="50"/>
      <c r="I78" s="50"/>
      <c r="J78" s="50"/>
      <c r="K78" s="51"/>
      <c r="L78" s="50"/>
      <c r="M78" s="51"/>
      <c r="N78" s="50"/>
      <c r="O78" s="50"/>
      <c r="P78" s="50"/>
      <c r="Q78" s="50"/>
      <c r="R78" s="50"/>
      <c r="S78" s="50"/>
      <c r="T78" s="50"/>
      <c r="U78" s="50"/>
      <c r="V78" s="40"/>
      <c r="W78" s="52"/>
      <c r="X78" s="52"/>
      <c r="Y78" s="53"/>
      <c r="Z78" s="53"/>
      <c r="AA78" s="53"/>
    </row>
    <row r="79" spans="1:27">
      <c r="A79" s="40"/>
      <c r="B79" s="40"/>
      <c r="C79" s="50"/>
      <c r="D79" s="51"/>
      <c r="E79" s="50"/>
      <c r="F79" s="50"/>
      <c r="G79" s="50"/>
      <c r="H79" s="50"/>
      <c r="I79" s="50"/>
      <c r="J79" s="50"/>
      <c r="K79" s="51"/>
      <c r="L79" s="50"/>
      <c r="M79" s="51"/>
      <c r="N79" s="50"/>
      <c r="O79" s="50"/>
      <c r="P79" s="50"/>
      <c r="Q79" s="50"/>
      <c r="R79" s="50"/>
      <c r="S79" s="50"/>
      <c r="T79" s="50"/>
      <c r="U79" s="50"/>
      <c r="V79" s="40"/>
      <c r="W79" s="52"/>
      <c r="X79" s="52"/>
      <c r="Y79" s="53"/>
      <c r="Z79" s="53"/>
      <c r="AA79" s="53"/>
    </row>
    <row r="80" spans="1:27">
      <c r="A80" s="40"/>
      <c r="B80" s="40"/>
      <c r="C80" s="50"/>
      <c r="D80" s="51"/>
      <c r="E80" s="50"/>
      <c r="F80" s="50"/>
      <c r="G80" s="50"/>
      <c r="H80" s="50"/>
      <c r="I80" s="50"/>
      <c r="J80" s="50"/>
      <c r="K80" s="51"/>
      <c r="L80" s="50"/>
      <c r="M80" s="51"/>
      <c r="N80" s="50"/>
      <c r="O80" s="50"/>
      <c r="P80" s="50"/>
      <c r="Q80" s="50"/>
      <c r="R80" s="50"/>
      <c r="S80" s="50"/>
      <c r="T80" s="50"/>
      <c r="U80" s="50"/>
      <c r="V80" s="40"/>
      <c r="W80" s="52"/>
      <c r="X80" s="52"/>
      <c r="Y80" s="53"/>
      <c r="Z80" s="53"/>
      <c r="AA80" s="53"/>
    </row>
    <row r="81" spans="1:27">
      <c r="A81" s="40"/>
      <c r="B81" s="40"/>
      <c r="C81" s="50"/>
      <c r="D81" s="51"/>
      <c r="E81" s="50"/>
      <c r="F81" s="50"/>
      <c r="G81" s="50"/>
      <c r="H81" s="50"/>
      <c r="I81" s="50"/>
      <c r="J81" s="50"/>
      <c r="K81" s="51"/>
      <c r="L81" s="50"/>
      <c r="M81" s="51"/>
      <c r="N81" s="50"/>
      <c r="O81" s="50"/>
      <c r="P81" s="50"/>
      <c r="Q81" s="50"/>
      <c r="R81" s="50"/>
      <c r="S81" s="50"/>
      <c r="T81" s="50"/>
      <c r="U81" s="50"/>
      <c r="V81" s="40"/>
      <c r="W81" s="52"/>
      <c r="X81" s="52"/>
      <c r="Y81" s="53"/>
      <c r="Z81" s="53"/>
      <c r="AA81" s="53"/>
    </row>
    <row r="82" spans="1:27">
      <c r="A82" s="40"/>
      <c r="B82" s="40"/>
      <c r="C82" s="50"/>
      <c r="D82" s="51"/>
      <c r="E82" s="50"/>
      <c r="F82" s="50"/>
      <c r="G82" s="50"/>
      <c r="H82" s="50"/>
      <c r="I82" s="50"/>
      <c r="J82" s="50"/>
      <c r="K82" s="51"/>
      <c r="L82" s="50"/>
      <c r="M82" s="51"/>
      <c r="N82" s="50"/>
      <c r="O82" s="50"/>
      <c r="P82" s="50"/>
      <c r="Q82" s="50"/>
      <c r="R82" s="50"/>
      <c r="S82" s="50"/>
      <c r="T82" s="50"/>
      <c r="U82" s="50"/>
      <c r="V82" s="40"/>
      <c r="W82" s="52"/>
      <c r="X82" s="52"/>
      <c r="Y82" s="53"/>
      <c r="Z82" s="53"/>
      <c r="AA82" s="53"/>
    </row>
    <row r="83" spans="1:27">
      <c r="A83" s="40"/>
      <c r="B83" s="40"/>
      <c r="C83" s="50"/>
      <c r="D83" s="51"/>
      <c r="E83" s="50"/>
      <c r="F83" s="50"/>
      <c r="G83" s="50"/>
      <c r="H83" s="50"/>
      <c r="I83" s="50"/>
      <c r="J83" s="50"/>
      <c r="K83" s="51"/>
      <c r="L83" s="50"/>
      <c r="M83" s="51"/>
      <c r="N83" s="50"/>
      <c r="O83" s="50"/>
      <c r="P83" s="50"/>
      <c r="Q83" s="50"/>
      <c r="R83" s="50"/>
      <c r="S83" s="50"/>
      <c r="T83" s="50"/>
      <c r="U83" s="50"/>
      <c r="V83" s="40"/>
      <c r="W83" s="52"/>
      <c r="X83" s="52"/>
      <c r="Y83" s="53"/>
      <c r="Z83" s="53"/>
      <c r="AA83" s="53"/>
    </row>
    <row r="84" spans="1:27">
      <c r="A84" s="40"/>
      <c r="B84" s="40"/>
      <c r="C84" s="50"/>
      <c r="D84" s="51"/>
      <c r="E84" s="50"/>
      <c r="F84" s="50"/>
      <c r="G84" s="50"/>
      <c r="H84" s="50"/>
      <c r="I84" s="50"/>
      <c r="J84" s="50"/>
      <c r="K84" s="51"/>
      <c r="L84" s="50"/>
      <c r="M84" s="51"/>
      <c r="N84" s="50"/>
      <c r="O84" s="50"/>
      <c r="P84" s="50"/>
      <c r="Q84" s="50"/>
      <c r="R84" s="50"/>
      <c r="S84" s="50"/>
      <c r="T84" s="50"/>
      <c r="U84" s="50"/>
      <c r="V84" s="40"/>
      <c r="W84" s="52"/>
      <c r="X84" s="52"/>
      <c r="Y84" s="53"/>
      <c r="Z84" s="53"/>
      <c r="AA84" s="53"/>
    </row>
    <row r="85" spans="1:27">
      <c r="A85" s="40"/>
      <c r="B85" s="40"/>
      <c r="C85" s="50"/>
      <c r="D85" s="51"/>
      <c r="E85" s="50"/>
      <c r="F85" s="50"/>
      <c r="G85" s="50"/>
      <c r="H85" s="50"/>
      <c r="I85" s="50"/>
      <c r="J85" s="50"/>
      <c r="K85" s="51"/>
      <c r="L85" s="50"/>
      <c r="M85" s="51"/>
      <c r="N85" s="50"/>
      <c r="O85" s="50"/>
      <c r="P85" s="50"/>
      <c r="Q85" s="50"/>
      <c r="R85" s="50"/>
      <c r="S85" s="50"/>
      <c r="T85" s="50"/>
      <c r="U85" s="50"/>
      <c r="V85" s="40"/>
      <c r="W85" s="52"/>
      <c r="X85" s="52"/>
      <c r="Y85" s="53"/>
      <c r="Z85" s="53"/>
      <c r="AA85" s="53"/>
    </row>
    <row r="86" spans="1:27">
      <c r="A86" s="40"/>
      <c r="B86" s="40"/>
      <c r="C86" s="50"/>
      <c r="D86" s="51"/>
      <c r="E86" s="50"/>
      <c r="F86" s="50"/>
      <c r="G86" s="50"/>
      <c r="H86" s="50"/>
      <c r="I86" s="50"/>
      <c r="J86" s="50"/>
      <c r="K86" s="51"/>
      <c r="L86" s="50"/>
      <c r="M86" s="51"/>
      <c r="N86" s="50"/>
      <c r="O86" s="50"/>
      <c r="P86" s="50"/>
      <c r="Q86" s="50"/>
      <c r="R86" s="50"/>
      <c r="S86" s="50"/>
      <c r="T86" s="50"/>
      <c r="U86" s="50"/>
      <c r="V86" s="40"/>
      <c r="W86" s="52"/>
      <c r="X86" s="52"/>
      <c r="Y86" s="53"/>
      <c r="Z86" s="53"/>
      <c r="AA86" s="53"/>
    </row>
    <row r="87" spans="1:27">
      <c r="A87" s="40"/>
      <c r="B87" s="40"/>
      <c r="C87" s="50"/>
      <c r="D87" s="51"/>
      <c r="E87" s="50"/>
      <c r="F87" s="50"/>
      <c r="G87" s="50"/>
      <c r="H87" s="50"/>
      <c r="I87" s="50"/>
      <c r="J87" s="50"/>
      <c r="K87" s="51"/>
      <c r="L87" s="50"/>
      <c r="M87" s="51"/>
      <c r="N87" s="50"/>
      <c r="O87" s="50"/>
      <c r="P87" s="50"/>
      <c r="Q87" s="50"/>
      <c r="R87" s="50"/>
      <c r="S87" s="50"/>
      <c r="T87" s="50"/>
      <c r="U87" s="50"/>
      <c r="V87" s="40"/>
      <c r="W87" s="52"/>
      <c r="X87" s="52"/>
      <c r="Y87" s="53"/>
      <c r="Z87" s="53"/>
      <c r="AA87" s="53"/>
    </row>
    <row r="88" spans="1:27">
      <c r="A88" s="40"/>
      <c r="B88" s="40"/>
      <c r="C88" s="50"/>
      <c r="D88" s="51"/>
      <c r="E88" s="50"/>
      <c r="F88" s="50"/>
      <c r="G88" s="50"/>
      <c r="H88" s="50"/>
      <c r="I88" s="50"/>
      <c r="J88" s="50"/>
      <c r="K88" s="51"/>
      <c r="L88" s="50"/>
      <c r="M88" s="51"/>
      <c r="N88" s="50"/>
      <c r="O88" s="50"/>
      <c r="P88" s="50"/>
      <c r="Q88" s="50"/>
      <c r="R88" s="50"/>
      <c r="S88" s="50"/>
      <c r="T88" s="50"/>
      <c r="U88" s="50"/>
      <c r="V88" s="40"/>
      <c r="W88" s="52"/>
      <c r="X88" s="52"/>
      <c r="Y88" s="53"/>
      <c r="Z88" s="53"/>
      <c r="AA88" s="53"/>
    </row>
    <row r="89" spans="1:27">
      <c r="A89" s="40"/>
      <c r="B89" s="40"/>
      <c r="C89" s="50"/>
      <c r="D89" s="51"/>
      <c r="E89" s="50"/>
      <c r="F89" s="50"/>
      <c r="G89" s="50"/>
      <c r="H89" s="50"/>
      <c r="I89" s="50"/>
      <c r="J89" s="50"/>
      <c r="K89" s="51"/>
      <c r="L89" s="50"/>
      <c r="M89" s="51"/>
      <c r="N89" s="50"/>
      <c r="O89" s="50"/>
      <c r="P89" s="50"/>
      <c r="Q89" s="50"/>
      <c r="R89" s="50"/>
      <c r="S89" s="50"/>
      <c r="T89" s="50"/>
      <c r="U89" s="50"/>
      <c r="V89" s="40"/>
      <c r="W89" s="52"/>
      <c r="X89" s="52"/>
      <c r="Y89" s="53"/>
      <c r="Z89" s="53"/>
      <c r="AA89" s="53"/>
    </row>
    <row r="90" spans="1:27">
      <c r="A90" s="40"/>
      <c r="B90" s="4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40"/>
      <c r="W90" s="40"/>
      <c r="X90" s="40"/>
      <c r="Y90" s="40"/>
      <c r="Z90" s="40"/>
      <c r="AA90" s="40"/>
    </row>
    <row r="91" spans="1:27" hidden="1">
      <c r="A91" s="40"/>
      <c r="B91" s="4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40"/>
      <c r="W91" s="40"/>
      <c r="X91" s="40"/>
      <c r="Y91" s="40"/>
      <c r="Z91" s="40"/>
      <c r="AA91" s="40"/>
    </row>
    <row r="92" spans="1:27" hidden="1">
      <c r="C92" s="422">
        <v>0.109217999126256</v>
      </c>
      <c r="D92" s="423">
        <v>9.5238095238095233E-2</v>
      </c>
      <c r="E92" s="422">
        <v>0.1223091976516634</v>
      </c>
      <c r="F92" s="422">
        <v>0.11122233344455566</v>
      </c>
      <c r="G92" s="422">
        <v>8.2644628099173556E-2</v>
      </c>
      <c r="H92" s="422">
        <v>0.12531328320802007</v>
      </c>
      <c r="I92" s="422">
        <v>0.11122233344455566</v>
      </c>
      <c r="J92" s="422">
        <v>0.12422360248447206</v>
      </c>
      <c r="K92" s="422">
        <v>0.23474178403755869</v>
      </c>
      <c r="L92" s="424">
        <v>1.1627906976744187</v>
      </c>
      <c r="M92" s="424">
        <v>0.14285714285714285</v>
      </c>
      <c r="N92" s="427">
        <v>0.14285714285714285</v>
      </c>
      <c r="O92" s="424">
        <v>96.15384615384616</v>
      </c>
      <c r="P92" s="424">
        <v>0.25</v>
      </c>
      <c r="Q92" s="424">
        <v>1.1111111111111112</v>
      </c>
      <c r="R92" s="424">
        <v>0.10705491917353602</v>
      </c>
      <c r="S92" s="428">
        <v>0.18474043968224643</v>
      </c>
      <c r="T92" s="424"/>
      <c r="U92" s="424">
        <v>0.2857142857142857</v>
      </c>
    </row>
    <row r="93" spans="1:27">
      <c r="C93" s="425"/>
      <c r="D93" s="425"/>
      <c r="E93" s="425"/>
      <c r="F93" s="425"/>
      <c r="G93" s="425"/>
      <c r="H93" s="425"/>
      <c r="I93" s="425"/>
      <c r="J93" s="425"/>
      <c r="K93" s="426"/>
    </row>
  </sheetData>
  <phoneticPr fontId="0" type="noConversion"/>
  <hyperlinks>
    <hyperlink ref="D1" location="INDICE!A40" display="VOLVER A INDICE"/>
  </hyperlinks>
  <pageMargins left="0.75" right="0.75" top="1" bottom="1" header="0" footer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8"/>
  <sheetViews>
    <sheetView zoomScale="85" workbookViewId="0">
      <selection activeCell="B1" sqref="B1"/>
    </sheetView>
  </sheetViews>
  <sheetFormatPr baseColWidth="10" defaultRowHeight="12.75"/>
  <cols>
    <col min="1" max="1" width="2.28515625" style="296" customWidth="1"/>
    <col min="2" max="2" width="28.42578125" style="296" customWidth="1"/>
    <col min="3" max="13" width="9.5703125" style="296" customWidth="1"/>
    <col min="14" max="14" width="11.140625" style="296" customWidth="1"/>
    <col min="15" max="16" width="9.5703125" style="3" customWidth="1"/>
    <col min="17" max="25" width="11.42578125" style="3"/>
    <col min="26" max="16384" width="11.42578125" style="296"/>
  </cols>
  <sheetData>
    <row r="1" spans="1:23">
      <c r="A1" s="1056"/>
      <c r="B1" s="602" t="s">
        <v>750</v>
      </c>
      <c r="C1" s="603"/>
      <c r="D1" s="603"/>
      <c r="E1" s="603"/>
      <c r="F1" s="603"/>
      <c r="G1" s="603"/>
      <c r="H1" s="604" t="s">
        <v>649</v>
      </c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</row>
    <row r="2" spans="1:23" ht="18">
      <c r="A2" s="1066"/>
      <c r="B2" s="1473" t="s">
        <v>401</v>
      </c>
      <c r="C2" s="1473"/>
      <c r="D2" s="1473"/>
      <c r="E2" s="1473"/>
      <c r="F2" s="1473"/>
      <c r="G2" s="1269"/>
      <c r="H2" s="1269"/>
      <c r="I2" s="1269"/>
      <c r="J2" s="1269"/>
      <c r="K2" s="1269"/>
      <c r="L2" s="1269"/>
      <c r="M2" s="1269"/>
      <c r="N2" s="1269"/>
      <c r="O2" s="1269"/>
      <c r="P2" s="1269"/>
      <c r="Q2" s="1269"/>
      <c r="R2" s="1269"/>
      <c r="S2" s="1269"/>
      <c r="T2" s="1269"/>
      <c r="U2" s="1269"/>
      <c r="V2" s="1269"/>
      <c r="W2" s="1269"/>
    </row>
    <row r="3" spans="1:23" ht="16.5" thickBot="1">
      <c r="A3" s="1270"/>
      <c r="B3" s="1474" t="s">
        <v>402</v>
      </c>
      <c r="C3" s="1474"/>
      <c r="D3" s="1474"/>
      <c r="E3" s="1474"/>
      <c r="F3" s="1474"/>
      <c r="G3" s="1271"/>
      <c r="H3" s="1271"/>
      <c r="I3" s="1271"/>
      <c r="J3" s="1271"/>
      <c r="K3" s="1271"/>
      <c r="L3" s="1271"/>
      <c r="M3" s="1271"/>
      <c r="N3" s="1271"/>
      <c r="O3" s="1271"/>
      <c r="P3" s="1271"/>
      <c r="Q3" s="1271"/>
      <c r="R3" s="1271"/>
      <c r="S3" s="1271"/>
      <c r="T3" s="1271"/>
      <c r="U3" s="1271"/>
      <c r="V3" s="1271"/>
      <c r="W3" s="1271"/>
    </row>
    <row r="4" spans="1:23" ht="16.5" thickBot="1">
      <c r="A4" s="1272"/>
      <c r="B4" s="1273"/>
      <c r="C4" s="1274"/>
      <c r="D4" s="1274"/>
      <c r="E4" s="1274"/>
      <c r="F4" s="1274"/>
      <c r="G4" s="1275"/>
      <c r="H4" s="1275"/>
      <c r="I4" s="1275"/>
      <c r="J4" s="1275"/>
      <c r="K4" s="1275"/>
      <c r="L4" s="1275"/>
      <c r="M4" s="1275"/>
      <c r="N4" s="1275"/>
      <c r="O4" s="1276"/>
      <c r="P4" s="1271"/>
      <c r="Q4" s="1271"/>
      <c r="R4" s="1271"/>
      <c r="S4" s="1271"/>
      <c r="T4" s="1271"/>
      <c r="U4" s="1271"/>
      <c r="V4" s="1271"/>
      <c r="W4" s="1271"/>
    </row>
    <row r="5" spans="1:23">
      <c r="A5" s="1272"/>
      <c r="B5" s="1277"/>
      <c r="C5" s="1278">
        <v>1978</v>
      </c>
      <c r="D5" s="949">
        <v>1988</v>
      </c>
      <c r="E5" s="949">
        <v>1998</v>
      </c>
      <c r="F5" s="1279">
        <v>1999</v>
      </c>
      <c r="G5" s="1280">
        <v>2000</v>
      </c>
      <c r="H5" s="1280">
        <v>2001</v>
      </c>
      <c r="I5" s="1280">
        <v>2002</v>
      </c>
      <c r="J5" s="1281">
        <v>2003</v>
      </c>
      <c r="K5" s="1281">
        <v>2004</v>
      </c>
      <c r="L5" s="1281">
        <v>2005</v>
      </c>
      <c r="M5" s="1281">
        <v>2006</v>
      </c>
      <c r="N5" s="1281">
        <v>2007</v>
      </c>
      <c r="O5" s="1281">
        <v>2008</v>
      </c>
      <c r="P5" s="1282"/>
      <c r="Q5" s="1282"/>
      <c r="R5" s="1282"/>
      <c r="S5" s="1282"/>
      <c r="T5" s="1282"/>
      <c r="U5" s="1282"/>
      <c r="V5" s="1282"/>
      <c r="W5" s="1282"/>
    </row>
    <row r="6" spans="1:23">
      <c r="A6" s="1283"/>
      <c r="B6" s="1284" t="s">
        <v>403</v>
      </c>
      <c r="C6" s="1285">
        <v>0.470076043090982</v>
      </c>
      <c r="D6" s="1286">
        <v>0.37514013607074959</v>
      </c>
      <c r="E6" s="1286">
        <v>0.46</v>
      </c>
      <c r="F6" s="1287">
        <v>0.45</v>
      </c>
      <c r="G6" s="1288">
        <v>0.41</v>
      </c>
      <c r="H6" s="1288">
        <v>0.37</v>
      </c>
      <c r="I6" s="1288">
        <v>0.39</v>
      </c>
      <c r="J6" s="1289">
        <v>0.38</v>
      </c>
      <c r="K6" s="1289">
        <v>0.3789698411743081</v>
      </c>
      <c r="L6" s="1289">
        <v>0.37903395994826816</v>
      </c>
      <c r="M6" s="1289">
        <v>0.38581863683494033</v>
      </c>
      <c r="N6" s="1289">
        <v>0.46953247801431519</v>
      </c>
      <c r="O6" s="1289">
        <f>CUADRO3B!H89</f>
        <v>0.49433701005474312</v>
      </c>
      <c r="P6" s="1290"/>
      <c r="Q6" s="1290"/>
      <c r="R6" s="1290"/>
      <c r="S6" s="1290"/>
      <c r="T6" s="1290"/>
      <c r="U6" s="1290"/>
      <c r="V6" s="1290"/>
      <c r="W6" s="1290"/>
    </row>
    <row r="7" spans="1:23">
      <c r="A7" s="1291"/>
      <c r="B7" s="1292" t="s">
        <v>404</v>
      </c>
      <c r="C7" s="1293">
        <v>9.3341216754073919E-2</v>
      </c>
      <c r="D7" s="1294">
        <v>9.374367908398E-2</v>
      </c>
      <c r="E7" s="1294">
        <v>7.0000000000000007E-2</v>
      </c>
      <c r="F7" s="1295">
        <v>0.13</v>
      </c>
      <c r="G7" s="1296">
        <v>0.15</v>
      </c>
      <c r="H7" s="1296">
        <v>0.19</v>
      </c>
      <c r="I7" s="1296">
        <v>0.18</v>
      </c>
      <c r="J7" s="1297">
        <v>0.2</v>
      </c>
      <c r="K7" s="1297">
        <v>0.20505043896718239</v>
      </c>
      <c r="L7" s="1297">
        <v>0.18463573470838712</v>
      </c>
      <c r="M7" s="1297">
        <v>0.15659651163575977</v>
      </c>
      <c r="N7" s="1297">
        <v>9.4025963713180186E-2</v>
      </c>
      <c r="O7" s="1297">
        <f>CUADRO3B!H90</f>
        <v>5.4835844224487007E-2</v>
      </c>
      <c r="P7" s="1290"/>
      <c r="Q7" s="1290"/>
      <c r="R7" s="1290"/>
      <c r="S7" s="1290"/>
      <c r="T7" s="1290"/>
      <c r="U7" s="1290"/>
      <c r="V7" s="1290"/>
      <c r="W7" s="1290"/>
    </row>
    <row r="8" spans="1:23">
      <c r="A8" s="1291"/>
      <c r="B8" s="1292" t="s">
        <v>219</v>
      </c>
      <c r="C8" s="1293">
        <v>9.9086063870191393E-2</v>
      </c>
      <c r="D8" s="1294">
        <v>0.12845558632465301</v>
      </c>
      <c r="E8" s="1294">
        <v>0.16</v>
      </c>
      <c r="F8" s="1295">
        <v>0.15</v>
      </c>
      <c r="G8" s="1296">
        <v>0.11</v>
      </c>
      <c r="H8" s="1296">
        <v>0.09</v>
      </c>
      <c r="I8" s="1296">
        <v>0.08</v>
      </c>
      <c r="J8" s="1297">
        <v>0.09</v>
      </c>
      <c r="K8" s="1297">
        <v>0.10068330234050628</v>
      </c>
      <c r="L8" s="1297">
        <v>9.3772705043159557E-2</v>
      </c>
      <c r="M8" s="1297">
        <v>0.10315430220346893</v>
      </c>
      <c r="N8" s="1297">
        <v>0.12313666362424529</v>
      </c>
      <c r="O8" s="1297">
        <f>CUADRO3B!H91</f>
        <v>0.13057537669342387</v>
      </c>
      <c r="P8" s="1290"/>
      <c r="Q8" s="1290"/>
      <c r="R8" s="1290"/>
      <c r="S8" s="1290"/>
      <c r="T8" s="1290"/>
      <c r="U8" s="1290"/>
      <c r="V8" s="1290"/>
      <c r="W8" s="1290"/>
    </row>
    <row r="9" spans="1:23">
      <c r="A9" s="1291"/>
      <c r="B9" s="1292" t="s">
        <v>405</v>
      </c>
      <c r="C9" s="1293">
        <v>0.17975279972289931</v>
      </c>
      <c r="D9" s="1294">
        <v>0.22206785936088999</v>
      </c>
      <c r="E9" s="1294">
        <v>0.16</v>
      </c>
      <c r="F9" s="1295">
        <v>0.12</v>
      </c>
      <c r="G9" s="1296">
        <v>0.18</v>
      </c>
      <c r="H9" s="1296">
        <v>0.2</v>
      </c>
      <c r="I9" s="1296">
        <v>0.21</v>
      </c>
      <c r="J9" s="1297">
        <v>0.2</v>
      </c>
      <c r="K9" s="1297">
        <v>0.18212983290586712</v>
      </c>
      <c r="L9" s="1297">
        <v>0.20817229321047451</v>
      </c>
      <c r="M9" s="1297">
        <v>0.22058899553082181</v>
      </c>
      <c r="N9" s="1297">
        <v>0.17251634862190071</v>
      </c>
      <c r="O9" s="1297">
        <f>CUADRO3B!H92</f>
        <v>0.17763899677287834</v>
      </c>
      <c r="P9" s="1290"/>
      <c r="Q9" s="1290"/>
      <c r="R9" s="1290"/>
      <c r="S9" s="1290"/>
      <c r="T9" s="1290"/>
      <c r="U9" s="1290"/>
      <c r="V9" s="1290"/>
      <c r="W9" s="1290"/>
    </row>
    <row r="10" spans="1:23" ht="13.5" thickBot="1">
      <c r="A10" s="1291"/>
      <c r="B10" s="1292" t="s">
        <v>406</v>
      </c>
      <c r="C10" s="1298">
        <v>0.15905948874300771</v>
      </c>
      <c r="D10" s="1299">
        <v>0.17996205033530982</v>
      </c>
      <c r="E10" s="1299">
        <v>0.15</v>
      </c>
      <c r="F10" s="1300">
        <v>0.15412567696659363</v>
      </c>
      <c r="G10" s="1301">
        <v>0.15</v>
      </c>
      <c r="H10" s="1301">
        <v>0.15</v>
      </c>
      <c r="I10" s="1301">
        <v>0.14000000000000001</v>
      </c>
      <c r="J10" s="1302">
        <v>0.13</v>
      </c>
      <c r="K10" s="1302">
        <v>0.13316658461213621</v>
      </c>
      <c r="L10" s="1302">
        <v>0.13438530708971066</v>
      </c>
      <c r="M10" s="1302">
        <v>0.13384155379500903</v>
      </c>
      <c r="N10" s="1302">
        <v>0.14078854602635849</v>
      </c>
      <c r="O10" s="1302">
        <f>CUADRO3B!H93</f>
        <v>0.14261277225446767</v>
      </c>
      <c r="P10" s="1290"/>
      <c r="Q10" s="1290"/>
      <c r="R10" s="1290"/>
      <c r="S10" s="1290"/>
      <c r="T10" s="1290"/>
      <c r="U10" s="1290"/>
      <c r="V10" s="1290"/>
      <c r="W10" s="1290"/>
    </row>
    <row r="11" spans="1:23">
      <c r="A11" s="1291"/>
      <c r="B11" s="1303" t="s">
        <v>407</v>
      </c>
      <c r="C11" s="1304">
        <v>105074</v>
      </c>
      <c r="D11" s="1305">
        <v>142342</v>
      </c>
      <c r="E11" s="1305">
        <v>258126</v>
      </c>
      <c r="F11" s="1306">
        <v>274847</v>
      </c>
      <c r="G11" s="1307">
        <v>286293</v>
      </c>
      <c r="H11" s="1307">
        <v>287338</v>
      </c>
      <c r="I11" s="1307">
        <v>301841</v>
      </c>
      <c r="J11" s="1308">
        <v>303312</v>
      </c>
      <c r="K11" s="1308">
        <v>323739.88263594679</v>
      </c>
      <c r="L11" s="1308">
        <v>342206.533292924</v>
      </c>
      <c r="M11" s="1308">
        <v>353410.45052002463</v>
      </c>
      <c r="N11" s="1308">
        <v>354013.51188826101</v>
      </c>
      <c r="O11" s="1308">
        <f>CUADRO3B!G95</f>
        <v>358800.81086770474</v>
      </c>
      <c r="P11" s="1309"/>
      <c r="Q11" s="1309"/>
      <c r="R11" s="1309"/>
      <c r="S11" s="1309"/>
      <c r="T11" s="1309"/>
      <c r="U11" s="1309"/>
      <c r="V11" s="1309"/>
      <c r="W11" s="1309"/>
    </row>
    <row r="12" spans="1:23" ht="13.5" thickBot="1">
      <c r="A12" s="1310"/>
      <c r="B12" s="1311" t="s">
        <v>408</v>
      </c>
      <c r="C12" s="1312">
        <v>100</v>
      </c>
      <c r="D12" s="1313">
        <f>D11*100/$C$11</f>
        <v>135.46833660087177</v>
      </c>
      <c r="E12" s="1313">
        <f t="shared" ref="E12:O12" si="0">E11*100/$C$11</f>
        <v>245.6611530921065</v>
      </c>
      <c r="F12" s="1314">
        <f t="shared" si="0"/>
        <v>261.57469973542453</v>
      </c>
      <c r="G12" s="1315">
        <f t="shared" si="0"/>
        <v>272.4679749509869</v>
      </c>
      <c r="H12" s="1315">
        <f t="shared" si="0"/>
        <v>273.46251213430537</v>
      </c>
      <c r="I12" s="1315">
        <f t="shared" si="0"/>
        <v>287.26516550240785</v>
      </c>
      <c r="J12" s="1316">
        <f t="shared" si="0"/>
        <v>288.6651312408398</v>
      </c>
      <c r="K12" s="1316">
        <f t="shared" si="0"/>
        <v>308.10655598525494</v>
      </c>
      <c r="L12" s="1316">
        <f t="shared" si="0"/>
        <v>325.68145620507835</v>
      </c>
      <c r="M12" s="1316">
        <f t="shared" si="0"/>
        <v>336.34433877079448</v>
      </c>
      <c r="N12" s="1316">
        <f t="shared" si="0"/>
        <v>336.91827844020497</v>
      </c>
      <c r="O12" s="1316">
        <f t="shared" si="0"/>
        <v>341.47439982079749</v>
      </c>
      <c r="P12" s="1290"/>
      <c r="Q12" s="1317"/>
      <c r="R12" s="1290"/>
      <c r="S12" s="1290"/>
      <c r="T12" s="1290"/>
      <c r="U12" s="1290"/>
      <c r="V12" s="1290"/>
      <c r="W12" s="1290"/>
    </row>
    <row r="13" spans="1:23" ht="13.5" thickBot="1">
      <c r="A13" s="1291"/>
      <c r="B13" s="1318" t="s">
        <v>409</v>
      </c>
      <c r="C13" s="1319"/>
      <c r="D13" s="1320">
        <f>(D11/C11)^(1/10)-1</f>
        <v>3.0822239836661991E-2</v>
      </c>
      <c r="E13" s="1320">
        <f>(E11/D11)^(1/10)-1</f>
        <v>6.1328603195914377E-2</v>
      </c>
      <c r="F13" s="1321">
        <f>(F12/$E$12)^(1/(F$5-$E$5))-1</f>
        <v>6.4778441536303966E-2</v>
      </c>
      <c r="G13" s="1322">
        <f t="shared" ref="G13:O13" si="1">(G12/$E$12)^(1/(G$5-$E$5))-1</f>
        <v>5.3148197971927491E-2</v>
      </c>
      <c r="H13" s="1322">
        <f t="shared" si="1"/>
        <v>3.6383374980372585E-2</v>
      </c>
      <c r="I13" s="1322">
        <f t="shared" si="1"/>
        <v>3.9888127562771825E-2</v>
      </c>
      <c r="J13" s="1323">
        <f t="shared" si="1"/>
        <v>3.2788915667316676E-2</v>
      </c>
      <c r="K13" s="1323">
        <f t="shared" si="1"/>
        <v>3.8470288624344207E-2</v>
      </c>
      <c r="L13" s="1323">
        <f t="shared" si="1"/>
        <v>4.1103225930211318E-2</v>
      </c>
      <c r="M13" s="1323">
        <f t="shared" si="1"/>
        <v>4.0054157822297487E-2</v>
      </c>
      <c r="N13" s="1323">
        <f t="shared" si="1"/>
        <v>3.5721807959538054E-2</v>
      </c>
      <c r="O13" s="1323">
        <f t="shared" si="1"/>
        <v>3.3480213927899793E-2</v>
      </c>
      <c r="P13" s="1309"/>
      <c r="Q13" s="1309"/>
      <c r="R13" s="1309"/>
      <c r="S13" s="1309"/>
      <c r="T13" s="1309"/>
      <c r="U13" s="1309"/>
      <c r="V13" s="1309"/>
      <c r="W13" s="1309"/>
    </row>
    <row r="14" spans="1:23">
      <c r="A14" s="1310"/>
      <c r="B14" s="1309" t="s">
        <v>410</v>
      </c>
      <c r="C14" s="1309"/>
      <c r="D14" s="1309"/>
      <c r="E14" s="1309"/>
      <c r="F14" s="1309"/>
      <c r="G14" s="1309"/>
      <c r="H14" s="1309"/>
      <c r="I14" s="1309"/>
      <c r="J14" s="1309"/>
      <c r="K14" s="1309"/>
      <c r="L14" s="1309"/>
      <c r="M14" s="1309"/>
      <c r="N14" s="1309"/>
      <c r="O14" s="1309"/>
      <c r="P14" s="1309"/>
      <c r="Q14" s="1309"/>
      <c r="R14" s="1309"/>
      <c r="S14" s="1309"/>
      <c r="T14" s="1309"/>
      <c r="U14" s="1309"/>
      <c r="V14" s="1309"/>
      <c r="W14" s="1309"/>
    </row>
    <row r="15" spans="1:23">
      <c r="A15" s="1310"/>
      <c r="B15" s="1309" t="s">
        <v>411</v>
      </c>
      <c r="C15" s="1309"/>
      <c r="D15" s="1309"/>
      <c r="E15" s="1309"/>
      <c r="F15" s="1309"/>
      <c r="G15" s="1309"/>
      <c r="H15" s="1309"/>
      <c r="I15" s="1309"/>
      <c r="J15" s="1309"/>
      <c r="K15" s="1324"/>
      <c r="L15" s="1309"/>
      <c r="M15" s="1309"/>
      <c r="N15" s="1309"/>
      <c r="O15" s="1309"/>
      <c r="P15" s="1309"/>
      <c r="Q15" s="1309"/>
      <c r="R15" s="1309"/>
      <c r="S15" s="1309"/>
      <c r="T15" s="1309"/>
      <c r="U15" s="1309"/>
      <c r="V15" s="1309"/>
      <c r="W15" s="1309"/>
    </row>
    <row r="16" spans="1:23">
      <c r="A16" s="1310"/>
      <c r="B16" s="1309" t="s">
        <v>412</v>
      </c>
      <c r="C16" s="1309"/>
      <c r="D16" s="1309"/>
      <c r="E16" s="1309"/>
      <c r="F16" s="1309"/>
      <c r="G16" s="1309"/>
      <c r="H16" s="1309"/>
      <c r="I16" s="1309"/>
      <c r="J16" s="1309"/>
      <c r="K16" s="1325"/>
      <c r="L16" s="1290"/>
      <c r="M16" s="1290"/>
      <c r="N16" s="1290"/>
      <c r="O16" s="1290"/>
      <c r="P16" s="1290"/>
      <c r="Q16" s="1290"/>
      <c r="R16" s="1290"/>
      <c r="S16" s="1290"/>
      <c r="T16" s="1290"/>
      <c r="U16" s="1290"/>
      <c r="V16" s="1290"/>
      <c r="W16" s="1290"/>
    </row>
    <row r="17" spans="1:23">
      <c r="A17" s="1291"/>
      <c r="B17" s="1290"/>
      <c r="C17" s="1290"/>
      <c r="D17" s="1290"/>
      <c r="E17" s="1290"/>
      <c r="F17" s="1290"/>
      <c r="G17" s="1290"/>
      <c r="H17" s="1290"/>
      <c r="I17" s="1317"/>
      <c r="J17" s="1317"/>
      <c r="K17" s="1317"/>
      <c r="L17" s="1290"/>
      <c r="M17" s="1290"/>
      <c r="N17" s="1290"/>
      <c r="O17" s="1290"/>
      <c r="P17" s="1290"/>
      <c r="Q17" s="1290"/>
      <c r="R17" s="1290"/>
      <c r="S17" s="1290"/>
      <c r="T17" s="1290"/>
      <c r="U17" s="1290"/>
      <c r="V17" s="1290"/>
      <c r="W17" s="1290"/>
    </row>
    <row r="18" spans="1:23">
      <c r="A18" s="1291"/>
      <c r="B18" s="1290"/>
      <c r="C18" s="1326"/>
      <c r="D18" s="1326"/>
      <c r="E18" s="1326"/>
      <c r="F18" s="1326"/>
      <c r="G18" s="1326"/>
      <c r="H18" s="1326"/>
      <c r="I18" s="1326"/>
      <c r="J18" s="1326"/>
      <c r="K18" s="1290"/>
      <c r="L18" s="1290"/>
      <c r="M18" s="1290"/>
      <c r="N18" s="1290"/>
      <c r="O18" s="1290"/>
      <c r="P18" s="1290"/>
      <c r="Q18" s="1290"/>
      <c r="R18" s="1290"/>
      <c r="S18" s="1290"/>
      <c r="T18" s="1290"/>
      <c r="U18" s="1290"/>
      <c r="V18" s="1290"/>
      <c r="W18" s="1290"/>
    </row>
    <row r="19" spans="1:23">
      <c r="A19" s="1291"/>
      <c r="B19" s="602" t="s">
        <v>751</v>
      </c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</row>
    <row r="20" spans="1:23" ht="18">
      <c r="A20" s="1060"/>
      <c r="B20" s="1473" t="s">
        <v>414</v>
      </c>
      <c r="C20" s="1473"/>
      <c r="D20" s="1473"/>
      <c r="E20" s="1473"/>
      <c r="F20" s="1473"/>
      <c r="G20" s="1269"/>
      <c r="H20" s="1269"/>
      <c r="I20" s="1269"/>
      <c r="J20" s="1269"/>
      <c r="K20" s="1269"/>
      <c r="L20" s="1269"/>
      <c r="M20" s="1269"/>
      <c r="N20" s="1269"/>
      <c r="O20" s="1269"/>
      <c r="P20" s="1269"/>
      <c r="Q20" s="1269"/>
      <c r="R20" s="1269"/>
      <c r="S20" s="1269"/>
      <c r="T20" s="1269"/>
      <c r="U20" s="1269"/>
      <c r="V20" s="1269"/>
      <c r="W20" s="1269"/>
    </row>
    <row r="21" spans="1:23" ht="16.5" thickBot="1">
      <c r="A21" s="1270"/>
      <c r="B21" s="1474" t="s">
        <v>415</v>
      </c>
      <c r="C21" s="1474"/>
      <c r="D21" s="1474"/>
      <c r="E21" s="1474"/>
      <c r="F21" s="1474"/>
      <c r="G21" s="1271"/>
      <c r="H21" s="1271"/>
      <c r="I21" s="1271"/>
      <c r="J21" s="1271"/>
      <c r="K21" s="1271"/>
      <c r="L21" s="1271"/>
      <c r="M21" s="1271"/>
      <c r="N21" s="1271"/>
      <c r="O21" s="1271"/>
      <c r="P21" s="1271"/>
      <c r="Q21" s="1271"/>
      <c r="R21" s="1271"/>
      <c r="S21" s="1271"/>
      <c r="T21" s="1271"/>
      <c r="U21" s="1271"/>
      <c r="V21" s="1271"/>
      <c r="W21" s="1271"/>
    </row>
    <row r="22" spans="1:23" ht="16.5" thickBot="1">
      <c r="A22" s="1272"/>
      <c r="B22" s="1327"/>
      <c r="C22" s="1328"/>
      <c r="D22" s="1328"/>
      <c r="E22" s="1328"/>
      <c r="F22" s="1328"/>
      <c r="G22" s="1329"/>
      <c r="H22" s="1329"/>
      <c r="I22" s="1329"/>
      <c r="J22" s="1329"/>
      <c r="K22" s="1329"/>
      <c r="L22" s="1329"/>
      <c r="M22" s="1330"/>
      <c r="N22" s="1330"/>
      <c r="O22" s="1330"/>
      <c r="P22" s="1330"/>
      <c r="Q22" s="1330"/>
      <c r="R22" s="1330"/>
      <c r="S22" s="1330"/>
      <c r="T22" s="1330"/>
      <c r="U22" s="1330"/>
      <c r="V22" s="1331"/>
      <c r="W22" s="1332"/>
    </row>
    <row r="23" spans="1:23">
      <c r="A23" s="1333"/>
      <c r="B23" s="1334" t="s">
        <v>416</v>
      </c>
      <c r="C23" s="1335">
        <v>1999</v>
      </c>
      <c r="D23" s="1335"/>
      <c r="E23" s="1335">
        <v>2000</v>
      </c>
      <c r="F23" s="1335"/>
      <c r="G23" s="1335">
        <v>2001</v>
      </c>
      <c r="H23" s="1335"/>
      <c r="I23" s="1335">
        <v>2002</v>
      </c>
      <c r="J23" s="1335"/>
      <c r="K23" s="1335">
        <v>2003</v>
      </c>
      <c r="L23" s="1335"/>
      <c r="M23" s="1335">
        <v>2004</v>
      </c>
      <c r="N23" s="1336"/>
      <c r="O23" s="1335">
        <v>2005</v>
      </c>
      <c r="P23" s="1336"/>
      <c r="Q23" s="1337">
        <v>2006</v>
      </c>
      <c r="R23" s="1337"/>
      <c r="S23" s="1334">
        <v>2007</v>
      </c>
      <c r="T23" s="1336"/>
      <c r="U23" s="1335">
        <v>2008</v>
      </c>
      <c r="V23" s="1336"/>
      <c r="W23" s="945"/>
    </row>
    <row r="24" spans="1:23">
      <c r="A24" s="1338"/>
      <c r="B24" s="1339" t="s">
        <v>99</v>
      </c>
      <c r="C24" s="1340">
        <v>66988</v>
      </c>
      <c r="D24" s="1341">
        <v>0.26500000000000001</v>
      </c>
      <c r="E24" s="1340">
        <v>69835</v>
      </c>
      <c r="F24" s="1341">
        <v>0.27610000000000001</v>
      </c>
      <c r="G24" s="1340">
        <v>67320</v>
      </c>
      <c r="H24" s="1341">
        <v>0.27</v>
      </c>
      <c r="I24" s="1340">
        <v>68996</v>
      </c>
      <c r="J24" s="1341">
        <v>0.2646</v>
      </c>
      <c r="K24" s="1340">
        <v>70365</v>
      </c>
      <c r="L24" s="1341">
        <v>0.26800000000000002</v>
      </c>
      <c r="M24" s="1340">
        <v>73459.315952227378</v>
      </c>
      <c r="N24" s="1342">
        <v>0.25772670480207505</v>
      </c>
      <c r="O24" s="1340">
        <v>80206.461333364161</v>
      </c>
      <c r="P24" s="1342">
        <v>0.27148569624383712</v>
      </c>
      <c r="Q24" s="1340">
        <v>81525.950917679933</v>
      </c>
      <c r="R24" s="1343">
        <v>0.2697508421314479</v>
      </c>
      <c r="S24" s="1344">
        <v>86923.772350387182</v>
      </c>
      <c r="T24" s="1342">
        <v>0.27690138901810135</v>
      </c>
      <c r="U24" s="1340">
        <f>CUADRO5!C29</f>
        <v>89947.43432065571</v>
      </c>
      <c r="V24" s="1342">
        <f>U24/$U$28</f>
        <v>0.28378675830117783</v>
      </c>
      <c r="W24" s="1290"/>
    </row>
    <row r="25" spans="1:23">
      <c r="A25" s="1291"/>
      <c r="B25" s="1339" t="s">
        <v>417</v>
      </c>
      <c r="C25" s="1340">
        <v>68838</v>
      </c>
      <c r="D25" s="1341">
        <v>0.27300000000000002</v>
      </c>
      <c r="E25" s="1340">
        <v>74210</v>
      </c>
      <c r="F25" s="1341">
        <v>0.29339999999999999</v>
      </c>
      <c r="G25" s="1340">
        <v>75289</v>
      </c>
      <c r="H25" s="1341">
        <v>0.30199999999999999</v>
      </c>
      <c r="I25" s="1340">
        <v>75672</v>
      </c>
      <c r="J25" s="1341">
        <v>0.29020000000000001</v>
      </c>
      <c r="K25" s="1340">
        <v>75584</v>
      </c>
      <c r="L25" s="1341">
        <v>0.28699999999999998</v>
      </c>
      <c r="M25" s="1340">
        <v>78536.906260316391</v>
      </c>
      <c r="N25" s="1342">
        <v>0.27554106369550357</v>
      </c>
      <c r="O25" s="1340">
        <v>78634.325018109259</v>
      </c>
      <c r="P25" s="1342">
        <v>0.26616427306867385</v>
      </c>
      <c r="Q25" s="1340">
        <v>85627.638450679166</v>
      </c>
      <c r="R25" s="1343">
        <v>0.28332239393467451</v>
      </c>
      <c r="S25" s="1344">
        <v>91747.576933569479</v>
      </c>
      <c r="T25" s="1342">
        <v>0.29226793551416025</v>
      </c>
      <c r="U25" s="1340">
        <f>CUADRO5!D29</f>
        <v>92581.754915774291</v>
      </c>
      <c r="V25" s="1342">
        <f>U25/$U$28</f>
        <v>0.29209811601427998</v>
      </c>
      <c r="W25" s="1290"/>
    </row>
    <row r="26" spans="1:23">
      <c r="A26" s="1291"/>
      <c r="B26" s="1339" t="s">
        <v>418</v>
      </c>
      <c r="C26" s="1340">
        <v>52669</v>
      </c>
      <c r="D26" s="1341">
        <v>0.20899999999999999</v>
      </c>
      <c r="E26" s="1340">
        <v>54257</v>
      </c>
      <c r="F26" s="1341">
        <v>0.2145</v>
      </c>
      <c r="G26" s="1340">
        <v>56282</v>
      </c>
      <c r="H26" s="1341">
        <v>0.22600000000000001</v>
      </c>
      <c r="I26" s="1340">
        <v>56190</v>
      </c>
      <c r="J26" s="1341">
        <v>0.215</v>
      </c>
      <c r="K26" s="1340">
        <v>56172</v>
      </c>
      <c r="L26" s="1341">
        <v>0.214</v>
      </c>
      <c r="M26" s="1340">
        <v>58868.26968253668</v>
      </c>
      <c r="N26" s="1342">
        <v>0.20653507272715144</v>
      </c>
      <c r="O26" s="1340">
        <v>59022.465896192669</v>
      </c>
      <c r="P26" s="1342">
        <v>0.19978135154543292</v>
      </c>
      <c r="Q26" s="1340">
        <v>60034.386626258405</v>
      </c>
      <c r="R26" s="1343">
        <v>0.19864014055635129</v>
      </c>
      <c r="S26" s="1344">
        <v>62267.003601618948</v>
      </c>
      <c r="T26" s="1342">
        <v>0.19835563184927291</v>
      </c>
      <c r="U26" s="1340">
        <f>CUADRO5!E29</f>
        <v>62373.071224275154</v>
      </c>
      <c r="V26" s="1342">
        <f>U26/$U$28</f>
        <v>0.19678884474818989</v>
      </c>
      <c r="W26" s="1290"/>
    </row>
    <row r="27" spans="1:23">
      <c r="A27" s="1291"/>
      <c r="B27" s="1339" t="s">
        <v>419</v>
      </c>
      <c r="C27" s="1340">
        <v>63843</v>
      </c>
      <c r="D27" s="1341">
        <v>0.253</v>
      </c>
      <c r="E27" s="1340">
        <v>54666</v>
      </c>
      <c r="F27" s="1341">
        <v>0.21609999999999999</v>
      </c>
      <c r="G27" s="1340">
        <v>50526</v>
      </c>
      <c r="H27" s="1341">
        <v>0.20200000000000001</v>
      </c>
      <c r="I27" s="1340">
        <v>59883</v>
      </c>
      <c r="J27" s="1341">
        <v>0.22969999999999999</v>
      </c>
      <c r="K27" s="1340">
        <v>60825</v>
      </c>
      <c r="L27" s="1341">
        <v>0.23100000000000001</v>
      </c>
      <c r="M27" s="1340">
        <v>74163.464399326505</v>
      </c>
      <c r="N27" s="1342">
        <v>0.26019715877526994</v>
      </c>
      <c r="O27" s="1340">
        <v>77572.059605103015</v>
      </c>
      <c r="P27" s="1342">
        <v>0.26256867914205612</v>
      </c>
      <c r="Q27" s="1340">
        <v>75038.88740828837</v>
      </c>
      <c r="R27" s="1343">
        <v>0.24828662337752627</v>
      </c>
      <c r="S27" s="1344">
        <v>72977.632363255601</v>
      </c>
      <c r="T27" s="1342">
        <v>0.23247504361846547</v>
      </c>
      <c r="U27" s="1340">
        <f>CUADRO1!D16+CUADRO4!D30-CUADRO4!E30-CUADRO5!C29-CUADRO5!D29-CUADRO5!E29</f>
        <v>72052.043042054109</v>
      </c>
      <c r="V27" s="1342">
        <f>U27/$U$28</f>
        <v>0.22732628093635227</v>
      </c>
      <c r="W27" s="1290"/>
    </row>
    <row r="28" spans="1:23" ht="13.5" thickBot="1">
      <c r="A28" s="1291"/>
      <c r="B28" s="1318" t="s">
        <v>104</v>
      </c>
      <c r="C28" s="1345">
        <v>252338</v>
      </c>
      <c r="D28" s="1346"/>
      <c r="E28" s="1346">
        <v>252968</v>
      </c>
      <c r="F28" s="1346"/>
      <c r="G28" s="1347">
        <v>249417</v>
      </c>
      <c r="H28" s="1347"/>
      <c r="I28" s="1347">
        <v>260741</v>
      </c>
      <c r="J28" s="1347"/>
      <c r="K28" s="1347">
        <v>262946</v>
      </c>
      <c r="L28" s="1347"/>
      <c r="M28" s="1347">
        <v>285027.95629440696</v>
      </c>
      <c r="N28" s="1348"/>
      <c r="O28" s="1347">
        <v>295435.31185276911</v>
      </c>
      <c r="P28" s="1348"/>
      <c r="Q28" s="1346">
        <v>302226.86340290587</v>
      </c>
      <c r="R28" s="1346"/>
      <c r="S28" s="1349">
        <v>313915.98524883122</v>
      </c>
      <c r="T28" s="1348"/>
      <c r="U28" s="1347">
        <f>SUM(U24:U27)</f>
        <v>316954.30350275926</v>
      </c>
      <c r="V28" s="1348"/>
      <c r="W28" s="945"/>
    </row>
    <row r="29" spans="1:23">
      <c r="A29" s="1338"/>
      <c r="B29" s="945" t="s">
        <v>420</v>
      </c>
      <c r="C29" s="945"/>
      <c r="D29" s="1350"/>
      <c r="E29" s="1351"/>
      <c r="F29" s="1350"/>
      <c r="G29" s="945"/>
      <c r="H29" s="1350"/>
      <c r="I29" s="945"/>
      <c r="J29" s="1350"/>
      <c r="K29" s="945"/>
      <c r="L29" s="1350"/>
      <c r="M29" s="945"/>
      <c r="N29" s="945"/>
      <c r="O29" s="945"/>
      <c r="P29" s="945"/>
      <c r="Q29" s="945"/>
      <c r="R29" s="945"/>
      <c r="S29" s="945"/>
      <c r="T29" s="945"/>
      <c r="U29" s="945"/>
      <c r="V29" s="945"/>
      <c r="W29" s="945"/>
    </row>
    <row r="30" spans="1:23">
      <c r="A30" s="1338"/>
      <c r="B30" s="945" t="s">
        <v>710</v>
      </c>
      <c r="C30" s="945"/>
      <c r="D30" s="945"/>
      <c r="E30" s="945"/>
      <c r="F30" s="945"/>
      <c r="G30" s="945"/>
      <c r="H30" s="945"/>
      <c r="I30" s="1351"/>
      <c r="J30" s="945"/>
      <c r="K30" s="945"/>
      <c r="L30" s="945"/>
      <c r="M30" s="945"/>
      <c r="N30" s="945"/>
      <c r="O30" s="945"/>
      <c r="P30" s="945"/>
      <c r="Q30" s="945"/>
      <c r="R30" s="945"/>
      <c r="S30" s="945"/>
      <c r="T30" s="945"/>
      <c r="U30" s="945"/>
      <c r="V30" s="945"/>
      <c r="W30" s="945"/>
    </row>
    <row r="31" spans="1:23">
      <c r="A31" s="1338"/>
      <c r="B31" s="945"/>
      <c r="C31" s="1351"/>
      <c r="D31" s="945"/>
      <c r="E31" s="1351"/>
      <c r="F31" s="945"/>
      <c r="G31" s="1351"/>
      <c r="H31" s="945"/>
      <c r="I31" s="1351"/>
      <c r="J31" s="945"/>
      <c r="K31" s="1351"/>
      <c r="L31" s="945"/>
      <c r="M31" s="945"/>
      <c r="N31" s="945"/>
      <c r="O31" s="945"/>
      <c r="P31" s="945"/>
      <c r="Q31" s="945"/>
      <c r="R31" s="945"/>
      <c r="S31" s="945"/>
      <c r="T31" s="945"/>
      <c r="U31" s="945"/>
      <c r="V31" s="945"/>
      <c r="W31" s="945"/>
    </row>
    <row r="32" spans="1:23">
      <c r="A32" s="1338"/>
      <c r="B32" s="602" t="s">
        <v>752</v>
      </c>
      <c r="C32" s="603"/>
      <c r="D32" s="603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  <c r="Q32" s="603"/>
      <c r="R32" s="603"/>
      <c r="S32" s="603"/>
      <c r="T32" s="603"/>
      <c r="U32" s="603"/>
      <c r="V32" s="603"/>
      <c r="W32" s="603"/>
    </row>
    <row r="33" spans="1:23" ht="18">
      <c r="A33" s="1060"/>
      <c r="B33" s="1473" t="s">
        <v>421</v>
      </c>
      <c r="C33" s="1473"/>
      <c r="D33" s="1473"/>
      <c r="E33" s="1473"/>
      <c r="F33" s="1473"/>
      <c r="G33" s="1269"/>
      <c r="H33" s="1269"/>
      <c r="I33" s="1269"/>
      <c r="J33" s="1269"/>
      <c r="K33" s="1269"/>
      <c r="L33" s="1269"/>
      <c r="M33" s="1269"/>
      <c r="N33" s="1269"/>
      <c r="O33" s="1269"/>
      <c r="P33" s="1269"/>
      <c r="Q33" s="1269"/>
      <c r="R33" s="1269"/>
      <c r="S33" s="1269"/>
      <c r="T33" s="1269"/>
      <c r="U33" s="1269"/>
      <c r="V33" s="1269"/>
      <c r="W33" s="1269"/>
    </row>
    <row r="34" spans="1:23" ht="16.5" thickBot="1">
      <c r="A34" s="1270"/>
      <c r="B34" s="1474" t="s">
        <v>422</v>
      </c>
      <c r="C34" s="1474"/>
      <c r="D34" s="1474"/>
      <c r="E34" s="1474"/>
      <c r="F34" s="1474"/>
      <c r="G34" s="1271"/>
      <c r="H34" s="1271"/>
      <c r="I34" s="1271"/>
      <c r="J34" s="1271"/>
      <c r="K34" s="1271"/>
      <c r="L34" s="1271"/>
      <c r="M34" s="1271"/>
      <c r="N34" s="1271"/>
      <c r="O34" s="1271"/>
      <c r="P34" s="1271"/>
      <c r="Q34" s="1271"/>
      <c r="R34" s="1271"/>
      <c r="S34" s="1271"/>
      <c r="T34" s="1271"/>
      <c r="U34" s="1271"/>
      <c r="V34" s="1271"/>
      <c r="W34" s="1271"/>
    </row>
    <row r="35" spans="1:23" ht="16.5" thickBot="1">
      <c r="A35" s="1272"/>
      <c r="B35" s="1273"/>
      <c r="C35" s="1274"/>
      <c r="D35" s="1274"/>
      <c r="E35" s="1274"/>
      <c r="F35" s="1274"/>
      <c r="G35" s="1275"/>
      <c r="H35" s="1275"/>
      <c r="I35" s="1275"/>
      <c r="J35" s="1275"/>
      <c r="K35" s="1275"/>
      <c r="L35" s="1275"/>
      <c r="M35" s="1275"/>
      <c r="N35" s="1275"/>
      <c r="O35" s="1275"/>
      <c r="P35" s="1275"/>
      <c r="Q35" s="1275"/>
      <c r="R35" s="1275"/>
      <c r="S35" s="1275"/>
      <c r="T35" s="1275"/>
      <c r="U35" s="1275"/>
      <c r="V35" s="1276"/>
      <c r="W35" s="1271"/>
    </row>
    <row r="36" spans="1:23">
      <c r="A36" s="1272"/>
      <c r="B36" s="1277" t="s">
        <v>423</v>
      </c>
      <c r="C36" s="1337">
        <v>1999</v>
      </c>
      <c r="D36" s="1352"/>
      <c r="E36" s="1337">
        <v>2000</v>
      </c>
      <c r="F36" s="1352"/>
      <c r="G36" s="1337">
        <v>2001</v>
      </c>
      <c r="H36" s="1352"/>
      <c r="I36" s="1337">
        <v>2002</v>
      </c>
      <c r="J36" s="1352"/>
      <c r="K36" s="1337">
        <v>2003</v>
      </c>
      <c r="L36" s="1352"/>
      <c r="M36" s="1337">
        <v>2004</v>
      </c>
      <c r="N36" s="1353"/>
      <c r="O36" s="1337">
        <v>2005</v>
      </c>
      <c r="P36" s="1353"/>
      <c r="Q36" s="1354">
        <v>2006</v>
      </c>
      <c r="R36" s="1354"/>
      <c r="S36" s="1355">
        <v>2007</v>
      </c>
      <c r="T36" s="1353"/>
      <c r="U36" s="1337">
        <v>2008</v>
      </c>
      <c r="V36" s="1353"/>
      <c r="W36" s="945"/>
    </row>
    <row r="37" spans="1:23">
      <c r="A37" s="1338"/>
      <c r="B37" s="1284" t="s">
        <v>424</v>
      </c>
      <c r="C37" s="1356">
        <v>83900</v>
      </c>
      <c r="D37" s="1357">
        <v>0.31</v>
      </c>
      <c r="E37" s="1356">
        <v>91719</v>
      </c>
      <c r="F37" s="1357">
        <v>0.32</v>
      </c>
      <c r="G37" s="1356">
        <v>98107</v>
      </c>
      <c r="H37" s="1357">
        <v>0.34</v>
      </c>
      <c r="I37" s="1356">
        <v>103063</v>
      </c>
      <c r="J37" s="1357">
        <v>0.34</v>
      </c>
      <c r="K37" s="1356">
        <v>90410</v>
      </c>
      <c r="L37" s="1357">
        <v>0.3</v>
      </c>
      <c r="M37" s="1358">
        <v>89179.792011981364</v>
      </c>
      <c r="N37" s="1359">
        <v>0.27546742553269576</v>
      </c>
      <c r="O37" s="1358">
        <v>103560.67529210076</v>
      </c>
      <c r="P37" s="1359">
        <v>0.30262623654661286</v>
      </c>
      <c r="Q37" s="1358">
        <v>105423.86315411549</v>
      </c>
      <c r="R37" s="1360">
        <v>0.29830431725770956</v>
      </c>
      <c r="S37" s="1361">
        <v>99740.690486374166</v>
      </c>
      <c r="T37" s="1359">
        <v>0.2862944136459622</v>
      </c>
      <c r="U37" s="1358">
        <f>CUADRO3B!C117</f>
        <v>115392.03563499352</v>
      </c>
      <c r="V37" s="1359">
        <f>U37/U39</f>
        <v>0.32160472367923465</v>
      </c>
      <c r="W37" s="1290"/>
    </row>
    <row r="38" spans="1:23">
      <c r="A38" s="1291"/>
      <c r="B38" s="1292" t="s">
        <v>425</v>
      </c>
      <c r="C38" s="1362">
        <v>190947</v>
      </c>
      <c r="D38" s="1363">
        <v>0.69</v>
      </c>
      <c r="E38" s="1362">
        <v>194574</v>
      </c>
      <c r="F38" s="1363">
        <v>0.68</v>
      </c>
      <c r="G38" s="1362">
        <v>189231</v>
      </c>
      <c r="H38" s="1363">
        <v>0.66</v>
      </c>
      <c r="I38" s="1362">
        <v>198778</v>
      </c>
      <c r="J38" s="1363">
        <v>0.66</v>
      </c>
      <c r="K38" s="1362">
        <v>212902</v>
      </c>
      <c r="L38" s="1363">
        <v>0.7</v>
      </c>
      <c r="M38" s="1364">
        <v>234560.09062396549</v>
      </c>
      <c r="N38" s="1365">
        <v>0.72453257446730424</v>
      </c>
      <c r="O38" s="1364">
        <v>238645.85800082321</v>
      </c>
      <c r="P38" s="1365">
        <v>0.69737376345338709</v>
      </c>
      <c r="Q38" s="1364">
        <v>247986.58736590916</v>
      </c>
      <c r="R38" s="1366">
        <v>0.70169568274229055</v>
      </c>
      <c r="S38" s="1367">
        <v>248644.34859341607</v>
      </c>
      <c r="T38" s="1365">
        <v>0.7137055863540378</v>
      </c>
      <c r="U38" s="1364">
        <f>CUADRO3B!D117</f>
        <v>243408.77523271128</v>
      </c>
      <c r="V38" s="1365">
        <f>U38/U39</f>
        <v>0.67839527632076546</v>
      </c>
      <c r="W38" s="1290"/>
    </row>
    <row r="39" spans="1:23" ht="13.5" thickBot="1">
      <c r="A39" s="1291"/>
      <c r="B39" s="1368" t="s">
        <v>426</v>
      </c>
      <c r="C39" s="1369">
        <v>274847</v>
      </c>
      <c r="D39" s="1370"/>
      <c r="E39" s="1369">
        <v>286293</v>
      </c>
      <c r="F39" s="1370"/>
      <c r="G39" s="1369">
        <f>G37+G38</f>
        <v>287338</v>
      </c>
      <c r="H39" s="1370"/>
      <c r="I39" s="1369">
        <v>301841</v>
      </c>
      <c r="J39" s="1370"/>
      <c r="K39" s="1369">
        <v>303312</v>
      </c>
      <c r="L39" s="1370"/>
      <c r="M39" s="1371">
        <v>323739.88263594685</v>
      </c>
      <c r="N39" s="1372"/>
      <c r="O39" s="1371">
        <v>342206.533292924</v>
      </c>
      <c r="P39" s="1372"/>
      <c r="Q39" s="1371">
        <v>353410.45052002463</v>
      </c>
      <c r="R39" s="1373"/>
      <c r="S39" s="1374">
        <v>348385.03907979024</v>
      </c>
      <c r="T39" s="1372"/>
      <c r="U39" s="1371">
        <f>CUADRO3B!E117</f>
        <v>358800.81086770474</v>
      </c>
      <c r="V39" s="1372"/>
      <c r="W39" s="1290"/>
    </row>
    <row r="40" spans="1:23">
      <c r="A40" s="1291"/>
      <c r="B40" s="1290" t="s">
        <v>427</v>
      </c>
      <c r="C40" s="1290"/>
      <c r="D40" s="1290"/>
      <c r="E40" s="1375"/>
      <c r="F40" s="1290"/>
      <c r="G40" s="1290"/>
      <c r="H40" s="1290"/>
      <c r="I40" s="1290"/>
      <c r="J40" s="1290"/>
      <c r="K40" s="1290"/>
      <c r="L40" s="1290"/>
      <c r="M40" s="1290"/>
      <c r="N40" s="1290"/>
      <c r="O40" s="1290"/>
      <c r="P40" s="1290"/>
      <c r="Q40" s="1290"/>
      <c r="R40" s="1290"/>
      <c r="S40" s="1290"/>
      <c r="T40" s="1290"/>
      <c r="U40" s="1290"/>
      <c r="V40" s="1290"/>
      <c r="W40" s="1290"/>
    </row>
    <row r="41" spans="1:23">
      <c r="A41" s="1291"/>
      <c r="B41" s="1290" t="s">
        <v>428</v>
      </c>
      <c r="C41" s="1290"/>
      <c r="D41" s="1290"/>
      <c r="E41" s="1290"/>
      <c r="F41" s="1290"/>
      <c r="G41" s="1290"/>
      <c r="H41" s="1290"/>
      <c r="I41" s="1290"/>
      <c r="J41" s="1290"/>
      <c r="K41" s="1290"/>
      <c r="L41" s="1290"/>
      <c r="M41" s="1290"/>
      <c r="N41" s="1290"/>
      <c r="O41" s="1290"/>
      <c r="P41" s="1290"/>
      <c r="Q41" s="1290"/>
      <c r="R41" s="1290"/>
      <c r="S41" s="1290"/>
      <c r="T41" s="1290"/>
      <c r="U41" s="1290"/>
      <c r="V41" s="1290"/>
      <c r="W41" s="1290"/>
    </row>
    <row r="42" spans="1:23">
      <c r="A42" s="1291"/>
      <c r="B42" s="1290"/>
      <c r="C42" s="1290"/>
      <c r="D42" s="1290"/>
      <c r="E42" s="1290"/>
      <c r="F42" s="1290"/>
      <c r="G42" s="1290"/>
      <c r="H42" s="1290"/>
      <c r="I42" s="1290"/>
      <c r="J42" s="1290"/>
      <c r="K42" s="1290"/>
      <c r="L42" s="1290"/>
      <c r="M42" s="1290"/>
      <c r="N42" s="1290"/>
      <c r="O42" s="1290"/>
      <c r="P42" s="1290"/>
      <c r="Q42" s="1290"/>
      <c r="R42" s="1290"/>
      <c r="S42" s="1290"/>
      <c r="T42" s="1290"/>
      <c r="U42" s="1290"/>
      <c r="V42" s="1290"/>
      <c r="W42" s="1290"/>
    </row>
    <row r="43" spans="1:23">
      <c r="A43" s="1291"/>
      <c r="B43" s="1290"/>
      <c r="C43" s="1290"/>
      <c r="D43" s="1290"/>
      <c r="E43" s="1290"/>
      <c r="F43" s="1290"/>
      <c r="G43" s="1290"/>
      <c r="H43" s="1290"/>
      <c r="I43" s="1290"/>
      <c r="J43" s="1290"/>
      <c r="K43" s="1290"/>
      <c r="L43" s="1290"/>
      <c r="M43" s="1290"/>
      <c r="N43" s="1290"/>
      <c r="O43" s="1290"/>
      <c r="P43" s="1290"/>
      <c r="Q43" s="1290"/>
      <c r="R43" s="1290"/>
      <c r="S43" s="1290"/>
      <c r="T43" s="1290"/>
      <c r="U43" s="1290"/>
      <c r="V43" s="1290"/>
      <c r="W43" s="1290"/>
    </row>
    <row r="44" spans="1:23">
      <c r="A44" s="1291"/>
      <c r="B44" s="1290"/>
      <c r="C44" s="1290"/>
      <c r="D44" s="1290"/>
      <c r="E44" s="1290"/>
      <c r="F44" s="1290"/>
      <c r="G44" s="1290"/>
      <c r="H44" s="1290"/>
      <c r="I44" s="1290"/>
      <c r="J44" s="1290"/>
      <c r="K44" s="1290"/>
      <c r="L44" s="1290"/>
      <c r="M44" s="1290"/>
      <c r="N44" s="1290"/>
      <c r="O44" s="1290"/>
      <c r="P44" s="1290"/>
      <c r="Q44" s="1290"/>
      <c r="R44" s="1290"/>
      <c r="S44" s="1290"/>
      <c r="T44" s="1290"/>
      <c r="U44" s="1290"/>
      <c r="V44" s="1290"/>
      <c r="W44" s="1290"/>
    </row>
    <row r="45" spans="1:23">
      <c r="A45" s="1291"/>
      <c r="B45" s="1290"/>
      <c r="C45" s="1290"/>
      <c r="D45" s="1290"/>
      <c r="E45" s="1290"/>
      <c r="F45" s="1290"/>
      <c r="G45" s="1290"/>
      <c r="H45" s="1290"/>
      <c r="I45" s="1290"/>
      <c r="J45" s="1290"/>
      <c r="K45" s="1290"/>
      <c r="L45" s="1290"/>
      <c r="M45" s="1290"/>
      <c r="N45" s="1290"/>
      <c r="O45" s="1290"/>
      <c r="P45" s="1290"/>
      <c r="Q45" s="1290"/>
      <c r="R45" s="1290"/>
      <c r="S45" s="1290"/>
      <c r="T45" s="1290"/>
      <c r="U45" s="1290"/>
      <c r="V45" s="1290"/>
      <c r="W45" s="1290"/>
    </row>
    <row r="46" spans="1:23">
      <c r="A46" s="1291"/>
      <c r="B46" s="1290"/>
      <c r="C46" s="1290"/>
      <c r="D46" s="1290"/>
      <c r="E46" s="1290"/>
      <c r="F46" s="1290"/>
      <c r="G46" s="1290"/>
      <c r="H46" s="1290"/>
      <c r="I46" s="1290"/>
      <c r="J46" s="1290"/>
      <c r="K46" s="1290"/>
      <c r="L46" s="1290"/>
      <c r="M46" s="1290"/>
      <c r="N46" s="1290"/>
      <c r="O46" s="1290"/>
      <c r="P46" s="1290"/>
      <c r="Q46" s="1290"/>
      <c r="R46" s="1290"/>
      <c r="S46" s="1290"/>
      <c r="T46" s="1290"/>
      <c r="U46" s="1290"/>
      <c r="V46" s="1290"/>
      <c r="W46" s="1290"/>
    </row>
    <row r="47" spans="1:23">
      <c r="A47" s="1290"/>
      <c r="B47" s="1290"/>
      <c r="C47" s="1290"/>
      <c r="D47" s="1290"/>
      <c r="E47" s="1290"/>
      <c r="F47" s="1290"/>
      <c r="G47" s="1290"/>
      <c r="H47" s="1290"/>
      <c r="I47" s="1290"/>
      <c r="J47" s="1290"/>
      <c r="K47" s="1290"/>
      <c r="L47" s="1290"/>
      <c r="M47" s="1290"/>
      <c r="N47" s="1290"/>
      <c r="O47" s="1290"/>
      <c r="P47" s="1290"/>
      <c r="Q47" s="1290"/>
      <c r="R47" s="1290"/>
      <c r="S47" s="1290"/>
      <c r="T47" s="1290"/>
      <c r="U47" s="1290"/>
      <c r="V47" s="1290"/>
      <c r="W47" s="1290"/>
    </row>
    <row r="48" spans="1:23">
      <c r="A48" s="1290"/>
      <c r="B48" s="1290"/>
      <c r="C48" s="1290"/>
      <c r="D48" s="1290"/>
      <c r="E48" s="1290"/>
      <c r="F48" s="1290"/>
      <c r="G48" s="1290"/>
      <c r="H48" s="1290"/>
      <c r="I48" s="1290"/>
      <c r="J48" s="1290"/>
      <c r="K48" s="1290"/>
      <c r="L48" s="1290"/>
      <c r="M48" s="1290"/>
      <c r="N48" s="1290"/>
      <c r="O48" s="1290"/>
      <c r="P48" s="1290"/>
      <c r="Q48" s="1290"/>
      <c r="R48" s="1290"/>
      <c r="S48" s="1290"/>
      <c r="T48" s="1290"/>
      <c r="U48" s="1290"/>
      <c r="V48" s="1290"/>
      <c r="W48" s="1290"/>
    </row>
    <row r="49" spans="1:23">
      <c r="A49" s="1290"/>
      <c r="B49" s="1290"/>
      <c r="C49" s="1290"/>
      <c r="D49" s="1290"/>
      <c r="E49" s="1290"/>
      <c r="F49" s="1290"/>
      <c r="G49" s="1290"/>
      <c r="H49" s="1290"/>
      <c r="I49" s="1290"/>
      <c r="J49" s="1290"/>
      <c r="K49" s="1290"/>
      <c r="L49" s="1290"/>
      <c r="M49" s="1290"/>
      <c r="N49" s="1290"/>
      <c r="O49" s="1290"/>
      <c r="P49" s="1290"/>
      <c r="Q49" s="1290"/>
      <c r="R49" s="1290"/>
      <c r="S49" s="1290"/>
      <c r="T49" s="1290"/>
      <c r="U49" s="1290"/>
      <c r="V49" s="1290"/>
      <c r="W49" s="1290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="3" customFormat="1"/>
    <row r="66" s="3" customFormat="1"/>
    <row r="67" s="3" customFormat="1"/>
    <row r="68" s="3" customFormat="1"/>
  </sheetData>
  <mergeCells count="6">
    <mergeCell ref="B33:F33"/>
    <mergeCell ref="B34:F34"/>
    <mergeCell ref="B2:F2"/>
    <mergeCell ref="B3:F3"/>
    <mergeCell ref="B20:F20"/>
    <mergeCell ref="B21:F21"/>
  </mergeCells>
  <phoneticPr fontId="0" type="noConversion"/>
  <hyperlinks>
    <hyperlink ref="H1" location="INDICE!A60" display="VOLVER A INDICE"/>
  </hyperlinks>
  <pageMargins left="0.75" right="0.75" top="1" bottom="1" header="0" footer="0"/>
  <pageSetup scale="72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="85" workbookViewId="0">
      <selection activeCell="J19" sqref="J19"/>
    </sheetView>
  </sheetViews>
  <sheetFormatPr baseColWidth="10" defaultRowHeight="12.75"/>
  <cols>
    <col min="1" max="1" width="2.5703125" customWidth="1"/>
    <col min="2" max="2" width="20.28515625" customWidth="1"/>
  </cols>
  <sheetData>
    <row r="1" spans="1:22" ht="15">
      <c r="A1" s="504"/>
      <c r="B1" s="140" t="s">
        <v>753</v>
      </c>
      <c r="C1" s="62"/>
      <c r="D1" s="62"/>
      <c r="E1" s="62"/>
      <c r="F1" s="62"/>
      <c r="G1" s="148"/>
      <c r="H1" s="183"/>
      <c r="I1" s="183"/>
      <c r="J1" s="183"/>
      <c r="K1" s="183"/>
      <c r="L1" s="62"/>
      <c r="M1" s="62"/>
      <c r="N1" s="62"/>
      <c r="O1" s="62"/>
      <c r="P1" s="62"/>
      <c r="Q1" s="62"/>
      <c r="R1" s="815"/>
      <c r="S1" s="815"/>
      <c r="T1" s="815"/>
      <c r="U1" s="815"/>
      <c r="V1" s="815"/>
    </row>
    <row r="2" spans="1:22">
      <c r="A2" s="504"/>
      <c r="B2" s="62"/>
      <c r="C2" s="62"/>
      <c r="D2" s="62"/>
      <c r="E2" s="62"/>
      <c r="F2" s="62"/>
      <c r="G2" s="62"/>
      <c r="H2" s="572" t="s">
        <v>649</v>
      </c>
      <c r="I2" s="183"/>
      <c r="J2" s="183"/>
      <c r="K2" s="183"/>
      <c r="L2" s="62"/>
      <c r="M2" s="62"/>
      <c r="N2" s="62"/>
      <c r="O2" s="62"/>
      <c r="P2" s="62"/>
      <c r="Q2" s="62"/>
      <c r="R2" s="815"/>
      <c r="S2" s="815"/>
      <c r="T2" s="815"/>
      <c r="U2" s="815"/>
      <c r="V2" s="815"/>
    </row>
    <row r="3" spans="1:22" ht="18.75" thickBot="1">
      <c r="A3" s="504"/>
      <c r="B3" s="149" t="s">
        <v>836</v>
      </c>
      <c r="C3" s="62"/>
      <c r="D3" s="62"/>
      <c r="E3" s="62"/>
      <c r="F3" s="62"/>
      <c r="G3" s="62"/>
      <c r="H3" s="142"/>
      <c r="I3" s="143"/>
      <c r="J3" s="143"/>
      <c r="K3" s="183"/>
      <c r="L3" s="62"/>
      <c r="M3" s="62"/>
      <c r="N3" s="62"/>
      <c r="O3" s="62"/>
      <c r="P3" s="62"/>
      <c r="Q3" s="62"/>
      <c r="R3" s="815"/>
      <c r="S3" s="815"/>
      <c r="T3" s="815"/>
      <c r="U3" s="815"/>
      <c r="V3" s="815"/>
    </row>
    <row r="4" spans="1:22" ht="13.5" thickBot="1">
      <c r="A4" s="504"/>
      <c r="B4" s="569"/>
      <c r="C4" s="570"/>
      <c r="D4" s="570"/>
      <c r="E4" s="570"/>
      <c r="F4" s="571"/>
      <c r="G4" s="62"/>
      <c r="H4" s="141"/>
      <c r="I4" s="141"/>
      <c r="J4" s="141"/>
      <c r="K4" s="183"/>
      <c r="L4" s="62"/>
      <c r="M4" s="62"/>
      <c r="N4" s="62"/>
      <c r="O4" s="62"/>
      <c r="P4" s="62"/>
      <c r="Q4" s="62"/>
      <c r="R4" s="815"/>
      <c r="S4" s="815"/>
      <c r="T4" s="815"/>
      <c r="U4" s="815"/>
      <c r="V4" s="815"/>
    </row>
    <row r="5" spans="1:22" ht="13.5" thickTop="1">
      <c r="A5" s="504"/>
      <c r="B5" s="150" t="s">
        <v>96</v>
      </c>
      <c r="C5" s="111" t="s">
        <v>450</v>
      </c>
      <c r="D5" s="112" t="s">
        <v>451</v>
      </c>
      <c r="E5" s="111" t="s">
        <v>452</v>
      </c>
      <c r="F5" s="151" t="s">
        <v>453</v>
      </c>
      <c r="G5" s="62"/>
      <c r="H5" s="144"/>
      <c r="I5" s="145"/>
      <c r="J5" s="145"/>
      <c r="K5" s="183"/>
      <c r="L5" s="62"/>
      <c r="M5" s="62"/>
      <c r="N5" s="62"/>
      <c r="O5" s="62"/>
      <c r="P5" s="62"/>
      <c r="Q5" s="62"/>
      <c r="R5" s="815"/>
      <c r="S5" s="815"/>
      <c r="T5" s="815"/>
      <c r="U5" s="815"/>
      <c r="V5" s="815"/>
    </row>
    <row r="6" spans="1:22">
      <c r="A6" s="504"/>
      <c r="B6" s="64" t="s">
        <v>454</v>
      </c>
      <c r="C6" s="113">
        <v>13117.612000000003</v>
      </c>
      <c r="D6" s="114">
        <f>C6/C8</f>
        <v>0.91754510324331506</v>
      </c>
      <c r="E6" s="113">
        <v>56847.827235443336</v>
      </c>
      <c r="F6" s="152">
        <f>E6/E8</f>
        <v>0.93410291962598302</v>
      </c>
      <c r="G6" s="62"/>
      <c r="H6" s="146"/>
      <c r="I6" s="145"/>
      <c r="J6" s="145"/>
      <c r="K6" s="183"/>
      <c r="L6" s="62"/>
      <c r="M6" s="62"/>
      <c r="N6" s="62"/>
      <c r="O6" s="62"/>
      <c r="P6" s="62"/>
      <c r="Q6" s="62"/>
      <c r="R6" s="815"/>
      <c r="S6" s="815"/>
      <c r="T6" s="815"/>
      <c r="U6" s="815"/>
      <c r="V6" s="815"/>
    </row>
    <row r="7" spans="1:22">
      <c r="A7" s="504"/>
      <c r="B7" s="65" t="s">
        <v>354</v>
      </c>
      <c r="C7" s="115">
        <v>1178.81</v>
      </c>
      <c r="D7" s="116">
        <f>C7/C8</f>
        <v>8.2454896756684978E-2</v>
      </c>
      <c r="E7" s="115">
        <v>4010.3780447685504</v>
      </c>
      <c r="F7" s="153">
        <f>E7/E8</f>
        <v>6.5897080374017036E-2</v>
      </c>
      <c r="G7" s="62"/>
      <c r="H7" s="146"/>
      <c r="I7" s="145"/>
      <c r="J7" s="145"/>
      <c r="K7" s="183"/>
      <c r="L7" s="62"/>
      <c r="M7" s="62"/>
      <c r="N7" s="62"/>
      <c r="O7" s="62"/>
      <c r="P7" s="62"/>
      <c r="Q7" s="62"/>
      <c r="R7" s="815"/>
      <c r="S7" s="815"/>
      <c r="T7" s="815"/>
      <c r="U7" s="815"/>
      <c r="V7" s="815"/>
    </row>
    <row r="8" spans="1:22" ht="13.5" thickBot="1">
      <c r="A8" s="504"/>
      <c r="B8" s="154" t="s">
        <v>104</v>
      </c>
      <c r="C8" s="155">
        <f>C6+C7</f>
        <v>14296.422000000002</v>
      </c>
      <c r="D8" s="156"/>
      <c r="E8" s="155">
        <f>E6+E7</f>
        <v>60858.205280211885</v>
      </c>
      <c r="F8" s="157"/>
      <c r="G8" s="62"/>
      <c r="H8" s="146"/>
      <c r="I8" s="145"/>
      <c r="J8" s="145"/>
      <c r="K8" s="183"/>
      <c r="L8" s="62"/>
      <c r="M8" s="62"/>
      <c r="N8" s="62"/>
      <c r="O8" s="62"/>
      <c r="P8" s="62"/>
      <c r="Q8" s="62"/>
      <c r="R8" s="815"/>
      <c r="S8" s="815"/>
      <c r="T8" s="815"/>
      <c r="U8" s="815"/>
      <c r="V8" s="815"/>
    </row>
    <row r="9" spans="1:22">
      <c r="A9" s="504"/>
      <c r="B9" s="140" t="s">
        <v>467</v>
      </c>
      <c r="C9" s="62"/>
      <c r="D9" s="62"/>
      <c r="E9" s="503"/>
      <c r="F9" s="62"/>
      <c r="G9" s="62"/>
      <c r="H9" s="146"/>
      <c r="I9" s="145"/>
      <c r="J9" s="145"/>
      <c r="K9" s="183"/>
      <c r="L9" s="62"/>
      <c r="M9" s="62"/>
      <c r="N9" s="62"/>
      <c r="O9" s="62"/>
      <c r="P9" s="62"/>
      <c r="Q9" s="62"/>
      <c r="R9" s="815"/>
      <c r="S9" s="815"/>
      <c r="T9" s="815"/>
      <c r="U9" s="815"/>
      <c r="V9" s="815"/>
    </row>
    <row r="10" spans="1:22">
      <c r="A10" s="504"/>
      <c r="B10" s="140"/>
      <c r="C10" s="62"/>
      <c r="D10" s="62"/>
      <c r="E10" s="503"/>
      <c r="F10" s="62"/>
      <c r="G10" s="62"/>
      <c r="H10" s="146"/>
      <c r="I10" s="145"/>
      <c r="J10" s="145"/>
      <c r="K10" s="183"/>
      <c r="L10" s="62"/>
      <c r="M10" s="62"/>
      <c r="N10" s="62"/>
      <c r="O10" s="62"/>
      <c r="P10" s="62"/>
      <c r="Q10" s="62"/>
      <c r="R10" s="815"/>
      <c r="S10" s="815"/>
      <c r="T10" s="815"/>
      <c r="U10" s="815"/>
      <c r="V10" s="815"/>
    </row>
    <row r="11" spans="1:22">
      <c r="A11" s="504"/>
      <c r="B11" s="140" t="s">
        <v>754</v>
      </c>
      <c r="C11" s="62"/>
      <c r="D11" s="62"/>
      <c r="E11" s="62"/>
      <c r="F11" s="62"/>
      <c r="G11" s="62"/>
      <c r="H11" s="146"/>
      <c r="I11" s="145"/>
      <c r="J11" s="145"/>
      <c r="K11" s="183"/>
      <c r="L11" s="62"/>
      <c r="M11" s="62"/>
      <c r="N11" s="62"/>
      <c r="O11" s="62"/>
      <c r="P11" s="62"/>
      <c r="Q11" s="62"/>
      <c r="R11" s="815"/>
      <c r="S11" s="815"/>
      <c r="T11" s="815"/>
      <c r="U11" s="815"/>
      <c r="V11" s="815"/>
    </row>
    <row r="12" spans="1:22" ht="18.75" thickBot="1">
      <c r="A12" s="504"/>
      <c r="B12" s="149" t="s">
        <v>837</v>
      </c>
      <c r="C12" s="62"/>
      <c r="D12" s="62"/>
      <c r="E12" s="62"/>
      <c r="F12" s="62"/>
      <c r="G12" s="62"/>
      <c r="H12" s="146"/>
      <c r="I12" s="145"/>
      <c r="J12" s="145"/>
      <c r="K12" s="183"/>
      <c r="L12" s="62"/>
      <c r="M12" s="62"/>
      <c r="N12" s="62"/>
      <c r="O12" s="62"/>
      <c r="P12" s="62"/>
      <c r="Q12" s="62"/>
      <c r="R12" s="815"/>
      <c r="S12" s="815"/>
      <c r="T12" s="815"/>
      <c r="U12" s="815"/>
      <c r="V12" s="815"/>
    </row>
    <row r="13" spans="1:22">
      <c r="A13" s="504"/>
      <c r="B13" s="1376"/>
      <c r="C13" s="1377"/>
      <c r="D13" s="1377"/>
      <c r="E13" s="1378"/>
      <c r="F13" s="1379"/>
      <c r="G13" s="62"/>
      <c r="H13" s="146"/>
      <c r="I13" s="145"/>
      <c r="J13" s="145"/>
      <c r="K13" s="183"/>
      <c r="L13" s="62"/>
      <c r="M13" s="62"/>
      <c r="N13" s="62"/>
      <c r="O13" s="62"/>
      <c r="P13" s="62"/>
      <c r="Q13" s="62"/>
      <c r="R13" s="815"/>
      <c r="S13" s="815"/>
      <c r="T13" s="815"/>
      <c r="U13" s="815"/>
      <c r="V13" s="815"/>
    </row>
    <row r="14" spans="1:22" ht="25.5">
      <c r="A14" s="504"/>
      <c r="B14" s="117" t="s">
        <v>455</v>
      </c>
      <c r="C14" s="118" t="s">
        <v>456</v>
      </c>
      <c r="D14" s="119" t="s">
        <v>456</v>
      </c>
      <c r="E14" s="120" t="s">
        <v>452</v>
      </c>
      <c r="F14" s="121" t="s">
        <v>452</v>
      </c>
      <c r="G14" s="62"/>
      <c r="H14" s="146"/>
      <c r="I14" s="145"/>
      <c r="J14" s="145"/>
      <c r="K14" s="183"/>
      <c r="L14" s="62"/>
      <c r="M14" s="62"/>
      <c r="N14" s="62"/>
      <c r="O14" s="62"/>
      <c r="P14" s="62"/>
      <c r="Q14" s="62"/>
      <c r="R14" s="815"/>
      <c r="S14" s="815"/>
      <c r="T14" s="815"/>
      <c r="U14" s="815"/>
      <c r="V14" s="815"/>
    </row>
    <row r="15" spans="1:22" ht="25.5">
      <c r="A15" s="504"/>
      <c r="B15" s="122" t="s">
        <v>457</v>
      </c>
      <c r="C15" s="123" t="s">
        <v>458</v>
      </c>
      <c r="D15" s="124" t="s">
        <v>459</v>
      </c>
      <c r="E15" s="125" t="s">
        <v>460</v>
      </c>
      <c r="F15" s="126" t="s">
        <v>461</v>
      </c>
      <c r="G15" s="62"/>
      <c r="H15" s="146"/>
      <c r="I15" s="145"/>
      <c r="J15" s="145"/>
      <c r="K15" s="183"/>
      <c r="L15" s="62"/>
      <c r="M15" s="62"/>
      <c r="N15" s="62"/>
      <c r="O15" s="62"/>
      <c r="P15" s="62"/>
      <c r="Q15" s="62"/>
      <c r="R15" s="815"/>
      <c r="S15" s="815"/>
      <c r="T15" s="815"/>
      <c r="U15" s="815"/>
      <c r="V15" s="815"/>
    </row>
    <row r="16" spans="1:22">
      <c r="A16" s="504"/>
      <c r="B16" s="127" t="s">
        <v>379</v>
      </c>
      <c r="C16" s="128">
        <v>3601.855</v>
      </c>
      <c r="D16" s="129">
        <f>C16/$C$21</f>
        <v>0.25194101013526315</v>
      </c>
      <c r="E16" s="130">
        <v>14488.047670999997</v>
      </c>
      <c r="F16" s="131">
        <f>E16/$E$21</f>
        <v>0.23806235501510595</v>
      </c>
      <c r="G16" s="1380"/>
      <c r="H16" s="146"/>
      <c r="I16" s="145"/>
      <c r="J16" s="145"/>
      <c r="K16" s="183"/>
      <c r="L16" s="62"/>
      <c r="M16" s="62"/>
      <c r="N16" s="62"/>
      <c r="O16" s="62"/>
      <c r="P16" s="62"/>
      <c r="Q16" s="62"/>
      <c r="R16" s="815"/>
      <c r="S16" s="815"/>
      <c r="T16" s="815"/>
      <c r="U16" s="815"/>
      <c r="V16" s="815"/>
    </row>
    <row r="17" spans="1:22">
      <c r="A17" s="504"/>
      <c r="B17" s="127" t="s">
        <v>380</v>
      </c>
      <c r="C17" s="128">
        <v>9385.7460000000028</v>
      </c>
      <c r="D17" s="129">
        <f>C17/$C$21</f>
        <v>0.65651013939012159</v>
      </c>
      <c r="E17" s="130">
        <v>41971.04847714334</v>
      </c>
      <c r="F17" s="131">
        <f>E17/$E$21</f>
        <v>0.68965307609539839</v>
      </c>
      <c r="G17" s="1380"/>
      <c r="H17" s="146"/>
      <c r="I17" s="145"/>
      <c r="J17" s="145"/>
      <c r="K17" s="183"/>
      <c r="L17" s="62"/>
      <c r="M17" s="62"/>
      <c r="N17" s="62"/>
      <c r="O17" s="62"/>
      <c r="P17" s="62"/>
      <c r="Q17" s="62"/>
      <c r="R17" s="815"/>
      <c r="S17" s="815"/>
      <c r="T17" s="815"/>
      <c r="U17" s="815"/>
      <c r="V17" s="815"/>
    </row>
    <row r="18" spans="1:22">
      <c r="A18" s="504"/>
      <c r="B18" s="127" t="s">
        <v>398</v>
      </c>
      <c r="C18" s="128">
        <v>50.445999999999991</v>
      </c>
      <c r="D18" s="129">
        <f>C18/$C$21</f>
        <v>3.5285751917507741E-3</v>
      </c>
      <c r="E18" s="132">
        <v>139.49852300000001</v>
      </c>
      <c r="F18" s="131">
        <f>E18/$E$21</f>
        <v>2.2921892349224127E-3</v>
      </c>
      <c r="G18" s="1380"/>
      <c r="H18" s="146"/>
      <c r="I18" s="145"/>
      <c r="J18" s="145"/>
      <c r="K18" s="183"/>
      <c r="L18" s="62"/>
      <c r="M18" s="62"/>
      <c r="N18" s="62"/>
      <c r="O18" s="62"/>
      <c r="P18" s="62"/>
      <c r="Q18" s="62"/>
      <c r="R18" s="815"/>
      <c r="S18" s="815"/>
      <c r="T18" s="815"/>
      <c r="U18" s="815"/>
      <c r="V18" s="815"/>
    </row>
    <row r="19" spans="1:22">
      <c r="A19" s="504"/>
      <c r="B19" s="127" t="s">
        <v>384</v>
      </c>
      <c r="C19" s="128">
        <v>79.564999999999998</v>
      </c>
      <c r="D19" s="129">
        <f>C19/$C$21</f>
        <v>5.5653785261794864E-3</v>
      </c>
      <c r="E19" s="132">
        <v>249.23256430000001</v>
      </c>
      <c r="F19" s="131">
        <f>E19/$E$21</f>
        <v>4.095299280556311E-3</v>
      </c>
      <c r="G19" s="1380"/>
      <c r="H19" s="146"/>
      <c r="I19" s="145"/>
      <c r="J19" s="145"/>
      <c r="K19" s="183"/>
      <c r="L19" s="62"/>
      <c r="M19" s="62"/>
      <c r="N19" s="62"/>
      <c r="O19" s="62"/>
      <c r="P19" s="62"/>
      <c r="Q19" s="62"/>
      <c r="R19" s="815"/>
      <c r="S19" s="815"/>
      <c r="T19" s="815"/>
      <c r="U19" s="815"/>
      <c r="V19" s="815"/>
    </row>
    <row r="20" spans="1:22">
      <c r="A20" s="504"/>
      <c r="B20" s="133" t="s">
        <v>328</v>
      </c>
      <c r="C20" s="134">
        <v>1178.81</v>
      </c>
      <c r="D20" s="129">
        <f>C20/$C$21</f>
        <v>8.2454896756684978E-2</v>
      </c>
      <c r="E20" s="135">
        <v>4010.3780447685504</v>
      </c>
      <c r="F20" s="131">
        <f>E20/$E$21</f>
        <v>6.5897080374017036E-2</v>
      </c>
      <c r="G20" s="1380"/>
      <c r="H20" s="146"/>
      <c r="I20" s="145"/>
      <c r="J20" s="145"/>
      <c r="K20" s="183"/>
      <c r="L20" s="62"/>
      <c r="M20" s="62"/>
      <c r="N20" s="62"/>
      <c r="O20" s="62"/>
      <c r="P20" s="62"/>
      <c r="Q20" s="62"/>
      <c r="R20" s="815"/>
      <c r="S20" s="815"/>
      <c r="T20" s="815"/>
      <c r="U20" s="815"/>
      <c r="V20" s="815"/>
    </row>
    <row r="21" spans="1:22" ht="13.5" thickBot="1">
      <c r="A21" s="504"/>
      <c r="B21" s="136" t="s">
        <v>31</v>
      </c>
      <c r="C21" s="137">
        <f>C16+C17+C18+C19+C20</f>
        <v>14296.422000000002</v>
      </c>
      <c r="D21" s="138">
        <v>1</v>
      </c>
      <c r="E21" s="137">
        <f>E16+E17+E18+E19+E20</f>
        <v>60858.205280211885</v>
      </c>
      <c r="F21" s="139">
        <v>1</v>
      </c>
      <c r="G21" s="1380"/>
      <c r="H21" s="183"/>
      <c r="I21" s="147"/>
      <c r="J21" s="183"/>
      <c r="K21" s="183"/>
      <c r="L21" s="62"/>
      <c r="M21" s="62"/>
      <c r="N21" s="62"/>
      <c r="O21" s="62"/>
      <c r="P21" s="62"/>
      <c r="Q21" s="62"/>
      <c r="R21" s="815"/>
      <c r="S21" s="815"/>
      <c r="T21" s="815"/>
      <c r="U21" s="815"/>
      <c r="V21" s="815"/>
    </row>
    <row r="22" spans="1:22" ht="13.5" thickBot="1">
      <c r="A22" s="504"/>
      <c r="B22" s="1381"/>
      <c r="C22" s="1382"/>
      <c r="D22" s="1383"/>
      <c r="E22" s="1384"/>
      <c r="F22" s="1385"/>
      <c r="G22" s="62"/>
      <c r="H22" s="183"/>
      <c r="I22" s="183"/>
      <c r="J22" s="183"/>
      <c r="K22" s="183"/>
      <c r="L22" s="62"/>
      <c r="M22" s="62"/>
      <c r="N22" s="62"/>
      <c r="O22" s="62"/>
      <c r="P22" s="62"/>
      <c r="Q22" s="62"/>
      <c r="R22" s="815"/>
      <c r="S22" s="815"/>
      <c r="T22" s="815"/>
      <c r="U22" s="815"/>
      <c r="V22" s="815"/>
    </row>
    <row r="23" spans="1:22">
      <c r="A23" s="504"/>
      <c r="B23" s="140" t="s">
        <v>838</v>
      </c>
      <c r="C23" s="503"/>
      <c r="D23" s="62"/>
      <c r="E23" s="503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815"/>
      <c r="S23" s="815"/>
      <c r="T23" s="815"/>
      <c r="U23" s="815"/>
      <c r="V23" s="815"/>
    </row>
    <row r="24" spans="1:22">
      <c r="A24" s="504"/>
      <c r="B24" s="140"/>
      <c r="C24" s="503"/>
      <c r="D24" s="62"/>
      <c r="E24" s="503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15"/>
      <c r="S24" s="815"/>
      <c r="T24" s="815"/>
      <c r="U24" s="815"/>
      <c r="V24" s="815"/>
    </row>
    <row r="25" spans="1:22">
      <c r="A25" s="504"/>
      <c r="B25" s="140" t="s">
        <v>755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15"/>
      <c r="S25" s="815"/>
      <c r="T25" s="815"/>
      <c r="U25" s="815"/>
      <c r="V25" s="815"/>
    </row>
    <row r="26" spans="1:22" ht="18">
      <c r="A26" s="504"/>
      <c r="B26" s="1475" t="s">
        <v>462</v>
      </c>
      <c r="C26" s="1475"/>
      <c r="D26" s="1475"/>
      <c r="E26" s="1475"/>
      <c r="F26" s="1475"/>
      <c r="G26" s="1475"/>
      <c r="H26" s="1475"/>
      <c r="I26" s="1475"/>
      <c r="J26" s="1475"/>
      <c r="K26" s="1475"/>
      <c r="L26" s="1475"/>
      <c r="M26" s="62"/>
      <c r="N26" s="62"/>
      <c r="O26" s="62"/>
      <c r="P26" s="62"/>
      <c r="Q26" s="62"/>
      <c r="R26" s="815"/>
      <c r="S26" s="815"/>
      <c r="T26" s="815"/>
      <c r="U26" s="815"/>
      <c r="V26" s="815"/>
    </row>
    <row r="27" spans="1:22" ht="16.5" thickBot="1">
      <c r="A27" s="504"/>
      <c r="B27" s="1476" t="s">
        <v>190</v>
      </c>
      <c r="C27" s="1476"/>
      <c r="D27" s="1476"/>
      <c r="E27" s="1476"/>
      <c r="F27" s="1476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815"/>
      <c r="S27" s="815"/>
      <c r="T27" s="815"/>
      <c r="U27" s="815"/>
      <c r="V27" s="815"/>
    </row>
    <row r="28" spans="1:22" ht="16.5" thickBot="1">
      <c r="A28" s="504"/>
      <c r="B28" s="384"/>
      <c r="C28" s="385"/>
      <c r="D28" s="385"/>
      <c r="E28" s="385"/>
      <c r="F28" s="385"/>
      <c r="G28" s="1386"/>
      <c r="H28" s="1386"/>
      <c r="I28" s="1386"/>
      <c r="J28" s="1386"/>
      <c r="K28" s="1386"/>
      <c r="L28" s="1386"/>
      <c r="M28" s="1386"/>
      <c r="N28" s="1386"/>
      <c r="O28" s="1386"/>
      <c r="P28" s="1386"/>
      <c r="Q28" s="1386"/>
      <c r="R28" s="1386"/>
      <c r="S28" s="1386"/>
      <c r="T28" s="1386"/>
      <c r="U28" s="1386"/>
      <c r="V28" s="1387"/>
    </row>
    <row r="29" spans="1:22" ht="13.5" thickBot="1">
      <c r="A29" s="504"/>
      <c r="B29" s="57" t="s">
        <v>463</v>
      </c>
      <c r="C29" s="61">
        <v>1999</v>
      </c>
      <c r="D29" s="909"/>
      <c r="E29" s="61">
        <v>2000</v>
      </c>
      <c r="F29" s="909"/>
      <c r="G29" s="61">
        <v>2001</v>
      </c>
      <c r="H29" s="909"/>
      <c r="I29" s="61">
        <v>2002</v>
      </c>
      <c r="J29" s="909"/>
      <c r="K29" s="61">
        <v>2003</v>
      </c>
      <c r="L29" s="909"/>
      <c r="M29" s="910">
        <v>2004</v>
      </c>
      <c r="N29" s="909"/>
      <c r="O29" s="910">
        <v>2005</v>
      </c>
      <c r="P29" s="909"/>
      <c r="Q29" s="910">
        <v>2006</v>
      </c>
      <c r="R29" s="910"/>
      <c r="S29" s="910">
        <v>2007</v>
      </c>
      <c r="T29" s="911"/>
      <c r="U29" s="910">
        <v>2008</v>
      </c>
      <c r="V29" s="911"/>
    </row>
    <row r="30" spans="1:22">
      <c r="A30" s="504"/>
      <c r="B30" s="65" t="s">
        <v>464</v>
      </c>
      <c r="C30" s="916">
        <v>13577</v>
      </c>
      <c r="D30" s="917">
        <v>0.35366901977128867</v>
      </c>
      <c r="E30" s="916">
        <v>19081</v>
      </c>
      <c r="F30" s="917">
        <v>0.46236793641562468</v>
      </c>
      <c r="G30" s="916">
        <v>21680</v>
      </c>
      <c r="H30" s="917">
        <v>0.49365849215565727</v>
      </c>
      <c r="I30" s="916">
        <v>23187</v>
      </c>
      <c r="J30" s="917">
        <v>0.50979486841237387</v>
      </c>
      <c r="K30" s="916">
        <v>22603</v>
      </c>
      <c r="L30" s="917">
        <v>0.46300000000000002</v>
      </c>
      <c r="M30" s="916">
        <v>20969.338340000002</v>
      </c>
      <c r="N30" s="917">
        <v>0.42820609962793699</v>
      </c>
      <c r="O30" s="916">
        <v>25575.5</v>
      </c>
      <c r="P30" s="917">
        <v>0.50209767694793395</v>
      </c>
      <c r="Q30" s="916">
        <v>28215.050083250269</v>
      </c>
      <c r="R30" s="918">
        <v>0.52307517754046107</v>
      </c>
      <c r="S30" s="916">
        <v>22334.859107965047</v>
      </c>
      <c r="T30" s="919">
        <v>0.39634516430825767</v>
      </c>
      <c r="U30" s="916">
        <v>23871.049691684639</v>
      </c>
      <c r="V30" s="919">
        <f>U30/$U$35</f>
        <v>0.41991138188658123</v>
      </c>
    </row>
    <row r="31" spans="1:22">
      <c r="A31" s="504"/>
      <c r="B31" s="65" t="s">
        <v>465</v>
      </c>
      <c r="C31" s="916">
        <v>6698</v>
      </c>
      <c r="D31" s="917">
        <v>0.17447706374221783</v>
      </c>
      <c r="E31" s="916">
        <v>9771</v>
      </c>
      <c r="F31" s="917">
        <v>0.23676940971212562</v>
      </c>
      <c r="G31" s="916">
        <v>12504</v>
      </c>
      <c r="H31" s="917">
        <v>0.28471890156431451</v>
      </c>
      <c r="I31" s="916">
        <v>12529</v>
      </c>
      <c r="J31" s="917">
        <v>0.27546555856034122</v>
      </c>
      <c r="K31" s="916">
        <v>15961</v>
      </c>
      <c r="L31" s="917">
        <v>0.32700000000000001</v>
      </c>
      <c r="M31" s="916">
        <v>17683.138361000001</v>
      </c>
      <c r="N31" s="917">
        <v>0.36109998245871977</v>
      </c>
      <c r="O31" s="916">
        <v>14953.694481592225</v>
      </c>
      <c r="P31" s="917">
        <v>0.29357061488520642</v>
      </c>
      <c r="Q31" s="916">
        <v>12465.623981257759</v>
      </c>
      <c r="R31" s="918">
        <v>0.23109859659685206</v>
      </c>
      <c r="S31" s="916">
        <v>6062.9986874184151</v>
      </c>
      <c r="T31" s="919">
        <v>0.10759146495393075</v>
      </c>
      <c r="U31" s="916">
        <v>3182.3089422435969</v>
      </c>
      <c r="V31" s="919">
        <f>U31/$U$35</f>
        <v>5.5979429593036395E-2</v>
      </c>
    </row>
    <row r="32" spans="1:22">
      <c r="A32" s="504"/>
      <c r="B32" s="65" t="s">
        <v>219</v>
      </c>
      <c r="C32" s="916">
        <v>13260</v>
      </c>
      <c r="D32" s="917">
        <v>0.34541144598713175</v>
      </c>
      <c r="E32" s="916">
        <v>9354</v>
      </c>
      <c r="F32" s="917">
        <v>0.22666472811863914</v>
      </c>
      <c r="G32" s="916">
        <v>6228</v>
      </c>
      <c r="H32" s="917">
        <v>0.14181296536648677</v>
      </c>
      <c r="I32" s="916">
        <v>6925</v>
      </c>
      <c r="J32" s="917">
        <v>0.15225468856495833</v>
      </c>
      <c r="K32" s="916">
        <v>6581</v>
      </c>
      <c r="L32" s="917">
        <v>0.13500000000000001</v>
      </c>
      <c r="M32" s="916">
        <v>8894.8492200000001</v>
      </c>
      <c r="N32" s="917">
        <v>0.18163800066162686</v>
      </c>
      <c r="O32" s="916">
        <v>8371.4701332636341</v>
      </c>
      <c r="P32" s="917">
        <v>0.16434852521165499</v>
      </c>
      <c r="Q32" s="916">
        <v>12112.417708798426</v>
      </c>
      <c r="R32" s="918">
        <v>0.22455055102791124</v>
      </c>
      <c r="S32" s="916">
        <v>14727.158622132734</v>
      </c>
      <c r="T32" s="919">
        <v>0.26134206066253496</v>
      </c>
      <c r="U32" s="916">
        <v>15274.89700330563</v>
      </c>
      <c r="V32" s="919">
        <f>U32/$U$35</f>
        <v>0.26869799157041618</v>
      </c>
    </row>
    <row r="33" spans="1:22">
      <c r="A33" s="504"/>
      <c r="B33" s="65" t="s">
        <v>466</v>
      </c>
      <c r="C33" s="916">
        <v>3399</v>
      </c>
      <c r="D33" s="917">
        <v>8.8540988303941234E-2</v>
      </c>
      <c r="E33" s="916">
        <v>1687</v>
      </c>
      <c r="F33" s="917">
        <v>4.087913153048367E-2</v>
      </c>
      <c r="G33" s="916">
        <v>1822</v>
      </c>
      <c r="H33" s="917">
        <v>4.1487351139649797E-2</v>
      </c>
      <c r="I33" s="916">
        <v>1062</v>
      </c>
      <c r="J33" s="917">
        <v>2.4E-2</v>
      </c>
      <c r="K33" s="916">
        <v>1940</v>
      </c>
      <c r="L33" s="917">
        <v>0.04</v>
      </c>
      <c r="M33" s="916">
        <v>159.74271499999998</v>
      </c>
      <c r="N33" s="917">
        <v>3.2620392606115549E-3</v>
      </c>
      <c r="O33" s="916">
        <v>1201.000738985445</v>
      </c>
      <c r="P33" s="917">
        <v>2.35780211943987E-2</v>
      </c>
      <c r="Q33" s="916">
        <v>570.45888370728949</v>
      </c>
      <c r="R33" s="918">
        <v>1.0575663732451186E-2</v>
      </c>
      <c r="S33" s="916">
        <v>12473.755315674507</v>
      </c>
      <c r="T33" s="919">
        <v>0.22135409837301903</v>
      </c>
      <c r="U33" s="916">
        <v>13628.241741205997</v>
      </c>
      <c r="V33" s="919">
        <f>U33/$U$35</f>
        <v>0.23973197224869652</v>
      </c>
    </row>
    <row r="34" spans="1:22">
      <c r="A34" s="504"/>
      <c r="B34" s="65" t="s">
        <v>236</v>
      </c>
      <c r="C34" s="916">
        <v>1450</v>
      </c>
      <c r="D34" s="917">
        <v>3.7901482195420562E-2</v>
      </c>
      <c r="E34" s="916">
        <v>1375</v>
      </c>
      <c r="F34" s="917">
        <v>3.3076475719685958E-2</v>
      </c>
      <c r="G34" s="916">
        <v>1683</v>
      </c>
      <c r="H34" s="917">
        <v>3.8322289773891662E-2</v>
      </c>
      <c r="I34" s="916">
        <v>1781</v>
      </c>
      <c r="J34" s="917">
        <v>3.913550117626366E-2</v>
      </c>
      <c r="K34" s="916">
        <v>1695</v>
      </c>
      <c r="L34" s="917">
        <v>3.5000000000000003E-2</v>
      </c>
      <c r="M34" s="916">
        <v>1263.1313639999921</v>
      </c>
      <c r="N34" s="917">
        <v>2.5793877991104632E-2</v>
      </c>
      <c r="O34" s="916">
        <v>835.63464615869862</v>
      </c>
      <c r="P34" s="917">
        <v>1.6405161760805902E-2</v>
      </c>
      <c r="Q34" s="916">
        <v>577.16626998624486</v>
      </c>
      <c r="R34" s="918">
        <v>1.0700011102324535E-2</v>
      </c>
      <c r="S34" s="916">
        <v>753.26966725413581</v>
      </c>
      <c r="T34" s="919">
        <v>1.3367211702257686E-2</v>
      </c>
      <c r="U34" s="916">
        <v>891.32985700347479</v>
      </c>
      <c r="V34" s="919">
        <f>U34/$U$35</f>
        <v>1.5679224701269687E-2</v>
      </c>
    </row>
    <row r="35" spans="1:22" ht="13.5" thickBot="1">
      <c r="A35" s="504"/>
      <c r="B35" s="154" t="s">
        <v>104</v>
      </c>
      <c r="C35" s="920">
        <v>38384</v>
      </c>
      <c r="D35" s="922"/>
      <c r="E35" s="920">
        <v>41268</v>
      </c>
      <c r="F35" s="922">
        <v>0.99975768149655919</v>
      </c>
      <c r="G35" s="920">
        <v>43917</v>
      </c>
      <c r="H35" s="921"/>
      <c r="I35" s="920">
        <v>45484</v>
      </c>
      <c r="J35" s="921"/>
      <c r="K35" s="920">
        <v>48780</v>
      </c>
      <c r="L35" s="921"/>
      <c r="M35" s="923">
        <v>48970.2</v>
      </c>
      <c r="N35" s="921"/>
      <c r="O35" s="923">
        <v>50937.3</v>
      </c>
      <c r="P35" s="921"/>
      <c r="Q35" s="923">
        <v>53940.716926999987</v>
      </c>
      <c r="R35" s="926"/>
      <c r="S35" s="923">
        <v>56352.041400444832</v>
      </c>
      <c r="T35" s="927"/>
      <c r="U35" s="923">
        <f>SUM(U30:U34)</f>
        <v>56847.827235443336</v>
      </c>
      <c r="V35" s="927"/>
    </row>
    <row r="36" spans="1:22">
      <c r="A36" s="504"/>
      <c r="B36" s="140" t="s">
        <v>467</v>
      </c>
      <c r="C36" s="62"/>
      <c r="D36" s="62"/>
      <c r="E36" s="503"/>
      <c r="F36" s="62"/>
      <c r="G36" s="50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815"/>
      <c r="S36" s="815"/>
      <c r="T36" s="815"/>
      <c r="U36" s="815"/>
      <c r="V36" s="815"/>
    </row>
    <row r="37" spans="1:22">
      <c r="A37" s="504"/>
      <c r="B37" s="62"/>
      <c r="C37" s="503"/>
      <c r="D37" s="1380"/>
      <c r="E37" s="503"/>
      <c r="F37" s="1380"/>
      <c r="G37" s="503"/>
      <c r="H37" s="1380"/>
      <c r="I37" s="503"/>
      <c r="J37" s="1380"/>
      <c r="K37" s="503"/>
      <c r="L37" s="1380"/>
      <c r="M37" s="62"/>
      <c r="N37" s="62"/>
      <c r="O37" s="62"/>
      <c r="P37" s="62"/>
      <c r="Q37" s="62"/>
      <c r="R37" s="815"/>
      <c r="S37" s="815"/>
      <c r="T37" s="815"/>
      <c r="U37" s="815"/>
      <c r="V37" s="815"/>
    </row>
    <row r="38" spans="1:22">
      <c r="A38" s="504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815"/>
      <c r="S38" s="815"/>
      <c r="T38" s="815"/>
      <c r="U38" s="815"/>
      <c r="V38" s="815"/>
    </row>
    <row r="39" spans="1:22">
      <c r="A39" s="504"/>
      <c r="B39" s="140" t="s">
        <v>756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815"/>
      <c r="S39" s="815"/>
      <c r="T39" s="815"/>
      <c r="U39" s="815"/>
      <c r="V39" s="815"/>
    </row>
    <row r="40" spans="1:22" ht="18">
      <c r="A40" s="504"/>
      <c r="B40" s="1477" t="s">
        <v>468</v>
      </c>
      <c r="C40" s="1477"/>
      <c r="D40" s="1477"/>
      <c r="E40" s="1477"/>
      <c r="F40" s="1477"/>
      <c r="G40" s="1477"/>
      <c r="H40" s="1477"/>
      <c r="I40" s="1477"/>
      <c r="J40" s="62"/>
      <c r="K40" s="62"/>
      <c r="L40" s="62"/>
      <c r="M40" s="62"/>
      <c r="N40" s="62"/>
      <c r="O40" s="62"/>
      <c r="P40" s="62"/>
      <c r="Q40" s="62"/>
      <c r="R40" s="815"/>
      <c r="S40" s="815"/>
      <c r="T40" s="815"/>
      <c r="U40" s="815"/>
      <c r="V40" s="815"/>
    </row>
    <row r="41" spans="1:22" ht="16.5" thickBot="1">
      <c r="A41" s="504"/>
      <c r="B41" s="1476" t="s">
        <v>469</v>
      </c>
      <c r="C41" s="1476"/>
      <c r="D41" s="1476"/>
      <c r="E41" s="1476"/>
      <c r="F41" s="1476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815"/>
      <c r="S41" s="815"/>
      <c r="T41" s="815"/>
      <c r="U41" s="815"/>
      <c r="V41" s="815"/>
    </row>
    <row r="42" spans="1:22" ht="16.5" thickBot="1">
      <c r="A42" s="504"/>
      <c r="B42" s="384"/>
      <c r="C42" s="385"/>
      <c r="D42" s="385"/>
      <c r="E42" s="385"/>
      <c r="F42" s="385"/>
      <c r="G42" s="1386"/>
      <c r="H42" s="1386"/>
      <c r="I42" s="1386"/>
      <c r="J42" s="1386"/>
      <c r="K42" s="1386"/>
      <c r="L42" s="1386"/>
      <c r="M42" s="1386"/>
      <c r="N42" s="1386"/>
      <c r="O42" s="1386"/>
      <c r="P42" s="1386"/>
      <c r="Q42" s="1386"/>
      <c r="R42" s="1386"/>
      <c r="S42" s="1386"/>
      <c r="T42" s="1386"/>
      <c r="U42" s="1386"/>
      <c r="V42" s="1387"/>
    </row>
    <row r="43" spans="1:22" ht="13.5" thickBot="1">
      <c r="A43" s="504"/>
      <c r="B43" s="57" t="s">
        <v>463</v>
      </c>
      <c r="C43" s="61">
        <v>1999</v>
      </c>
      <c r="D43" s="909"/>
      <c r="E43" s="61">
        <v>2000</v>
      </c>
      <c r="F43" s="909"/>
      <c r="G43" s="61">
        <v>2001</v>
      </c>
      <c r="H43" s="909"/>
      <c r="I43" s="61">
        <v>2002</v>
      </c>
      <c r="J43" s="909"/>
      <c r="K43" s="61">
        <v>2003</v>
      </c>
      <c r="L43" s="909"/>
      <c r="M43" s="910">
        <v>2004</v>
      </c>
      <c r="N43" s="909"/>
      <c r="O43" s="910">
        <v>2005</v>
      </c>
      <c r="P43" s="909"/>
      <c r="Q43" s="910">
        <v>2006</v>
      </c>
      <c r="R43" s="910"/>
      <c r="S43" s="910">
        <v>2007</v>
      </c>
      <c r="T43" s="911"/>
      <c r="U43" s="910">
        <v>2008</v>
      </c>
      <c r="V43" s="911"/>
    </row>
    <row r="44" spans="1:22">
      <c r="A44" s="504"/>
      <c r="B44" s="451" t="s">
        <v>464</v>
      </c>
      <c r="C44" s="912">
        <v>4012</v>
      </c>
      <c r="D44" s="913">
        <v>0.4</v>
      </c>
      <c r="E44" s="912">
        <v>4128</v>
      </c>
      <c r="F44" s="913">
        <v>0.39799460084843813</v>
      </c>
      <c r="G44" s="912">
        <v>4124</v>
      </c>
      <c r="H44" s="913">
        <v>0.37793255131964809</v>
      </c>
      <c r="I44" s="912">
        <v>4157</v>
      </c>
      <c r="J44" s="913">
        <v>0.373</v>
      </c>
      <c r="K44" s="912">
        <v>4167</v>
      </c>
      <c r="L44" s="913">
        <v>0.36399999999999999</v>
      </c>
      <c r="M44" s="912">
        <v>4725.6720000000005</v>
      </c>
      <c r="N44" s="913">
        <v>0.40874696175528791</v>
      </c>
      <c r="O44" s="912">
        <v>4725.6720000000005</v>
      </c>
      <c r="P44" s="913">
        <v>0.39438893971864913</v>
      </c>
      <c r="Q44" s="912">
        <v>4813.1720000000005</v>
      </c>
      <c r="R44" s="914">
        <v>0.38911540889652746</v>
      </c>
      <c r="S44" s="912">
        <v>4907.0039999999999</v>
      </c>
      <c r="T44" s="915">
        <v>0.3819426504276438</v>
      </c>
      <c r="U44" s="912">
        <v>4943.1730000000007</v>
      </c>
      <c r="V44" s="915">
        <f>U44/$U$49</f>
        <v>0.37683482328948287</v>
      </c>
    </row>
    <row r="45" spans="1:22">
      <c r="A45" s="504"/>
      <c r="B45" s="65" t="s">
        <v>465</v>
      </c>
      <c r="C45" s="916">
        <v>2299</v>
      </c>
      <c r="D45" s="917">
        <v>0.22900000000000001</v>
      </c>
      <c r="E45" s="916">
        <v>2638</v>
      </c>
      <c r="F45" s="917">
        <v>0.25433860393366758</v>
      </c>
      <c r="G45" s="916">
        <v>3126</v>
      </c>
      <c r="H45" s="917">
        <v>0.28699999999999998</v>
      </c>
      <c r="I45" s="916">
        <v>3441</v>
      </c>
      <c r="J45" s="917">
        <v>0.309</v>
      </c>
      <c r="K45" s="916">
        <v>3708</v>
      </c>
      <c r="L45" s="917">
        <v>0.32300000000000001</v>
      </c>
      <c r="M45" s="916">
        <v>3915.9550000000004</v>
      </c>
      <c r="N45" s="917">
        <v>0.33871049633161771</v>
      </c>
      <c r="O45" s="916">
        <v>4311.8550000000005</v>
      </c>
      <c r="P45" s="917">
        <v>0.3598531429330169</v>
      </c>
      <c r="Q45" s="916">
        <v>4492.454999999999</v>
      </c>
      <c r="R45" s="918">
        <v>0.36318740827758672</v>
      </c>
      <c r="S45" s="916">
        <v>4730.5149999999994</v>
      </c>
      <c r="T45" s="919">
        <v>0.36820541352477509</v>
      </c>
      <c r="U45" s="916">
        <v>4738.5150000000003</v>
      </c>
      <c r="V45" s="919">
        <f>U45/$U$49</f>
        <v>0.36123305064976763</v>
      </c>
    </row>
    <row r="46" spans="1:22">
      <c r="A46" s="504"/>
      <c r="B46" s="65" t="s">
        <v>219</v>
      </c>
      <c r="C46" s="916">
        <v>2260</v>
      </c>
      <c r="D46" s="917">
        <v>0.22600000000000001</v>
      </c>
      <c r="E46" s="916">
        <v>2225</v>
      </c>
      <c r="F46" s="917">
        <v>0.21451986116467411</v>
      </c>
      <c r="G46" s="916">
        <v>2264</v>
      </c>
      <c r="H46" s="917">
        <v>0.20799999999999999</v>
      </c>
      <c r="I46" s="916">
        <v>2253</v>
      </c>
      <c r="J46" s="917">
        <v>0.20200000000000001</v>
      </c>
      <c r="K46" s="916">
        <v>2258</v>
      </c>
      <c r="L46" s="917">
        <v>0.19700000000000001</v>
      </c>
      <c r="M46" s="916">
        <v>2143.34</v>
      </c>
      <c r="N46" s="917">
        <v>0.18538817611729691</v>
      </c>
      <c r="O46" s="916">
        <v>2143.34</v>
      </c>
      <c r="P46" s="917">
        <v>0.17887606039026183</v>
      </c>
      <c r="Q46" s="916">
        <v>2043.34</v>
      </c>
      <c r="R46" s="918">
        <v>0.16519149525814378</v>
      </c>
      <c r="S46" s="916">
        <v>2043.34</v>
      </c>
      <c r="T46" s="919">
        <v>0.15904586491570452</v>
      </c>
      <c r="U46" s="916">
        <v>2043.34</v>
      </c>
      <c r="V46" s="919">
        <f>U46/$U$49</f>
        <v>0.15577073022132379</v>
      </c>
    </row>
    <row r="47" spans="1:22">
      <c r="A47" s="504"/>
      <c r="B47" s="65" t="s">
        <v>466</v>
      </c>
      <c r="C47" s="916">
        <f>1238</f>
        <v>1238</v>
      </c>
      <c r="D47" s="917">
        <v>0.124</v>
      </c>
      <c r="E47" s="916">
        <f>1168</f>
        <v>1168</v>
      </c>
      <c r="F47" s="917">
        <v>0.11280370227535673</v>
      </c>
      <c r="G47" s="916">
        <f>1015</f>
        <v>1015</v>
      </c>
      <c r="H47" s="917">
        <v>9.2999999999999999E-2</v>
      </c>
      <c r="I47" s="916">
        <f>996</f>
        <v>996</v>
      </c>
      <c r="J47" s="917">
        <v>0.09</v>
      </c>
      <c r="K47" s="916">
        <f>1003</f>
        <v>1003</v>
      </c>
      <c r="L47" s="917">
        <v>8.7999999999999995E-2</v>
      </c>
      <c r="M47" s="916">
        <v>553.51600000000008</v>
      </c>
      <c r="N47" s="917">
        <v>4.7876361982579399E-2</v>
      </c>
      <c r="O47" s="916">
        <v>553.51600000000008</v>
      </c>
      <c r="P47" s="917">
        <v>4.61946128206333E-2</v>
      </c>
      <c r="Q47" s="916">
        <v>839.67600000000004</v>
      </c>
      <c r="R47" s="918">
        <v>6.7882649961522379E-2</v>
      </c>
      <c r="S47" s="916">
        <v>955.6</v>
      </c>
      <c r="T47" s="919">
        <v>7.4380293300893269E-2</v>
      </c>
      <c r="U47" s="916">
        <v>1206.0540000000003</v>
      </c>
      <c r="V47" s="919">
        <f>U47/$U$49</f>
        <v>9.1941582050147547E-2</v>
      </c>
    </row>
    <row r="48" spans="1:22">
      <c r="A48" s="504"/>
      <c r="B48" s="65" t="s">
        <v>236</v>
      </c>
      <c r="C48" s="916">
        <v>211</v>
      </c>
      <c r="D48" s="917">
        <v>2.1000000000000001E-2</v>
      </c>
      <c r="E48" s="916">
        <v>211</v>
      </c>
      <c r="F48" s="917">
        <v>2.0343231777863478E-2</v>
      </c>
      <c r="G48" s="916">
        <v>375</v>
      </c>
      <c r="H48" s="917">
        <v>3.4365835777126097E-2</v>
      </c>
      <c r="I48" s="916">
        <v>289</v>
      </c>
      <c r="J48" s="917">
        <v>2.5999999999999999E-2</v>
      </c>
      <c r="K48" s="916">
        <v>318</v>
      </c>
      <c r="L48" s="917">
        <v>2.8000000000000001E-2</v>
      </c>
      <c r="M48" s="916">
        <v>222.88</v>
      </c>
      <c r="N48" s="917">
        <v>1.9278003813218217E-2</v>
      </c>
      <c r="O48" s="916">
        <v>247.88</v>
      </c>
      <c r="P48" s="917">
        <v>2.0687244137438811E-2</v>
      </c>
      <c r="Q48" s="916">
        <v>180.88</v>
      </c>
      <c r="R48" s="918">
        <v>1.462303760621974E-2</v>
      </c>
      <c r="S48" s="916">
        <v>211.03</v>
      </c>
      <c r="T48" s="919">
        <v>1.6425777830983156E-2</v>
      </c>
      <c r="U48" s="916">
        <v>186.53</v>
      </c>
      <c r="V48" s="919">
        <f>U48/$U$49</f>
        <v>1.4219813789278106E-2</v>
      </c>
    </row>
    <row r="49" spans="1:22" ht="13.5" thickBot="1">
      <c r="A49" s="504"/>
      <c r="B49" s="154" t="s">
        <v>104</v>
      </c>
      <c r="C49" s="920">
        <v>10020</v>
      </c>
      <c r="D49" s="921"/>
      <c r="E49" s="920">
        <v>10370</v>
      </c>
      <c r="F49" s="921"/>
      <c r="G49" s="920">
        <v>10904</v>
      </c>
      <c r="H49" s="922"/>
      <c r="I49" s="920">
        <v>11136</v>
      </c>
      <c r="J49" s="922"/>
      <c r="K49" s="920">
        <v>11454</v>
      </c>
      <c r="L49" s="922"/>
      <c r="M49" s="923">
        <v>11561.362999999999</v>
      </c>
      <c r="N49" s="922"/>
      <c r="O49" s="923">
        <v>11982.263000000001</v>
      </c>
      <c r="P49" s="922"/>
      <c r="Q49" s="923">
        <v>12369.522999999999</v>
      </c>
      <c r="R49" s="924"/>
      <c r="S49" s="923">
        <v>12847.489000000001</v>
      </c>
      <c r="T49" s="925"/>
      <c r="U49" s="923">
        <f>SUM(U44:U48)</f>
        <v>13117.612000000003</v>
      </c>
      <c r="V49" s="925"/>
    </row>
    <row r="50" spans="1:22">
      <c r="A50" s="504"/>
      <c r="B50" s="140" t="s">
        <v>839</v>
      </c>
      <c r="C50" s="62"/>
      <c r="D50" s="62"/>
      <c r="E50" s="62"/>
      <c r="F50" s="62"/>
      <c r="G50" s="62"/>
      <c r="H50" s="62"/>
      <c r="I50" s="62"/>
      <c r="J50" s="62"/>
      <c r="K50" s="503"/>
      <c r="L50" s="62"/>
      <c r="M50" s="1380"/>
      <c r="N50" s="62"/>
      <c r="O50" s="62"/>
      <c r="P50" s="62"/>
      <c r="Q50" s="62"/>
      <c r="R50" s="815"/>
      <c r="S50" s="815"/>
      <c r="T50" s="815"/>
      <c r="U50" s="815"/>
      <c r="V50" s="815"/>
    </row>
    <row r="51" spans="1:22">
      <c r="A51" s="62"/>
      <c r="B51" s="140" t="s">
        <v>470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815"/>
      <c r="S51" s="815"/>
      <c r="T51" s="815"/>
      <c r="U51" s="815"/>
      <c r="V51" s="815"/>
    </row>
    <row r="52" spans="1:22">
      <c r="A52" s="62"/>
      <c r="B52" s="62"/>
      <c r="C52" s="503"/>
      <c r="D52" s="503"/>
      <c r="E52" s="503"/>
      <c r="F52" s="503"/>
      <c r="G52" s="503"/>
      <c r="H52" s="503"/>
      <c r="I52" s="503"/>
      <c r="J52" s="503"/>
      <c r="K52" s="503"/>
      <c r="L52" s="503"/>
      <c r="M52" s="62"/>
      <c r="N52" s="62"/>
      <c r="O52" s="62"/>
      <c r="P52" s="62"/>
      <c r="Q52" s="62"/>
      <c r="R52" s="815"/>
      <c r="S52" s="815"/>
      <c r="T52" s="815"/>
      <c r="U52" s="815"/>
      <c r="V52" s="815"/>
    </row>
    <row r="53" spans="1:22">
      <c r="A53" s="815"/>
      <c r="B53" s="815"/>
      <c r="C53" s="815"/>
      <c r="D53" s="815"/>
      <c r="E53" s="815"/>
      <c r="F53" s="815"/>
      <c r="G53" s="815"/>
      <c r="H53" s="815"/>
      <c r="I53" s="815"/>
      <c r="J53" s="815"/>
      <c r="K53" s="815"/>
      <c r="L53" s="815"/>
      <c r="M53" s="815"/>
      <c r="N53" s="815"/>
      <c r="O53" s="815"/>
      <c r="P53" s="815"/>
      <c r="Q53" s="815"/>
      <c r="R53" s="815"/>
      <c r="S53" s="815"/>
      <c r="T53" s="815"/>
      <c r="U53" s="815"/>
      <c r="V53" s="815"/>
    </row>
    <row r="54" spans="1:22">
      <c r="A54" s="815"/>
      <c r="B54" s="815"/>
      <c r="C54" s="815"/>
      <c r="D54" s="815"/>
      <c r="E54" s="815"/>
      <c r="F54" s="815"/>
      <c r="G54" s="815"/>
      <c r="H54" s="815"/>
      <c r="I54" s="815"/>
      <c r="J54" s="815"/>
      <c r="K54" s="815"/>
      <c r="L54" s="815"/>
      <c r="M54" s="815"/>
      <c r="N54" s="815"/>
      <c r="O54" s="815"/>
      <c r="P54" s="815"/>
      <c r="Q54" s="815"/>
      <c r="R54" s="815"/>
      <c r="S54" s="815"/>
      <c r="T54" s="815"/>
      <c r="U54" s="815"/>
      <c r="V54" s="815"/>
    </row>
    <row r="55" spans="1:22">
      <c r="A55" s="815"/>
      <c r="B55" s="815"/>
      <c r="C55" s="815"/>
      <c r="D55" s="815"/>
      <c r="E55" s="815"/>
      <c r="F55" s="815"/>
      <c r="G55" s="815"/>
      <c r="H55" s="815"/>
      <c r="I55" s="815"/>
      <c r="J55" s="815"/>
      <c r="K55" s="815"/>
      <c r="L55" s="815"/>
      <c r="M55" s="815"/>
      <c r="N55" s="815"/>
      <c r="O55" s="815"/>
      <c r="P55" s="815"/>
      <c r="Q55" s="815"/>
      <c r="R55" s="815"/>
      <c r="S55" s="815"/>
      <c r="T55" s="815"/>
      <c r="U55" s="815"/>
      <c r="V55" s="815"/>
    </row>
    <row r="56" spans="1:22">
      <c r="A56" s="815"/>
      <c r="B56" s="815"/>
      <c r="C56" s="815"/>
      <c r="D56" s="815"/>
      <c r="E56" s="815"/>
      <c r="F56" s="815"/>
      <c r="G56" s="815"/>
      <c r="H56" s="815"/>
      <c r="I56" s="815"/>
      <c r="J56" s="815"/>
      <c r="K56" s="815"/>
      <c r="L56" s="815"/>
      <c r="M56" s="815"/>
      <c r="N56" s="815"/>
      <c r="O56" s="815"/>
      <c r="P56" s="815"/>
      <c r="Q56" s="815"/>
      <c r="R56" s="815"/>
      <c r="S56" s="815"/>
      <c r="T56" s="815"/>
      <c r="U56" s="815"/>
      <c r="V56" s="815"/>
    </row>
    <row r="57" spans="1:22">
      <c r="A57" s="815"/>
      <c r="B57" s="815"/>
      <c r="C57" s="815"/>
      <c r="D57" s="815"/>
      <c r="E57" s="815"/>
      <c r="F57" s="815"/>
      <c r="G57" s="815"/>
      <c r="H57" s="815"/>
      <c r="I57" s="815"/>
      <c r="J57" s="815"/>
      <c r="K57" s="815"/>
      <c r="L57" s="815"/>
      <c r="M57" s="815"/>
      <c r="N57" s="815"/>
      <c r="O57" s="815"/>
      <c r="P57" s="815"/>
      <c r="Q57" s="815"/>
      <c r="R57" s="815"/>
      <c r="S57" s="815"/>
      <c r="T57" s="815"/>
      <c r="U57" s="815"/>
      <c r="V57" s="815"/>
    </row>
    <row r="58" spans="1:22">
      <c r="A58" s="815"/>
      <c r="B58" s="815"/>
      <c r="C58" s="815"/>
      <c r="D58" s="815"/>
      <c r="E58" s="815"/>
      <c r="F58" s="815"/>
      <c r="G58" s="815"/>
      <c r="H58" s="815"/>
      <c r="I58" s="815"/>
      <c r="J58" s="815"/>
      <c r="K58" s="815"/>
      <c r="L58" s="815"/>
      <c r="M58" s="815"/>
      <c r="N58" s="815"/>
      <c r="O58" s="815"/>
      <c r="P58" s="815"/>
      <c r="Q58" s="815"/>
      <c r="R58" s="815"/>
      <c r="S58" s="815"/>
      <c r="T58" s="815"/>
      <c r="U58" s="815"/>
      <c r="V58" s="815"/>
    </row>
    <row r="59" spans="1:22">
      <c r="A59" s="815"/>
      <c r="B59" s="815"/>
      <c r="C59" s="815"/>
      <c r="D59" s="815"/>
      <c r="E59" s="815"/>
      <c r="F59" s="815"/>
      <c r="G59" s="815"/>
      <c r="H59" s="815"/>
      <c r="I59" s="815"/>
      <c r="J59" s="815"/>
      <c r="K59" s="815"/>
      <c r="L59" s="815"/>
      <c r="M59" s="815"/>
      <c r="N59" s="815"/>
      <c r="O59" s="815"/>
      <c r="P59" s="815"/>
      <c r="Q59" s="815"/>
      <c r="R59" s="815"/>
      <c r="S59" s="815"/>
      <c r="T59" s="815"/>
      <c r="U59" s="815"/>
      <c r="V59" s="815"/>
    </row>
    <row r="60" spans="1:22">
      <c r="A60" s="815"/>
      <c r="B60" s="815"/>
      <c r="C60" s="815"/>
      <c r="D60" s="815"/>
      <c r="E60" s="815"/>
      <c r="F60" s="815"/>
      <c r="G60" s="815"/>
      <c r="H60" s="815"/>
      <c r="I60" s="815"/>
      <c r="J60" s="815"/>
      <c r="K60" s="815"/>
      <c r="L60" s="815"/>
      <c r="M60" s="815"/>
      <c r="N60" s="815"/>
      <c r="O60" s="815"/>
      <c r="P60" s="815"/>
      <c r="Q60" s="815"/>
      <c r="R60" s="815"/>
      <c r="S60" s="815"/>
      <c r="T60" s="815"/>
      <c r="U60" s="815"/>
      <c r="V60" s="815"/>
    </row>
  </sheetData>
  <mergeCells count="4">
    <mergeCell ref="B26:L26"/>
    <mergeCell ref="B27:F27"/>
    <mergeCell ref="B40:I40"/>
    <mergeCell ref="B41:F41"/>
  </mergeCells>
  <phoneticPr fontId="51" type="noConversion"/>
  <hyperlinks>
    <hyperlink ref="H2" location="INDICE!A60" display="VOLVER A INDICE"/>
  </hyperlinks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17" sqref="I17"/>
    </sheetView>
  </sheetViews>
  <sheetFormatPr baseColWidth="10" defaultRowHeight="12.75"/>
  <cols>
    <col min="1" max="1" width="4.42578125" style="3" customWidth="1"/>
    <col min="2" max="5" width="11.42578125" style="3"/>
    <col min="6" max="6" width="5.28515625" style="3" customWidth="1"/>
    <col min="7" max="16384" width="11.42578125" style="3"/>
  </cols>
  <sheetData>
    <row r="1" spans="1:9">
      <c r="A1" s="452"/>
      <c r="B1" s="452"/>
      <c r="C1" s="452"/>
      <c r="D1" s="452"/>
      <c r="E1" s="452"/>
      <c r="F1" s="452"/>
      <c r="G1" s="452"/>
      <c r="H1" s="452"/>
      <c r="I1" s="452"/>
    </row>
    <row r="2" spans="1:9" ht="25.5">
      <c r="A2" s="452"/>
      <c r="B2" s="452"/>
      <c r="C2" s="452"/>
      <c r="D2" s="600" t="s">
        <v>648</v>
      </c>
      <c r="E2" s="601"/>
      <c r="F2" s="601"/>
      <c r="G2" s="601"/>
      <c r="H2" s="601"/>
      <c r="I2" s="601"/>
    </row>
    <row r="3" spans="1:9" ht="25.5">
      <c r="A3" s="452"/>
      <c r="B3" s="1044" t="s">
        <v>10</v>
      </c>
      <c r="C3" s="452"/>
      <c r="D3" s="600"/>
      <c r="E3" s="601"/>
      <c r="F3" s="601"/>
      <c r="G3" s="288" t="s">
        <v>5</v>
      </c>
      <c r="H3" s="601"/>
      <c r="I3" s="601"/>
    </row>
    <row r="4" spans="1:9" ht="14.25" customHeight="1">
      <c r="A4" s="601"/>
      <c r="B4" s="601"/>
      <c r="C4" s="601"/>
      <c r="D4" s="601"/>
      <c r="E4" s="601"/>
      <c r="F4" s="601"/>
      <c r="G4" s="601"/>
      <c r="H4" s="601"/>
      <c r="I4" s="601"/>
    </row>
    <row r="5" spans="1:9" ht="14.25" customHeight="1" thickBot="1">
      <c r="A5" s="601"/>
      <c r="B5" s="1045" t="s">
        <v>651</v>
      </c>
      <c r="C5" s="1046"/>
      <c r="D5" s="1046"/>
      <c r="E5" s="1046"/>
      <c r="F5" s="603"/>
      <c r="G5" s="603"/>
      <c r="H5" s="603"/>
      <c r="I5" s="603"/>
    </row>
    <row r="6" spans="1:9" s="1039" customFormat="1" ht="24" customHeight="1" thickTop="1">
      <c r="A6" s="1036"/>
      <c r="B6" s="1036" t="s">
        <v>685</v>
      </c>
      <c r="C6" s="1036"/>
      <c r="D6" s="1036"/>
      <c r="E6" s="1036"/>
      <c r="F6" s="1036"/>
      <c r="G6" s="1037" t="s">
        <v>646</v>
      </c>
      <c r="H6" s="1038"/>
      <c r="I6" s="1038"/>
    </row>
    <row r="7" spans="1:9" s="1039" customFormat="1" ht="24" customHeight="1">
      <c r="A7" s="1038"/>
      <c r="B7" s="1038" t="s">
        <v>686</v>
      </c>
      <c r="C7" s="1038"/>
      <c r="D7" s="1038"/>
      <c r="E7" s="1038"/>
      <c r="F7" s="1038"/>
      <c r="G7" s="1037" t="s">
        <v>647</v>
      </c>
      <c r="H7" s="1038"/>
      <c r="I7" s="1038"/>
    </row>
    <row r="8" spans="1:9" s="1039" customFormat="1" ht="24" customHeight="1">
      <c r="A8" s="1038"/>
      <c r="B8" s="1038" t="s">
        <v>687</v>
      </c>
      <c r="C8" s="1038"/>
      <c r="D8" s="1038"/>
      <c r="E8" s="1038"/>
      <c r="F8" s="1038"/>
      <c r="G8" s="1037" t="s">
        <v>650</v>
      </c>
      <c r="H8" s="1038"/>
      <c r="I8" s="1038"/>
    </row>
    <row r="9" spans="1:9" s="1039" customFormat="1" ht="24" customHeight="1">
      <c r="A9" s="1038"/>
      <c r="B9" s="1038" t="s">
        <v>688</v>
      </c>
      <c r="C9" s="1038"/>
      <c r="D9" s="1038"/>
      <c r="E9" s="1038"/>
      <c r="F9" s="1038"/>
      <c r="G9" s="1037" t="s">
        <v>652</v>
      </c>
      <c r="H9" s="1038"/>
      <c r="I9" s="1038"/>
    </row>
    <row r="10" spans="1:9" s="1039" customFormat="1" ht="24" customHeight="1">
      <c r="A10" s="1038"/>
      <c r="B10" s="1038" t="s">
        <v>689</v>
      </c>
      <c r="C10" s="1038"/>
      <c r="D10" s="1038"/>
      <c r="E10" s="1038"/>
      <c r="F10" s="1038"/>
      <c r="G10" s="1037" t="s">
        <v>653</v>
      </c>
      <c r="H10" s="1038"/>
      <c r="I10" s="1038"/>
    </row>
    <row r="11" spans="1:9" s="1039" customFormat="1" ht="24" customHeight="1">
      <c r="A11" s="1038"/>
      <c r="B11" s="1038" t="s">
        <v>690</v>
      </c>
      <c r="C11" s="1038"/>
      <c r="D11" s="1038"/>
      <c r="E11" s="1038"/>
      <c r="F11" s="1038"/>
      <c r="G11" s="1037" t="s">
        <v>654</v>
      </c>
      <c r="H11" s="1038"/>
      <c r="I11" s="1038"/>
    </row>
    <row r="12" spans="1:9" s="1039" customFormat="1" ht="24" customHeight="1">
      <c r="A12" s="1038"/>
      <c r="B12" s="1038" t="s">
        <v>691</v>
      </c>
      <c r="C12" s="1038"/>
      <c r="D12" s="1038"/>
      <c r="E12" s="1038"/>
      <c r="F12" s="1038"/>
      <c r="G12" s="1037" t="s">
        <v>655</v>
      </c>
      <c r="H12" s="1038"/>
      <c r="I12" s="1038"/>
    </row>
    <row r="13" spans="1:9" s="1039" customFormat="1" ht="24" customHeight="1">
      <c r="A13" s="1038"/>
      <c r="B13" s="1038" t="s">
        <v>692</v>
      </c>
      <c r="C13" s="1038"/>
      <c r="D13" s="1038"/>
      <c r="E13" s="1038"/>
      <c r="F13" s="1038"/>
      <c r="G13" s="1037" t="s">
        <v>656</v>
      </c>
      <c r="H13" s="1038"/>
      <c r="I13" s="1038"/>
    </row>
    <row r="14" spans="1:9" s="1039" customFormat="1" ht="24" customHeight="1">
      <c r="A14" s="1038"/>
      <c r="B14" s="1038" t="s">
        <v>693</v>
      </c>
      <c r="C14" s="1038"/>
      <c r="D14" s="1038"/>
      <c r="E14" s="1038"/>
      <c r="F14" s="1038"/>
      <c r="G14" s="1037" t="s">
        <v>657</v>
      </c>
      <c r="H14" s="1038"/>
      <c r="I14" s="1038"/>
    </row>
    <row r="15" spans="1:9" s="1039" customFormat="1" ht="24" customHeight="1">
      <c r="A15" s="1040"/>
      <c r="B15" s="1038" t="s">
        <v>711</v>
      </c>
      <c r="C15" s="1038"/>
      <c r="D15" s="1038"/>
      <c r="E15" s="1038"/>
      <c r="F15" s="1038"/>
      <c r="G15" s="1037" t="s">
        <v>658</v>
      </c>
      <c r="H15" s="1038"/>
      <c r="I15" s="1038"/>
    </row>
    <row r="16" spans="1:9" s="1039" customFormat="1" ht="24" customHeight="1">
      <c r="A16" s="1038"/>
      <c r="B16" s="1038" t="s">
        <v>712</v>
      </c>
      <c r="C16" s="1038"/>
      <c r="D16" s="1038"/>
      <c r="E16" s="1038"/>
      <c r="F16" s="1038"/>
      <c r="G16" s="1037" t="s">
        <v>659</v>
      </c>
      <c r="H16" s="1038"/>
      <c r="I16" s="1038"/>
    </row>
    <row r="17" spans="1:9" s="1039" customFormat="1" ht="24" customHeight="1">
      <c r="A17" s="1038"/>
      <c r="B17" s="1038" t="s">
        <v>713</v>
      </c>
      <c r="C17" s="1038"/>
      <c r="D17" s="1038"/>
      <c r="E17" s="1038"/>
      <c r="F17" s="1038"/>
      <c r="G17" s="1037" t="s">
        <v>661</v>
      </c>
      <c r="H17" s="1038"/>
      <c r="I17" s="1038"/>
    </row>
    <row r="18" spans="1:9" s="1039" customFormat="1" ht="24" customHeight="1">
      <c r="A18" s="1038"/>
      <c r="B18" s="1041" t="s">
        <v>6</v>
      </c>
      <c r="C18" s="1041"/>
      <c r="D18" s="1038"/>
      <c r="E18" s="1038"/>
      <c r="F18" s="1038"/>
      <c r="G18" s="1043" t="s">
        <v>7</v>
      </c>
      <c r="H18" s="1038"/>
      <c r="I18" s="1038"/>
    </row>
    <row r="19" spans="1:9" s="1039" customFormat="1" ht="24" customHeight="1">
      <c r="A19" s="1038"/>
      <c r="B19" s="1041" t="s">
        <v>8</v>
      </c>
      <c r="C19" s="1041"/>
      <c r="D19" s="1038"/>
      <c r="E19" s="1038"/>
      <c r="F19" s="1038"/>
      <c r="G19" s="1043" t="s">
        <v>9</v>
      </c>
      <c r="H19" s="1038"/>
      <c r="I19" s="1038"/>
    </row>
    <row r="20" spans="1:9" s="1039" customFormat="1" ht="14.25" customHeight="1">
      <c r="A20" s="1038"/>
      <c r="B20" s="1038"/>
      <c r="C20" s="1038"/>
      <c r="D20" s="1038"/>
      <c r="E20" s="1038"/>
      <c r="F20" s="1038"/>
      <c r="G20" s="1037"/>
      <c r="H20" s="1038"/>
      <c r="I20" s="1038"/>
    </row>
    <row r="21" spans="1:9" s="1039" customFormat="1" ht="16.5" thickBot="1">
      <c r="A21" s="1038"/>
      <c r="B21" s="1047" t="s">
        <v>660</v>
      </c>
      <c r="C21" s="1048"/>
      <c r="D21" s="1048"/>
      <c r="E21" s="1048"/>
      <c r="F21" s="1036"/>
      <c r="G21" s="1036"/>
      <c r="H21" s="1036"/>
      <c r="I21" s="1036"/>
    </row>
    <row r="22" spans="1:9" s="1039" customFormat="1" ht="13.5" thickTop="1">
      <c r="A22" s="1036"/>
      <c r="B22" s="1036"/>
      <c r="C22" s="1036"/>
      <c r="D22" s="1036"/>
      <c r="E22" s="1036"/>
      <c r="F22" s="1036"/>
      <c r="G22" s="1036"/>
      <c r="H22" s="1036"/>
      <c r="I22" s="1036"/>
    </row>
    <row r="23" spans="1:9" s="1039" customFormat="1" ht="21" customHeight="1">
      <c r="A23" s="1036"/>
      <c r="B23" s="1036" t="s">
        <v>694</v>
      </c>
      <c r="C23" s="1036"/>
      <c r="D23" s="1036"/>
      <c r="E23" s="1036"/>
      <c r="F23" s="1036"/>
      <c r="G23" s="1037" t="s">
        <v>662</v>
      </c>
      <c r="H23" s="1038"/>
      <c r="I23" s="1038"/>
    </row>
    <row r="24" spans="1:9" s="1039" customFormat="1" ht="21" customHeight="1">
      <c r="A24" s="1038"/>
      <c r="B24" s="1038" t="s">
        <v>695</v>
      </c>
      <c r="C24" s="1038"/>
      <c r="D24" s="1038"/>
      <c r="E24" s="1038"/>
      <c r="F24" s="1038"/>
      <c r="G24" s="1037" t="s">
        <v>663</v>
      </c>
      <c r="H24" s="1038"/>
      <c r="I24" s="1038"/>
    </row>
    <row r="25" spans="1:9" s="1039" customFormat="1" ht="21" customHeight="1">
      <c r="A25" s="1038"/>
      <c r="B25" s="1038" t="s">
        <v>696</v>
      </c>
      <c r="C25" s="1038"/>
      <c r="D25" s="1038"/>
      <c r="E25" s="1038"/>
      <c r="F25" s="1038"/>
      <c r="G25" s="1037" t="s">
        <v>664</v>
      </c>
      <c r="H25" s="1038"/>
      <c r="I25" s="1038"/>
    </row>
    <row r="26" spans="1:9" s="1039" customFormat="1" ht="21" customHeight="1">
      <c r="A26" s="1038"/>
      <c r="B26" s="1038" t="s">
        <v>697</v>
      </c>
      <c r="C26" s="1038"/>
      <c r="D26" s="1038"/>
      <c r="E26" s="1038"/>
      <c r="F26" s="1038"/>
      <c r="G26" s="1037" t="s">
        <v>665</v>
      </c>
      <c r="H26" s="1038"/>
      <c r="I26" s="1038"/>
    </row>
    <row r="27" spans="1:9" s="1039" customFormat="1" ht="21" customHeight="1">
      <c r="A27" s="1038"/>
      <c r="B27" s="1038" t="s">
        <v>698</v>
      </c>
      <c r="C27" s="1038"/>
      <c r="D27" s="1038"/>
      <c r="E27" s="1038"/>
      <c r="F27" s="1038"/>
      <c r="G27" s="1037" t="s">
        <v>666</v>
      </c>
      <c r="H27" s="1038"/>
      <c r="I27" s="1038"/>
    </row>
    <row r="28" spans="1:9" s="1039" customFormat="1" ht="21" customHeight="1">
      <c r="A28" s="1038"/>
      <c r="B28" s="1038" t="s">
        <v>699</v>
      </c>
      <c r="C28" s="1038"/>
      <c r="D28" s="1038"/>
      <c r="E28" s="1038"/>
      <c r="F28" s="1038"/>
      <c r="G28" s="1037" t="s">
        <v>667</v>
      </c>
      <c r="H28" s="1038"/>
      <c r="I28" s="1038"/>
    </row>
    <row r="29" spans="1:9" s="1039" customFormat="1" ht="21" customHeight="1">
      <c r="A29" s="1038"/>
      <c r="B29" s="1038" t="s">
        <v>714</v>
      </c>
      <c r="C29" s="1038"/>
      <c r="D29" s="1038"/>
      <c r="E29" s="1038"/>
      <c r="F29" s="1038"/>
      <c r="G29" s="1037" t="s">
        <v>668</v>
      </c>
      <c r="H29" s="1038"/>
      <c r="I29" s="1038"/>
    </row>
    <row r="30" spans="1:9" s="1039" customFormat="1" ht="21" customHeight="1">
      <c r="A30" s="1038"/>
      <c r="B30" s="1038" t="s">
        <v>715</v>
      </c>
      <c r="C30" s="1038"/>
      <c r="D30" s="1038"/>
      <c r="E30" s="1038"/>
      <c r="F30" s="1038"/>
      <c r="G30" s="1037" t="s">
        <v>671</v>
      </c>
      <c r="H30" s="1038"/>
      <c r="I30" s="1038"/>
    </row>
    <row r="31" spans="1:9" s="1039" customFormat="1" ht="21" customHeight="1">
      <c r="A31" s="1038"/>
      <c r="B31" s="1038" t="s">
        <v>716</v>
      </c>
      <c r="C31" s="1038"/>
      <c r="D31" s="1038"/>
      <c r="E31" s="1038"/>
      <c r="F31" s="1038"/>
      <c r="G31" s="1037" t="s">
        <v>672</v>
      </c>
      <c r="H31" s="1038"/>
      <c r="I31" s="1038"/>
    </row>
    <row r="32" spans="1:9" s="1039" customFormat="1" ht="21" customHeight="1">
      <c r="A32" s="1038"/>
      <c r="B32" s="1041" t="s">
        <v>11</v>
      </c>
      <c r="C32" s="1038"/>
      <c r="D32" s="1038"/>
      <c r="E32" s="1038"/>
      <c r="F32" s="1038"/>
      <c r="G32" s="1043" t="s">
        <v>12</v>
      </c>
      <c r="H32" s="1038"/>
      <c r="I32" s="1038"/>
    </row>
    <row r="33" spans="1:9" s="1039" customFormat="1">
      <c r="A33" s="1038"/>
      <c r="B33" s="1038"/>
      <c r="C33" s="1038"/>
      <c r="D33" s="1038"/>
      <c r="E33" s="1038"/>
      <c r="F33" s="1038"/>
      <c r="G33" s="1038"/>
      <c r="H33" s="1038"/>
      <c r="I33" s="1038"/>
    </row>
    <row r="34" spans="1:9" s="1039" customFormat="1" ht="16.5" thickBot="1">
      <c r="A34" s="1038"/>
      <c r="B34" s="1047" t="s">
        <v>669</v>
      </c>
      <c r="C34" s="1049"/>
      <c r="D34" s="1048"/>
      <c r="E34" s="1048"/>
      <c r="F34" s="1036"/>
      <c r="G34" s="1036"/>
      <c r="H34" s="1036"/>
      <c r="I34" s="1036"/>
    </row>
    <row r="35" spans="1:9" s="1039" customFormat="1" ht="13.5" thickTop="1">
      <c r="A35" s="1036"/>
      <c r="B35" s="1036"/>
      <c r="C35" s="1036"/>
      <c r="D35" s="1036"/>
      <c r="E35" s="1036"/>
      <c r="F35" s="1036"/>
      <c r="G35" s="1036"/>
      <c r="H35" s="1036"/>
      <c r="I35" s="1036"/>
    </row>
    <row r="36" spans="1:9" s="1039" customFormat="1" ht="28.5" customHeight="1">
      <c r="A36" s="1036"/>
      <c r="B36" s="1451" t="s">
        <v>670</v>
      </c>
      <c r="C36" s="1451"/>
      <c r="D36" s="1451"/>
      <c r="E36" s="1451"/>
      <c r="F36" s="1036"/>
      <c r="G36" s="1037" t="s">
        <v>717</v>
      </c>
      <c r="H36" s="1038"/>
      <c r="I36" s="1038"/>
    </row>
    <row r="37" spans="1:9" s="1039" customFormat="1">
      <c r="A37" s="1038"/>
      <c r="B37" s="1038"/>
      <c r="C37" s="1038"/>
      <c r="D37" s="1038"/>
      <c r="E37" s="1038"/>
      <c r="F37" s="1038"/>
      <c r="G37" s="1038"/>
      <c r="H37" s="1038"/>
      <c r="I37" s="1038"/>
    </row>
    <row r="38" spans="1:9" s="1039" customFormat="1">
      <c r="A38" s="1038"/>
      <c r="B38" s="1038" t="s">
        <v>722</v>
      </c>
      <c r="C38" s="1038"/>
      <c r="D38" s="1038"/>
      <c r="E38" s="1038"/>
      <c r="F38" s="1038"/>
      <c r="G38" s="1037" t="s">
        <v>718</v>
      </c>
      <c r="H38" s="1038"/>
      <c r="I38" s="1038"/>
    </row>
    <row r="39" spans="1:9" s="1039" customFormat="1">
      <c r="A39" s="1038"/>
      <c r="B39" s="1038" t="s">
        <v>674</v>
      </c>
      <c r="C39" s="1038"/>
      <c r="D39" s="1038"/>
      <c r="E39" s="1038"/>
      <c r="F39" s="1038"/>
      <c r="G39" s="1038"/>
      <c r="H39" s="1038"/>
      <c r="I39" s="1038"/>
    </row>
    <row r="40" spans="1:9" s="1039" customFormat="1">
      <c r="A40" s="1038"/>
      <c r="B40" s="1038" t="s">
        <v>673</v>
      </c>
      <c r="C40" s="1038"/>
      <c r="D40" s="1038"/>
      <c r="E40" s="1038"/>
      <c r="F40" s="1038"/>
      <c r="G40" s="1038"/>
      <c r="H40" s="1038"/>
      <c r="I40" s="1038"/>
    </row>
    <row r="41" spans="1:9" s="1039" customFormat="1">
      <c r="A41" s="1038"/>
      <c r="B41" s="1038"/>
      <c r="C41" s="1038"/>
      <c r="D41" s="1038"/>
      <c r="E41" s="1038"/>
      <c r="F41" s="1038"/>
      <c r="G41" s="1038"/>
      <c r="H41" s="1038"/>
      <c r="I41" s="1038"/>
    </row>
    <row r="42" spans="1:9" s="1039" customFormat="1" ht="16.5" thickBot="1">
      <c r="A42" s="1038"/>
      <c r="B42" s="1047" t="s">
        <v>13</v>
      </c>
      <c r="C42" s="1048"/>
      <c r="D42" s="1048"/>
      <c r="E42" s="1048"/>
      <c r="F42" s="1036"/>
      <c r="G42" s="1036"/>
      <c r="H42" s="1036"/>
      <c r="I42" s="1036"/>
    </row>
    <row r="43" spans="1:9" s="1039" customFormat="1" ht="13.5" thickTop="1">
      <c r="A43" s="1036"/>
      <c r="B43" s="1036"/>
      <c r="C43" s="1036"/>
      <c r="D43" s="1036"/>
      <c r="E43" s="1036"/>
      <c r="F43" s="1036"/>
      <c r="G43" s="1036"/>
      <c r="H43" s="1036"/>
      <c r="I43" s="1036"/>
    </row>
    <row r="44" spans="1:9" s="1039" customFormat="1">
      <c r="A44" s="1036"/>
      <c r="B44" s="1036" t="s">
        <v>675</v>
      </c>
      <c r="C44" s="1036"/>
      <c r="D44" s="1036"/>
      <c r="E44" s="1036"/>
      <c r="F44" s="1036"/>
      <c r="G44" s="1037" t="s">
        <v>676</v>
      </c>
      <c r="H44" s="1038"/>
      <c r="I44" s="1038"/>
    </row>
    <row r="45" spans="1:9" s="1039" customFormat="1">
      <c r="A45" s="1038"/>
      <c r="B45" s="1038"/>
      <c r="C45" s="1038"/>
      <c r="D45" s="1038"/>
      <c r="E45" s="1038"/>
      <c r="F45" s="1038"/>
      <c r="G45" s="1038"/>
      <c r="H45" s="1038"/>
      <c r="I45" s="1038"/>
    </row>
    <row r="46" spans="1:9" s="1039" customFormat="1">
      <c r="A46" s="1038"/>
      <c r="B46" s="1038" t="s">
        <v>677</v>
      </c>
      <c r="C46" s="1038"/>
      <c r="D46" s="1038"/>
      <c r="E46" s="1038"/>
      <c r="F46" s="1038"/>
      <c r="G46" s="1037" t="s">
        <v>678</v>
      </c>
      <c r="H46" s="1038"/>
      <c r="I46" s="1038"/>
    </row>
    <row r="47" spans="1:9" s="1039" customFormat="1">
      <c r="A47" s="1038"/>
      <c r="B47" s="1038"/>
      <c r="C47" s="1038"/>
      <c r="D47" s="1038"/>
      <c r="E47" s="1038"/>
      <c r="F47" s="1038"/>
      <c r="G47" s="1038"/>
      <c r="H47" s="1038"/>
      <c r="I47" s="1038"/>
    </row>
    <row r="48" spans="1:9" s="1039" customFormat="1">
      <c r="A48" s="1038"/>
      <c r="B48" s="1038" t="s">
        <v>679</v>
      </c>
      <c r="C48" s="1038"/>
      <c r="D48" s="1038"/>
      <c r="E48" s="1038"/>
      <c r="F48" s="1038"/>
      <c r="G48" s="1042" t="s">
        <v>680</v>
      </c>
      <c r="H48" s="1038"/>
      <c r="I48" s="1038"/>
    </row>
    <row r="49" spans="1:9" s="1039" customFormat="1">
      <c r="A49" s="1038"/>
      <c r="B49" s="1038"/>
      <c r="C49" s="1038"/>
      <c r="D49" s="1038"/>
      <c r="E49" s="1038"/>
      <c r="F49" s="1038"/>
      <c r="G49" s="1038"/>
      <c r="H49" s="1038"/>
      <c r="I49" s="1038"/>
    </row>
    <row r="50" spans="1:9" s="1039" customFormat="1">
      <c r="A50" s="1038"/>
      <c r="B50" s="1038" t="s">
        <v>681</v>
      </c>
      <c r="C50" s="1038"/>
      <c r="D50" s="1038"/>
      <c r="E50" s="1038"/>
      <c r="F50" s="1038"/>
      <c r="G50" s="1037" t="s">
        <v>682</v>
      </c>
      <c r="H50" s="1038"/>
      <c r="I50" s="1038"/>
    </row>
    <row r="51" spans="1:9" s="1039" customFormat="1">
      <c r="A51" s="1038"/>
      <c r="B51" s="1038"/>
      <c r="C51" s="1038"/>
      <c r="D51" s="1038"/>
      <c r="E51" s="1038"/>
      <c r="F51" s="1038"/>
      <c r="G51" s="1038"/>
      <c r="H51" s="1038"/>
      <c r="I51" s="1038"/>
    </row>
    <row r="52" spans="1:9" s="1039" customFormat="1">
      <c r="A52" s="1038"/>
      <c r="B52" s="1038" t="s">
        <v>683</v>
      </c>
      <c r="C52" s="1038"/>
      <c r="D52" s="1038"/>
      <c r="E52" s="1038"/>
      <c r="F52" s="1038"/>
      <c r="G52" s="1037" t="s">
        <v>684</v>
      </c>
      <c r="H52" s="1038"/>
      <c r="I52" s="1038"/>
    </row>
    <row r="53" spans="1:9">
      <c r="A53" s="601"/>
      <c r="B53" s="601"/>
      <c r="C53" s="601"/>
      <c r="D53" s="601"/>
      <c r="E53" s="601"/>
      <c r="F53" s="601"/>
      <c r="G53" s="601"/>
      <c r="H53" s="601"/>
      <c r="I53" s="601"/>
    </row>
    <row r="54" spans="1:9">
      <c r="A54" s="601"/>
      <c r="B54" s="601"/>
      <c r="C54" s="601"/>
      <c r="D54" s="601"/>
      <c r="E54" s="601"/>
      <c r="F54" s="601"/>
      <c r="G54" s="601"/>
      <c r="H54" s="601"/>
      <c r="I54" s="601"/>
    </row>
  </sheetData>
  <mergeCells count="1">
    <mergeCell ref="B36:E36"/>
  </mergeCells>
  <phoneticPr fontId="0" type="noConversion"/>
  <hyperlinks>
    <hyperlink ref="G6" location="CUADRO1!A1" display="CUADRO1"/>
    <hyperlink ref="G7" location="CUADRO2!A1" display="CUADRO2"/>
    <hyperlink ref="G8" location="CUADRO3!A1" display="CUADRO3"/>
    <hyperlink ref="G9" location="CUADRO3B!A1" display="CUADRO3B"/>
    <hyperlink ref="G10" location="CUADRO4!A1" display="CUADRO4"/>
    <hyperlink ref="G11" location="CUADRO5!A1" display="CUADRO5"/>
    <hyperlink ref="G12" location="CUADRO6!A1" display="CUADRO6"/>
    <hyperlink ref="G13" location="CUADRO7!A1" display="CUADRO7"/>
    <hyperlink ref="G14" location="CUADRO8!A1" display="CUADRO8"/>
    <hyperlink ref="G15" location="CUADRO9!A1" display="CUADRO9"/>
    <hyperlink ref="G17" location="CUADRO11!A1" display="CUADRO11"/>
    <hyperlink ref="G23" location="CUADRO12!A1" display="CUADRO12"/>
    <hyperlink ref="G24" location="CUADRO13!A1" display="CUADRO13"/>
    <hyperlink ref="G25" location="CUADRO14!A1" display="CUADRO14"/>
    <hyperlink ref="G26" location="CUADRO15!A1" display="CUADRO15"/>
    <hyperlink ref="G27" location="CUADRO16!A1" display="CUADRO16"/>
    <hyperlink ref="G28" location="CUADRO17!A1" display="CUADRO17"/>
    <hyperlink ref="G30" location="CUADRO19!A1" display="CUADRO19"/>
    <hyperlink ref="G31" location="CUADRO20!A1" display="CUADRO20"/>
    <hyperlink ref="G36" location="CUADRO21!A1" display="CUADRO21"/>
    <hyperlink ref="G38" location="CUADRO22!A1" display="CUADRO22"/>
    <hyperlink ref="G18" location="CONS_TERAC!A1" display="CONS_TERAC."/>
    <hyperlink ref="G32" location="CONS_U.FIS!A1" display="CONS_U.FIS."/>
    <hyperlink ref="G44" location="BALANCE_ELECT!A1" display="BALANCE_ELECT"/>
    <hyperlink ref="G46" location="CAPACIDADES!A1" display="CAPACIDADES"/>
    <hyperlink ref="G48" location="'GENERACION EE'!A1" display="'GENERACION EE"/>
    <hyperlink ref="G50" location="CUADROA2!A1" display="CUADROA2"/>
    <hyperlink ref="G52" location="CUADROA3!A1" display="CUADROA3"/>
    <hyperlink ref="G16" location="CUADRO10!A1" display="CUADRO10"/>
    <hyperlink ref="G29" location="CUADRO18!A1" display="CUADRO18"/>
    <hyperlink ref="G3" location="INTRO!A1" display="INTRO"/>
    <hyperlink ref="G19" location="BALANCE!A1" display="BALANCE"/>
  </hyperlinks>
  <pageMargins left="0.75" right="0.75" top="1" bottom="1" header="0" footer="0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zoomScale="75" workbookViewId="0">
      <pane xSplit="2" ySplit="7" topLeftCell="C8" activePane="bottomRight" state="frozen"/>
      <selection pane="topRight" activeCell="D1" sqref="D1"/>
      <selection pane="bottomLeft" activeCell="A11" sqref="A11"/>
      <selection pane="bottomRight" activeCell="N38" sqref="N38"/>
    </sheetView>
  </sheetViews>
  <sheetFormatPr baseColWidth="10" defaultRowHeight="12.75"/>
  <cols>
    <col min="1" max="1" width="4.5703125" style="3" customWidth="1"/>
    <col min="2" max="2" width="26.140625" style="3" customWidth="1"/>
    <col min="3" max="3" width="11.42578125" style="58"/>
    <col min="4" max="4" width="12.7109375" style="58" customWidth="1"/>
    <col min="5" max="12" width="11.42578125" style="58"/>
    <col min="13" max="13" width="12.5703125" style="58" bestFit="1" customWidth="1"/>
    <col min="14" max="25" width="11.42578125" style="58"/>
    <col min="26" max="16384" width="11.42578125" style="3"/>
  </cols>
  <sheetData>
    <row r="1" spans="1:26">
      <c r="A1" s="184"/>
      <c r="B1" s="185"/>
      <c r="C1" s="186"/>
      <c r="D1" s="186"/>
      <c r="E1" s="289" t="s">
        <v>649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 t="s">
        <v>288</v>
      </c>
      <c r="S1" s="186"/>
      <c r="T1" s="186"/>
      <c r="U1" s="186"/>
      <c r="V1" s="186"/>
      <c r="W1" s="186"/>
      <c r="X1" s="186"/>
      <c r="Y1" s="186"/>
    </row>
    <row r="2" spans="1:26">
      <c r="A2" s="184"/>
      <c r="B2" s="184"/>
      <c r="C2" s="186"/>
      <c r="D2" s="186"/>
      <c r="E2" s="186"/>
      <c r="F2" s="186"/>
      <c r="G2" s="186"/>
      <c r="H2" s="206"/>
      <c r="I2" s="206"/>
      <c r="J2" s="206"/>
      <c r="K2" s="186"/>
      <c r="L2" s="186"/>
      <c r="M2" s="186"/>
      <c r="N2" s="186"/>
      <c r="O2" s="186"/>
      <c r="P2" s="186"/>
      <c r="Q2" s="186"/>
      <c r="R2" s="186" t="s">
        <v>288</v>
      </c>
      <c r="S2" s="186"/>
      <c r="T2" s="186"/>
      <c r="U2" s="186"/>
      <c r="V2" s="186"/>
      <c r="W2" s="207"/>
      <c r="X2" s="186" t="s">
        <v>289</v>
      </c>
      <c r="Y2" s="186"/>
    </row>
    <row r="3" spans="1:26">
      <c r="A3" s="184"/>
      <c r="B3" s="184"/>
      <c r="C3" s="186"/>
      <c r="D3" s="186"/>
      <c r="E3" s="186"/>
      <c r="F3" s="186"/>
      <c r="G3" s="186"/>
      <c r="H3" s="206"/>
      <c r="I3" s="206" t="s">
        <v>290</v>
      </c>
      <c r="J3" s="206"/>
      <c r="K3" s="186"/>
      <c r="L3" s="186"/>
      <c r="M3" s="186"/>
      <c r="N3" s="186"/>
      <c r="O3" s="186"/>
      <c r="P3" s="186"/>
      <c r="Q3" s="186"/>
      <c r="R3" s="186" t="s">
        <v>288</v>
      </c>
      <c r="S3" s="186"/>
      <c r="T3" s="186"/>
      <c r="U3" s="186" t="s">
        <v>291</v>
      </c>
      <c r="V3" s="186"/>
      <c r="W3" s="186"/>
      <c r="X3" s="186" t="s">
        <v>292</v>
      </c>
      <c r="Y3" s="186"/>
    </row>
    <row r="4" spans="1:26" ht="13.5" thickBot="1">
      <c r="A4" s="184"/>
      <c r="B4" s="184"/>
      <c r="C4" s="1478" t="s">
        <v>293</v>
      </c>
      <c r="D4" s="1479"/>
      <c r="E4" s="1479"/>
      <c r="F4" s="1479"/>
      <c r="G4" s="1479"/>
      <c r="H4" s="1479"/>
      <c r="I4" s="1479"/>
      <c r="J4" s="1479"/>
      <c r="K4" s="1479"/>
      <c r="L4" s="1480"/>
      <c r="M4" s="1478" t="s">
        <v>294</v>
      </c>
      <c r="N4" s="1479"/>
      <c r="O4" s="1479"/>
      <c r="P4" s="1479"/>
      <c r="Q4" s="1479"/>
      <c r="R4" s="1479"/>
      <c r="S4" s="1479"/>
      <c r="T4" s="1479"/>
      <c r="U4" s="1479"/>
      <c r="V4" s="1479"/>
      <c r="W4" s="1479"/>
      <c r="X4" s="1479"/>
      <c r="Y4" s="1480"/>
    </row>
    <row r="5" spans="1:26">
      <c r="A5" s="190"/>
      <c r="B5" s="193" t="s">
        <v>295</v>
      </c>
      <c r="C5" s="222" t="s">
        <v>523</v>
      </c>
      <c r="D5" s="223" t="s">
        <v>296</v>
      </c>
      <c r="E5" s="222" t="s">
        <v>27</v>
      </c>
      <c r="F5" s="223" t="s">
        <v>297</v>
      </c>
      <c r="G5" s="223" t="s">
        <v>298</v>
      </c>
      <c r="H5" s="224"/>
      <c r="I5" s="222" t="s">
        <v>299</v>
      </c>
      <c r="J5" s="225" t="s">
        <v>300</v>
      </c>
      <c r="K5" s="222" t="s">
        <v>301</v>
      </c>
      <c r="L5" s="223" t="s">
        <v>302</v>
      </c>
      <c r="M5" s="222" t="s">
        <v>303</v>
      </c>
      <c r="N5" s="223" t="s">
        <v>296</v>
      </c>
      <c r="O5" s="222" t="s">
        <v>304</v>
      </c>
      <c r="P5" s="223" t="s">
        <v>305</v>
      </c>
      <c r="Q5" s="222" t="s">
        <v>76</v>
      </c>
      <c r="R5" s="223" t="s">
        <v>306</v>
      </c>
      <c r="S5" s="222" t="s">
        <v>307</v>
      </c>
      <c r="T5" s="223" t="s">
        <v>27</v>
      </c>
      <c r="U5" s="222" t="s">
        <v>308</v>
      </c>
      <c r="V5" s="223" t="s">
        <v>301</v>
      </c>
      <c r="W5" s="222" t="s">
        <v>309</v>
      </c>
      <c r="X5" s="223" t="s">
        <v>302</v>
      </c>
      <c r="Y5" s="200" t="s">
        <v>31</v>
      </c>
    </row>
    <row r="6" spans="1:26">
      <c r="A6" s="191"/>
      <c r="B6" s="194">
        <v>2004</v>
      </c>
      <c r="C6" s="226" t="s">
        <v>310</v>
      </c>
      <c r="D6" s="225" t="s">
        <v>524</v>
      </c>
      <c r="E6" s="226" t="s">
        <v>525</v>
      </c>
      <c r="F6" s="225" t="s">
        <v>526</v>
      </c>
      <c r="G6" s="225" t="s">
        <v>518</v>
      </c>
      <c r="H6" s="225" t="s">
        <v>519</v>
      </c>
      <c r="I6" s="226" t="s">
        <v>288</v>
      </c>
      <c r="J6" s="225" t="s">
        <v>311</v>
      </c>
      <c r="K6" s="226" t="s">
        <v>288</v>
      </c>
      <c r="L6" s="225" t="s">
        <v>527</v>
      </c>
      <c r="M6" s="226" t="s">
        <v>528</v>
      </c>
      <c r="N6" s="225" t="s">
        <v>529</v>
      </c>
      <c r="O6" s="226" t="s">
        <v>312</v>
      </c>
      <c r="P6" s="225" t="s">
        <v>313</v>
      </c>
      <c r="Q6" s="226" t="s">
        <v>314</v>
      </c>
      <c r="R6" s="225" t="s">
        <v>314</v>
      </c>
      <c r="S6" s="226"/>
      <c r="T6" s="225" t="s">
        <v>315</v>
      </c>
      <c r="U6" s="226"/>
      <c r="V6" s="225" t="s">
        <v>288</v>
      </c>
      <c r="W6" s="226" t="s">
        <v>316</v>
      </c>
      <c r="X6" s="225" t="s">
        <v>317</v>
      </c>
      <c r="Y6" s="208"/>
    </row>
    <row r="7" spans="1:26" ht="13.5" thickBot="1">
      <c r="A7" s="191"/>
      <c r="B7" s="195"/>
      <c r="C7" s="226"/>
      <c r="D7" s="225"/>
      <c r="E7" s="226"/>
      <c r="F7" s="225"/>
      <c r="G7" s="227"/>
      <c r="H7" s="225" t="s">
        <v>288</v>
      </c>
      <c r="I7" s="226"/>
      <c r="J7" s="225" t="s">
        <v>318</v>
      </c>
      <c r="K7" s="226" t="s">
        <v>288</v>
      </c>
      <c r="L7" s="225"/>
      <c r="M7" s="226"/>
      <c r="N7" s="225"/>
      <c r="O7" s="226" t="s">
        <v>319</v>
      </c>
      <c r="P7" s="225" t="s">
        <v>320</v>
      </c>
      <c r="Q7" s="226"/>
      <c r="R7" s="225" t="s">
        <v>288</v>
      </c>
      <c r="S7" s="226"/>
      <c r="T7" s="228"/>
      <c r="U7" s="226"/>
      <c r="V7" s="225" t="s">
        <v>288</v>
      </c>
      <c r="W7" s="226" t="s">
        <v>321</v>
      </c>
      <c r="X7" s="225" t="s">
        <v>731</v>
      </c>
      <c r="Y7" s="208"/>
    </row>
    <row r="8" spans="1:26">
      <c r="A8" s="1481" t="s">
        <v>520</v>
      </c>
      <c r="B8" s="187" t="s">
        <v>45</v>
      </c>
      <c r="C8" s="90">
        <f>CUADRO3!C9</f>
        <v>1397.41618979028</v>
      </c>
      <c r="D8" s="79">
        <f>CUADRO3!C10</f>
        <v>19694.880862399998</v>
      </c>
      <c r="E8" s="90">
        <f>CUADRO3!C11</f>
        <v>2764.9146750000004</v>
      </c>
      <c r="F8" s="87">
        <f>CUADRO3!C12</f>
        <v>21496.386057650889</v>
      </c>
      <c r="G8" s="90">
        <v>0</v>
      </c>
      <c r="H8" s="87">
        <v>0</v>
      </c>
      <c r="I8" s="90">
        <f>CUADRO3!C14</f>
        <v>51169.578324994305</v>
      </c>
      <c r="J8" s="87">
        <v>0</v>
      </c>
      <c r="K8" s="90">
        <v>0</v>
      </c>
      <c r="L8" s="217">
        <f>SUM(C8:K8)</f>
        <v>96523.176109835476</v>
      </c>
      <c r="M8" s="90">
        <f>CUADRO4!C20</f>
        <v>51345.464657242235</v>
      </c>
      <c r="N8" s="87">
        <f>CUADRO4!C15</f>
        <v>8118.341263450001</v>
      </c>
      <c r="O8" s="90" t="e">
        <f>CUADRO4!C13+CUADRO4!#REF!+CUADRO4!C16</f>
        <v>#REF!</v>
      </c>
      <c r="P8" s="87">
        <f>CUADRO4!C14+CUADRO4!C17</f>
        <v>6536.3554016999997</v>
      </c>
      <c r="Q8" s="90">
        <f>CUADRO4!C12</f>
        <v>41536.246189199999</v>
      </c>
      <c r="R8" s="87">
        <f>CUADRO4!C11</f>
        <v>20017.104581250002</v>
      </c>
      <c r="S8" s="90">
        <f>CUADRO4!C22</f>
        <v>6898.0403370000004</v>
      </c>
      <c r="T8" s="87">
        <v>0</v>
      </c>
      <c r="U8" s="90">
        <f>CUADRO4!C19+CUADRO4!C24+CUADRO4!C25</f>
        <v>6207.0410593241577</v>
      </c>
      <c r="V8" s="87">
        <f>CUADRO4!C18+CUADRO4!C27+CUADRO4!C23</f>
        <v>7529.0304611199999</v>
      </c>
      <c r="W8" s="90">
        <f>CUADRO11!C17</f>
        <v>1562.1975598832</v>
      </c>
      <c r="X8" s="87" t="e">
        <f>SUM(M8:W8)</f>
        <v>#REF!</v>
      </c>
      <c r="Y8" s="209" t="e">
        <f>X8+L8</f>
        <v>#REF!</v>
      </c>
      <c r="Z8" s="5"/>
    </row>
    <row r="9" spans="1:26">
      <c r="A9" s="1482"/>
      <c r="B9" s="188"/>
      <c r="C9" s="90"/>
      <c r="D9" s="87"/>
      <c r="E9" s="90"/>
      <c r="F9" s="87"/>
      <c r="G9" s="90"/>
      <c r="H9" s="87"/>
      <c r="I9" s="90"/>
      <c r="J9" s="87"/>
      <c r="K9" s="90"/>
      <c r="L9" s="217"/>
      <c r="M9" s="90"/>
      <c r="N9" s="87"/>
      <c r="O9" s="90"/>
      <c r="P9" s="87"/>
      <c r="Q9" s="90"/>
      <c r="R9" s="87"/>
      <c r="S9" s="90"/>
      <c r="T9" s="87"/>
      <c r="U9" s="90"/>
      <c r="V9" s="87"/>
      <c r="W9" s="90"/>
      <c r="X9" s="87"/>
      <c r="Y9" s="209"/>
    </row>
    <row r="10" spans="1:26">
      <c r="A10" s="1482"/>
      <c r="B10" s="188" t="s">
        <v>46</v>
      </c>
      <c r="C10" s="90">
        <f>CUADRO3!D9</f>
        <v>108806.2131723588</v>
      </c>
      <c r="D10" s="87">
        <f>CUADRO3!D10</f>
        <v>7287.3787551317955</v>
      </c>
      <c r="E10" s="90">
        <f>CUADRO3!D11</f>
        <v>43399.63552044372</v>
      </c>
      <c r="F10" s="87">
        <f>CUADRO3!D12</f>
        <v>0</v>
      </c>
      <c r="G10" s="90">
        <v>0</v>
      </c>
      <c r="H10" s="87">
        <v>0</v>
      </c>
      <c r="I10" s="90">
        <v>0</v>
      </c>
      <c r="J10" s="87">
        <v>0</v>
      </c>
      <c r="K10" s="90">
        <v>0</v>
      </c>
      <c r="L10" s="217">
        <f>SUM(C10:K10)</f>
        <v>159493.2274479343</v>
      </c>
      <c r="M10" s="90">
        <f>CUADRO4!D20</f>
        <v>992.60414819999994</v>
      </c>
      <c r="N10" s="87">
        <f>CUADRO4!D15</f>
        <v>10898.289731399815</v>
      </c>
      <c r="O10" s="90" t="e">
        <f>CUADRO4!D13+CUADRO4!#REF!+CUADRO4!D16</f>
        <v>#REF!</v>
      </c>
      <c r="P10" s="87">
        <f>CUADRO4!D14+CUADRO4!D17</f>
        <v>3819.7605178980002</v>
      </c>
      <c r="Q10" s="90">
        <f>CUADRO4!D12</f>
        <v>54810.134995056011</v>
      </c>
      <c r="R10" s="87">
        <f>CUADRO4!D11</f>
        <v>6149.7629123174984</v>
      </c>
      <c r="S10" s="90">
        <f>CUADRO4!D22</f>
        <v>3242.4683900993996</v>
      </c>
      <c r="T10" s="87">
        <v>0</v>
      </c>
      <c r="U10" s="90">
        <f>CUADRO4!D19+CUADRO4!D24+CUADRO4!D25</f>
        <v>0</v>
      </c>
      <c r="V10" s="87">
        <f>CUADRO4!D18+CUADRO4!D27+CUADRO4!D23</f>
        <v>0</v>
      </c>
      <c r="W10" s="90">
        <v>0</v>
      </c>
      <c r="X10" s="87" t="e">
        <f>SUM(M10:W10)</f>
        <v>#REF!</v>
      </c>
      <c r="Y10" s="209" t="e">
        <f>X10+L10</f>
        <v>#REF!</v>
      </c>
      <c r="Z10" s="5"/>
    </row>
    <row r="11" spans="1:26">
      <c r="A11" s="1482"/>
      <c r="B11" s="188"/>
      <c r="C11" s="90"/>
      <c r="D11" s="87"/>
      <c r="E11" s="90"/>
      <c r="F11" s="87"/>
      <c r="G11" s="90"/>
      <c r="H11" s="87"/>
      <c r="I11" s="90"/>
      <c r="J11" s="87"/>
      <c r="K11" s="90"/>
      <c r="L11" s="217"/>
      <c r="M11" s="90"/>
      <c r="N11" s="87"/>
      <c r="O11" s="90"/>
      <c r="P11" s="87"/>
      <c r="Q11" s="90"/>
      <c r="R11" s="87"/>
      <c r="S11" s="90"/>
      <c r="T11" s="87"/>
      <c r="U11" s="90"/>
      <c r="V11" s="87"/>
      <c r="W11" s="90"/>
      <c r="X11" s="87"/>
      <c r="Y11" s="209"/>
    </row>
    <row r="12" spans="1:26">
      <c r="A12" s="1482"/>
      <c r="B12" s="188" t="s">
        <v>47</v>
      </c>
      <c r="C12" s="90">
        <f>CUADRO3!E9</f>
        <v>0</v>
      </c>
      <c r="D12" s="87">
        <f>CUADRO3!E10</f>
        <v>0</v>
      </c>
      <c r="E12" s="90">
        <f>CUADRO3!E11</f>
        <v>0</v>
      </c>
      <c r="F12" s="87">
        <f>CUADRO3!E12</f>
        <v>0</v>
      </c>
      <c r="G12" s="90">
        <v>0</v>
      </c>
      <c r="H12" s="87">
        <v>0</v>
      </c>
      <c r="I12" s="90">
        <v>0</v>
      </c>
      <c r="J12" s="87">
        <v>0</v>
      </c>
      <c r="K12" s="90">
        <v>0</v>
      </c>
      <c r="L12" s="217">
        <f>SUM(C12:K12)</f>
        <v>0</v>
      </c>
      <c r="M12" s="90">
        <v>0</v>
      </c>
      <c r="N12" s="87">
        <f>CUADRO4!E15</f>
        <v>606.10894322000001</v>
      </c>
      <c r="O12" s="90" t="e">
        <f>CUADRO4!E13+CUADRO4!#REF!+CUADRO4!E16</f>
        <v>#REF!</v>
      </c>
      <c r="P12" s="87">
        <f>CUADRO4!E14+CUADRO4!E17</f>
        <v>0</v>
      </c>
      <c r="Q12" s="90">
        <f>CUADRO4!E12</f>
        <v>5851.4296829520008</v>
      </c>
      <c r="R12" s="87">
        <f>CUADRO4!E11</f>
        <v>0</v>
      </c>
      <c r="S12" s="90">
        <f>CUADRO4!E22</f>
        <v>87.12</v>
      </c>
      <c r="T12" s="87">
        <v>0</v>
      </c>
      <c r="U12" s="90">
        <f>CUADRO4!E19+CUADRO4!E24+CUADRO4!E25</f>
        <v>0</v>
      </c>
      <c r="V12" s="87">
        <f>CUADRO4!E18+CUADRO4!E27+CUADRO4!E23</f>
        <v>5446.7182885600005</v>
      </c>
      <c r="W12" s="90">
        <v>0</v>
      </c>
      <c r="X12" s="87" t="e">
        <f>SUM(M12:W12)</f>
        <v>#REF!</v>
      </c>
      <c r="Y12" s="209" t="e">
        <f>X12+L12</f>
        <v>#REF!</v>
      </c>
      <c r="Z12" s="5"/>
    </row>
    <row r="13" spans="1:26">
      <c r="A13" s="1482"/>
      <c r="B13" s="188"/>
      <c r="C13" s="90"/>
      <c r="D13" s="87"/>
      <c r="E13" s="90"/>
      <c r="F13" s="87"/>
      <c r="G13" s="90"/>
      <c r="H13" s="87"/>
      <c r="I13" s="90"/>
      <c r="J13" s="87"/>
      <c r="K13" s="90"/>
      <c r="L13" s="217"/>
      <c r="M13" s="90"/>
      <c r="N13" s="87"/>
      <c r="O13" s="90"/>
      <c r="P13" s="87"/>
      <c r="Q13" s="90"/>
      <c r="R13" s="87"/>
      <c r="S13" s="90"/>
      <c r="T13" s="87"/>
      <c r="U13" s="90"/>
      <c r="V13" s="87"/>
      <c r="W13" s="90"/>
      <c r="X13" s="87"/>
      <c r="Y13" s="209"/>
    </row>
    <row r="14" spans="1:26">
      <c r="A14" s="1482"/>
      <c r="B14" s="188" t="s">
        <v>323</v>
      </c>
      <c r="C14" s="90">
        <f>CUADRO3!F9</f>
        <v>-215.92451123017236</v>
      </c>
      <c r="D14" s="87">
        <f>CUADRO3!F10</f>
        <v>2187.5685646107104</v>
      </c>
      <c r="E14" s="90">
        <f>CUADRO3!F11</f>
        <v>2469.3475485866356</v>
      </c>
      <c r="F14" s="87">
        <v>0</v>
      </c>
      <c r="G14" s="90">
        <v>0</v>
      </c>
      <c r="H14" s="87">
        <v>0</v>
      </c>
      <c r="I14" s="90">
        <v>0</v>
      </c>
      <c r="J14" s="87">
        <v>0</v>
      </c>
      <c r="K14" s="90">
        <v>0</v>
      </c>
      <c r="L14" s="217">
        <f>SUM(C14:K14)</f>
        <v>4440.9916019671737</v>
      </c>
      <c r="M14" s="90">
        <f>CUADRO4!F20</f>
        <v>4369.4603287832033</v>
      </c>
      <c r="N14" s="87">
        <f>CUADRO4!F15</f>
        <v>2366.1004252671341</v>
      </c>
      <c r="O14" s="90" t="e">
        <f>CUADRO4!F13+CUADRO4!#REF!+CUADRO4!F16</f>
        <v>#REF!</v>
      </c>
      <c r="P14" s="87">
        <f>CUADRO4!F14+CUADRO4!F17</f>
        <v>-21.883689405002023</v>
      </c>
      <c r="Q14" s="90">
        <f>CUADRO4!F12</f>
        <v>707.58140261902554</v>
      </c>
      <c r="R14" s="87">
        <f>CUADRO4!F11</f>
        <v>-2889.3640607684988</v>
      </c>
      <c r="S14" s="90">
        <f>CUADRO4!F22</f>
        <v>1057.8392074135734</v>
      </c>
      <c r="T14" s="87">
        <v>0</v>
      </c>
      <c r="U14" s="90">
        <f>CUADRO4!F19+CUADRO4!F24+CUADRO4!F25</f>
        <v>274.87928628649871</v>
      </c>
      <c r="V14" s="87">
        <f>CUADRO4!F18+CUADRO4!F23+CUADRO4!F27</f>
        <v>245.43553919999985</v>
      </c>
      <c r="W14" s="90">
        <v>0</v>
      </c>
      <c r="X14" s="87" t="e">
        <f>SUM(M14:W14)</f>
        <v>#REF!</v>
      </c>
      <c r="Y14" s="209" t="e">
        <f>X14+L14</f>
        <v>#REF!</v>
      </c>
      <c r="Z14" s="5"/>
    </row>
    <row r="15" spans="1:26">
      <c r="A15" s="1482"/>
      <c r="B15" s="188"/>
      <c r="C15" s="90"/>
      <c r="D15" s="87"/>
      <c r="E15" s="90"/>
      <c r="F15" s="87"/>
      <c r="G15" s="90"/>
      <c r="H15" s="87"/>
      <c r="I15" s="90"/>
      <c r="J15" s="87"/>
      <c r="K15" s="90"/>
      <c r="L15" s="217"/>
      <c r="M15" s="90"/>
      <c r="N15" s="87"/>
      <c r="O15" s="90"/>
      <c r="P15" s="87"/>
      <c r="Q15" s="90"/>
      <c r="R15" s="87"/>
      <c r="S15" s="90"/>
      <c r="T15" s="87"/>
      <c r="U15" s="90"/>
      <c r="V15" s="87"/>
      <c r="W15" s="90"/>
      <c r="X15" s="87"/>
      <c r="Y15" s="209"/>
    </row>
    <row r="16" spans="1:26">
      <c r="A16" s="1482"/>
      <c r="B16" s="188" t="s">
        <v>324</v>
      </c>
      <c r="C16" s="90">
        <v>0</v>
      </c>
      <c r="D16" s="89">
        <v>0</v>
      </c>
      <c r="E16" s="90">
        <v>0</v>
      </c>
      <c r="F16" s="87">
        <f>CUADRO3!F12</f>
        <v>631.26047812210322</v>
      </c>
      <c r="G16" s="90">
        <v>0</v>
      </c>
      <c r="H16" s="87">
        <v>0</v>
      </c>
      <c r="I16" s="90">
        <v>0</v>
      </c>
      <c r="J16" s="87">
        <v>0</v>
      </c>
      <c r="K16" s="90">
        <v>0</v>
      </c>
      <c r="L16" s="217">
        <f>SUM(C16:K16)</f>
        <v>631.26047812210322</v>
      </c>
      <c r="M16" s="90">
        <v>0</v>
      </c>
      <c r="N16" s="87">
        <v>0</v>
      </c>
      <c r="O16" s="90">
        <v>0</v>
      </c>
      <c r="P16" s="87">
        <v>0</v>
      </c>
      <c r="Q16" s="90">
        <v>0</v>
      </c>
      <c r="R16" s="87">
        <v>0</v>
      </c>
      <c r="S16" s="90">
        <v>0</v>
      </c>
      <c r="T16" s="87">
        <v>0</v>
      </c>
      <c r="U16" s="90">
        <v>0</v>
      </c>
      <c r="V16" s="87">
        <v>0</v>
      </c>
      <c r="W16" s="90">
        <v>0</v>
      </c>
      <c r="X16" s="87">
        <f>SUM(M16:W16)</f>
        <v>0</v>
      </c>
      <c r="Y16" s="209">
        <f>X16+L16</f>
        <v>631.26047812210322</v>
      </c>
      <c r="Z16" s="5"/>
    </row>
    <row r="17" spans="1:26" ht="13.5" thickBot="1">
      <c r="A17" s="1483"/>
      <c r="B17" s="189"/>
      <c r="C17" s="90"/>
      <c r="D17" s="87"/>
      <c r="E17" s="90"/>
      <c r="F17" s="87"/>
      <c r="G17" s="90"/>
      <c r="H17" s="87"/>
      <c r="I17" s="90"/>
      <c r="J17" s="87"/>
      <c r="K17" s="90"/>
      <c r="L17" s="212"/>
      <c r="M17" s="196"/>
      <c r="N17" s="210"/>
      <c r="O17" s="196"/>
      <c r="P17" s="210"/>
      <c r="Q17" s="196"/>
      <c r="R17" s="210"/>
      <c r="S17" s="196"/>
      <c r="T17" s="210"/>
      <c r="U17" s="196"/>
      <c r="V17" s="210"/>
      <c r="W17" s="196"/>
      <c r="X17" s="210"/>
      <c r="Y17" s="211"/>
      <c r="Z17" s="5"/>
    </row>
    <row r="18" spans="1:26" ht="13.5" thickBot="1">
      <c r="A18" s="192"/>
      <c r="B18" s="189" t="s">
        <v>325</v>
      </c>
      <c r="C18" s="412">
        <f>CUADRO3!G9</f>
        <v>110419.55387337925</v>
      </c>
      <c r="D18" s="220">
        <f>CUADRO3!G10</f>
        <v>24794.691052921084</v>
      </c>
      <c r="E18" s="219">
        <f>CUADRO3!G11</f>
        <v>43695.202646857084</v>
      </c>
      <c r="F18" s="220">
        <f>CUADRO3!G12</f>
        <v>20865.125579528787</v>
      </c>
      <c r="G18" s="219">
        <v>0</v>
      </c>
      <c r="H18" s="220">
        <v>0</v>
      </c>
      <c r="I18" s="219">
        <f>I8</f>
        <v>51169.578324994305</v>
      </c>
      <c r="J18" s="220">
        <v>0</v>
      </c>
      <c r="K18" s="221">
        <f>K8+K10-K12-K14-K16</f>
        <v>0</v>
      </c>
      <c r="L18" s="405">
        <f>SUM(C18:K18)</f>
        <v>250944.15147768054</v>
      </c>
      <c r="M18" s="201">
        <f>CUADRO4!I20</f>
        <v>47968.608476659028</v>
      </c>
      <c r="N18" s="212">
        <f>CUADRO4!I15</f>
        <v>16044.42162636268</v>
      </c>
      <c r="O18" s="201" t="e">
        <f>CUADRO4!I13+CUADRO4!#REF!+CUADRO4!I16</f>
        <v>#REF!</v>
      </c>
      <c r="P18" s="212">
        <f>CUADRO4!I14+CUADRO4!I17</f>
        <v>10377.999609003002</v>
      </c>
      <c r="Q18" s="201">
        <f>CUADRO4!I12</f>
        <v>89787.370098684958</v>
      </c>
      <c r="R18" s="212">
        <f>CUADRO4!I11</f>
        <v>29056.231554336002</v>
      </c>
      <c r="S18" s="201">
        <f>CUADRO4!I22</f>
        <v>8995.5495196858265</v>
      </c>
      <c r="T18" s="212">
        <f>T8+T10-T12-T14-T16</f>
        <v>0</v>
      </c>
      <c r="U18" s="201">
        <f>CUADRO4!I19+CUADRO4!I24+CUADRO4!I25</f>
        <v>5932.1617730376602</v>
      </c>
      <c r="V18" s="212">
        <f>CUADRO4!I18+CUADRO4!I27+CUADRO4!I23</f>
        <v>1836.8766333599999</v>
      </c>
      <c r="W18" s="201">
        <f>W8</f>
        <v>1562.1975598832</v>
      </c>
      <c r="X18" s="212" t="e">
        <f>X8+X10-X12-X14-X16</f>
        <v>#REF!</v>
      </c>
      <c r="Y18" s="211" t="e">
        <f>X18+L18</f>
        <v>#REF!</v>
      </c>
      <c r="Z18" s="5"/>
    </row>
    <row r="19" spans="1:26">
      <c r="A19" s="1484" t="s">
        <v>521</v>
      </c>
      <c r="B19" s="187"/>
      <c r="C19" s="197"/>
      <c r="D19" s="213"/>
      <c r="E19" s="197"/>
      <c r="F19" s="213"/>
      <c r="G19" s="197"/>
      <c r="H19" s="213"/>
      <c r="I19" s="197"/>
      <c r="J19" s="213"/>
      <c r="K19" s="197"/>
      <c r="L19" s="215"/>
      <c r="M19" s="197"/>
      <c r="N19" s="213"/>
      <c r="O19" s="197"/>
      <c r="P19" s="213"/>
      <c r="Q19" s="197"/>
      <c r="R19" s="213"/>
      <c r="S19" s="197"/>
      <c r="T19" s="213"/>
      <c r="U19" s="197"/>
      <c r="V19" s="213"/>
      <c r="W19" s="197"/>
      <c r="X19" s="213"/>
      <c r="Y19" s="214"/>
      <c r="Z19" s="5"/>
    </row>
    <row r="20" spans="1:26">
      <c r="A20" s="1485"/>
      <c r="B20" s="188" t="s">
        <v>326</v>
      </c>
      <c r="C20" s="90">
        <v>0</v>
      </c>
      <c r="D20" s="87">
        <f>CUADRO10!E16</f>
        <v>3649.2767417980963</v>
      </c>
      <c r="E20" s="90">
        <v>0</v>
      </c>
      <c r="F20" s="87">
        <v>0</v>
      </c>
      <c r="G20" s="90">
        <v>0</v>
      </c>
      <c r="H20" s="87">
        <v>0</v>
      </c>
      <c r="I20" s="90">
        <v>0</v>
      </c>
      <c r="J20" s="87">
        <v>0</v>
      </c>
      <c r="K20" s="90">
        <v>0</v>
      </c>
      <c r="L20" s="217">
        <f>SUM(C20:K20)</f>
        <v>3649.2767417980963</v>
      </c>
      <c r="M20" s="90">
        <v>0</v>
      </c>
      <c r="N20" s="87">
        <f>CUADRO10!E12</f>
        <v>0</v>
      </c>
      <c r="O20" s="90">
        <v>0</v>
      </c>
      <c r="P20" s="87">
        <v>0</v>
      </c>
      <c r="Q20" s="90">
        <v>0</v>
      </c>
      <c r="R20" s="87">
        <f>CUADRO10!E11</f>
        <v>0</v>
      </c>
      <c r="S20" s="90">
        <v>0</v>
      </c>
      <c r="T20" s="87">
        <v>0</v>
      </c>
      <c r="U20" s="90">
        <v>0</v>
      </c>
      <c r="V20" s="87">
        <v>0</v>
      </c>
      <c r="W20" s="90">
        <v>0</v>
      </c>
      <c r="X20" s="87">
        <f>SUM(M20:W20)</f>
        <v>0</v>
      </c>
      <c r="Y20" s="209">
        <f>X20+L20</f>
        <v>3649.2767417980963</v>
      </c>
      <c r="Z20" s="5"/>
    </row>
    <row r="21" spans="1:26">
      <c r="A21" s="1485"/>
      <c r="B21" s="188"/>
      <c r="C21" s="90"/>
      <c r="D21" s="87"/>
      <c r="E21" s="90"/>
      <c r="F21" s="87"/>
      <c r="G21" s="90"/>
      <c r="H21" s="87"/>
      <c r="I21" s="90"/>
      <c r="J21" s="87"/>
      <c r="K21" s="90"/>
      <c r="L21" s="217"/>
      <c r="M21" s="90"/>
      <c r="N21" s="87"/>
      <c r="O21" s="90"/>
      <c r="P21" s="87"/>
      <c r="Q21" s="90"/>
      <c r="R21" s="87"/>
      <c r="S21" s="90"/>
      <c r="T21" s="87"/>
      <c r="U21" s="90"/>
      <c r="V21" s="87"/>
      <c r="W21" s="90"/>
      <c r="X21" s="87"/>
      <c r="Y21" s="209"/>
    </row>
    <row r="22" spans="1:26">
      <c r="A22" s="1485"/>
      <c r="B22" s="188" t="s">
        <v>327</v>
      </c>
      <c r="C22" s="90">
        <v>0</v>
      </c>
      <c r="D22" s="87">
        <f>CONS_TERAC!S50</f>
        <v>4709.347891775973</v>
      </c>
      <c r="E22" s="90">
        <f>CONS_TERAC!N50</f>
        <v>34794.341006205344</v>
      </c>
      <c r="F22" s="87">
        <v>0</v>
      </c>
      <c r="G22" s="90">
        <v>0</v>
      </c>
      <c r="H22" s="87">
        <v>0</v>
      </c>
      <c r="I22" s="90">
        <f>CONS_TERAC!V50</f>
        <v>215.35068720946569</v>
      </c>
      <c r="J22" s="87">
        <v>0</v>
      </c>
      <c r="K22" s="90">
        <v>0</v>
      </c>
      <c r="L22" s="217">
        <f>SUM(C22:K22)</f>
        <v>39719.039585190782</v>
      </c>
      <c r="M22" s="90">
        <v>0</v>
      </c>
      <c r="N22" s="87">
        <f>CONS_TERAC!G49</f>
        <v>10.0628198</v>
      </c>
      <c r="O22" s="90">
        <v>0</v>
      </c>
      <c r="P22" s="87">
        <v>0</v>
      </c>
      <c r="Q22" s="90">
        <f>CONS_TERAC!C50</f>
        <v>25827.620379119995</v>
      </c>
      <c r="R22" s="87">
        <f>CONS_TERAC!D50</f>
        <v>1910.4617393399997</v>
      </c>
      <c r="S22" s="90">
        <f>CONS_TERAC!O50</f>
        <v>4823.4237830000011</v>
      </c>
      <c r="T22" s="87">
        <v>0</v>
      </c>
      <c r="U22" s="90">
        <f>CONS_TERAC!Q37+CONS_TERAC!R37+CONS_TERAC!K50</f>
        <v>0</v>
      </c>
      <c r="V22" s="87">
        <v>0</v>
      </c>
      <c r="W22" s="90">
        <v>0</v>
      </c>
      <c r="X22" s="87">
        <f>SUM(M22:W22)</f>
        <v>32571.568721259999</v>
      </c>
      <c r="Y22" s="209">
        <f>X22+L22</f>
        <v>72290.608306450784</v>
      </c>
      <c r="Z22" s="5"/>
    </row>
    <row r="23" spans="1:26">
      <c r="A23" s="1485"/>
      <c r="B23" s="188"/>
      <c r="C23" s="90"/>
      <c r="D23" s="87"/>
      <c r="E23" s="90"/>
      <c r="F23" s="87"/>
      <c r="G23" s="90"/>
      <c r="H23" s="87"/>
      <c r="I23" s="90"/>
      <c r="J23" s="87"/>
      <c r="K23" s="90"/>
      <c r="L23" s="217"/>
      <c r="M23" s="90"/>
      <c r="N23" s="87"/>
      <c r="O23" s="90"/>
      <c r="P23" s="87"/>
      <c r="Q23" s="90"/>
      <c r="R23" s="87"/>
      <c r="S23" s="90"/>
      <c r="T23" s="87"/>
      <c r="U23" s="90"/>
      <c r="V23" s="87"/>
      <c r="W23" s="90"/>
      <c r="X23" s="87"/>
      <c r="Y23" s="209"/>
    </row>
    <row r="24" spans="1:26">
      <c r="A24" s="1485"/>
      <c r="B24" s="188" t="s">
        <v>328</v>
      </c>
      <c r="C24" s="90">
        <v>0</v>
      </c>
      <c r="D24" s="87">
        <f>CONS_TERAC!S49</f>
        <v>564.31591257419996</v>
      </c>
      <c r="E24" s="90">
        <f>CONS_TERAC!N49</f>
        <v>47.907346545296249</v>
      </c>
      <c r="F24" s="87">
        <v>0</v>
      </c>
      <c r="G24" s="90">
        <v>0</v>
      </c>
      <c r="H24" s="87">
        <v>0</v>
      </c>
      <c r="I24" s="90">
        <f>CONS_TERAC!V49</f>
        <v>5176.7914494272754</v>
      </c>
      <c r="J24" s="87">
        <v>0</v>
      </c>
      <c r="K24" s="90">
        <v>0</v>
      </c>
      <c r="L24" s="217">
        <f>SUM(C24:K24)</f>
        <v>5789.0147085467715</v>
      </c>
      <c r="M24" s="90">
        <v>0</v>
      </c>
      <c r="N24" s="87">
        <f>CONS_TERAC!G50</f>
        <v>28.362531890000003</v>
      </c>
      <c r="O24" s="90">
        <v>0</v>
      </c>
      <c r="P24" s="87">
        <v>0</v>
      </c>
      <c r="Q24" s="90">
        <f>CONS_TERAC!C49</f>
        <v>374.63342747620004</v>
      </c>
      <c r="R24" s="87">
        <f>CONS_TERAC!D49</f>
        <v>1184.159201579587</v>
      </c>
      <c r="S24" s="90">
        <f>CONS_TERAC!O49</f>
        <v>0</v>
      </c>
      <c r="T24" s="87">
        <v>0</v>
      </c>
      <c r="U24" s="90">
        <f>CONS_TERAC!K49+CONS_TERAC!Q36+CONS_TERAC!R36</f>
        <v>171.46348058275498</v>
      </c>
      <c r="V24" s="87">
        <v>0</v>
      </c>
      <c r="W24" s="90">
        <v>0</v>
      </c>
      <c r="X24" s="87">
        <f>SUM(M24:W24)</f>
        <v>1758.618641528542</v>
      </c>
      <c r="Y24" s="209">
        <f>X24+L24</f>
        <v>7547.6333500753135</v>
      </c>
      <c r="Z24" s="5"/>
    </row>
    <row r="25" spans="1:26">
      <c r="A25" s="1485"/>
      <c r="B25" s="188"/>
      <c r="C25" s="90"/>
      <c r="D25" s="87"/>
      <c r="E25" s="90"/>
      <c r="F25" s="87"/>
      <c r="G25" s="90"/>
      <c r="H25" s="87"/>
      <c r="I25" s="90"/>
      <c r="J25" s="87"/>
      <c r="K25" s="90"/>
      <c r="L25" s="217"/>
      <c r="M25" s="90"/>
      <c r="N25" s="87"/>
      <c r="O25" s="90"/>
      <c r="P25" s="87"/>
      <c r="Q25" s="90"/>
      <c r="R25" s="87"/>
      <c r="S25" s="90"/>
      <c r="T25" s="87"/>
      <c r="U25" s="90"/>
      <c r="V25" s="87"/>
      <c r="W25" s="90"/>
      <c r="X25" s="87"/>
      <c r="Y25" s="209"/>
    </row>
    <row r="26" spans="1:26">
      <c r="A26" s="1485"/>
      <c r="B26" s="188" t="s">
        <v>329</v>
      </c>
      <c r="C26" s="90">
        <v>0</v>
      </c>
      <c r="D26" s="87">
        <v>0</v>
      </c>
      <c r="E26" s="88">
        <v>0</v>
      </c>
      <c r="F26" s="87">
        <v>0</v>
      </c>
      <c r="G26" s="90">
        <v>0</v>
      </c>
      <c r="H26" s="87">
        <v>0</v>
      </c>
      <c r="I26" s="90">
        <v>0</v>
      </c>
      <c r="J26" s="87">
        <v>0</v>
      </c>
      <c r="K26" s="90">
        <v>0</v>
      </c>
      <c r="L26" s="217">
        <f>SUM(C26:K26)</f>
        <v>0</v>
      </c>
      <c r="M26" s="90">
        <v>0</v>
      </c>
      <c r="N26" s="87">
        <v>0</v>
      </c>
      <c r="O26" s="90">
        <v>0</v>
      </c>
      <c r="P26" s="87">
        <v>0</v>
      </c>
      <c r="Q26" s="90">
        <v>0</v>
      </c>
      <c r="R26" s="87">
        <v>0</v>
      </c>
      <c r="S26" s="88">
        <v>0</v>
      </c>
      <c r="T26" s="87">
        <v>0</v>
      </c>
      <c r="U26" s="90">
        <v>0</v>
      </c>
      <c r="V26" s="87">
        <v>0</v>
      </c>
      <c r="W26" s="90">
        <v>0</v>
      </c>
      <c r="X26" s="87">
        <f>SUM(M26:W26)</f>
        <v>0</v>
      </c>
      <c r="Y26" s="209">
        <f>X26+L26</f>
        <v>0</v>
      </c>
      <c r="Z26" s="5"/>
    </row>
    <row r="27" spans="1:26">
      <c r="A27" s="1485"/>
      <c r="B27" s="188"/>
      <c r="C27" s="90"/>
      <c r="D27" s="87"/>
      <c r="E27" s="90"/>
      <c r="F27" s="87"/>
      <c r="G27" s="90"/>
      <c r="H27" s="87"/>
      <c r="I27" s="90"/>
      <c r="J27" s="87"/>
      <c r="K27" s="90"/>
      <c r="L27" s="217"/>
      <c r="M27" s="90"/>
      <c r="N27" s="87"/>
      <c r="O27" s="90"/>
      <c r="P27" s="87"/>
      <c r="Q27" s="90"/>
      <c r="R27" s="87"/>
      <c r="S27" s="90"/>
      <c r="T27" s="87"/>
      <c r="U27" s="90"/>
      <c r="V27" s="87"/>
      <c r="W27" s="90"/>
      <c r="X27" s="87"/>
      <c r="Y27" s="209"/>
    </row>
    <row r="28" spans="1:26">
      <c r="A28" s="1485"/>
      <c r="B28" s="188" t="s">
        <v>330</v>
      </c>
      <c r="C28" s="90">
        <v>0</v>
      </c>
      <c r="D28" s="87">
        <v>0</v>
      </c>
      <c r="E28" s="90">
        <f>CUADRO10!F14</f>
        <v>0</v>
      </c>
      <c r="F28" s="87">
        <v>0</v>
      </c>
      <c r="G28" s="90">
        <v>0</v>
      </c>
      <c r="H28" s="87">
        <v>0</v>
      </c>
      <c r="I28" s="90">
        <v>0</v>
      </c>
      <c r="J28" s="87">
        <v>0</v>
      </c>
      <c r="K28" s="90">
        <v>0</v>
      </c>
      <c r="L28" s="217">
        <f>SUM(C28:K28)</f>
        <v>0</v>
      </c>
      <c r="M28" s="90">
        <v>0</v>
      </c>
      <c r="N28" s="87">
        <v>0</v>
      </c>
      <c r="O28" s="90">
        <v>0</v>
      </c>
      <c r="P28" s="87">
        <v>0</v>
      </c>
      <c r="Q28" s="90">
        <v>0</v>
      </c>
      <c r="R28" s="87">
        <v>0</v>
      </c>
      <c r="S28" s="90">
        <v>0</v>
      </c>
      <c r="T28" s="87">
        <v>0</v>
      </c>
      <c r="U28" s="90">
        <v>0</v>
      </c>
      <c r="V28" s="87">
        <v>0</v>
      </c>
      <c r="W28" s="90">
        <v>0</v>
      </c>
      <c r="X28" s="87">
        <f>SUM(M28:W28)</f>
        <v>0</v>
      </c>
      <c r="Y28" s="209">
        <f>X28+L28</f>
        <v>0</v>
      </c>
      <c r="Z28" s="5"/>
    </row>
    <row r="29" spans="1:26">
      <c r="A29" s="1485"/>
      <c r="B29" s="188"/>
      <c r="C29" s="90"/>
      <c r="D29" s="87"/>
      <c r="E29" s="90"/>
      <c r="F29" s="87"/>
      <c r="G29" s="90"/>
      <c r="H29" s="87"/>
      <c r="I29" s="90"/>
      <c r="J29" s="87"/>
      <c r="K29" s="90"/>
      <c r="L29" s="217"/>
      <c r="M29" s="90"/>
      <c r="N29" s="87"/>
      <c r="O29" s="90"/>
      <c r="P29" s="87"/>
      <c r="Q29" s="90"/>
      <c r="R29" s="87"/>
      <c r="S29" s="90"/>
      <c r="T29" s="87"/>
      <c r="U29" s="90"/>
      <c r="V29" s="87"/>
      <c r="W29" s="90"/>
      <c r="X29" s="87"/>
      <c r="Y29" s="209"/>
    </row>
    <row r="30" spans="1:26">
      <c r="A30" s="1485"/>
      <c r="B30" s="188" t="s">
        <v>331</v>
      </c>
      <c r="C30" s="90">
        <v>0</v>
      </c>
      <c r="D30" s="87">
        <v>0</v>
      </c>
      <c r="E30" s="90">
        <f>CUADRO10!D14</f>
        <v>4860.0071999999991</v>
      </c>
      <c r="F30" s="87">
        <v>0</v>
      </c>
      <c r="G30" s="90">
        <v>0</v>
      </c>
      <c r="H30" s="87">
        <v>0</v>
      </c>
      <c r="I30" s="90">
        <v>0</v>
      </c>
      <c r="J30" s="87">
        <v>0</v>
      </c>
      <c r="K30" s="90">
        <v>0</v>
      </c>
      <c r="L30" s="217">
        <f>SUM(C30:K30)</f>
        <v>4860.0071999999991</v>
      </c>
      <c r="M30" s="90">
        <v>0</v>
      </c>
      <c r="N30" s="87">
        <f>CUADRO10!D12</f>
        <v>956.11919322753226</v>
      </c>
      <c r="O30" s="90">
        <v>0</v>
      </c>
      <c r="P30" s="87">
        <v>0</v>
      </c>
      <c r="Q30" s="90">
        <v>0</v>
      </c>
      <c r="R30" s="87">
        <v>0</v>
      </c>
      <c r="S30" s="90">
        <f>CUADRO10!D15</f>
        <v>1249.9878669999998</v>
      </c>
      <c r="T30" s="87">
        <v>0</v>
      </c>
      <c r="U30" s="90">
        <v>0</v>
      </c>
      <c r="V30" s="87">
        <v>0</v>
      </c>
      <c r="W30" s="90">
        <v>0</v>
      </c>
      <c r="X30" s="87">
        <f>SUM(M30:W30)</f>
        <v>2206.1070602275322</v>
      </c>
      <c r="Y30" s="209">
        <f>X30+L30</f>
        <v>7066.1142602275313</v>
      </c>
      <c r="Z30" s="5"/>
    </row>
    <row r="31" spans="1:26">
      <c r="A31" s="1485"/>
      <c r="B31" s="188"/>
      <c r="C31" s="90"/>
      <c r="D31" s="87"/>
      <c r="E31" s="90"/>
      <c r="F31" s="87"/>
      <c r="G31" s="90"/>
      <c r="H31" s="87"/>
      <c r="I31" s="90"/>
      <c r="J31" s="87"/>
      <c r="K31" s="90"/>
      <c r="L31" s="217"/>
      <c r="M31" s="90"/>
      <c r="N31" s="87"/>
      <c r="O31" s="90"/>
      <c r="P31" s="87"/>
      <c r="Q31" s="90"/>
      <c r="R31" s="87"/>
      <c r="S31" s="90"/>
      <c r="T31" s="87"/>
      <c r="U31" s="90"/>
      <c r="V31" s="87"/>
      <c r="W31" s="90"/>
      <c r="X31" s="87"/>
      <c r="Y31" s="209"/>
    </row>
    <row r="32" spans="1:26">
      <c r="A32" s="1485"/>
      <c r="B32" s="188" t="s">
        <v>333</v>
      </c>
      <c r="C32" s="90">
        <v>0</v>
      </c>
      <c r="D32" s="87">
        <v>0</v>
      </c>
      <c r="E32" s="90">
        <v>0</v>
      </c>
      <c r="F32" s="87">
        <v>0</v>
      </c>
      <c r="G32" s="90">
        <v>0</v>
      </c>
      <c r="H32" s="87">
        <v>0</v>
      </c>
      <c r="I32" s="90">
        <v>0</v>
      </c>
      <c r="J32" s="87">
        <v>0</v>
      </c>
      <c r="K32" s="90">
        <v>0</v>
      </c>
      <c r="L32" s="217">
        <f>SUM(C32:K32)</f>
        <v>0</v>
      </c>
      <c r="M32" s="90">
        <v>0</v>
      </c>
      <c r="N32" s="87">
        <v>0</v>
      </c>
      <c r="O32" s="90">
        <v>0</v>
      </c>
      <c r="P32" s="87">
        <v>0</v>
      </c>
      <c r="Q32" s="90">
        <v>0</v>
      </c>
      <c r="R32" s="87">
        <v>0</v>
      </c>
      <c r="S32" s="90">
        <v>0</v>
      </c>
      <c r="T32" s="87">
        <v>0</v>
      </c>
      <c r="U32" s="90">
        <v>0</v>
      </c>
      <c r="V32" s="87">
        <v>0</v>
      </c>
      <c r="W32" s="90">
        <v>0</v>
      </c>
      <c r="X32" s="87">
        <f>SUM(M32:W32)</f>
        <v>0</v>
      </c>
      <c r="Y32" s="209">
        <f>X32+L32</f>
        <v>0</v>
      </c>
      <c r="Z32" s="5"/>
    </row>
    <row r="33" spans="1:27">
      <c r="A33" s="1485"/>
      <c r="B33" s="188"/>
      <c r="C33" s="90"/>
      <c r="D33" s="87"/>
      <c r="E33" s="90"/>
      <c r="F33" s="87"/>
      <c r="G33" s="90"/>
      <c r="H33" s="87"/>
      <c r="I33" s="90"/>
      <c r="J33" s="87"/>
      <c r="K33" s="90"/>
      <c r="L33" s="217"/>
      <c r="M33" s="90"/>
      <c r="N33" s="87"/>
      <c r="O33" s="90"/>
      <c r="P33" s="87"/>
      <c r="Q33" s="90"/>
      <c r="R33" s="87"/>
      <c r="S33" s="90"/>
      <c r="T33" s="87"/>
      <c r="U33" s="90"/>
      <c r="V33" s="87"/>
      <c r="W33" s="90"/>
      <c r="X33" s="87"/>
      <c r="Y33" s="209"/>
    </row>
    <row r="34" spans="1:27">
      <c r="A34" s="1485"/>
      <c r="B34" s="188" t="s">
        <v>334</v>
      </c>
      <c r="C34" s="90">
        <v>0</v>
      </c>
      <c r="D34" s="87">
        <f>CUADRO10!G16</f>
        <v>9460.2069150000007</v>
      </c>
      <c r="E34" s="90">
        <v>0</v>
      </c>
      <c r="F34" s="87">
        <v>0</v>
      </c>
      <c r="G34" s="90">
        <v>0</v>
      </c>
      <c r="H34" s="87">
        <v>0</v>
      </c>
      <c r="I34" s="90">
        <v>0</v>
      </c>
      <c r="J34" s="87">
        <v>0</v>
      </c>
      <c r="K34" s="90">
        <v>0</v>
      </c>
      <c r="L34" s="217">
        <f>SUM(C34:K34)</f>
        <v>9460.2069150000007</v>
      </c>
      <c r="M34" s="90">
        <v>0</v>
      </c>
      <c r="N34" s="87">
        <v>0</v>
      </c>
      <c r="O34" s="90">
        <v>0</v>
      </c>
      <c r="P34" s="87">
        <v>0</v>
      </c>
      <c r="Q34" s="90">
        <v>0</v>
      </c>
      <c r="R34" s="87">
        <v>0</v>
      </c>
      <c r="S34" s="90">
        <v>0</v>
      </c>
      <c r="T34" s="87">
        <v>0</v>
      </c>
      <c r="U34" s="90">
        <v>0</v>
      </c>
      <c r="V34" s="87">
        <v>0</v>
      </c>
      <c r="W34" s="90">
        <v>0</v>
      </c>
      <c r="X34" s="87">
        <f>SUM(M34:W34)</f>
        <v>0</v>
      </c>
      <c r="Y34" s="209">
        <f>X34+L34</f>
        <v>9460.2069150000007</v>
      </c>
      <c r="Z34" s="5"/>
    </row>
    <row r="35" spans="1:27" ht="13.5" thickBot="1">
      <c r="A35" s="1486"/>
      <c r="B35" s="189"/>
      <c r="C35" s="196"/>
      <c r="D35" s="210"/>
      <c r="E35" s="196"/>
      <c r="F35" s="210"/>
      <c r="G35" s="196"/>
      <c r="H35" s="210"/>
      <c r="I35" s="196"/>
      <c r="J35" s="210"/>
      <c r="K35" s="196"/>
      <c r="L35" s="212"/>
      <c r="M35" s="196"/>
      <c r="N35" s="210"/>
      <c r="O35" s="196"/>
      <c r="P35" s="210"/>
      <c r="Q35" s="196"/>
      <c r="R35" s="210"/>
      <c r="S35" s="196"/>
      <c r="T35" s="210"/>
      <c r="U35" s="196"/>
      <c r="V35" s="210"/>
      <c r="W35" s="196"/>
      <c r="X35" s="210"/>
      <c r="Y35" s="211"/>
      <c r="Z35" s="5"/>
    </row>
    <row r="36" spans="1:27" ht="13.5" thickBot="1">
      <c r="A36" s="202"/>
      <c r="B36" s="189" t="s">
        <v>335</v>
      </c>
      <c r="C36" s="201">
        <f>C20</f>
        <v>0</v>
      </c>
      <c r="D36" s="212">
        <f>SUM(D20:D34)</f>
        <v>18383.14746114827</v>
      </c>
      <c r="E36" s="201">
        <f>SUM(E20:E34)</f>
        <v>39702.255552750641</v>
      </c>
      <c r="F36" s="212">
        <f>SUM(F20:F34)</f>
        <v>0</v>
      </c>
      <c r="G36" s="201">
        <v>0</v>
      </c>
      <c r="H36" s="212">
        <v>0</v>
      </c>
      <c r="I36" s="201">
        <f t="shared" ref="I36:Y36" si="0">SUM(I20:I34)</f>
        <v>5392.1421366367413</v>
      </c>
      <c r="J36" s="212">
        <f t="shared" si="0"/>
        <v>0</v>
      </c>
      <c r="K36" s="201">
        <f t="shared" si="0"/>
        <v>0</v>
      </c>
      <c r="L36" s="212">
        <f t="shared" si="0"/>
        <v>63477.545150535647</v>
      </c>
      <c r="M36" s="201">
        <f t="shared" si="0"/>
        <v>0</v>
      </c>
      <c r="N36" s="212">
        <f t="shared" si="0"/>
        <v>994.54454491753222</v>
      </c>
      <c r="O36" s="201">
        <f t="shared" si="0"/>
        <v>0</v>
      </c>
      <c r="P36" s="212">
        <f t="shared" si="0"/>
        <v>0</v>
      </c>
      <c r="Q36" s="201">
        <f t="shared" si="0"/>
        <v>26202.253806596196</v>
      </c>
      <c r="R36" s="212">
        <f t="shared" si="0"/>
        <v>3094.6209409195867</v>
      </c>
      <c r="S36" s="201">
        <f t="shared" si="0"/>
        <v>6073.4116500000009</v>
      </c>
      <c r="T36" s="212">
        <f t="shared" si="0"/>
        <v>0</v>
      </c>
      <c r="U36" s="201">
        <f t="shared" si="0"/>
        <v>171.46348058275498</v>
      </c>
      <c r="V36" s="212">
        <f t="shared" si="0"/>
        <v>0</v>
      </c>
      <c r="W36" s="201">
        <f t="shared" si="0"/>
        <v>0</v>
      </c>
      <c r="X36" s="212">
        <f t="shared" si="0"/>
        <v>36536.294423016079</v>
      </c>
      <c r="Y36" s="211">
        <f t="shared" si="0"/>
        <v>100013.83957355173</v>
      </c>
      <c r="Z36" s="5"/>
    </row>
    <row r="37" spans="1:27">
      <c r="A37" s="230"/>
      <c r="B37" s="188"/>
      <c r="C37" s="198"/>
      <c r="D37" s="213"/>
      <c r="E37" s="197"/>
      <c r="F37" s="213"/>
      <c r="G37" s="197"/>
      <c r="H37" s="213"/>
      <c r="I37" s="197"/>
      <c r="J37" s="213"/>
      <c r="K37" s="197"/>
      <c r="L37" s="215"/>
      <c r="M37" s="197"/>
      <c r="N37" s="213"/>
      <c r="O37" s="197"/>
      <c r="P37" s="213"/>
      <c r="Q37" s="197"/>
      <c r="R37" s="213"/>
      <c r="S37" s="197"/>
      <c r="T37" s="213"/>
      <c r="U37" s="197"/>
      <c r="V37" s="213"/>
      <c r="W37" s="197"/>
      <c r="X37" s="213"/>
      <c r="Y37" s="214"/>
      <c r="Z37" s="5"/>
    </row>
    <row r="38" spans="1:27">
      <c r="A38" s="230"/>
      <c r="B38" s="188" t="s">
        <v>336</v>
      </c>
      <c r="C38" s="199">
        <v>0</v>
      </c>
      <c r="D38" s="87">
        <f>CONS_TERAC!S44</f>
        <v>12.657411704032596</v>
      </c>
      <c r="E38" s="90">
        <f>CONS_TERAC!N44</f>
        <v>0</v>
      </c>
      <c r="F38" s="87">
        <v>0</v>
      </c>
      <c r="G38" s="90">
        <v>0</v>
      </c>
      <c r="H38" s="87">
        <v>0</v>
      </c>
      <c r="I38" s="90">
        <v>0</v>
      </c>
      <c r="J38" s="87">
        <v>0</v>
      </c>
      <c r="K38" s="90">
        <v>0</v>
      </c>
      <c r="L38" s="217">
        <f>SUM(C38:K38)</f>
        <v>12.657411704032596</v>
      </c>
      <c r="M38" s="90">
        <f>CONS_TERAC!M44</f>
        <v>2005.5664315159718</v>
      </c>
      <c r="N38" s="87">
        <f>CONS_TERAC!G44</f>
        <v>1316.2451781609998</v>
      </c>
      <c r="O38" s="90">
        <v>0</v>
      </c>
      <c r="P38" s="87">
        <f>CONS_TERAC!F44+CONS_TERAC!I44</f>
        <v>0</v>
      </c>
      <c r="Q38" s="90">
        <f>CONS_TERAC!C44</f>
        <v>292.28947843200001</v>
      </c>
      <c r="R38" s="87">
        <f>CONS_TERAC!D44</f>
        <v>658.43066599999997</v>
      </c>
      <c r="S38" s="90">
        <v>0</v>
      </c>
      <c r="T38" s="87">
        <v>0</v>
      </c>
      <c r="U38" s="90">
        <f>CONS_TERAC!K44+CONS_TERAC!Q44+CONS_TERAC!R44</f>
        <v>4578.9205380655385</v>
      </c>
      <c r="V38" s="87">
        <f>CONS_TERAC!J44+CONS_TERAC!T44+CONS_TERAC!P44</f>
        <v>1299.8197619999999</v>
      </c>
      <c r="W38" s="90">
        <v>0</v>
      </c>
      <c r="X38" s="87">
        <f>SUM(M38:W38)</f>
        <v>10151.272054174509</v>
      </c>
      <c r="Y38" s="209">
        <f>X38+L38</f>
        <v>10163.929465878542</v>
      </c>
      <c r="Z38" s="5"/>
    </row>
    <row r="39" spans="1:27">
      <c r="A39" s="230"/>
      <c r="B39" s="188" t="s">
        <v>337</v>
      </c>
      <c r="C39" s="199">
        <v>0</v>
      </c>
      <c r="D39" s="87">
        <f>CUADRO3!E25</f>
        <v>179.01801408278334</v>
      </c>
      <c r="E39" s="90">
        <v>0</v>
      </c>
      <c r="F39" s="87">
        <v>0</v>
      </c>
      <c r="G39" s="90">
        <v>0</v>
      </c>
      <c r="H39" s="87">
        <v>0</v>
      </c>
      <c r="I39" s="90">
        <v>0</v>
      </c>
      <c r="J39" s="87">
        <v>0</v>
      </c>
      <c r="K39" s="90">
        <v>0</v>
      </c>
      <c r="L39" s="217">
        <f>SUM(C39:K39)</f>
        <v>179.01801408278334</v>
      </c>
      <c r="M39" s="90">
        <v>3904.1140276019396</v>
      </c>
      <c r="N39" s="87">
        <v>0</v>
      </c>
      <c r="O39" s="90">
        <v>0</v>
      </c>
      <c r="P39" s="87">
        <v>0</v>
      </c>
      <c r="Q39" s="90">
        <v>0</v>
      </c>
      <c r="R39" s="87">
        <v>0</v>
      </c>
      <c r="S39" s="90">
        <v>0</v>
      </c>
      <c r="T39" s="87">
        <v>0</v>
      </c>
      <c r="U39" s="90">
        <v>0</v>
      </c>
      <c r="V39" s="87">
        <v>0</v>
      </c>
      <c r="W39" s="90">
        <v>0</v>
      </c>
      <c r="X39" s="87">
        <f>SUM(M39:W39)</f>
        <v>3904.1140276019396</v>
      </c>
      <c r="Y39" s="209">
        <f>X39+L39</f>
        <v>4083.1320416847229</v>
      </c>
      <c r="Z39" s="5"/>
      <c r="AA39" s="5"/>
    </row>
    <row r="40" spans="1:27" ht="13.5" thickBot="1">
      <c r="A40" s="202"/>
      <c r="B40" s="189" t="s">
        <v>338</v>
      </c>
      <c r="C40" s="210">
        <f t="shared" ref="C40:H40" si="1">C18-C36-C39-C58</f>
        <v>110419.55387337925</v>
      </c>
      <c r="D40" s="210">
        <f t="shared" si="1"/>
        <v>177.67324859999917</v>
      </c>
      <c r="E40" s="210">
        <f t="shared" si="1"/>
        <v>0.1903999999935877</v>
      </c>
      <c r="F40" s="210">
        <f t="shared" si="1"/>
        <v>20865.125579528787</v>
      </c>
      <c r="G40" s="210">
        <f t="shared" si="1"/>
        <v>0</v>
      </c>
      <c r="H40" s="210">
        <f t="shared" si="1"/>
        <v>0</v>
      </c>
      <c r="I40" s="196">
        <f t="shared" ref="I40:W40" si="2">I18-I36-I39-I58</f>
        <v>0</v>
      </c>
      <c r="J40" s="210">
        <f t="shared" si="2"/>
        <v>0</v>
      </c>
      <c r="K40" s="196">
        <f t="shared" si="2"/>
        <v>0</v>
      </c>
      <c r="L40" s="217">
        <f>SUM(C40:K40)</f>
        <v>131462.54310150802</v>
      </c>
      <c r="M40" s="196">
        <f>M18+M14-M36-M39-M58</f>
        <v>465.3463011812637</v>
      </c>
      <c r="N40" s="210">
        <f t="shared" si="2"/>
        <v>0</v>
      </c>
      <c r="O40" s="196" t="e">
        <f t="shared" si="2"/>
        <v>#REF!</v>
      </c>
      <c r="P40" s="210">
        <f t="shared" si="2"/>
        <v>0</v>
      </c>
      <c r="Q40" s="196">
        <f t="shared" si="2"/>
        <v>0</v>
      </c>
      <c r="R40" s="210">
        <f t="shared" si="2"/>
        <v>0</v>
      </c>
      <c r="S40" s="196">
        <f t="shared" si="2"/>
        <v>0</v>
      </c>
      <c r="T40" s="210">
        <f t="shared" si="2"/>
        <v>0</v>
      </c>
      <c r="U40" s="196">
        <f t="shared" si="2"/>
        <v>0</v>
      </c>
      <c r="V40" s="210">
        <f t="shared" si="2"/>
        <v>518.84752986000012</v>
      </c>
      <c r="W40" s="196">
        <f t="shared" si="2"/>
        <v>0</v>
      </c>
      <c r="X40" s="87" t="e">
        <f>SUM(M40:W40)</f>
        <v>#REF!</v>
      </c>
      <c r="Y40" s="209" t="e">
        <f>X40+L40</f>
        <v>#REF!</v>
      </c>
      <c r="Z40" s="5"/>
    </row>
    <row r="41" spans="1:27">
      <c r="A41" s="1484" t="s">
        <v>522</v>
      </c>
      <c r="B41" s="187"/>
      <c r="C41" s="197"/>
      <c r="D41" s="213"/>
      <c r="E41" s="197"/>
      <c r="F41" s="213"/>
      <c r="G41" s="197"/>
      <c r="H41" s="213"/>
      <c r="I41" s="197"/>
      <c r="J41" s="213"/>
      <c r="K41" s="197"/>
      <c r="L41" s="215"/>
      <c r="M41" s="197"/>
      <c r="N41" s="213"/>
      <c r="O41" s="197"/>
      <c r="P41" s="213"/>
      <c r="Q41" s="197"/>
      <c r="R41" s="213"/>
      <c r="S41" s="197"/>
      <c r="T41" s="213"/>
      <c r="U41" s="197"/>
      <c r="V41" s="213"/>
      <c r="W41" s="197"/>
      <c r="X41" s="213"/>
      <c r="Y41" s="214"/>
      <c r="Z41" s="5"/>
    </row>
    <row r="42" spans="1:27">
      <c r="A42" s="1485"/>
      <c r="B42" s="188" t="s">
        <v>339</v>
      </c>
      <c r="C42" s="90">
        <v>0</v>
      </c>
      <c r="D42" s="87">
        <f>CUADRO5!C25</f>
        <v>143.62281876539927</v>
      </c>
      <c r="E42" s="90">
        <v>0</v>
      </c>
      <c r="F42" s="87">
        <v>0</v>
      </c>
      <c r="G42" s="90">
        <v>0</v>
      </c>
      <c r="H42" s="87">
        <v>0</v>
      </c>
      <c r="I42" s="90">
        <v>0</v>
      </c>
      <c r="J42" s="87">
        <v>0</v>
      </c>
      <c r="K42" s="90">
        <v>0</v>
      </c>
      <c r="L42" s="217">
        <f>SUM(C42:K42)</f>
        <v>143.62281876539927</v>
      </c>
      <c r="M42" s="90">
        <f>CUADRO5!C19</f>
        <v>366.66327980292283</v>
      </c>
      <c r="N42" s="87">
        <f>CUADRO5!C14</f>
        <v>35.91767244263</v>
      </c>
      <c r="O42" s="90" t="e">
        <f>CUADRO5!C12+CUADRO5!#REF!+CUADRO5!C15</f>
        <v>#REF!</v>
      </c>
      <c r="P42" s="87">
        <f>CUADRO5!C13+CUADRO5!C16</f>
        <v>9514.9243252260021</v>
      </c>
      <c r="Q42" s="90">
        <f>CUADRO5!C11</f>
        <v>39115.354909756679</v>
      </c>
      <c r="R42" s="87">
        <f>CUADRO5!C10</f>
        <v>14990.2366117455</v>
      </c>
      <c r="S42" s="90">
        <v>0</v>
      </c>
      <c r="T42" s="87"/>
      <c r="U42" s="90">
        <v>0</v>
      </c>
      <c r="V42" s="87">
        <v>0</v>
      </c>
      <c r="W42" s="90">
        <v>0</v>
      </c>
      <c r="X42" s="87" t="e">
        <f>SUM(M42:W42)</f>
        <v>#REF!</v>
      </c>
      <c r="Y42" s="209" t="e">
        <f>X42+L42</f>
        <v>#REF!</v>
      </c>
      <c r="Z42" s="5"/>
    </row>
    <row r="43" spans="1:27">
      <c r="A43" s="1485"/>
      <c r="B43" s="188"/>
      <c r="C43" s="90"/>
      <c r="D43" s="87"/>
      <c r="E43" s="90"/>
      <c r="F43" s="87"/>
      <c r="G43" s="90"/>
      <c r="H43" s="87"/>
      <c r="I43" s="90"/>
      <c r="J43" s="87"/>
      <c r="K43" s="90"/>
      <c r="L43" s="217"/>
      <c r="M43" s="90"/>
      <c r="N43" s="87"/>
      <c r="O43" s="90"/>
      <c r="P43" s="87"/>
      <c r="Q43" s="90"/>
      <c r="R43" s="87"/>
      <c r="S43" s="90"/>
      <c r="T43" s="87"/>
      <c r="U43" s="90"/>
      <c r="V43" s="87"/>
      <c r="W43" s="90"/>
      <c r="X43" s="87"/>
      <c r="Y43" s="209"/>
    </row>
    <row r="44" spans="1:27">
      <c r="A44" s="1485"/>
      <c r="B44" s="188" t="s">
        <v>340</v>
      </c>
      <c r="C44" s="90">
        <v>0</v>
      </c>
      <c r="D44" s="87">
        <f>CUADRO5!D25</f>
        <v>664.72789555519751</v>
      </c>
      <c r="E44" s="90">
        <f>CUADRO5!D20</f>
        <v>3948.8956068155503</v>
      </c>
      <c r="F44" s="87">
        <v>0</v>
      </c>
      <c r="G44" s="90">
        <v>0</v>
      </c>
      <c r="H44" s="87">
        <v>0</v>
      </c>
      <c r="I44" s="90">
        <f>CUADRO5!D27</f>
        <v>16272.219563176368</v>
      </c>
      <c r="J44" s="87">
        <v>0</v>
      </c>
      <c r="K44" s="90">
        <v>0</v>
      </c>
      <c r="L44" s="217">
        <f>SUM(C44:K44)</f>
        <v>20885.843065547117</v>
      </c>
      <c r="M44" s="90">
        <f>CUADRO5!D19</f>
        <v>31504.953697691853</v>
      </c>
      <c r="N44" s="87">
        <f>CUADRO5!D14</f>
        <v>3475.4786927748787</v>
      </c>
      <c r="O44" s="90" t="e">
        <f>CUADRO5!D12+CUADRO5!#REF!+CUADRO5!D15</f>
        <v>#REF!</v>
      </c>
      <c r="P44" s="87">
        <f>CUADRO5!D13+CUADRO5!D16</f>
        <v>285.95282094000004</v>
      </c>
      <c r="Q44" s="90">
        <f>CUADRO5!D11</f>
        <v>22361.74692975224</v>
      </c>
      <c r="R44" s="87">
        <f>CUADRO5!D10</f>
        <v>9684.0364822079118</v>
      </c>
      <c r="S44" s="90">
        <f>CUADRO5!D21</f>
        <v>2922.1378696858251</v>
      </c>
      <c r="T44" s="87">
        <v>0</v>
      </c>
      <c r="U44" s="90">
        <f>CUADRO5!D18+CUADRO5!D23+CUADRO5!D24</f>
        <v>927.04334181446245</v>
      </c>
      <c r="V44" s="87">
        <f>CUADRO5!D17+CUADRO5!D22</f>
        <v>18.209341500000001</v>
      </c>
      <c r="W44" s="90">
        <v>0</v>
      </c>
      <c r="X44" s="87" t="e">
        <f>SUM(M44:W44)</f>
        <v>#REF!</v>
      </c>
      <c r="Y44" s="209" t="e">
        <f>X44+L44</f>
        <v>#REF!</v>
      </c>
      <c r="Z44" s="5"/>
    </row>
    <row r="45" spans="1:27">
      <c r="A45" s="1485"/>
      <c r="B45" s="188"/>
      <c r="C45" s="90"/>
      <c r="D45" s="87"/>
      <c r="E45" s="90"/>
      <c r="F45" s="87"/>
      <c r="G45" s="90"/>
      <c r="H45" s="87"/>
      <c r="I45" s="90"/>
      <c r="J45" s="87"/>
      <c r="K45" s="90"/>
      <c r="L45" s="217"/>
      <c r="M45" s="90"/>
      <c r="N45" s="87"/>
      <c r="O45" s="90"/>
      <c r="P45" s="87"/>
      <c r="Q45" s="90"/>
      <c r="R45" s="87"/>
      <c r="S45" s="90"/>
      <c r="T45" s="87"/>
      <c r="U45" s="90"/>
      <c r="V45" s="87"/>
      <c r="W45" s="90"/>
      <c r="X45" s="87"/>
      <c r="Y45" s="209"/>
    </row>
    <row r="46" spans="1:27">
      <c r="A46" s="1485"/>
      <c r="B46" s="188" t="s">
        <v>134</v>
      </c>
      <c r="C46" s="90">
        <v>0</v>
      </c>
      <c r="D46" s="87">
        <f>CUADRO8!E19</f>
        <v>3954.136344131733</v>
      </c>
      <c r="E46" s="90">
        <f>CUADRO8!E17</f>
        <v>0.146231</v>
      </c>
      <c r="F46" s="87">
        <v>0</v>
      </c>
      <c r="G46" s="90">
        <v>0</v>
      </c>
      <c r="H46" s="87">
        <v>0</v>
      </c>
      <c r="I46" s="90">
        <f>CUADRO8!E20</f>
        <v>29505.216625181194</v>
      </c>
      <c r="J46" s="87">
        <v>0</v>
      </c>
      <c r="K46" s="90">
        <v>0</v>
      </c>
      <c r="L46" s="217">
        <f>SUM(C46:K46)</f>
        <v>33459.49920031293</v>
      </c>
      <c r="M46" s="90">
        <f>CUADRO8!E16</f>
        <v>7524.0999803562127</v>
      </c>
      <c r="N46" s="87">
        <f>CUADRO8!E14</f>
        <v>8965.6698186636804</v>
      </c>
      <c r="O46" s="90">
        <f>0</f>
        <v>0</v>
      </c>
      <c r="P46" s="87">
        <f>CUADRO8!E13</f>
        <v>570.933058437</v>
      </c>
      <c r="Q46" s="90">
        <f>CUADRO8!E12</f>
        <v>52.553194857240008</v>
      </c>
      <c r="R46" s="87">
        <f>CUADRO8!E11</f>
        <v>0</v>
      </c>
      <c r="S46" s="90">
        <v>0</v>
      </c>
      <c r="T46" s="87">
        <v>0</v>
      </c>
      <c r="U46" s="90">
        <f>CUADRO8!E18</f>
        <v>117.4179346138463</v>
      </c>
      <c r="V46" s="87">
        <v>0</v>
      </c>
      <c r="W46" s="90">
        <v>0</v>
      </c>
      <c r="X46" s="87">
        <f>SUM(M46:W46)</f>
        <v>17230.673986927981</v>
      </c>
      <c r="Y46" s="209">
        <f>X46+L46</f>
        <v>50690.173187240915</v>
      </c>
      <c r="Z46" s="5"/>
    </row>
    <row r="47" spans="1:27">
      <c r="A47" s="1485"/>
      <c r="B47" s="188" t="s">
        <v>288</v>
      </c>
      <c r="C47" s="90"/>
      <c r="D47" s="87"/>
      <c r="E47" s="90"/>
      <c r="F47" s="87"/>
      <c r="G47" s="90"/>
      <c r="H47" s="87"/>
      <c r="I47" s="90"/>
      <c r="J47" s="87"/>
      <c r="K47" s="90"/>
      <c r="L47" s="217"/>
      <c r="M47" s="90"/>
      <c r="N47" s="87"/>
      <c r="O47" s="90"/>
      <c r="P47" s="87"/>
      <c r="Q47" s="90"/>
      <c r="R47" s="87"/>
      <c r="S47" s="90"/>
      <c r="T47" s="87"/>
      <c r="U47" s="90"/>
      <c r="V47" s="87"/>
      <c r="W47" s="90"/>
      <c r="X47" s="87"/>
      <c r="Y47" s="209"/>
    </row>
    <row r="48" spans="1:27">
      <c r="A48" s="1485"/>
      <c r="B48" s="188" t="s">
        <v>341</v>
      </c>
      <c r="C48" s="90">
        <v>0</v>
      </c>
      <c r="D48" s="87">
        <f>CUADRO8!C19+CUADRO8!D19</f>
        <v>1279.7078589336686</v>
      </c>
      <c r="E48" s="90">
        <f>CUADRO8!C17+CUADRO8!D17</f>
        <v>43.714856290898759</v>
      </c>
      <c r="F48" s="87">
        <v>0</v>
      </c>
      <c r="G48" s="90">
        <v>0</v>
      </c>
      <c r="H48" s="87">
        <v>0</v>
      </c>
      <c r="I48" s="90">
        <f>CUADRO8!C20+CUADRO8!D20</f>
        <v>0</v>
      </c>
      <c r="J48" s="87">
        <v>0</v>
      </c>
      <c r="K48" s="90">
        <v>0</v>
      </c>
      <c r="L48" s="217">
        <f>SUM(C48:K48)</f>
        <v>1323.4227152245674</v>
      </c>
      <c r="M48" s="90">
        <f>CUADRO8!C16+CUADRO8!D16</f>
        <v>6567.3250872920644</v>
      </c>
      <c r="N48" s="87">
        <f>CUADRO8!C14+CUADRO8!D14</f>
        <v>1256.5657194029588</v>
      </c>
      <c r="O48" s="90">
        <v>0</v>
      </c>
      <c r="P48" s="87">
        <f>CUADRO8!C13+CUADRO8!D13</f>
        <v>6.1894044000000008</v>
      </c>
      <c r="Q48" s="90">
        <f>CUADRO8!C12+CUADRO8!D12</f>
        <v>1763.1717792905997</v>
      </c>
      <c r="R48" s="87">
        <f>CUADRO8!C11+CUADRO8!D11</f>
        <v>628.90685346300006</v>
      </c>
      <c r="S48" s="90">
        <v>0</v>
      </c>
      <c r="T48" s="87">
        <v>0</v>
      </c>
      <c r="U48" s="90">
        <f>CUADRO8!C18+CUADRO8!D18</f>
        <v>137.31647796105798</v>
      </c>
      <c r="V48" s="87">
        <f>CUADRO8!D15</f>
        <v>0</v>
      </c>
      <c r="W48" s="90">
        <v>0</v>
      </c>
      <c r="X48" s="87">
        <f>SUM(M48:W48)</f>
        <v>10359.475321809681</v>
      </c>
      <c r="Y48" s="209">
        <f>X48+L48</f>
        <v>11682.898037034249</v>
      </c>
      <c r="Z48" s="5"/>
    </row>
    <row r="49" spans="1:27">
      <c r="A49" s="1485"/>
      <c r="B49" s="188" t="s">
        <v>288</v>
      </c>
      <c r="C49" s="90"/>
      <c r="D49" s="87"/>
      <c r="E49" s="90"/>
      <c r="F49" s="87"/>
      <c r="G49" s="90"/>
      <c r="H49" s="87"/>
      <c r="I49" s="90"/>
      <c r="J49" s="87"/>
      <c r="K49" s="90"/>
      <c r="L49" s="217"/>
      <c r="M49" s="90"/>
      <c r="N49" s="87"/>
      <c r="O49" s="90"/>
      <c r="P49" s="87"/>
      <c r="Q49" s="90"/>
      <c r="R49" s="87"/>
      <c r="S49" s="90"/>
      <c r="T49" s="87"/>
      <c r="U49" s="90"/>
      <c r="V49" s="87"/>
      <c r="W49" s="90"/>
      <c r="X49" s="87"/>
      <c r="Y49" s="209"/>
    </row>
    <row r="50" spans="1:27">
      <c r="A50" s="1485"/>
      <c r="B50" s="188" t="s">
        <v>342</v>
      </c>
      <c r="C50" s="90">
        <v>0</v>
      </c>
      <c r="D50" s="87">
        <v>0</v>
      </c>
      <c r="E50" s="90">
        <v>0</v>
      </c>
      <c r="F50" s="87">
        <v>0</v>
      </c>
      <c r="G50" s="90">
        <v>0</v>
      </c>
      <c r="H50" s="87">
        <v>0</v>
      </c>
      <c r="I50" s="90">
        <v>0</v>
      </c>
      <c r="J50" s="87">
        <v>0</v>
      </c>
      <c r="K50" s="90">
        <v>0</v>
      </c>
      <c r="L50" s="217">
        <f>SUM(C50:K50)</f>
        <v>0</v>
      </c>
      <c r="M50" s="90">
        <v>0</v>
      </c>
      <c r="N50" s="87">
        <v>0</v>
      </c>
      <c r="O50" s="90">
        <v>0</v>
      </c>
      <c r="P50" s="87">
        <v>0</v>
      </c>
      <c r="Q50" s="90">
        <v>0</v>
      </c>
      <c r="R50" s="87">
        <v>0</v>
      </c>
      <c r="S50" s="90">
        <v>0</v>
      </c>
      <c r="T50" s="87">
        <v>0</v>
      </c>
      <c r="U50" s="90">
        <v>0</v>
      </c>
      <c r="V50" s="87">
        <v>0</v>
      </c>
      <c r="W50" s="90">
        <v>0</v>
      </c>
      <c r="X50" s="87">
        <f>SUM(M50:W50)</f>
        <v>0</v>
      </c>
      <c r="Y50" s="209">
        <f>X50+L50</f>
        <v>0</v>
      </c>
      <c r="Z50" s="5"/>
    </row>
    <row r="51" spans="1:27">
      <c r="A51" s="1485"/>
      <c r="B51" s="188" t="s">
        <v>288</v>
      </c>
      <c r="C51" s="90"/>
      <c r="D51" s="87"/>
      <c r="E51" s="90"/>
      <c r="F51" s="87"/>
      <c r="G51" s="90"/>
      <c r="H51" s="87"/>
      <c r="I51" s="90"/>
      <c r="J51" s="87"/>
      <c r="K51" s="90"/>
      <c r="L51" s="217"/>
      <c r="M51" s="90"/>
      <c r="N51" s="87"/>
      <c r="O51" s="90"/>
      <c r="P51" s="87"/>
      <c r="Q51" s="90"/>
      <c r="R51" s="87"/>
      <c r="S51" s="90"/>
      <c r="T51" s="87"/>
      <c r="U51" s="90"/>
      <c r="V51" s="87"/>
      <c r="W51" s="90"/>
      <c r="X51" s="87"/>
      <c r="Y51" s="209"/>
    </row>
    <row r="52" spans="1:27">
      <c r="A52" s="1485"/>
      <c r="B52" s="188" t="s">
        <v>343</v>
      </c>
      <c r="C52" s="90">
        <v>0</v>
      </c>
      <c r="D52" s="87">
        <v>0</v>
      </c>
      <c r="E52" s="90">
        <v>0</v>
      </c>
      <c r="F52" s="87">
        <v>0</v>
      </c>
      <c r="G52" s="90">
        <v>0</v>
      </c>
      <c r="H52" s="87">
        <v>0</v>
      </c>
      <c r="I52" s="90">
        <v>0</v>
      </c>
      <c r="J52" s="87">
        <v>0</v>
      </c>
      <c r="K52" s="90">
        <v>0</v>
      </c>
      <c r="L52" s="217">
        <f>SUM(C52:K52)</f>
        <v>0</v>
      </c>
      <c r="M52" s="90">
        <v>0</v>
      </c>
      <c r="N52" s="87">
        <v>0</v>
      </c>
      <c r="O52" s="90">
        <v>0</v>
      </c>
      <c r="P52" s="87">
        <v>0</v>
      </c>
      <c r="Q52" s="90">
        <v>0</v>
      </c>
      <c r="R52" s="87">
        <v>0</v>
      </c>
      <c r="S52" s="90">
        <v>0</v>
      </c>
      <c r="T52" s="87">
        <v>0</v>
      </c>
      <c r="U52" s="90">
        <v>0</v>
      </c>
      <c r="V52" s="87">
        <v>0</v>
      </c>
      <c r="W52" s="90">
        <v>0</v>
      </c>
      <c r="X52" s="87">
        <f>SUM(M52:W52)</f>
        <v>0</v>
      </c>
      <c r="Y52" s="209">
        <f>X52+L52</f>
        <v>0</v>
      </c>
      <c r="Z52" s="5"/>
    </row>
    <row r="53" spans="1:27" ht="13.5" thickBot="1">
      <c r="A53" s="1485"/>
      <c r="B53" s="189" t="s">
        <v>288</v>
      </c>
      <c r="C53" s="196"/>
      <c r="D53" s="210"/>
      <c r="E53" s="196"/>
      <c r="F53" s="210"/>
      <c r="G53" s="196"/>
      <c r="H53" s="210"/>
      <c r="I53" s="196"/>
      <c r="J53" s="210"/>
      <c r="K53" s="196"/>
      <c r="L53" s="212"/>
      <c r="M53" s="196"/>
      <c r="N53" s="210"/>
      <c r="O53" s="196"/>
      <c r="P53" s="210"/>
      <c r="Q53" s="196"/>
      <c r="R53" s="210"/>
      <c r="S53" s="196"/>
      <c r="T53" s="210"/>
      <c r="U53" s="196"/>
      <c r="V53" s="210"/>
      <c r="W53" s="196"/>
      <c r="X53" s="210"/>
      <c r="Y53" s="211"/>
    </row>
    <row r="54" spans="1:27">
      <c r="A54" s="1485"/>
      <c r="B54" s="188" t="s">
        <v>344</v>
      </c>
      <c r="C54" s="203">
        <v>0</v>
      </c>
      <c r="D54" s="215">
        <f>SUM(D42:D52)+D38</f>
        <v>6054.8523290900312</v>
      </c>
      <c r="E54" s="216">
        <f>SUM(E42:E52)+E38</f>
        <v>3992.7566941064492</v>
      </c>
      <c r="F54" s="215">
        <v>0</v>
      </c>
      <c r="G54" s="216">
        <v>0</v>
      </c>
      <c r="H54" s="215">
        <v>0</v>
      </c>
      <c r="I54" s="216">
        <f>SUM(I42:I52)+I38</f>
        <v>45777.436188357562</v>
      </c>
      <c r="J54" s="215">
        <v>0</v>
      </c>
      <c r="K54" s="216">
        <f>SUM(K42:K52)</f>
        <v>0</v>
      </c>
      <c r="L54" s="215">
        <f>SUM(L42:L52)+L38</f>
        <v>55825.045211554039</v>
      </c>
      <c r="M54" s="216">
        <f>SUM(M42:M52)+M38</f>
        <v>47968.608476659028</v>
      </c>
      <c r="N54" s="215">
        <f>SUM(N42:N52)+N38</f>
        <v>15049.877081445149</v>
      </c>
      <c r="O54" s="216" t="e">
        <f>SUM(O42:O52)</f>
        <v>#REF!</v>
      </c>
      <c r="P54" s="215">
        <f>SUM(P42:P52)+P38</f>
        <v>10377.999609003002</v>
      </c>
      <c r="Q54" s="216">
        <f>SUM(Q42:Q52)+Q38</f>
        <v>63585.116292088758</v>
      </c>
      <c r="R54" s="215">
        <f>SUM(R42:R52)+R38</f>
        <v>25961.610613416411</v>
      </c>
      <c r="S54" s="216">
        <f>SUM(S42:S52)+S38</f>
        <v>2922.1378696858251</v>
      </c>
      <c r="T54" s="215">
        <f>SUM(T42:T52)</f>
        <v>0</v>
      </c>
      <c r="U54" s="216">
        <f>SUM(U42:U52)+U38</f>
        <v>5760.6982924549047</v>
      </c>
      <c r="V54" s="215">
        <f>SUM(V42:V52)+V38</f>
        <v>1318.0291034999998</v>
      </c>
      <c r="W54" s="216">
        <v>0</v>
      </c>
      <c r="X54" s="215" t="e">
        <f>SUM(X42:X52)+X38</f>
        <v>#REF!</v>
      </c>
      <c r="Y54" s="400" t="e">
        <f>X54+L54</f>
        <v>#REF!</v>
      </c>
      <c r="Z54" s="5"/>
    </row>
    <row r="55" spans="1:27">
      <c r="A55" s="1485"/>
      <c r="B55" s="188"/>
      <c r="C55" s="204"/>
      <c r="D55" s="217"/>
      <c r="E55" s="218"/>
      <c r="F55" s="217"/>
      <c r="G55" s="218"/>
      <c r="H55" s="217"/>
      <c r="I55" s="218"/>
      <c r="J55" s="217"/>
      <c r="K55" s="218"/>
      <c r="L55" s="217"/>
      <c r="M55" s="218"/>
      <c r="N55" s="217"/>
      <c r="O55" s="218"/>
      <c r="P55" s="217"/>
      <c r="Q55" s="218"/>
      <c r="R55" s="217"/>
      <c r="S55" s="218"/>
      <c r="T55" s="217"/>
      <c r="U55" s="218"/>
      <c r="V55" s="217"/>
      <c r="W55" s="218"/>
      <c r="X55" s="217"/>
      <c r="Y55" s="209"/>
    </row>
    <row r="56" spans="1:27">
      <c r="A56" s="1485"/>
      <c r="B56" s="188" t="s">
        <v>345</v>
      </c>
      <c r="C56" s="204">
        <v>0</v>
      </c>
      <c r="D56" s="217">
        <v>0</v>
      </c>
      <c r="E56" s="218">
        <v>0</v>
      </c>
      <c r="F56" s="217">
        <v>0</v>
      </c>
      <c r="G56" s="218">
        <v>0</v>
      </c>
      <c r="H56" s="217">
        <v>0</v>
      </c>
      <c r="I56" s="218">
        <v>0</v>
      </c>
      <c r="J56" s="217">
        <v>0</v>
      </c>
      <c r="K56" s="218">
        <v>0</v>
      </c>
      <c r="L56" s="217">
        <v>0</v>
      </c>
      <c r="M56" s="218">
        <v>0</v>
      </c>
      <c r="N56" s="217">
        <v>0</v>
      </c>
      <c r="O56" s="218">
        <v>0</v>
      </c>
      <c r="P56" s="217">
        <v>0</v>
      </c>
      <c r="Q56" s="218">
        <v>0</v>
      </c>
      <c r="R56" s="217">
        <v>0</v>
      </c>
      <c r="S56" s="218">
        <v>0</v>
      </c>
      <c r="T56" s="217">
        <v>0</v>
      </c>
      <c r="U56" s="218">
        <v>0</v>
      </c>
      <c r="V56" s="217">
        <v>0</v>
      </c>
      <c r="W56" s="218">
        <f>W18</f>
        <v>1562.1975598832</v>
      </c>
      <c r="X56" s="217">
        <f>SUM(M56:W56)</f>
        <v>1562.1975598832</v>
      </c>
      <c r="Y56" s="209">
        <f>X56+L56</f>
        <v>1562.1975598832</v>
      </c>
      <c r="Z56" s="5"/>
    </row>
    <row r="57" spans="1:27" ht="13.5" thickBot="1">
      <c r="A57" s="1485"/>
      <c r="B57" s="189"/>
      <c r="C57" s="205"/>
      <c r="D57" s="212"/>
      <c r="E57" s="201"/>
      <c r="F57" s="212"/>
      <c r="G57" s="201"/>
      <c r="H57" s="212"/>
      <c r="I57" s="201"/>
      <c r="J57" s="212"/>
      <c r="K57" s="201"/>
      <c r="L57" s="212"/>
      <c r="M57" s="201"/>
      <c r="N57" s="212"/>
      <c r="O57" s="201"/>
      <c r="P57" s="212"/>
      <c r="Q57" s="201"/>
      <c r="R57" s="212"/>
      <c r="S57" s="201"/>
      <c r="T57" s="212"/>
      <c r="U57" s="201"/>
      <c r="V57" s="212"/>
      <c r="W57" s="201"/>
      <c r="X57" s="212"/>
      <c r="Y57" s="211"/>
      <c r="Z57" s="5"/>
    </row>
    <row r="58" spans="1:27" ht="13.5" thickBot="1">
      <c r="A58" s="1486"/>
      <c r="B58" s="233" t="s">
        <v>346</v>
      </c>
      <c r="C58" s="220">
        <v>0</v>
      </c>
      <c r="D58" s="219">
        <f t="shared" ref="D58:K58" si="3">D54+D56</f>
        <v>6054.8523290900312</v>
      </c>
      <c r="E58" s="220">
        <f t="shared" si="3"/>
        <v>3992.7566941064492</v>
      </c>
      <c r="F58" s="220">
        <f t="shared" si="3"/>
        <v>0</v>
      </c>
      <c r="G58" s="220">
        <f t="shared" si="3"/>
        <v>0</v>
      </c>
      <c r="H58" s="220">
        <f t="shared" si="3"/>
        <v>0</v>
      </c>
      <c r="I58" s="220">
        <f t="shared" si="3"/>
        <v>45777.436188357562</v>
      </c>
      <c r="J58" s="220">
        <f t="shared" si="3"/>
        <v>0</v>
      </c>
      <c r="K58" s="220">
        <f t="shared" si="3"/>
        <v>0</v>
      </c>
      <c r="L58" s="219">
        <f t="shared" ref="L58:W58" si="4">L54+L56</f>
        <v>55825.045211554039</v>
      </c>
      <c r="M58" s="220">
        <f t="shared" si="4"/>
        <v>47968.608476659028</v>
      </c>
      <c r="N58" s="219">
        <f t="shared" si="4"/>
        <v>15049.877081445149</v>
      </c>
      <c r="O58" s="220" t="e">
        <f t="shared" si="4"/>
        <v>#REF!</v>
      </c>
      <c r="P58" s="229">
        <f t="shared" si="4"/>
        <v>10377.999609003002</v>
      </c>
      <c r="Q58" s="220">
        <f t="shared" si="4"/>
        <v>63585.116292088758</v>
      </c>
      <c r="R58" s="229">
        <f t="shared" si="4"/>
        <v>25961.610613416411</v>
      </c>
      <c r="S58" s="219">
        <f t="shared" si="4"/>
        <v>2922.1378696858251</v>
      </c>
      <c r="T58" s="220">
        <f t="shared" si="4"/>
        <v>0</v>
      </c>
      <c r="U58" s="219">
        <f t="shared" si="4"/>
        <v>5760.6982924549047</v>
      </c>
      <c r="V58" s="220">
        <f t="shared" si="4"/>
        <v>1318.0291034999998</v>
      </c>
      <c r="W58" s="219">
        <f t="shared" si="4"/>
        <v>1562.1975598832</v>
      </c>
      <c r="X58" s="220" t="e">
        <f>X54+X56</f>
        <v>#REF!</v>
      </c>
      <c r="Y58" s="221" t="e">
        <f>X58+L58</f>
        <v>#REF!</v>
      </c>
      <c r="Z58" s="5"/>
    </row>
    <row r="59" spans="1:27" ht="13.5" thickBot="1">
      <c r="A59" s="232"/>
      <c r="B59" s="234" t="s">
        <v>530</v>
      </c>
      <c r="C59" s="220">
        <f>C58+C36</f>
        <v>0</v>
      </c>
      <c r="D59" s="219">
        <f t="shared" ref="D59:I59" si="5">D58+D36</f>
        <v>24437.9997902383</v>
      </c>
      <c r="E59" s="220">
        <f t="shared" si="5"/>
        <v>43695.012246857092</v>
      </c>
      <c r="F59" s="219">
        <f t="shared" si="5"/>
        <v>0</v>
      </c>
      <c r="G59" s="220">
        <f t="shared" si="5"/>
        <v>0</v>
      </c>
      <c r="H59" s="219">
        <f t="shared" si="5"/>
        <v>0</v>
      </c>
      <c r="I59" s="220">
        <f t="shared" si="5"/>
        <v>51169.578324994305</v>
      </c>
      <c r="J59" s="219">
        <f t="shared" ref="J59:Y59" si="6">J58+J36</f>
        <v>0</v>
      </c>
      <c r="K59" s="220">
        <f t="shared" si="6"/>
        <v>0</v>
      </c>
      <c r="L59" s="219">
        <f t="shared" si="6"/>
        <v>119302.59036208969</v>
      </c>
      <c r="M59" s="220">
        <f t="shared" si="6"/>
        <v>47968.608476659028</v>
      </c>
      <c r="N59" s="219">
        <f t="shared" si="6"/>
        <v>16044.42162636268</v>
      </c>
      <c r="O59" s="220" t="e">
        <f t="shared" si="6"/>
        <v>#REF!</v>
      </c>
      <c r="P59" s="229">
        <f t="shared" si="6"/>
        <v>10377.999609003002</v>
      </c>
      <c r="Q59" s="220">
        <f t="shared" si="6"/>
        <v>89787.370098684958</v>
      </c>
      <c r="R59" s="229">
        <f t="shared" si="6"/>
        <v>29056.231554335998</v>
      </c>
      <c r="S59" s="219">
        <f t="shared" si="6"/>
        <v>8995.5495196858265</v>
      </c>
      <c r="T59" s="220">
        <f t="shared" si="6"/>
        <v>0</v>
      </c>
      <c r="U59" s="219">
        <f t="shared" si="6"/>
        <v>5932.1617730376602</v>
      </c>
      <c r="V59" s="220">
        <f t="shared" si="6"/>
        <v>1318.0291034999998</v>
      </c>
      <c r="W59" s="219">
        <f t="shared" si="6"/>
        <v>1562.1975598832</v>
      </c>
      <c r="X59" s="220" t="e">
        <f t="shared" si="6"/>
        <v>#REF!</v>
      </c>
      <c r="Y59" s="401" t="e">
        <f t="shared" si="6"/>
        <v>#REF!</v>
      </c>
      <c r="Z59" s="5"/>
    </row>
    <row r="60" spans="1:27">
      <c r="X60" s="110"/>
      <c r="AA60" s="5"/>
    </row>
    <row r="61" spans="1:27">
      <c r="E61" s="110"/>
      <c r="L61" s="110"/>
      <c r="Y61" s="110"/>
    </row>
    <row r="62" spans="1:27">
      <c r="C62" s="3" t="s">
        <v>531</v>
      </c>
      <c r="M62" s="110"/>
      <c r="Y62" s="110"/>
    </row>
    <row r="63" spans="1:27">
      <c r="C63" s="3" t="s">
        <v>532</v>
      </c>
    </row>
    <row r="64" spans="1:27">
      <c r="C64" s="3" t="s">
        <v>533</v>
      </c>
    </row>
    <row r="65" spans="3:3">
      <c r="C65" s="3" t="s">
        <v>534</v>
      </c>
    </row>
    <row r="66" spans="3:3">
      <c r="C66" s="3" t="s">
        <v>535</v>
      </c>
    </row>
    <row r="67" spans="3:3">
      <c r="C67" s="231" t="s">
        <v>536</v>
      </c>
    </row>
    <row r="68" spans="3:3">
      <c r="C68" s="231" t="s">
        <v>701</v>
      </c>
    </row>
    <row r="69" spans="3:3">
      <c r="C69" s="231" t="s">
        <v>544</v>
      </c>
    </row>
  </sheetData>
  <mergeCells count="5">
    <mergeCell ref="M4:Y4"/>
    <mergeCell ref="A8:A17"/>
    <mergeCell ref="A19:A35"/>
    <mergeCell ref="A41:A58"/>
    <mergeCell ref="C4:L4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baseColWidth="10" defaultRowHeight="12.75"/>
  <cols>
    <col min="1" max="1" width="34.28515625" style="296" customWidth="1"/>
    <col min="2" max="14" width="11.42578125" style="296"/>
    <col min="15" max="15" width="21.28515625" style="296" customWidth="1"/>
    <col min="16" max="16384" width="11.42578125" style="296"/>
  </cols>
  <sheetData>
    <row r="1" spans="1:24">
      <c r="A1" s="60"/>
      <c r="B1" s="60"/>
      <c r="C1" s="288" t="s">
        <v>649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59" t="s">
        <v>733</v>
      </c>
      <c r="B2" s="60"/>
      <c r="C2" s="60"/>
      <c r="D2" s="60"/>
      <c r="E2" s="59" t="s">
        <v>516</v>
      </c>
      <c r="F2" s="60"/>
      <c r="G2" s="60"/>
      <c r="H2" s="60"/>
      <c r="I2" s="60"/>
      <c r="J2" s="60"/>
      <c r="K2" s="60"/>
      <c r="L2" s="60"/>
      <c r="M2" s="60"/>
      <c r="N2" s="60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59" t="s">
        <v>292</v>
      </c>
      <c r="B3" s="60">
        <v>1</v>
      </c>
      <c r="C3" s="60">
        <v>2</v>
      </c>
      <c r="D3" s="60">
        <v>3</v>
      </c>
      <c r="E3" s="60">
        <v>4</v>
      </c>
      <c r="F3" s="60">
        <v>5</v>
      </c>
      <c r="G3" s="60">
        <v>6</v>
      </c>
      <c r="H3" s="60">
        <v>7</v>
      </c>
      <c r="I3" s="60">
        <v>8</v>
      </c>
      <c r="J3" s="60">
        <v>9</v>
      </c>
      <c r="K3" s="60">
        <v>10</v>
      </c>
      <c r="L3" s="60">
        <v>11</v>
      </c>
      <c r="M3" s="60">
        <v>12</v>
      </c>
      <c r="N3" s="60">
        <v>13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158"/>
      <c r="B4" s="159" t="s">
        <v>471</v>
      </c>
      <c r="C4" s="160" t="s">
        <v>471</v>
      </c>
      <c r="D4" s="161" t="s">
        <v>472</v>
      </c>
      <c r="E4" s="160" t="s">
        <v>473</v>
      </c>
      <c r="F4" s="161" t="s">
        <v>214</v>
      </c>
      <c r="G4" s="160" t="s">
        <v>474</v>
      </c>
      <c r="H4" s="161" t="s">
        <v>475</v>
      </c>
      <c r="I4" s="160" t="s">
        <v>476</v>
      </c>
      <c r="J4" s="161" t="s">
        <v>477</v>
      </c>
      <c r="K4" s="160" t="s">
        <v>503</v>
      </c>
      <c r="L4" s="161" t="s">
        <v>478</v>
      </c>
      <c r="M4" s="160" t="s">
        <v>479</v>
      </c>
      <c r="N4" s="161" t="s">
        <v>104</v>
      </c>
      <c r="O4" s="160" t="s">
        <v>507</v>
      </c>
      <c r="P4" s="3"/>
      <c r="Q4" s="3"/>
      <c r="R4" s="3"/>
      <c r="S4" s="3"/>
      <c r="T4" s="3"/>
      <c r="U4" s="3"/>
      <c r="V4" s="3"/>
      <c r="W4" s="3"/>
      <c r="X4" s="3"/>
    </row>
    <row r="5" spans="1:24">
      <c r="A5" s="162"/>
      <c r="B5" s="163"/>
      <c r="C5" s="164" t="s">
        <v>480</v>
      </c>
      <c r="D5" s="165" t="s">
        <v>481</v>
      </c>
      <c r="E5" s="164" t="s">
        <v>482</v>
      </c>
      <c r="F5" s="165" t="s">
        <v>483</v>
      </c>
      <c r="G5" s="164" t="s">
        <v>214</v>
      </c>
      <c r="H5" s="165"/>
      <c r="I5" s="164"/>
      <c r="J5" s="165" t="s">
        <v>484</v>
      </c>
      <c r="K5" s="164"/>
      <c r="L5" s="165"/>
      <c r="M5" s="164"/>
      <c r="N5" s="165"/>
      <c r="O5" s="164" t="s">
        <v>515</v>
      </c>
      <c r="P5" s="3"/>
      <c r="Q5" s="3"/>
      <c r="R5" s="3"/>
      <c r="S5" s="3"/>
      <c r="T5" s="3"/>
      <c r="U5" s="3"/>
      <c r="V5" s="3"/>
      <c r="W5" s="3"/>
      <c r="X5" s="3"/>
    </row>
    <row r="6" spans="1:24">
      <c r="A6" s="166" t="s">
        <v>485</v>
      </c>
      <c r="B6" s="167">
        <f>CUADRO3!C11</f>
        <v>2764.9146750000004</v>
      </c>
      <c r="C6" s="168">
        <f>CUADRO4!C22+CUADRO4!C23</f>
        <v>7087.9353370000008</v>
      </c>
      <c r="D6" s="169">
        <f>CUADRO3!C9</f>
        <v>1397.41618979028</v>
      </c>
      <c r="E6" s="168">
        <f>CUADRO4!C10</f>
        <v>106267.52348006275</v>
      </c>
      <c r="F6" s="169">
        <f>CUADRO3!C10</f>
        <v>19694.880862399998</v>
      </c>
      <c r="G6" s="168">
        <f>CUADRO4!C24</f>
        <v>1375.1012838614033</v>
      </c>
      <c r="H6" s="169"/>
      <c r="I6" s="170"/>
      <c r="J6" s="171"/>
      <c r="K6" s="168">
        <f>CUADRO4!C25+CUADRO4!C27</f>
        <v>7138.1639581199997</v>
      </c>
      <c r="L6" s="169">
        <f>CUADRO4!C20</f>
        <v>51345.464657242235</v>
      </c>
      <c r="M6" s="168">
        <f>CUADRO4!C28</f>
        <v>51169.578324994305</v>
      </c>
      <c r="N6" s="169">
        <f>SUM(B6:M6)</f>
        <v>248240.97876847099</v>
      </c>
      <c r="O6" s="168">
        <f>N6-D6</f>
        <v>246843.56257868072</v>
      </c>
      <c r="P6" s="3"/>
      <c r="Q6" s="3"/>
      <c r="R6" s="3"/>
      <c r="S6" s="3"/>
      <c r="T6" s="3"/>
      <c r="U6" s="3"/>
      <c r="V6" s="3"/>
      <c r="W6" s="3"/>
      <c r="X6" s="3"/>
    </row>
    <row r="7" spans="1:24">
      <c r="A7" s="166" t="s">
        <v>486</v>
      </c>
      <c r="B7" s="167">
        <f>CUADRO3!D11</f>
        <v>43399.63552044372</v>
      </c>
      <c r="C7" s="168">
        <f>CUADRO4!D22</f>
        <v>3242.4683900993996</v>
      </c>
      <c r="D7" s="169">
        <f>CUADRO3!D9</f>
        <v>108806.2131723588</v>
      </c>
      <c r="E7" s="168">
        <f>CUADRO4!D10</f>
        <v>80482.070187407327</v>
      </c>
      <c r="F7" s="169">
        <f>CUADRO3!D10</f>
        <v>7287.3787551317955</v>
      </c>
      <c r="G7" s="168">
        <f>CUADRO4!D24</f>
        <v>0</v>
      </c>
      <c r="H7" s="171"/>
      <c r="I7" s="170"/>
      <c r="J7" s="171"/>
      <c r="K7" s="168">
        <f>CUADRO4!D25+CUADRO4!D27</f>
        <v>0</v>
      </c>
      <c r="L7" s="169">
        <f>CUADRO4!D20</f>
        <v>992.60414819999994</v>
      </c>
      <c r="M7" s="168">
        <f>CUADRO4!D28</f>
        <v>0</v>
      </c>
      <c r="N7" s="169">
        <f t="shared" ref="N7:N26" si="0">SUM(B7:M7)</f>
        <v>244210.37017364104</v>
      </c>
      <c r="O7" s="168">
        <f t="shared" ref="O7:O25" si="1">N7-D7</f>
        <v>135404.15700128226</v>
      </c>
      <c r="P7" s="3"/>
      <c r="Q7" s="3"/>
      <c r="R7" s="3"/>
      <c r="S7" s="3"/>
      <c r="T7" s="3"/>
      <c r="U7" s="3"/>
      <c r="V7" s="3"/>
      <c r="W7" s="3"/>
      <c r="X7" s="3"/>
    </row>
    <row r="8" spans="1:24">
      <c r="A8" s="166" t="s">
        <v>487</v>
      </c>
      <c r="B8" s="167">
        <f>CUADRO3!E11</f>
        <v>0</v>
      </c>
      <c r="C8" s="168">
        <f>CUADRO4!E22</f>
        <v>87.12</v>
      </c>
      <c r="D8" s="169">
        <f>CUADRO3!E9</f>
        <v>0</v>
      </c>
      <c r="E8" s="168">
        <f>CUADRO4!E10</f>
        <v>13533.104011228004</v>
      </c>
      <c r="F8" s="169">
        <f>CUADRO3!E10</f>
        <v>0</v>
      </c>
      <c r="G8" s="168">
        <f>CUADRO4!E24</f>
        <v>0</v>
      </c>
      <c r="H8" s="171"/>
      <c r="I8" s="170"/>
      <c r="J8" s="171"/>
      <c r="K8" s="168">
        <f>CUADRO4!E25+CUADRO4!E27</f>
        <v>5119.5456805600006</v>
      </c>
      <c r="L8" s="169">
        <f>CUADRO4!E20</f>
        <v>0</v>
      </c>
      <c r="M8" s="168">
        <f>CUADRO4!E28</f>
        <v>0</v>
      </c>
      <c r="N8" s="169">
        <f t="shared" si="0"/>
        <v>18739.769691788006</v>
      </c>
      <c r="O8" s="168">
        <f t="shared" si="1"/>
        <v>18739.769691788006</v>
      </c>
      <c r="P8" s="3"/>
      <c r="Q8" s="3"/>
      <c r="R8" s="3"/>
      <c r="S8" s="3"/>
      <c r="T8" s="3"/>
      <c r="U8" s="3"/>
      <c r="V8" s="3"/>
      <c r="W8" s="3"/>
      <c r="X8" s="3"/>
    </row>
    <row r="9" spans="1:24">
      <c r="A9" s="166" t="s">
        <v>488</v>
      </c>
      <c r="B9" s="172">
        <v>0</v>
      </c>
      <c r="C9" s="170"/>
      <c r="D9" s="171"/>
      <c r="E9" s="168">
        <v>0</v>
      </c>
      <c r="F9" s="88"/>
      <c r="G9" s="170">
        <v>0</v>
      </c>
      <c r="H9" s="171"/>
      <c r="I9" s="170"/>
      <c r="J9" s="171"/>
      <c r="K9" s="170">
        <v>0</v>
      </c>
      <c r="L9" s="171">
        <v>0</v>
      </c>
      <c r="M9" s="170">
        <f>0</f>
        <v>0</v>
      </c>
      <c r="N9" s="171">
        <f t="shared" si="0"/>
        <v>0</v>
      </c>
      <c r="O9" s="168">
        <f t="shared" si="1"/>
        <v>0</v>
      </c>
      <c r="P9" s="3"/>
      <c r="Q9" s="3"/>
      <c r="R9" s="3"/>
      <c r="S9" s="3"/>
      <c r="T9" s="3"/>
      <c r="U9" s="3"/>
      <c r="V9" s="3"/>
      <c r="W9" s="3"/>
      <c r="X9" s="3"/>
    </row>
    <row r="10" spans="1:24">
      <c r="A10" s="166" t="s">
        <v>489</v>
      </c>
      <c r="B10" s="167">
        <f>CUADRO3!F11</f>
        <v>2469.3475485866356</v>
      </c>
      <c r="C10" s="168">
        <f>CUADRO4!F22+CUADRO4!F23</f>
        <v>1071.7012074135735</v>
      </c>
      <c r="D10" s="169">
        <f>CUADRO3!F9</f>
        <v>-215.92451123017236</v>
      </c>
      <c r="E10" s="168">
        <f>CUADRO4!F10</f>
        <v>-2558.1021228239047</v>
      </c>
      <c r="F10" s="169">
        <f>CUADRO3!F10</f>
        <v>2187.5685646107104</v>
      </c>
      <c r="G10" s="168">
        <f>CUADRO4!F24</f>
        <v>28.497871286499048</v>
      </c>
      <c r="H10" s="171"/>
      <c r="I10" s="170"/>
      <c r="J10" s="171"/>
      <c r="K10" s="168">
        <f>CUADRO4!F25+CUADRO4!F27</f>
        <v>501.7334516999997</v>
      </c>
      <c r="L10" s="169">
        <f>CUADRO4!F20</f>
        <v>4369.4603287832033</v>
      </c>
      <c r="M10" s="168">
        <f>CUADRO4!F28</f>
        <v>0</v>
      </c>
      <c r="N10" s="169">
        <f t="shared" si="0"/>
        <v>7854.282338326545</v>
      </c>
      <c r="O10" s="168">
        <f t="shared" si="1"/>
        <v>8070.2068495567173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173" t="s">
        <v>490</v>
      </c>
      <c r="B11" s="174">
        <f>B6+B7-B8-B9-B10</f>
        <v>43695.202646857084</v>
      </c>
      <c r="C11" s="175">
        <f t="shared" ref="C11:O11" si="2">C6+C7-C8-C9-C10</f>
        <v>9171.5825196858277</v>
      </c>
      <c r="D11" s="176">
        <f t="shared" si="2"/>
        <v>110419.55387337925</v>
      </c>
      <c r="E11" s="175">
        <f t="shared" si="2"/>
        <v>175774.59177906599</v>
      </c>
      <c r="F11" s="176">
        <f t="shared" si="2"/>
        <v>24794.69105292108</v>
      </c>
      <c r="G11" s="175">
        <f t="shared" si="2"/>
        <v>1346.6034125749043</v>
      </c>
      <c r="H11" s="176"/>
      <c r="I11" s="175"/>
      <c r="J11" s="176"/>
      <c r="K11" s="175">
        <f t="shared" si="2"/>
        <v>1516.8848258599994</v>
      </c>
      <c r="L11" s="176">
        <f t="shared" si="2"/>
        <v>47968.608476659036</v>
      </c>
      <c r="M11" s="175">
        <f t="shared" si="2"/>
        <v>51169.578324994305</v>
      </c>
      <c r="N11" s="176">
        <f t="shared" si="2"/>
        <v>465857.29691199749</v>
      </c>
      <c r="O11" s="175">
        <f t="shared" si="2"/>
        <v>355437.7430386183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166" t="s">
        <v>491</v>
      </c>
      <c r="B12" s="167">
        <f>CONS_TERAC!N50</f>
        <v>34794.341006205344</v>
      </c>
      <c r="C12" s="168">
        <f>CONS_TERAC!O50</f>
        <v>4823.4237830000011</v>
      </c>
      <c r="D12" s="171">
        <v>0</v>
      </c>
      <c r="E12" s="168">
        <f>CONS_TERAC!L50</f>
        <v>27766.444650349997</v>
      </c>
      <c r="F12" s="169">
        <f>CONS_TERAC!S50</f>
        <v>4709.347891775973</v>
      </c>
      <c r="G12" s="168">
        <f>CONS_TERAC!Q37</f>
        <v>0</v>
      </c>
      <c r="H12" s="169"/>
      <c r="I12" s="170"/>
      <c r="J12" s="171"/>
      <c r="K12" s="168">
        <f>CONS_TERAC!R37</f>
        <v>0</v>
      </c>
      <c r="L12" s="169">
        <v>0</v>
      </c>
      <c r="M12" s="168">
        <f>CONS_TERAC!V50</f>
        <v>215.35068720946569</v>
      </c>
      <c r="N12" s="169">
        <f t="shared" si="0"/>
        <v>72308.90801854078</v>
      </c>
      <c r="O12" s="168">
        <f t="shared" si="1"/>
        <v>72308.90801854078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166" t="s">
        <v>492</v>
      </c>
      <c r="B13" s="167">
        <f>CONS_TERAC!N49</f>
        <v>47.907346545296249</v>
      </c>
      <c r="C13" s="168">
        <f>CONS_TERAC!O49</f>
        <v>0</v>
      </c>
      <c r="D13" s="171">
        <v>0</v>
      </c>
      <c r="E13" s="168">
        <f>CONS_TERAC!L49</f>
        <v>1740.353544438542</v>
      </c>
      <c r="F13" s="169">
        <f>CONS_TERAC!S49</f>
        <v>564.31591257419996</v>
      </c>
      <c r="G13" s="168">
        <f>CONS_TERAC!Q36</f>
        <v>0</v>
      </c>
      <c r="H13" s="171"/>
      <c r="I13" s="170"/>
      <c r="J13" s="171"/>
      <c r="K13" s="168">
        <f>CONS_TERAC!R36</f>
        <v>0</v>
      </c>
      <c r="L13" s="169">
        <v>0</v>
      </c>
      <c r="M13" s="168">
        <f>CONS_TERAC!V49</f>
        <v>5176.7914494272754</v>
      </c>
      <c r="N13" s="169">
        <f t="shared" si="0"/>
        <v>7529.368252985314</v>
      </c>
      <c r="O13" s="168">
        <f t="shared" si="1"/>
        <v>7529.368252985314</v>
      </c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166" t="s">
        <v>493</v>
      </c>
      <c r="B14" s="167">
        <f>CONS_TERAC!N38+CONS_TERAC!N42</f>
        <v>0</v>
      </c>
      <c r="C14" s="168">
        <f>CONS_TERAC!O51+CONS_TERAC!O55</f>
        <v>1249.9878669999998</v>
      </c>
      <c r="D14" s="171">
        <v>0</v>
      </c>
      <c r="E14" s="168">
        <f>CONS_TERAC!L51+CONS_TERAC!L55</f>
        <v>956.11919322753226</v>
      </c>
      <c r="F14" s="169">
        <v>0</v>
      </c>
      <c r="G14" s="168">
        <f>CONS_TERAC!Q38+CONS_TERAC!Q42</f>
        <v>0</v>
      </c>
      <c r="H14" s="171"/>
      <c r="I14" s="170"/>
      <c r="J14" s="171"/>
      <c r="K14" s="168">
        <v>0</v>
      </c>
      <c r="L14" s="169">
        <v>0</v>
      </c>
      <c r="M14" s="168">
        <f>CONS_TERAC!V51+CONS_TERAC!V55</f>
        <v>0</v>
      </c>
      <c r="N14" s="169">
        <f t="shared" si="0"/>
        <v>2206.1070602275322</v>
      </c>
      <c r="O14" s="168">
        <f t="shared" si="1"/>
        <v>2206.1070602275322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166" t="s">
        <v>494</v>
      </c>
      <c r="B15" s="167">
        <f>CONS_TERAC!N40</f>
        <v>0</v>
      </c>
      <c r="C15" s="168">
        <f>CONS_TERAC!O53</f>
        <v>0</v>
      </c>
      <c r="D15" s="169">
        <f>D11</f>
        <v>110419.55387337925</v>
      </c>
      <c r="E15" s="168">
        <f>CONS_TERAC!L53</f>
        <v>0</v>
      </c>
      <c r="F15" s="169">
        <f>CONS_TERAC!S53</f>
        <v>3649.2767417980963</v>
      </c>
      <c r="G15" s="168">
        <f>CONS_TERAC!Q40</f>
        <v>0</v>
      </c>
      <c r="H15" s="171"/>
      <c r="I15" s="170"/>
      <c r="J15" s="171"/>
      <c r="K15" s="168">
        <v>0</v>
      </c>
      <c r="L15" s="169">
        <v>0</v>
      </c>
      <c r="M15" s="168">
        <f>CONS_TERAC!V53</f>
        <v>0</v>
      </c>
      <c r="N15" s="169">
        <f t="shared" si="0"/>
        <v>114068.83061517734</v>
      </c>
      <c r="O15" s="168">
        <f t="shared" si="1"/>
        <v>3649.276741798094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166" t="s">
        <v>495</v>
      </c>
      <c r="B16" s="167">
        <v>0</v>
      </c>
      <c r="C16" s="168">
        <f>CONS_TERAC!O54+CONS_TERAC!O52</f>
        <v>0</v>
      </c>
      <c r="D16" s="171">
        <v>0</v>
      </c>
      <c r="E16" s="168">
        <f>CONS_TERAC!L54+CONS_TERAC!L52</f>
        <v>0</v>
      </c>
      <c r="F16" s="169">
        <f>CONS_TERAC!S41+CONS_TERAC!S52</f>
        <v>0</v>
      </c>
      <c r="G16" s="168">
        <v>0</v>
      </c>
      <c r="H16" s="171"/>
      <c r="I16" s="170"/>
      <c r="J16" s="171"/>
      <c r="K16" s="168">
        <v>0</v>
      </c>
      <c r="L16" s="169">
        <v>0</v>
      </c>
      <c r="M16" s="168">
        <f>CONS_TERAC!V54+CONS_TERAC!V52</f>
        <v>0</v>
      </c>
      <c r="N16" s="169">
        <f t="shared" si="0"/>
        <v>0</v>
      </c>
      <c r="O16" s="168">
        <f t="shared" si="1"/>
        <v>0</v>
      </c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166" t="s">
        <v>496</v>
      </c>
      <c r="B17" s="167">
        <v>0</v>
      </c>
      <c r="C17" s="168">
        <v>0</v>
      </c>
      <c r="D17" s="169">
        <v>0</v>
      </c>
      <c r="E17" s="168">
        <v>0</v>
      </c>
      <c r="F17" s="169">
        <v>0</v>
      </c>
      <c r="G17" s="168">
        <v>0</v>
      </c>
      <c r="H17" s="171"/>
      <c r="I17" s="170"/>
      <c r="J17" s="171"/>
      <c r="K17" s="168">
        <v>0</v>
      </c>
      <c r="L17" s="169">
        <v>0</v>
      </c>
      <c r="M17" s="168">
        <v>0</v>
      </c>
      <c r="N17" s="169">
        <f t="shared" si="0"/>
        <v>0</v>
      </c>
      <c r="O17" s="168">
        <f t="shared" si="1"/>
        <v>0</v>
      </c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166" t="s">
        <v>510</v>
      </c>
      <c r="B18" s="167">
        <v>0</v>
      </c>
      <c r="C18" s="168">
        <v>0</v>
      </c>
      <c r="D18" s="169">
        <v>0</v>
      </c>
      <c r="E18" s="168">
        <v>0</v>
      </c>
      <c r="F18" s="169">
        <v>0</v>
      </c>
      <c r="G18" s="168">
        <v>0</v>
      </c>
      <c r="H18" s="171"/>
      <c r="I18" s="170"/>
      <c r="J18" s="171"/>
      <c r="K18" s="168">
        <v>0</v>
      </c>
      <c r="L18" s="169">
        <v>0</v>
      </c>
      <c r="M18" s="168">
        <v>0</v>
      </c>
      <c r="N18" s="169">
        <f t="shared" si="0"/>
        <v>0</v>
      </c>
      <c r="O18" s="168">
        <f t="shared" si="1"/>
        <v>0</v>
      </c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173" t="s">
        <v>504</v>
      </c>
      <c r="B19" s="174">
        <f>SUM(B12:B18)</f>
        <v>34842.248352750641</v>
      </c>
      <c r="C19" s="175">
        <f t="shared" ref="C19:O19" si="3">SUM(C12:C18)</f>
        <v>6073.4116500000009</v>
      </c>
      <c r="D19" s="176">
        <f t="shared" si="3"/>
        <v>110419.55387337925</v>
      </c>
      <c r="E19" s="175">
        <f t="shared" si="3"/>
        <v>30462.917388016071</v>
      </c>
      <c r="F19" s="176">
        <f t="shared" si="3"/>
        <v>8922.9405461482693</v>
      </c>
      <c r="G19" s="175">
        <f t="shared" si="3"/>
        <v>0</v>
      </c>
      <c r="H19" s="176"/>
      <c r="I19" s="175"/>
      <c r="J19" s="176"/>
      <c r="K19" s="175">
        <f t="shared" si="3"/>
        <v>0</v>
      </c>
      <c r="L19" s="176">
        <f t="shared" si="3"/>
        <v>0</v>
      </c>
      <c r="M19" s="175">
        <f t="shared" si="3"/>
        <v>5392.1421366367413</v>
      </c>
      <c r="N19" s="176">
        <f t="shared" si="3"/>
        <v>196113.21394693095</v>
      </c>
      <c r="O19" s="175">
        <f t="shared" si="3"/>
        <v>85693.660073551713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177" t="s">
        <v>497</v>
      </c>
      <c r="B20" s="167">
        <f>CONS_TERAC!N26-B22</f>
        <v>3362.6938828155503</v>
      </c>
      <c r="C20" s="168">
        <f>CONS_TERAC!O26-C22+CONS_TERAC!P26</f>
        <v>2782.2442566858249</v>
      </c>
      <c r="D20" s="171">
        <v>0</v>
      </c>
      <c r="E20" s="168">
        <f>CONS_TERAC!L26-E22</f>
        <v>20410.58362699331</v>
      </c>
      <c r="F20" s="169">
        <f>CONS_TERAC!S26-F22</f>
        <v>381.55742579296935</v>
      </c>
      <c r="G20" s="168">
        <f>CONS_TERAC!Q26-G22</f>
        <v>748.90588981446251</v>
      </c>
      <c r="H20" s="171"/>
      <c r="I20" s="170"/>
      <c r="J20" s="171"/>
      <c r="K20" s="168">
        <f>CONS_TERAC!R26-K22</f>
        <v>175.06315199999997</v>
      </c>
      <c r="L20" s="169">
        <f>CONS_TERAC!M26-L22</f>
        <v>14064.728941210571</v>
      </c>
      <c r="M20" s="168">
        <f>CONS_TERAC!V26-M22</f>
        <v>16272.219563176368</v>
      </c>
      <c r="N20" s="169">
        <f t="shared" si="0"/>
        <v>58197.996738489055</v>
      </c>
      <c r="O20" s="168">
        <f t="shared" si="1"/>
        <v>58197.996738489055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166" t="s">
        <v>498</v>
      </c>
      <c r="B21" s="167">
        <f>CONS_TERAC!N12</f>
        <v>0.19040000000000001</v>
      </c>
      <c r="C21" s="168">
        <f>CONS_TERAC!O12</f>
        <v>0</v>
      </c>
      <c r="D21" s="171"/>
      <c r="E21" s="168">
        <f>CONS_TERAC!L12</f>
        <v>89436.957822087366</v>
      </c>
      <c r="F21" s="169">
        <f>CONS_TERAC!S12</f>
        <v>143.62281876539927</v>
      </c>
      <c r="G21" s="168">
        <f>CONS_TERAC!Q12</f>
        <v>0</v>
      </c>
      <c r="H21" s="171"/>
      <c r="I21" s="170"/>
      <c r="J21" s="171"/>
      <c r="K21" s="168">
        <f>CONS_TERAC!R12</f>
        <v>0</v>
      </c>
      <c r="L21" s="169">
        <f>CONS_TERAC!M12</f>
        <v>366.66327980292283</v>
      </c>
      <c r="M21" s="168">
        <f>CONS_TERAC!V12</f>
        <v>0</v>
      </c>
      <c r="N21" s="169">
        <f t="shared" si="0"/>
        <v>89947.434320655695</v>
      </c>
      <c r="O21" s="168">
        <f t="shared" si="1"/>
        <v>89947.434320655695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177" t="s">
        <v>499</v>
      </c>
      <c r="B22" s="167">
        <f>CONS_TERAC!N14+CONS_TERAC!N15+CONS_TERAC!N16+CONS_TERAC!N24</f>
        <v>586.20172400000001</v>
      </c>
      <c r="C22" s="168">
        <f>CONS_TERAC!O14+CONS_TERAC!O15+CONS_TERAC!O16+CONS_TERAC!O24</f>
        <v>139.89361299999999</v>
      </c>
      <c r="D22" s="171">
        <v>0</v>
      </c>
      <c r="E22" s="168">
        <f>CONS_TERAC!L14+CONS_TERAC!L15+CONS_TERAC!L16+CONS_TERAC!L24</f>
        <v>15417.914940181716</v>
      </c>
      <c r="F22" s="169">
        <f>CONS_TERAC!S14+CONS_TERAC!S15+CONS_TERAC!S16+CONS_TERAC!S24</f>
        <v>283.17046976222815</v>
      </c>
      <c r="G22" s="168">
        <f>CONS_TERAC!Q14+CONS_TERAC!Q15+CONS_TERAC!Q16+CONS_TERAC!Q24</f>
        <v>0</v>
      </c>
      <c r="H22" s="171"/>
      <c r="I22" s="170"/>
      <c r="J22" s="171"/>
      <c r="K22" s="168">
        <f>CONS_TERAC!R14+CONS_TERAC!R15+CONS_TERAC!R16+CONS_TERAC!R24</f>
        <v>0</v>
      </c>
      <c r="L22" s="169">
        <f>CONS_TERAC!M14+CONS_TERAC!M15+CONS_TERAC!M16+CONS_TERAC!M24</f>
        <v>17440.224756481282</v>
      </c>
      <c r="M22" s="168">
        <f>CONS_TERAC!V14+CONS_TERAC!V15+CONS_TERAC!V16+CONS_TERAC!V24</f>
        <v>0</v>
      </c>
      <c r="N22" s="169">
        <f t="shared" si="0"/>
        <v>33867.405503425223</v>
      </c>
      <c r="O22" s="168">
        <f t="shared" si="1"/>
        <v>33867.405503425223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177" t="s">
        <v>500</v>
      </c>
      <c r="B23" s="167">
        <v>0</v>
      </c>
      <c r="C23" s="168">
        <v>0</v>
      </c>
      <c r="D23" s="171"/>
      <c r="E23" s="168">
        <v>0</v>
      </c>
      <c r="F23" s="169">
        <v>0</v>
      </c>
      <c r="G23" s="168">
        <v>0</v>
      </c>
      <c r="H23" s="171"/>
      <c r="I23" s="170"/>
      <c r="J23" s="171"/>
      <c r="K23" s="168">
        <v>0</v>
      </c>
      <c r="L23" s="169">
        <v>0</v>
      </c>
      <c r="M23" s="168">
        <v>0</v>
      </c>
      <c r="N23" s="169">
        <f t="shared" si="0"/>
        <v>0</v>
      </c>
      <c r="O23" s="168">
        <f t="shared" si="1"/>
        <v>0</v>
      </c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166" t="s">
        <v>501</v>
      </c>
      <c r="B24" s="167">
        <f>CONS_TERAC!N33</f>
        <v>43.861087290898759</v>
      </c>
      <c r="C24" s="168">
        <f>CONS_TERAC!O33</f>
        <v>0</v>
      </c>
      <c r="D24" s="171"/>
      <c r="E24" s="168">
        <f>CONS_TERAC!L33</f>
        <v>13243.989828514481</v>
      </c>
      <c r="F24" s="169">
        <f>CONS_TERAC!S33</f>
        <v>5233.8442030654014</v>
      </c>
      <c r="G24" s="168">
        <f>CONS_TERAC!Q33</f>
        <v>254.7344125749043</v>
      </c>
      <c r="H24" s="171"/>
      <c r="I24" s="170"/>
      <c r="J24" s="171"/>
      <c r="K24" s="168">
        <f>CONS_TERAC!R33</f>
        <v>0</v>
      </c>
      <c r="L24" s="169">
        <f>CONS_TERAC!M33</f>
        <v>14091.425067648277</v>
      </c>
      <c r="M24" s="168">
        <f>CONS_TERAC!V33</f>
        <v>29505.216625181194</v>
      </c>
      <c r="N24" s="169">
        <f t="shared" si="0"/>
        <v>62373.071224275154</v>
      </c>
      <c r="O24" s="168">
        <f t="shared" si="1"/>
        <v>62373.071224275154</v>
      </c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166" t="s">
        <v>728</v>
      </c>
      <c r="B25" s="167">
        <f>CONS_TERAC!N41+CONS_TERAC!N52</f>
        <v>4860.0071999999991</v>
      </c>
      <c r="C25" s="170">
        <v>0</v>
      </c>
      <c r="D25" s="171"/>
      <c r="E25" s="168">
        <f>CONS_TERAC!L44</f>
        <v>6802.2281732729998</v>
      </c>
      <c r="F25" s="169">
        <f>CONS_TERAC!S44</f>
        <v>12.657411704032596</v>
      </c>
      <c r="G25" s="168">
        <f>CONS_TERAC!Q41+CONS_TERAC!Q39</f>
        <v>342.96311018553746</v>
      </c>
      <c r="H25" s="171"/>
      <c r="I25" s="170"/>
      <c r="J25" s="171"/>
      <c r="K25" s="168">
        <f>CONS_TERAC!T44+CONS_TERAC!R44</f>
        <v>825.46900000000005</v>
      </c>
      <c r="L25" s="169">
        <f>CONS_TERAC!M44</f>
        <v>2005.5664315159718</v>
      </c>
      <c r="M25" s="170">
        <v>0</v>
      </c>
      <c r="N25" s="171">
        <f t="shared" si="0"/>
        <v>14848.89132667854</v>
      </c>
      <c r="O25" s="168">
        <f t="shared" si="1"/>
        <v>14848.89132667854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162" t="s">
        <v>502</v>
      </c>
      <c r="B26" s="163">
        <v>0</v>
      </c>
      <c r="C26" s="164">
        <v>0</v>
      </c>
      <c r="D26" s="165"/>
      <c r="E26" s="168">
        <f>CUADRO11!C17</f>
        <v>1562.1975598832</v>
      </c>
      <c r="F26" s="165">
        <v>0</v>
      </c>
      <c r="G26" s="164">
        <v>0</v>
      </c>
      <c r="H26" s="165"/>
      <c r="I26" s="164"/>
      <c r="J26" s="165"/>
      <c r="K26" s="164">
        <v>0</v>
      </c>
      <c r="L26" s="165">
        <v>0</v>
      </c>
      <c r="M26" s="164">
        <v>0</v>
      </c>
      <c r="N26" s="169">
        <f t="shared" si="0"/>
        <v>1562.1975598832</v>
      </c>
      <c r="O26" s="168">
        <v>0</v>
      </c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173" t="s">
        <v>505</v>
      </c>
      <c r="B27" s="174">
        <f>SUM(B20:B26)</f>
        <v>8852.9542941064483</v>
      </c>
      <c r="C27" s="175">
        <f t="shared" ref="C27:O27" si="4">SUM(C20:C26)</f>
        <v>2922.1378696858251</v>
      </c>
      <c r="D27" s="176">
        <f t="shared" si="4"/>
        <v>0</v>
      </c>
      <c r="E27" s="175">
        <f t="shared" si="4"/>
        <v>146873.87195093307</v>
      </c>
      <c r="F27" s="176">
        <f t="shared" si="4"/>
        <v>6054.8523290900312</v>
      </c>
      <c r="G27" s="175">
        <f t="shared" si="4"/>
        <v>1346.6034125749043</v>
      </c>
      <c r="H27" s="176"/>
      <c r="I27" s="175"/>
      <c r="J27" s="176"/>
      <c r="K27" s="175">
        <f t="shared" si="4"/>
        <v>1000.532152</v>
      </c>
      <c r="L27" s="176">
        <f t="shared" si="4"/>
        <v>47968.608476659028</v>
      </c>
      <c r="M27" s="175">
        <f t="shared" si="4"/>
        <v>45777.436188357562</v>
      </c>
      <c r="N27" s="176">
        <f t="shared" si="4"/>
        <v>260796.99667340689</v>
      </c>
      <c r="O27" s="175">
        <f t="shared" si="4"/>
        <v>259234.79911352368</v>
      </c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173" t="s">
        <v>506</v>
      </c>
      <c r="B28" s="178">
        <f>B19+B27</f>
        <v>43695.202646857091</v>
      </c>
      <c r="C28" s="179">
        <f t="shared" ref="C28:O28" si="5">C19+C27</f>
        <v>8995.5495196858265</v>
      </c>
      <c r="D28" s="180">
        <f t="shared" si="5"/>
        <v>110419.55387337925</v>
      </c>
      <c r="E28" s="179">
        <f t="shared" si="5"/>
        <v>177336.78933894914</v>
      </c>
      <c r="F28" s="180">
        <f t="shared" si="5"/>
        <v>14977.792875238301</v>
      </c>
      <c r="G28" s="179">
        <f t="shared" si="5"/>
        <v>1346.6034125749043</v>
      </c>
      <c r="H28" s="180"/>
      <c r="I28" s="179"/>
      <c r="J28" s="180"/>
      <c r="K28" s="179">
        <f t="shared" si="5"/>
        <v>1000.532152</v>
      </c>
      <c r="L28" s="180">
        <f t="shared" si="5"/>
        <v>47968.608476659028</v>
      </c>
      <c r="M28" s="179">
        <f t="shared" si="5"/>
        <v>51169.578324994305</v>
      </c>
      <c r="N28" s="180">
        <f t="shared" si="5"/>
        <v>456910.21062033786</v>
      </c>
      <c r="O28" s="179">
        <f t="shared" si="5"/>
        <v>344928.45918707538</v>
      </c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181"/>
      <c r="B29" s="181"/>
      <c r="C29" s="181"/>
      <c r="D29" s="181"/>
      <c r="E29" s="182"/>
      <c r="F29" s="181"/>
      <c r="G29" s="181"/>
      <c r="H29" s="181"/>
      <c r="I29" s="181"/>
      <c r="J29" s="181"/>
      <c r="K29" s="181"/>
      <c r="L29" s="183"/>
      <c r="M29" s="181"/>
      <c r="N29" s="182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181" t="s">
        <v>508</v>
      </c>
      <c r="C30" s="181"/>
      <c r="D30" s="181"/>
      <c r="E30" s="182"/>
      <c r="F30" s="181"/>
      <c r="G30" s="181"/>
      <c r="H30" s="181"/>
      <c r="I30" s="181"/>
      <c r="J30" s="181"/>
      <c r="K30" s="181"/>
      <c r="L30" s="183"/>
      <c r="M30" s="181"/>
      <c r="N30" s="182"/>
      <c r="O30" s="3" t="s">
        <v>514</v>
      </c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"/>
      <c r="B31" s="181" t="s">
        <v>513</v>
      </c>
      <c r="C31" s="181"/>
      <c r="D31" s="181"/>
      <c r="E31" s="182"/>
      <c r="F31" s="181"/>
      <c r="G31" s="181"/>
      <c r="H31" s="181"/>
      <c r="I31" s="181"/>
      <c r="J31" s="181"/>
      <c r="K31" s="181"/>
      <c r="L31" s="183"/>
      <c r="M31" s="181"/>
      <c r="N31" s="182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"/>
      <c r="B32" s="181" t="s">
        <v>509</v>
      </c>
      <c r="C32" s="181"/>
      <c r="D32" s="181"/>
      <c r="E32" s="182"/>
      <c r="F32" s="181"/>
      <c r="G32" s="181"/>
      <c r="H32" s="181"/>
      <c r="I32" s="181"/>
      <c r="J32" s="181"/>
      <c r="K32" s="181"/>
      <c r="L32" s="183"/>
      <c r="M32" s="181"/>
      <c r="N32" s="182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"/>
      <c r="B33" s="181" t="s">
        <v>511</v>
      </c>
      <c r="C33" s="181"/>
      <c r="D33" s="181"/>
      <c r="E33" s="182"/>
      <c r="F33" s="181"/>
      <c r="G33" s="181"/>
      <c r="H33" s="181"/>
      <c r="I33" s="181"/>
      <c r="J33" s="181"/>
      <c r="K33" s="181"/>
      <c r="L33" s="183"/>
      <c r="M33" s="181"/>
      <c r="N33" s="182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60" t="s">
        <v>512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60" t="s">
        <v>729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60" t="s">
        <v>730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18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honeticPr fontId="0" type="noConversion"/>
  <hyperlinks>
    <hyperlink ref="C1" location="INDICE!A70" display="VOLVER A INDICE"/>
  </hyperlinks>
  <pageMargins left="0.75" right="0.75" top="1" bottom="1" header="0" footer="0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0"/>
  <sheetViews>
    <sheetView zoomScale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74" sqref="Y74"/>
    </sheetView>
  </sheetViews>
  <sheetFormatPr baseColWidth="10" defaultRowHeight="12.75"/>
  <cols>
    <col min="1" max="1" width="11.42578125" style="296"/>
    <col min="2" max="2" width="26.42578125" style="296" customWidth="1"/>
    <col min="3" max="26" width="11.42578125" style="296"/>
    <col min="27" max="27" width="12.85546875" style="3" customWidth="1"/>
    <col min="28" max="38" width="11.42578125" style="3"/>
    <col min="39" max="16384" width="11.42578125" style="296"/>
  </cols>
  <sheetData>
    <row r="1" spans="1:38">
      <c r="A1" s="184"/>
      <c r="B1" s="185"/>
      <c r="C1" s="186"/>
      <c r="D1" s="186"/>
      <c r="E1" s="289" t="s">
        <v>649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 t="s">
        <v>288</v>
      </c>
      <c r="S1" s="186"/>
      <c r="T1" s="186"/>
      <c r="U1" s="186"/>
      <c r="V1" s="186"/>
      <c r="W1" s="186"/>
      <c r="X1" s="186"/>
      <c r="Y1" s="186"/>
      <c r="Z1" s="3"/>
    </row>
    <row r="2" spans="1:38">
      <c r="A2" s="184"/>
      <c r="B2" s="184"/>
      <c r="C2" s="186"/>
      <c r="D2" s="186"/>
      <c r="E2" s="186"/>
      <c r="F2" s="186"/>
      <c r="G2" s="186"/>
      <c r="H2" s="206"/>
      <c r="I2" s="206"/>
      <c r="J2" s="206"/>
      <c r="K2" s="186"/>
      <c r="L2" s="186"/>
      <c r="M2" s="186"/>
      <c r="N2" s="186">
        <v>100</v>
      </c>
      <c r="O2" s="186"/>
      <c r="P2" s="186"/>
      <c r="Q2" s="186"/>
      <c r="R2" s="186" t="s">
        <v>288</v>
      </c>
      <c r="S2" s="186"/>
      <c r="T2" s="186"/>
      <c r="U2" s="186"/>
      <c r="V2" s="186"/>
      <c r="W2" s="207"/>
      <c r="X2" s="186" t="s">
        <v>289</v>
      </c>
      <c r="Y2" s="186"/>
      <c r="Z2" s="3"/>
    </row>
    <row r="3" spans="1:38">
      <c r="A3" s="184"/>
      <c r="B3" s="184"/>
      <c r="C3" s="186"/>
      <c r="D3" s="186"/>
      <c r="E3" s="186"/>
      <c r="F3" s="186"/>
      <c r="G3" s="186"/>
      <c r="H3" s="206"/>
      <c r="I3" s="206" t="s">
        <v>537</v>
      </c>
      <c r="J3" s="206"/>
      <c r="K3" s="186"/>
      <c r="L3" s="186"/>
      <c r="M3" s="186"/>
      <c r="N3" s="186">
        <f>N2-3.4</f>
        <v>96.6</v>
      </c>
      <c r="O3" s="186"/>
      <c r="P3" s="186"/>
      <c r="Q3" s="186"/>
      <c r="R3" s="186" t="s">
        <v>288</v>
      </c>
      <c r="S3" s="186"/>
      <c r="T3" s="186"/>
      <c r="U3" s="186" t="s">
        <v>291</v>
      </c>
      <c r="V3" s="186"/>
      <c r="W3" s="186"/>
      <c r="X3" s="186" t="s">
        <v>292</v>
      </c>
      <c r="Y3" s="186"/>
      <c r="Z3" s="3"/>
    </row>
    <row r="4" spans="1:38" ht="13.5" thickBot="1">
      <c r="A4" s="184"/>
      <c r="B4" s="184"/>
      <c r="C4" s="1478" t="s">
        <v>293</v>
      </c>
      <c r="D4" s="1479"/>
      <c r="E4" s="1479"/>
      <c r="F4" s="1479"/>
      <c r="G4" s="1479"/>
      <c r="H4" s="1479"/>
      <c r="I4" s="1479"/>
      <c r="J4" s="1479"/>
      <c r="K4" s="1479"/>
      <c r="L4" s="1480"/>
      <c r="M4" s="1478" t="s">
        <v>294</v>
      </c>
      <c r="N4" s="1479"/>
      <c r="O4" s="1479"/>
      <c r="P4" s="1479"/>
      <c r="Q4" s="1479"/>
      <c r="R4" s="1479"/>
      <c r="S4" s="1479"/>
      <c r="T4" s="1479"/>
      <c r="U4" s="1479"/>
      <c r="V4" s="1479"/>
      <c r="W4" s="1479"/>
      <c r="X4" s="1479"/>
      <c r="Y4" s="1480"/>
      <c r="Z4" s="3"/>
    </row>
    <row r="5" spans="1:38">
      <c r="A5" s="190"/>
      <c r="B5" s="193" t="s">
        <v>295</v>
      </c>
      <c r="C5" s="222" t="s">
        <v>523</v>
      </c>
      <c r="D5" s="223" t="s">
        <v>296</v>
      </c>
      <c r="E5" s="222" t="s">
        <v>27</v>
      </c>
      <c r="F5" s="223" t="s">
        <v>297</v>
      </c>
      <c r="G5" s="223" t="s">
        <v>298</v>
      </c>
      <c r="H5" s="224"/>
      <c r="I5" s="222" t="s">
        <v>299</v>
      </c>
      <c r="J5" s="225" t="s">
        <v>300</v>
      </c>
      <c r="K5" s="222" t="s">
        <v>301</v>
      </c>
      <c r="L5" s="223" t="s">
        <v>302</v>
      </c>
      <c r="M5" s="222" t="s">
        <v>303</v>
      </c>
      <c r="N5" s="223" t="s">
        <v>296</v>
      </c>
      <c r="O5" s="222" t="s">
        <v>304</v>
      </c>
      <c r="P5" s="223" t="s">
        <v>305</v>
      </c>
      <c r="Q5" s="222" t="s">
        <v>76</v>
      </c>
      <c r="R5" s="223" t="s">
        <v>306</v>
      </c>
      <c r="S5" s="222" t="s">
        <v>307</v>
      </c>
      <c r="T5" s="223" t="s">
        <v>27</v>
      </c>
      <c r="U5" s="222" t="s">
        <v>308</v>
      </c>
      <c r="V5" s="223" t="s">
        <v>301</v>
      </c>
      <c r="W5" s="222" t="s">
        <v>309</v>
      </c>
      <c r="X5" s="223" t="s">
        <v>302</v>
      </c>
      <c r="Y5" s="200" t="s">
        <v>31</v>
      </c>
      <c r="Z5" s="3"/>
    </row>
    <row r="6" spans="1:38">
      <c r="A6" s="191"/>
      <c r="B6" s="194">
        <v>2004</v>
      </c>
      <c r="C6" s="226" t="s">
        <v>310</v>
      </c>
      <c r="D6" s="225" t="s">
        <v>524</v>
      </c>
      <c r="E6" s="226" t="s">
        <v>525</v>
      </c>
      <c r="F6" s="225" t="s">
        <v>526</v>
      </c>
      <c r="G6" s="225" t="s">
        <v>518</v>
      </c>
      <c r="H6" s="225" t="s">
        <v>519</v>
      </c>
      <c r="I6" s="226" t="s">
        <v>288</v>
      </c>
      <c r="J6" s="225" t="s">
        <v>311</v>
      </c>
      <c r="K6" s="226" t="s">
        <v>288</v>
      </c>
      <c r="L6" s="225" t="s">
        <v>527</v>
      </c>
      <c r="M6" s="226" t="s">
        <v>528</v>
      </c>
      <c r="N6" s="225" t="s">
        <v>529</v>
      </c>
      <c r="O6" s="226" t="s">
        <v>312</v>
      </c>
      <c r="P6" s="225" t="s">
        <v>313</v>
      </c>
      <c r="Q6" s="226" t="s">
        <v>314</v>
      </c>
      <c r="R6" s="225" t="s">
        <v>314</v>
      </c>
      <c r="S6" s="226"/>
      <c r="T6" s="225" t="s">
        <v>315</v>
      </c>
      <c r="U6" s="226"/>
      <c r="V6" s="225" t="s">
        <v>288</v>
      </c>
      <c r="W6" s="226" t="s">
        <v>316</v>
      </c>
      <c r="X6" s="225" t="s">
        <v>317</v>
      </c>
      <c r="Y6" s="208"/>
      <c r="Z6" s="3"/>
    </row>
    <row r="7" spans="1:38" ht="13.5" thickBot="1">
      <c r="A7" s="191"/>
      <c r="B7" s="195"/>
      <c r="C7" s="226"/>
      <c r="D7" s="225"/>
      <c r="E7" s="226"/>
      <c r="F7" s="225"/>
      <c r="G7" s="227"/>
      <c r="H7" s="225" t="s">
        <v>288</v>
      </c>
      <c r="I7" s="226"/>
      <c r="J7" s="225" t="s">
        <v>318</v>
      </c>
      <c r="K7" s="226" t="s">
        <v>288</v>
      </c>
      <c r="L7" s="225"/>
      <c r="M7" s="226"/>
      <c r="N7" s="225"/>
      <c r="O7" s="226" t="s">
        <v>319</v>
      </c>
      <c r="P7" s="225" t="s">
        <v>320</v>
      </c>
      <c r="Q7" s="226"/>
      <c r="R7" s="225" t="s">
        <v>288</v>
      </c>
      <c r="S7" s="226"/>
      <c r="T7" s="228"/>
      <c r="U7" s="226"/>
      <c r="V7" s="225" t="s">
        <v>288</v>
      </c>
      <c r="W7" s="226" t="s">
        <v>321</v>
      </c>
      <c r="X7" s="225" t="s">
        <v>732</v>
      </c>
      <c r="Y7" s="208"/>
      <c r="Z7" s="3"/>
    </row>
    <row r="8" spans="1:38">
      <c r="A8" s="1481" t="s">
        <v>542</v>
      </c>
      <c r="B8" s="187" t="s">
        <v>45</v>
      </c>
      <c r="C8" s="90">
        <f>CUADRO3!C9</f>
        <v>1397.41618979028</v>
      </c>
      <c r="D8" s="87">
        <f>CUADRO3!C10</f>
        <v>19694.880862399998</v>
      </c>
      <c r="E8" s="90">
        <f>CUADRO3!C11</f>
        <v>2764.9146750000004</v>
      </c>
      <c r="F8" s="87">
        <f>CUADRO3!C12</f>
        <v>21496.386057650889</v>
      </c>
      <c r="G8" s="90">
        <v>0</v>
      </c>
      <c r="H8" s="87">
        <v>0</v>
      </c>
      <c r="I8" s="90">
        <f>CUADRO3!C14</f>
        <v>51169.578324994305</v>
      </c>
      <c r="J8" s="87">
        <v>0</v>
      </c>
      <c r="K8" s="90">
        <v>0</v>
      </c>
      <c r="L8" s="217">
        <f>SUM(C8:K8)</f>
        <v>96523.176109835476</v>
      </c>
      <c r="M8" s="90">
        <f>CUADRO4!C20</f>
        <v>51345.464657242235</v>
      </c>
      <c r="N8" s="87">
        <f>CUADRO4!C15</f>
        <v>8118.341263450001</v>
      </c>
      <c r="O8" s="90" t="e">
        <f>CUADRO4!C13+CUADRO4!#REF!+CUADRO4!C16</f>
        <v>#REF!</v>
      </c>
      <c r="P8" s="87">
        <f>CUADRO4!C14+CUADRO4!C17</f>
        <v>6536.3554016999997</v>
      </c>
      <c r="Q8" s="90">
        <f>CUADRO4!C12</f>
        <v>41536.246189199999</v>
      </c>
      <c r="R8" s="87">
        <f>CUADRO4!C11</f>
        <v>20017.104581250002</v>
      </c>
      <c r="S8" s="90">
        <f>CUADRO4!C22</f>
        <v>6898.0403370000004</v>
      </c>
      <c r="T8" s="87">
        <v>0</v>
      </c>
      <c r="U8" s="90">
        <f>CUADRO4!C19+CUADRO4!C24+CUADRO4!C25</f>
        <v>6207.0410593241577</v>
      </c>
      <c r="V8" s="87">
        <f>CUADRO4!C18+CUADRO4!C27+CUADRO4!C23</f>
        <v>7529.0304611199999</v>
      </c>
      <c r="W8" s="90">
        <f>CUADRO11!C17</f>
        <v>1562.1975598832</v>
      </c>
      <c r="X8" s="87" t="e">
        <f>SUM(M8:W8)</f>
        <v>#REF!</v>
      </c>
      <c r="Y8" s="209" t="e">
        <f>X8+L8</f>
        <v>#REF!</v>
      </c>
      <c r="Z8" s="5"/>
    </row>
    <row r="9" spans="1:38">
      <c r="A9" s="1482"/>
      <c r="B9" s="188"/>
      <c r="C9" s="90"/>
      <c r="D9" s="87"/>
      <c r="E9" s="90"/>
      <c r="F9" s="87"/>
      <c r="G9" s="90"/>
      <c r="H9" s="286"/>
      <c r="I9" s="87"/>
      <c r="J9" s="92"/>
      <c r="K9" s="90"/>
      <c r="L9" s="217"/>
      <c r="M9" s="90"/>
      <c r="N9" s="87"/>
      <c r="O9" s="90"/>
      <c r="P9" s="87"/>
      <c r="Q9" s="90"/>
      <c r="R9" s="87"/>
      <c r="S9" s="90"/>
      <c r="T9" s="87"/>
      <c r="U9" s="90"/>
      <c r="V9" s="87"/>
      <c r="W9" s="90"/>
      <c r="X9" s="87"/>
      <c r="Y9" s="209"/>
      <c r="Z9" s="3"/>
    </row>
    <row r="10" spans="1:38">
      <c r="A10" s="1482"/>
      <c r="B10" s="188" t="s">
        <v>46</v>
      </c>
      <c r="C10" s="90">
        <f>CUADRO3!D9</f>
        <v>108806.2131723588</v>
      </c>
      <c r="D10" s="87">
        <f>CUADRO3!D10</f>
        <v>7287.3787551317955</v>
      </c>
      <c r="E10" s="90">
        <f>CUADRO3!D11</f>
        <v>43399.63552044372</v>
      </c>
      <c r="F10" s="286">
        <f>CUADRO3!D12</f>
        <v>0</v>
      </c>
      <c r="G10" s="87">
        <v>0</v>
      </c>
      <c r="H10" s="90">
        <v>0</v>
      </c>
      <c r="I10" s="87">
        <v>0</v>
      </c>
      <c r="J10" s="87">
        <v>0</v>
      </c>
      <c r="K10" s="90">
        <v>0</v>
      </c>
      <c r="L10" s="217">
        <f>SUM(C10:K10)</f>
        <v>159493.2274479343</v>
      </c>
      <c r="M10" s="90">
        <f>CUADRO4!D20</f>
        <v>992.60414819999994</v>
      </c>
      <c r="N10" s="87">
        <f>CUADRO4!D15</f>
        <v>10898.289731399815</v>
      </c>
      <c r="O10" s="90" t="e">
        <f>CUADRO4!D13+CUADRO4!#REF!+CUADRO4!D16</f>
        <v>#REF!</v>
      </c>
      <c r="P10" s="87">
        <f>CUADRO4!D14+CUADRO4!D17</f>
        <v>3819.7605178980002</v>
      </c>
      <c r="Q10" s="90">
        <f>CUADRO4!D12</f>
        <v>54810.134995056011</v>
      </c>
      <c r="R10" s="87">
        <f>CUADRO4!D11</f>
        <v>6149.7629123174984</v>
      </c>
      <c r="S10" s="90">
        <f>CUADRO4!D22</f>
        <v>3242.4683900993996</v>
      </c>
      <c r="T10" s="87">
        <v>0</v>
      </c>
      <c r="U10" s="90">
        <f>CUADRO4!D19+CUADRO4!D24+CUADRO4!D25</f>
        <v>0</v>
      </c>
      <c r="V10" s="87">
        <f>CUADRO4!D18+CUADRO4!D27+CUADRO4!D23</f>
        <v>0</v>
      </c>
      <c r="W10" s="90">
        <v>0</v>
      </c>
      <c r="X10" s="87" t="e">
        <f>SUM(M10:W10)</f>
        <v>#REF!</v>
      </c>
      <c r="Y10" s="209" t="e">
        <f>X10+L10</f>
        <v>#REF!</v>
      </c>
      <c r="Z10" s="5"/>
    </row>
    <row r="11" spans="1:38">
      <c r="A11" s="1482"/>
      <c r="B11" s="188"/>
      <c r="C11" s="90"/>
      <c r="D11" s="286"/>
      <c r="E11" s="87"/>
      <c r="F11" s="90"/>
      <c r="G11" s="87"/>
      <c r="H11" s="90"/>
      <c r="I11" s="87"/>
      <c r="J11" s="87"/>
      <c r="K11" s="90"/>
      <c r="L11" s="217"/>
      <c r="M11" s="90"/>
      <c r="N11" s="87"/>
      <c r="O11" s="90"/>
      <c r="P11" s="87"/>
      <c r="Q11" s="90"/>
      <c r="R11" s="87"/>
      <c r="S11" s="90"/>
      <c r="T11" s="87"/>
      <c r="U11" s="90"/>
      <c r="V11" s="87"/>
      <c r="W11" s="90"/>
      <c r="X11" s="87"/>
      <c r="Y11" s="209"/>
      <c r="Z11" s="5"/>
    </row>
    <row r="12" spans="1:38" s="298" customFormat="1" ht="11.25">
      <c r="A12" s="1482"/>
      <c r="B12" s="235" t="s">
        <v>538</v>
      </c>
      <c r="C12" s="236">
        <f>0.621*C10</f>
        <v>67568.658380034816</v>
      </c>
      <c r="D12" s="287">
        <f>D10</f>
        <v>7287.3787551317955</v>
      </c>
      <c r="E12" s="237">
        <f>0.147*E10</f>
        <v>6379.7464215052269</v>
      </c>
      <c r="F12" s="236">
        <v>0</v>
      </c>
      <c r="G12" s="237">
        <v>0</v>
      </c>
      <c r="H12" s="236">
        <v>0</v>
      </c>
      <c r="I12" s="237">
        <v>0</v>
      </c>
      <c r="J12" s="237">
        <v>0</v>
      </c>
      <c r="K12" s="236">
        <v>0</v>
      </c>
      <c r="L12" s="238">
        <f>SUM(C12:K12)</f>
        <v>81235.783556671842</v>
      </c>
      <c r="M12" s="236">
        <f>M10</f>
        <v>992.60414819999994</v>
      </c>
      <c r="N12" s="237">
        <f>N10-N14</f>
        <v>10527.747880532221</v>
      </c>
      <c r="O12" s="236" t="e">
        <f>0.475*O10</f>
        <v>#REF!</v>
      </c>
      <c r="P12" s="237">
        <f>0</f>
        <v>0</v>
      </c>
      <c r="Q12" s="236">
        <f>0.33*Q10</f>
        <v>18087.344548368485</v>
      </c>
      <c r="R12" s="237">
        <v>0</v>
      </c>
      <c r="S12" s="236">
        <v>0</v>
      </c>
      <c r="T12" s="237">
        <v>0</v>
      </c>
      <c r="U12" s="236">
        <v>0</v>
      </c>
      <c r="V12" s="237">
        <v>0</v>
      </c>
      <c r="W12" s="236">
        <v>0</v>
      </c>
      <c r="X12" s="237" t="e">
        <f>SUM(M12:W12)</f>
        <v>#REF!</v>
      </c>
      <c r="Y12" s="241" t="e">
        <f>X12+L12</f>
        <v>#REF!</v>
      </c>
      <c r="Z12" s="239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spans="1:38" s="298" customFormat="1" ht="11.25">
      <c r="A13" s="1482"/>
      <c r="B13" s="235"/>
      <c r="C13" s="236"/>
      <c r="D13" s="287"/>
      <c r="E13" s="237"/>
      <c r="F13" s="236"/>
      <c r="G13" s="237"/>
      <c r="H13" s="236"/>
      <c r="I13" s="237"/>
      <c r="J13" s="237"/>
      <c r="K13" s="236"/>
      <c r="L13" s="238"/>
      <c r="M13" s="236"/>
      <c r="N13" s="237"/>
      <c r="O13" s="236"/>
      <c r="P13" s="237"/>
      <c r="Q13" s="236"/>
      <c r="R13" s="237"/>
      <c r="S13" s="236"/>
      <c r="T13" s="237"/>
      <c r="U13" s="236"/>
      <c r="V13" s="237"/>
      <c r="W13" s="236"/>
      <c r="X13" s="237"/>
      <c r="Y13" s="241"/>
      <c r="Z13" s="239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</row>
    <row r="14" spans="1:38" s="298" customFormat="1" ht="11.25">
      <c r="A14" s="1482"/>
      <c r="B14" s="235" t="s">
        <v>539</v>
      </c>
      <c r="C14" s="236">
        <f>C10-C12</f>
        <v>41237.554792323979</v>
      </c>
      <c r="D14" s="287">
        <v>0</v>
      </c>
      <c r="E14" s="237">
        <f>E10-E12</f>
        <v>37019.889098938496</v>
      </c>
      <c r="F14" s="236">
        <v>0</v>
      </c>
      <c r="G14" s="237">
        <v>0</v>
      </c>
      <c r="H14" s="236">
        <v>0</v>
      </c>
      <c r="I14" s="237">
        <v>0</v>
      </c>
      <c r="J14" s="237">
        <v>0</v>
      </c>
      <c r="K14" s="236">
        <v>0</v>
      </c>
      <c r="L14" s="238">
        <f>SUM(C14:K14)</f>
        <v>78257.443891262476</v>
      </c>
      <c r="M14" s="236">
        <v>0</v>
      </c>
      <c r="N14" s="237">
        <f>0.034*N10</f>
        <v>370.54185086759372</v>
      </c>
      <c r="O14" s="236" t="e">
        <f>O10-O12</f>
        <v>#REF!</v>
      </c>
      <c r="P14" s="237">
        <f>P10</f>
        <v>3819.7605178980002</v>
      </c>
      <c r="Q14" s="236">
        <f>Q10-Q12</f>
        <v>36722.790446687526</v>
      </c>
      <c r="R14" s="237">
        <f>R10</f>
        <v>6149.7629123174984</v>
      </c>
      <c r="S14" s="236">
        <f>S10</f>
        <v>3242.4683900993996</v>
      </c>
      <c r="T14" s="237">
        <v>0</v>
      </c>
      <c r="U14" s="236">
        <v>0</v>
      </c>
      <c r="V14" s="237">
        <v>0</v>
      </c>
      <c r="W14" s="236">
        <v>0</v>
      </c>
      <c r="X14" s="237" t="e">
        <f>SUM(M14:W14)</f>
        <v>#REF!</v>
      </c>
      <c r="Y14" s="241" t="e">
        <f>X14+L14</f>
        <v>#REF!</v>
      </c>
      <c r="Z14" s="239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</row>
    <row r="15" spans="1:38">
      <c r="A15" s="1482"/>
      <c r="B15" s="188"/>
      <c r="C15" s="90"/>
      <c r="D15" s="286"/>
      <c r="E15" s="87"/>
      <c r="F15" s="90"/>
      <c r="G15" s="87"/>
      <c r="H15" s="90"/>
      <c r="I15" s="87"/>
      <c r="J15" s="87"/>
      <c r="K15" s="90"/>
      <c r="L15" s="217"/>
      <c r="M15" s="90"/>
      <c r="N15" s="87"/>
      <c r="O15" s="90"/>
      <c r="P15" s="87"/>
      <c r="Q15" s="90"/>
      <c r="R15" s="87"/>
      <c r="S15" s="90"/>
      <c r="T15" s="87"/>
      <c r="U15" s="90"/>
      <c r="V15" s="87"/>
      <c r="W15" s="90"/>
      <c r="X15" s="87"/>
      <c r="Y15" s="209"/>
      <c r="Z15" s="3"/>
    </row>
    <row r="16" spans="1:38">
      <c r="A16" s="1482"/>
      <c r="B16" s="188" t="s">
        <v>47</v>
      </c>
      <c r="C16" s="90">
        <f>CUADRO3!E9</f>
        <v>0</v>
      </c>
      <c r="D16" s="286">
        <f>CUADRO3!E10</f>
        <v>0</v>
      </c>
      <c r="E16" s="87">
        <f>CUADRO3!E11</f>
        <v>0</v>
      </c>
      <c r="F16" s="90">
        <f>CUADRO3!E12</f>
        <v>0</v>
      </c>
      <c r="G16" s="87">
        <v>0</v>
      </c>
      <c r="H16" s="90">
        <v>0</v>
      </c>
      <c r="I16" s="87">
        <v>0</v>
      </c>
      <c r="J16" s="87">
        <v>0</v>
      </c>
      <c r="K16" s="90">
        <v>0</v>
      </c>
      <c r="L16" s="217">
        <f>SUM(C16:K16)</f>
        <v>0</v>
      </c>
      <c r="M16" s="90">
        <v>0</v>
      </c>
      <c r="N16" s="391">
        <f>CUADRO4!E15</f>
        <v>606.10894322000001</v>
      </c>
      <c r="O16" s="392" t="e">
        <f>CUADRO4!E13+CUADRO4!#REF!+CUADRO4!E16</f>
        <v>#REF!</v>
      </c>
      <c r="P16" s="391">
        <f>CUADRO4!E14+CUADRO4!E17</f>
        <v>0</v>
      </c>
      <c r="Q16" s="392">
        <f>CUADRO4!E12</f>
        <v>5851.4296829520008</v>
      </c>
      <c r="R16" s="391">
        <f>CUADRO4!E11</f>
        <v>0</v>
      </c>
      <c r="S16" s="392">
        <f>CUADRO4!E22</f>
        <v>87.12</v>
      </c>
      <c r="T16" s="87">
        <v>0</v>
      </c>
      <c r="U16" s="90">
        <f>CUADRO4!E19+CUADRO4!E24+CUADRO4!E25</f>
        <v>0</v>
      </c>
      <c r="V16" s="87">
        <f>CUADRO4!E18+CUADRO4!E27+CUADRO4!E23</f>
        <v>5446.7182885600005</v>
      </c>
      <c r="W16" s="90">
        <v>0</v>
      </c>
      <c r="X16" s="87" t="e">
        <f>SUM(M16:W16)</f>
        <v>#REF!</v>
      </c>
      <c r="Y16" s="209" t="e">
        <f>X16+L16</f>
        <v>#REF!</v>
      </c>
      <c r="Z16" s="5"/>
    </row>
    <row r="17" spans="1:38">
      <c r="A17" s="1482"/>
      <c r="B17" s="188"/>
      <c r="C17" s="90"/>
      <c r="D17" s="286"/>
      <c r="E17" s="87"/>
      <c r="F17" s="90"/>
      <c r="G17" s="87"/>
      <c r="H17" s="90"/>
      <c r="I17" s="87"/>
      <c r="J17" s="87"/>
      <c r="K17" s="90"/>
      <c r="L17" s="217"/>
      <c r="M17" s="90"/>
      <c r="N17" s="87"/>
      <c r="O17" s="90"/>
      <c r="P17" s="87"/>
      <c r="Q17" s="90"/>
      <c r="R17" s="87"/>
      <c r="S17" s="90"/>
      <c r="T17" s="87"/>
      <c r="U17" s="90"/>
      <c r="V17" s="87"/>
      <c r="W17" s="90"/>
      <c r="X17" s="87"/>
      <c r="Y17" s="209"/>
      <c r="Z17" s="5"/>
    </row>
    <row r="18" spans="1:38" s="298" customFormat="1" ht="11.25">
      <c r="A18" s="1482"/>
      <c r="B18" s="235" t="s">
        <v>538</v>
      </c>
      <c r="C18" s="285">
        <v>0</v>
      </c>
      <c r="D18" s="236">
        <v>0</v>
      </c>
      <c r="E18" s="237">
        <v>0</v>
      </c>
      <c r="F18" s="236">
        <v>0</v>
      </c>
      <c r="G18" s="237">
        <v>0</v>
      </c>
      <c r="H18" s="236">
        <v>0</v>
      </c>
      <c r="I18" s="237">
        <v>0</v>
      </c>
      <c r="J18" s="237">
        <v>0</v>
      </c>
      <c r="K18" s="236">
        <v>0</v>
      </c>
      <c r="L18" s="238">
        <f>SUM(C18:K18)</f>
        <v>0</v>
      </c>
      <c r="M18" s="236">
        <v>0</v>
      </c>
      <c r="N18" s="237">
        <f>0.904*N16</f>
        <v>547.92248467088007</v>
      </c>
      <c r="O18" s="236" t="e">
        <f>O16*0.107</f>
        <v>#REF!</v>
      </c>
      <c r="P18" s="237">
        <v>0</v>
      </c>
      <c r="Q18" s="236">
        <f>Q16-Q20</f>
        <v>5277.9895740227048</v>
      </c>
      <c r="R18" s="237">
        <f>0.165*R16</f>
        <v>0</v>
      </c>
      <c r="S18" s="236">
        <f>S16</f>
        <v>87.12</v>
      </c>
      <c r="T18" s="237">
        <v>0</v>
      </c>
      <c r="U18" s="236">
        <v>0</v>
      </c>
      <c r="V18" s="237">
        <f>0.1*V16</f>
        <v>544.67182885600005</v>
      </c>
      <c r="W18" s="236">
        <v>0</v>
      </c>
      <c r="X18" s="237" t="e">
        <f>SUM(M18:W18)</f>
        <v>#REF!</v>
      </c>
      <c r="Y18" s="241" t="e">
        <f>X18+L18</f>
        <v>#REF!</v>
      </c>
      <c r="Z18" s="239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</row>
    <row r="19" spans="1:38" s="298" customFormat="1" ht="11.25">
      <c r="A19" s="1482"/>
      <c r="B19" s="235"/>
      <c r="C19" s="285"/>
      <c r="D19" s="236"/>
      <c r="E19" s="237"/>
      <c r="F19" s="236"/>
      <c r="G19" s="237"/>
      <c r="H19" s="236"/>
      <c r="I19" s="237"/>
      <c r="J19" s="237"/>
      <c r="K19" s="236"/>
      <c r="L19" s="238"/>
      <c r="M19" s="236"/>
      <c r="N19" s="237"/>
      <c r="O19" s="236"/>
      <c r="P19" s="237"/>
      <c r="Q19" s="236"/>
      <c r="R19" s="237"/>
      <c r="S19" s="236"/>
      <c r="T19" s="237"/>
      <c r="U19" s="236"/>
      <c r="V19" s="237"/>
      <c r="W19" s="236"/>
      <c r="X19" s="237"/>
      <c r="Y19" s="241"/>
      <c r="Z19" s="239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 spans="1:38" s="298" customFormat="1" ht="11.25">
      <c r="A20" s="1482"/>
      <c r="B20" s="235" t="s">
        <v>539</v>
      </c>
      <c r="C20" s="285">
        <v>0</v>
      </c>
      <c r="D20" s="236">
        <v>0</v>
      </c>
      <c r="E20" s="237">
        <v>0</v>
      </c>
      <c r="F20" s="236">
        <v>0</v>
      </c>
      <c r="G20" s="237">
        <v>0</v>
      </c>
      <c r="H20" s="236">
        <v>0</v>
      </c>
      <c r="I20" s="237">
        <v>0</v>
      </c>
      <c r="J20" s="237">
        <v>0</v>
      </c>
      <c r="K20" s="236">
        <v>0</v>
      </c>
      <c r="L20" s="238">
        <f>SUM(C20:K20)</f>
        <v>0</v>
      </c>
      <c r="M20" s="236">
        <v>0</v>
      </c>
      <c r="N20" s="237">
        <f>N16-N18</f>
        <v>58.186458549119948</v>
      </c>
      <c r="O20" s="236" t="e">
        <f>O16-O18</f>
        <v>#REF!</v>
      </c>
      <c r="P20" s="237">
        <v>0</v>
      </c>
      <c r="Q20" s="236">
        <f>0.098*Q16</f>
        <v>573.44010892929612</v>
      </c>
      <c r="R20" s="237">
        <f>R16-R18</f>
        <v>0</v>
      </c>
      <c r="S20" s="236">
        <f>0</f>
        <v>0</v>
      </c>
      <c r="T20" s="237">
        <v>0</v>
      </c>
      <c r="U20" s="236">
        <v>0</v>
      </c>
      <c r="V20" s="237">
        <f>0.9*V16</f>
        <v>4902.0464597040009</v>
      </c>
      <c r="W20" s="236">
        <v>0</v>
      </c>
      <c r="X20" s="237" t="e">
        <f>SUM(M20:W20)</f>
        <v>#REF!</v>
      </c>
      <c r="Y20" s="241" t="e">
        <f>X20+L20</f>
        <v>#REF!</v>
      </c>
      <c r="Z20" s="239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 spans="1:38">
      <c r="A21" s="1482"/>
      <c r="B21" s="188"/>
      <c r="C21" s="90"/>
      <c r="D21" s="286"/>
      <c r="E21" s="87"/>
      <c r="F21" s="90"/>
      <c r="G21" s="87"/>
      <c r="H21" s="92"/>
      <c r="I21" s="90"/>
      <c r="J21" s="87"/>
      <c r="K21" s="90"/>
      <c r="L21" s="217"/>
      <c r="M21" s="90"/>
      <c r="N21" s="87"/>
      <c r="O21" s="90"/>
      <c r="P21" s="87"/>
      <c r="Q21" s="90"/>
      <c r="R21" s="87"/>
      <c r="S21" s="90"/>
      <c r="T21" s="87"/>
      <c r="U21" s="90"/>
      <c r="V21" s="87"/>
      <c r="W21" s="90"/>
      <c r="X21" s="87"/>
      <c r="Y21" s="209"/>
      <c r="Z21" s="3"/>
    </row>
    <row r="22" spans="1:38">
      <c r="A22" s="1482"/>
      <c r="B22" s="188" t="s">
        <v>323</v>
      </c>
      <c r="C22" s="90">
        <f>CUADRO3!F9</f>
        <v>-215.92451123017236</v>
      </c>
      <c r="D22" s="286">
        <v>0</v>
      </c>
      <c r="E22" s="87">
        <f>CUADRO3!F11</f>
        <v>2469.3475485866356</v>
      </c>
      <c r="F22" s="92">
        <v>0</v>
      </c>
      <c r="G22" s="90">
        <v>0</v>
      </c>
      <c r="H22" s="87">
        <v>0</v>
      </c>
      <c r="I22" s="90">
        <v>0</v>
      </c>
      <c r="J22" s="87">
        <v>0</v>
      </c>
      <c r="K22" s="90">
        <v>0</v>
      </c>
      <c r="L22" s="217">
        <f>SUM(C22:K22)</f>
        <v>2253.4230373564633</v>
      </c>
      <c r="M22" s="90">
        <f>CUADRO4!F20</f>
        <v>4369.4603287832033</v>
      </c>
      <c r="N22" s="87">
        <f>CUADRO4!F15</f>
        <v>2366.1004252671341</v>
      </c>
      <c r="O22" s="90" t="e">
        <f>CUADRO4!F13+CUADRO4!#REF!+CUADRO4!F16</f>
        <v>#REF!</v>
      </c>
      <c r="P22" s="87">
        <f>CUADRO4!F14+CUADRO4!F17</f>
        <v>-21.883689405002023</v>
      </c>
      <c r="Q22" s="90">
        <f>CUADRO4!F12</f>
        <v>707.58140261902554</v>
      </c>
      <c r="R22" s="87">
        <f>CUADRO4!F11</f>
        <v>-2889.3640607684988</v>
      </c>
      <c r="S22" s="90">
        <f>CUADRO4!F22</f>
        <v>1057.8392074135734</v>
      </c>
      <c r="T22" s="87">
        <v>0</v>
      </c>
      <c r="U22" s="90">
        <f>CUADRO4!F19+CUADRO4!F24+CUADRO4!F25</f>
        <v>274.87928628649871</v>
      </c>
      <c r="V22" s="87">
        <f>CUADRO4!F18+CUADRO4!F23+CUADRO4!F27</f>
        <v>245.43553919999985</v>
      </c>
      <c r="W22" s="90">
        <v>0</v>
      </c>
      <c r="X22" s="87" t="e">
        <f>SUM(M22:W22)</f>
        <v>#REF!</v>
      </c>
      <c r="Y22" s="209" t="e">
        <f>X22+L22</f>
        <v>#REF!</v>
      </c>
      <c r="Z22" s="5"/>
    </row>
    <row r="23" spans="1:38">
      <c r="A23" s="1482"/>
      <c r="B23" s="188"/>
      <c r="C23" s="90"/>
      <c r="D23" s="87"/>
      <c r="E23" s="90"/>
      <c r="F23" s="87"/>
      <c r="G23" s="90"/>
      <c r="H23" s="87"/>
      <c r="I23" s="90"/>
      <c r="J23" s="87"/>
      <c r="K23" s="90"/>
      <c r="L23" s="217"/>
      <c r="M23" s="90"/>
      <c r="N23" s="87"/>
      <c r="O23" s="90"/>
      <c r="P23" s="87"/>
      <c r="Q23" s="90"/>
      <c r="R23" s="87"/>
      <c r="S23" s="90"/>
      <c r="T23" s="87"/>
      <c r="U23" s="90"/>
      <c r="V23" s="87"/>
      <c r="W23" s="90"/>
      <c r="X23" s="87"/>
      <c r="Y23" s="209"/>
      <c r="Z23" s="3"/>
    </row>
    <row r="24" spans="1:38">
      <c r="A24" s="1482"/>
      <c r="B24" s="188" t="s">
        <v>324</v>
      </c>
      <c r="C24" s="90">
        <v>0</v>
      </c>
      <c r="D24" s="87">
        <f>CUADRO3!F10</f>
        <v>2187.5685646107104</v>
      </c>
      <c r="E24" s="90">
        <v>0</v>
      </c>
      <c r="F24" s="87">
        <f>CUADRO3!F12</f>
        <v>631.26047812210322</v>
      </c>
      <c r="G24" s="90">
        <v>0</v>
      </c>
      <c r="H24" s="87">
        <v>0</v>
      </c>
      <c r="I24" s="90">
        <v>0</v>
      </c>
      <c r="J24" s="87">
        <v>0</v>
      </c>
      <c r="K24" s="90">
        <v>0</v>
      </c>
      <c r="L24" s="217">
        <f>SUM(C24:K24)</f>
        <v>2818.8290427328138</v>
      </c>
      <c r="M24" s="90">
        <v>0</v>
      </c>
      <c r="N24" s="87">
        <v>0</v>
      </c>
      <c r="O24" s="90">
        <v>0</v>
      </c>
      <c r="P24" s="87">
        <v>0</v>
      </c>
      <c r="Q24" s="90">
        <v>0</v>
      </c>
      <c r="R24" s="87">
        <v>0</v>
      </c>
      <c r="S24" s="90">
        <v>0</v>
      </c>
      <c r="T24" s="87">
        <v>0</v>
      </c>
      <c r="U24" s="90">
        <v>0</v>
      </c>
      <c r="V24" s="87">
        <v>0</v>
      </c>
      <c r="W24" s="90">
        <v>0</v>
      </c>
      <c r="X24" s="87">
        <f>SUM(M24:W24)</f>
        <v>0</v>
      </c>
      <c r="Y24" s="209">
        <f>X24+L24</f>
        <v>2818.8290427328138</v>
      </c>
      <c r="Z24" s="5"/>
    </row>
    <row r="25" spans="1:38" ht="13.5" thickBot="1">
      <c r="A25" s="1483"/>
      <c r="B25" s="189"/>
      <c r="C25" s="196"/>
      <c r="D25" s="210"/>
      <c r="E25" s="196"/>
      <c r="F25" s="210"/>
      <c r="G25" s="196"/>
      <c r="H25" s="210"/>
      <c r="I25" s="196"/>
      <c r="J25" s="210"/>
      <c r="K25" s="196"/>
      <c r="L25" s="212"/>
      <c r="M25" s="196"/>
      <c r="N25" s="210"/>
      <c r="O25" s="196"/>
      <c r="P25" s="210"/>
      <c r="Q25" s="196"/>
      <c r="R25" s="210"/>
      <c r="S25" s="196"/>
      <c r="T25" s="210"/>
      <c r="U25" s="196"/>
      <c r="V25" s="210"/>
      <c r="W25" s="196"/>
      <c r="X25" s="210"/>
      <c r="Y25" s="211"/>
      <c r="Z25" s="5"/>
    </row>
    <row r="26" spans="1:38" ht="13.5" thickBot="1">
      <c r="A26" s="192"/>
      <c r="B26" s="189" t="s">
        <v>325</v>
      </c>
      <c r="C26" s="201">
        <f>CUADRO3!G9</f>
        <v>110419.55387337925</v>
      </c>
      <c r="D26" s="212">
        <f>CUADRO3!G10</f>
        <v>24794.691052921084</v>
      </c>
      <c r="E26" s="201">
        <f>CUADRO3!G11</f>
        <v>43695.202646857084</v>
      </c>
      <c r="F26" s="212">
        <f>CUADRO3!G12</f>
        <v>20865.125579528787</v>
      </c>
      <c r="G26" s="201">
        <v>0</v>
      </c>
      <c r="H26" s="212">
        <v>0</v>
      </c>
      <c r="I26" s="201">
        <f>I8</f>
        <v>51169.578324994305</v>
      </c>
      <c r="J26" s="212">
        <v>0</v>
      </c>
      <c r="K26" s="201">
        <f>K8+K10-K16-K22-K24</f>
        <v>0</v>
      </c>
      <c r="L26" s="212">
        <f>L8+L10-L16-L22-L24</f>
        <v>250944.15147768051</v>
      </c>
      <c r="M26" s="201">
        <f>CUADRO4!I20</f>
        <v>47968.608476659028</v>
      </c>
      <c r="N26" s="212">
        <f>CUADRO4!I15</f>
        <v>16044.42162636268</v>
      </c>
      <c r="O26" s="201" t="e">
        <f>CUADRO4!I13+CUADRO4!#REF!+CUADRO4!I16</f>
        <v>#REF!</v>
      </c>
      <c r="P26" s="212">
        <f>CUADRO4!I14+CUADRO4!I17</f>
        <v>10377.999609003002</v>
      </c>
      <c r="Q26" s="201">
        <f>CUADRO4!I12</f>
        <v>89787.370098684958</v>
      </c>
      <c r="R26" s="212">
        <f>CUADRO4!I11</f>
        <v>29056.231554336002</v>
      </c>
      <c r="S26" s="201">
        <f>CUADRO4!I22</f>
        <v>8995.5495196858265</v>
      </c>
      <c r="T26" s="212">
        <f>T8+T10-T16-T22-T24</f>
        <v>0</v>
      </c>
      <c r="U26" s="201">
        <f>CUADRO4!I19+CUADRO4!I24+CUADRO4!I25</f>
        <v>5932.1617730376602</v>
      </c>
      <c r="V26" s="212">
        <f>CUADRO4!I18+CUADRO4!I27+CUADRO4!I23</f>
        <v>1836.8766333599999</v>
      </c>
      <c r="W26" s="201">
        <f>W8</f>
        <v>1562.1975598832</v>
      </c>
      <c r="X26" s="212" t="e">
        <f>X8+X10-X16-X22-X24</f>
        <v>#REF!</v>
      </c>
      <c r="Y26" s="211" t="e">
        <f>X26+L26</f>
        <v>#REF!</v>
      </c>
      <c r="Z26" s="5"/>
    </row>
    <row r="27" spans="1:38">
      <c r="A27" s="1484" t="s">
        <v>543</v>
      </c>
      <c r="B27" s="187"/>
      <c r="C27" s="197"/>
      <c r="D27" s="213"/>
      <c r="E27" s="197"/>
      <c r="F27" s="213"/>
      <c r="G27" s="197"/>
      <c r="H27" s="213"/>
      <c r="I27" s="197"/>
      <c r="J27" s="213"/>
      <c r="K27" s="197"/>
      <c r="L27" s="215"/>
      <c r="M27" s="197"/>
      <c r="N27" s="213"/>
      <c r="O27" s="197"/>
      <c r="P27" s="213"/>
      <c r="Q27" s="197"/>
      <c r="R27" s="213"/>
      <c r="S27" s="197"/>
      <c r="T27" s="213"/>
      <c r="U27" s="197"/>
      <c r="V27" s="213"/>
      <c r="W27" s="197"/>
      <c r="X27" s="213"/>
      <c r="Y27" s="214"/>
      <c r="Z27" s="5"/>
    </row>
    <row r="28" spans="1:38">
      <c r="A28" s="1485"/>
      <c r="B28" s="188" t="s">
        <v>326</v>
      </c>
      <c r="C28" s="90">
        <v>0</v>
      </c>
      <c r="D28" s="87">
        <f>CUADRO10!E16</f>
        <v>3649.2767417980963</v>
      </c>
      <c r="E28" s="90">
        <v>0</v>
      </c>
      <c r="F28" s="87">
        <v>0</v>
      </c>
      <c r="G28" s="90">
        <v>0</v>
      </c>
      <c r="H28" s="87">
        <v>0</v>
      </c>
      <c r="I28" s="90">
        <v>0</v>
      </c>
      <c r="J28" s="87">
        <v>0</v>
      </c>
      <c r="K28" s="90">
        <v>0</v>
      </c>
      <c r="L28" s="217">
        <f>SUM(C28:K28)</f>
        <v>3649.2767417980963</v>
      </c>
      <c r="M28" s="90">
        <v>0</v>
      </c>
      <c r="N28" s="87">
        <f>CUADRO10!E12</f>
        <v>0</v>
      </c>
      <c r="O28" s="90">
        <v>0</v>
      </c>
      <c r="P28" s="87">
        <v>0</v>
      </c>
      <c r="Q28" s="90">
        <v>0</v>
      </c>
      <c r="R28" s="87">
        <f>CUADRO10!E11</f>
        <v>0</v>
      </c>
      <c r="S28" s="90">
        <v>0</v>
      </c>
      <c r="T28" s="87">
        <v>0</v>
      </c>
      <c r="U28" s="90">
        <v>0</v>
      </c>
      <c r="V28" s="87">
        <v>0</v>
      </c>
      <c r="W28" s="90">
        <v>0</v>
      </c>
      <c r="X28" s="87">
        <f>SUM(M28:W28)</f>
        <v>0</v>
      </c>
      <c r="Y28" s="209">
        <f>X28+L28</f>
        <v>3649.2767417980963</v>
      </c>
      <c r="Z28" s="5"/>
    </row>
    <row r="29" spans="1:38">
      <c r="A29" s="1485"/>
      <c r="B29" s="188"/>
      <c r="C29" s="90"/>
      <c r="D29" s="87"/>
      <c r="E29" s="90"/>
      <c r="F29" s="87"/>
      <c r="G29" s="90"/>
      <c r="H29" s="87"/>
      <c r="I29" s="90"/>
      <c r="J29" s="87"/>
      <c r="K29" s="90"/>
      <c r="L29" s="217"/>
      <c r="M29" s="90"/>
      <c r="N29" s="87"/>
      <c r="O29" s="90"/>
      <c r="P29" s="87"/>
      <c r="Q29" s="90"/>
      <c r="R29" s="87"/>
      <c r="S29" s="90"/>
      <c r="T29" s="87"/>
      <c r="U29" s="90"/>
      <c r="V29" s="87"/>
      <c r="W29" s="90"/>
      <c r="X29" s="87"/>
      <c r="Y29" s="209"/>
      <c r="Z29" s="3"/>
    </row>
    <row r="30" spans="1:38">
      <c r="A30" s="1485"/>
      <c r="B30" s="188" t="s">
        <v>327</v>
      </c>
      <c r="C30" s="90">
        <v>0</v>
      </c>
      <c r="D30" s="87">
        <f>CONS_TERAC!S50</f>
        <v>4709.347891775973</v>
      </c>
      <c r="E30" s="90">
        <f>CONS_TERAC!N50</f>
        <v>34794.341006205344</v>
      </c>
      <c r="F30" s="87">
        <v>0</v>
      </c>
      <c r="G30" s="90">
        <v>0</v>
      </c>
      <c r="H30" s="87">
        <v>0</v>
      </c>
      <c r="I30" s="90">
        <f>CONS_TERAC!V50</f>
        <v>215.35068720946569</v>
      </c>
      <c r="J30" s="87">
        <v>0</v>
      </c>
      <c r="K30" s="90">
        <v>0</v>
      </c>
      <c r="L30" s="217">
        <f>SUM(C30:K30)</f>
        <v>39719.039585190782</v>
      </c>
      <c r="M30" s="90">
        <v>0</v>
      </c>
      <c r="N30" s="87">
        <f>CONS_TERAC!G49</f>
        <v>10.0628198</v>
      </c>
      <c r="O30" s="90">
        <v>0</v>
      </c>
      <c r="P30" s="87">
        <v>0</v>
      </c>
      <c r="Q30" s="90">
        <f>CONS_TERAC!C50</f>
        <v>25827.620379119995</v>
      </c>
      <c r="R30" s="87">
        <f>CONS_TERAC!D50</f>
        <v>1910.4617393399997</v>
      </c>
      <c r="S30" s="90">
        <f>CONS_TERAC!O50</f>
        <v>4823.4237830000011</v>
      </c>
      <c r="T30" s="87">
        <v>0</v>
      </c>
      <c r="U30" s="90">
        <f>CONS_TERAC!Q37+CONS_TERAC!R37+CONS_TERAC!K50</f>
        <v>0</v>
      </c>
      <c r="V30" s="87">
        <v>0</v>
      </c>
      <c r="W30" s="90">
        <v>0</v>
      </c>
      <c r="X30" s="87">
        <f>SUM(M30:W30)</f>
        <v>32571.568721259999</v>
      </c>
      <c r="Y30" s="209">
        <f>X30+L30</f>
        <v>72290.608306450784</v>
      </c>
      <c r="Z30" s="5"/>
    </row>
    <row r="31" spans="1:38">
      <c r="A31" s="1485"/>
      <c r="B31" s="188"/>
      <c r="C31" s="90"/>
      <c r="D31" s="87"/>
      <c r="E31" s="90"/>
      <c r="F31" s="87"/>
      <c r="G31" s="90"/>
      <c r="H31" s="87"/>
      <c r="I31" s="90"/>
      <c r="J31" s="87"/>
      <c r="K31" s="90"/>
      <c r="L31" s="217"/>
      <c r="M31" s="90"/>
      <c r="N31" s="87"/>
      <c r="O31" s="90"/>
      <c r="P31" s="87"/>
      <c r="Q31" s="90"/>
      <c r="R31" s="87"/>
      <c r="S31" s="90"/>
      <c r="T31" s="87"/>
      <c r="U31" s="90"/>
      <c r="V31" s="87"/>
      <c r="W31" s="90"/>
      <c r="X31" s="87"/>
      <c r="Y31" s="209"/>
      <c r="Z31" s="5"/>
    </row>
    <row r="32" spans="1:38" s="298" customFormat="1" ht="11.25">
      <c r="A32" s="1485"/>
      <c r="B32" s="235" t="s">
        <v>540</v>
      </c>
      <c r="C32" s="236">
        <v>0</v>
      </c>
      <c r="D32" s="237">
        <v>0</v>
      </c>
      <c r="E32" s="236">
        <v>0</v>
      </c>
      <c r="F32" s="237">
        <f>F30</f>
        <v>0</v>
      </c>
      <c r="G32" s="236">
        <v>0</v>
      </c>
      <c r="H32" s="237">
        <v>0</v>
      </c>
      <c r="I32" s="236">
        <v>0</v>
      </c>
      <c r="J32" s="237">
        <v>0</v>
      </c>
      <c r="K32" s="236">
        <v>0</v>
      </c>
      <c r="L32" s="238">
        <v>0</v>
      </c>
      <c r="M32" s="236">
        <v>0</v>
      </c>
      <c r="N32" s="237">
        <v>0</v>
      </c>
      <c r="O32" s="237">
        <v>0</v>
      </c>
      <c r="P32" s="237">
        <v>0</v>
      </c>
      <c r="Q32" s="237">
        <v>0</v>
      </c>
      <c r="R32" s="237">
        <v>0</v>
      </c>
      <c r="S32" s="237">
        <v>0</v>
      </c>
      <c r="T32" s="237">
        <v>0</v>
      </c>
      <c r="U32" s="237">
        <v>0</v>
      </c>
      <c r="V32" s="237">
        <v>0</v>
      </c>
      <c r="W32" s="237">
        <v>0</v>
      </c>
      <c r="X32" s="237">
        <f>SUM(M32:W32)</f>
        <v>0</v>
      </c>
      <c r="Y32" s="241">
        <f>X32+L32</f>
        <v>0</v>
      </c>
      <c r="Z32" s="239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 spans="1:38" s="298" customFormat="1" ht="11.25">
      <c r="A33" s="1485"/>
      <c r="B33" s="235"/>
      <c r="C33" s="236"/>
      <c r="D33" s="237"/>
      <c r="E33" s="236"/>
      <c r="F33" s="240"/>
      <c r="G33" s="236"/>
      <c r="H33" s="237"/>
      <c r="I33" s="236"/>
      <c r="J33" s="237"/>
      <c r="K33" s="236"/>
      <c r="L33" s="238"/>
      <c r="M33" s="236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8"/>
      <c r="Z33" s="239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 spans="1:38" s="298" customFormat="1" ht="11.25">
      <c r="A34" s="1485"/>
      <c r="B34" s="235" t="s">
        <v>541</v>
      </c>
      <c r="C34" s="236">
        <f>C30</f>
        <v>0</v>
      </c>
      <c r="D34" s="237">
        <f t="shared" ref="D34:L34" si="0">D30</f>
        <v>4709.347891775973</v>
      </c>
      <c r="E34" s="236">
        <f t="shared" si="0"/>
        <v>34794.341006205344</v>
      </c>
      <c r="F34" s="237">
        <v>0</v>
      </c>
      <c r="G34" s="236">
        <f t="shared" si="0"/>
        <v>0</v>
      </c>
      <c r="H34" s="237">
        <f t="shared" si="0"/>
        <v>0</v>
      </c>
      <c r="I34" s="236">
        <f t="shared" si="0"/>
        <v>215.35068720946569</v>
      </c>
      <c r="J34" s="237">
        <f t="shared" si="0"/>
        <v>0</v>
      </c>
      <c r="K34" s="236">
        <f t="shared" si="0"/>
        <v>0</v>
      </c>
      <c r="L34" s="238">
        <f t="shared" si="0"/>
        <v>39719.039585190782</v>
      </c>
      <c r="M34" s="236">
        <v>0</v>
      </c>
      <c r="N34" s="237">
        <f>N30</f>
        <v>10.0628198</v>
      </c>
      <c r="O34" s="237">
        <f t="shared" ref="O34:W34" si="1">O30</f>
        <v>0</v>
      </c>
      <c r="P34" s="237">
        <f t="shared" si="1"/>
        <v>0</v>
      </c>
      <c r="Q34" s="237">
        <f t="shared" si="1"/>
        <v>25827.620379119995</v>
      </c>
      <c r="R34" s="237">
        <f t="shared" si="1"/>
        <v>1910.4617393399997</v>
      </c>
      <c r="S34" s="237">
        <f t="shared" si="1"/>
        <v>4823.4237830000011</v>
      </c>
      <c r="T34" s="237">
        <f t="shared" si="1"/>
        <v>0</v>
      </c>
      <c r="U34" s="237">
        <f t="shared" si="1"/>
        <v>0</v>
      </c>
      <c r="V34" s="237">
        <f t="shared" si="1"/>
        <v>0</v>
      </c>
      <c r="W34" s="237">
        <f t="shared" si="1"/>
        <v>0</v>
      </c>
      <c r="X34" s="237">
        <f>SUM(M34:W34)</f>
        <v>32571.568721259999</v>
      </c>
      <c r="Y34" s="241">
        <f>X34+L34</f>
        <v>72290.608306450784</v>
      </c>
      <c r="Z34" s="239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 spans="1:38">
      <c r="A35" s="1485"/>
      <c r="B35" s="188"/>
      <c r="C35" s="90"/>
      <c r="D35" s="87"/>
      <c r="E35" s="90"/>
      <c r="F35" s="87"/>
      <c r="G35" s="90"/>
      <c r="H35" s="87"/>
      <c r="I35" s="90"/>
      <c r="J35" s="87"/>
      <c r="K35" s="90"/>
      <c r="L35" s="217"/>
      <c r="M35" s="90"/>
      <c r="N35" s="87"/>
      <c r="O35" s="90"/>
      <c r="P35" s="87"/>
      <c r="Q35" s="90"/>
      <c r="R35" s="87"/>
      <c r="S35" s="90"/>
      <c r="T35" s="87"/>
      <c r="U35" s="90"/>
      <c r="V35" s="87"/>
      <c r="W35" s="90"/>
      <c r="X35" s="87"/>
      <c r="Y35" s="209"/>
      <c r="Z35" s="3"/>
    </row>
    <row r="36" spans="1:38">
      <c r="A36" s="1485"/>
      <c r="B36" s="188" t="s">
        <v>328</v>
      </c>
      <c r="C36" s="90">
        <v>0</v>
      </c>
      <c r="D36" s="87">
        <f>CONS_TERAC!S49</f>
        <v>564.31591257419996</v>
      </c>
      <c r="E36" s="90">
        <f>CONS_TERAC!N49</f>
        <v>47.907346545296249</v>
      </c>
      <c r="F36" s="87">
        <v>0</v>
      </c>
      <c r="G36" s="90">
        <v>0</v>
      </c>
      <c r="H36" s="87">
        <v>0</v>
      </c>
      <c r="I36" s="90">
        <f>CONS_TERAC!V49</f>
        <v>5176.7914494272754</v>
      </c>
      <c r="J36" s="87">
        <v>0</v>
      </c>
      <c r="K36" s="90">
        <v>0</v>
      </c>
      <c r="L36" s="217">
        <f>SUM(C36:K36)</f>
        <v>5789.0147085467715</v>
      </c>
      <c r="M36" s="90">
        <v>0</v>
      </c>
      <c r="N36" s="87">
        <f>CONS_TERAC!G50</f>
        <v>28.362531890000003</v>
      </c>
      <c r="O36" s="90">
        <v>0</v>
      </c>
      <c r="P36" s="87">
        <v>0</v>
      </c>
      <c r="Q36" s="90">
        <f>CONS_TERAC!C49</f>
        <v>374.63342747620004</v>
      </c>
      <c r="R36" s="87">
        <f>CONS_TERAC!D49</f>
        <v>1184.159201579587</v>
      </c>
      <c r="S36" s="90">
        <f>CONS_TERAC!O49</f>
        <v>0</v>
      </c>
      <c r="T36" s="87">
        <v>0</v>
      </c>
      <c r="U36" s="90">
        <f>CONS_TERAC!K49+CONS_TERAC!Q36+CONS_TERAC!R36</f>
        <v>171.46348058275498</v>
      </c>
      <c r="V36" s="87">
        <v>0</v>
      </c>
      <c r="W36" s="90">
        <v>0</v>
      </c>
      <c r="X36" s="87">
        <f>SUM(M36:W36)</f>
        <v>1758.618641528542</v>
      </c>
      <c r="Y36" s="209">
        <f>X36+L36</f>
        <v>7547.6333500753135</v>
      </c>
      <c r="Z36" s="5"/>
    </row>
    <row r="37" spans="1:38">
      <c r="A37" s="1485"/>
      <c r="B37" s="188"/>
      <c r="C37" s="90"/>
      <c r="D37" s="87"/>
      <c r="E37" s="90"/>
      <c r="F37" s="87"/>
      <c r="G37" s="90"/>
      <c r="H37" s="87"/>
      <c r="I37" s="90"/>
      <c r="J37" s="87"/>
      <c r="K37" s="90"/>
      <c r="L37" s="217"/>
      <c r="M37" s="90"/>
      <c r="N37" s="87"/>
      <c r="O37" s="90"/>
      <c r="P37" s="87"/>
      <c r="Q37" s="90"/>
      <c r="R37" s="87"/>
      <c r="S37" s="90"/>
      <c r="T37" s="87"/>
      <c r="U37" s="90"/>
      <c r="V37" s="87"/>
      <c r="W37" s="90"/>
      <c r="X37" s="87"/>
      <c r="Y37" s="209"/>
      <c r="Z37" s="3"/>
    </row>
    <row r="38" spans="1:38">
      <c r="A38" s="1485"/>
      <c r="B38" s="188" t="s">
        <v>329</v>
      </c>
      <c r="C38" s="90">
        <v>0</v>
      </c>
      <c r="D38" s="87">
        <v>0</v>
      </c>
      <c r="E38" s="88">
        <v>0</v>
      </c>
      <c r="F38" s="87">
        <v>0</v>
      </c>
      <c r="G38" s="90">
        <v>0</v>
      </c>
      <c r="H38" s="87">
        <v>0</v>
      </c>
      <c r="I38" s="90">
        <v>0</v>
      </c>
      <c r="J38" s="87">
        <v>0</v>
      </c>
      <c r="K38" s="90">
        <v>0</v>
      </c>
      <c r="L38" s="217">
        <f>SUM(C38:K38)</f>
        <v>0</v>
      </c>
      <c r="M38" s="90">
        <v>0</v>
      </c>
      <c r="N38" s="87">
        <v>0</v>
      </c>
      <c r="O38" s="90">
        <v>0</v>
      </c>
      <c r="P38" s="87">
        <v>0</v>
      </c>
      <c r="Q38" s="90">
        <v>0</v>
      </c>
      <c r="R38" s="87">
        <v>0</v>
      </c>
      <c r="S38" s="88">
        <v>0</v>
      </c>
      <c r="T38" s="87">
        <v>0</v>
      </c>
      <c r="U38" s="90">
        <v>0</v>
      </c>
      <c r="V38" s="87">
        <v>0</v>
      </c>
      <c r="W38" s="90">
        <v>0</v>
      </c>
      <c r="X38" s="87">
        <f>SUM(M38:W38)</f>
        <v>0</v>
      </c>
      <c r="Y38" s="209">
        <f>X38+L38</f>
        <v>0</v>
      </c>
      <c r="Z38" s="5"/>
    </row>
    <row r="39" spans="1:38">
      <c r="A39" s="1485"/>
      <c r="B39" s="188"/>
      <c r="C39" s="90"/>
      <c r="D39" s="87"/>
      <c r="E39" s="90"/>
      <c r="F39" s="87"/>
      <c r="G39" s="90"/>
      <c r="H39" s="87"/>
      <c r="I39" s="90"/>
      <c r="J39" s="87"/>
      <c r="K39" s="90"/>
      <c r="L39" s="217"/>
      <c r="M39" s="90"/>
      <c r="N39" s="87"/>
      <c r="O39" s="90"/>
      <c r="P39" s="87"/>
      <c r="Q39" s="90"/>
      <c r="R39" s="87"/>
      <c r="S39" s="90"/>
      <c r="T39" s="87"/>
      <c r="U39" s="90"/>
      <c r="V39" s="87"/>
      <c r="W39" s="90"/>
      <c r="X39" s="87"/>
      <c r="Y39" s="209"/>
      <c r="Z39" s="3"/>
    </row>
    <row r="40" spans="1:38">
      <c r="A40" s="1485"/>
      <c r="B40" s="188" t="s">
        <v>330</v>
      </c>
      <c r="C40" s="90">
        <v>0</v>
      </c>
      <c r="D40" s="87">
        <v>0</v>
      </c>
      <c r="E40" s="90">
        <f>CUADRO10!F14</f>
        <v>0</v>
      </c>
      <c r="F40" s="87">
        <v>0</v>
      </c>
      <c r="G40" s="90">
        <v>0</v>
      </c>
      <c r="H40" s="87">
        <v>0</v>
      </c>
      <c r="I40" s="90">
        <v>0</v>
      </c>
      <c r="J40" s="87">
        <v>0</v>
      </c>
      <c r="K40" s="90">
        <v>0</v>
      </c>
      <c r="L40" s="217">
        <f>SUM(C40:K40)</f>
        <v>0</v>
      </c>
      <c r="M40" s="90">
        <v>0</v>
      </c>
      <c r="N40" s="87">
        <v>0</v>
      </c>
      <c r="O40" s="90">
        <v>0</v>
      </c>
      <c r="P40" s="87">
        <v>0</v>
      </c>
      <c r="Q40" s="90">
        <v>0</v>
      </c>
      <c r="R40" s="87">
        <v>0</v>
      </c>
      <c r="S40" s="90">
        <v>0</v>
      </c>
      <c r="T40" s="87">
        <v>0</v>
      </c>
      <c r="U40" s="90">
        <v>0</v>
      </c>
      <c r="V40" s="87">
        <v>0</v>
      </c>
      <c r="W40" s="90">
        <v>0</v>
      </c>
      <c r="X40" s="87">
        <f>SUM(M40:W40)</f>
        <v>0</v>
      </c>
      <c r="Y40" s="209">
        <f>X40+L40</f>
        <v>0</v>
      </c>
      <c r="Z40" s="5"/>
    </row>
    <row r="41" spans="1:38">
      <c r="A41" s="1485"/>
      <c r="B41" s="188"/>
      <c r="C41" s="90"/>
      <c r="D41" s="87"/>
      <c r="E41" s="90"/>
      <c r="F41" s="87"/>
      <c r="G41" s="90"/>
      <c r="H41" s="87"/>
      <c r="I41" s="90"/>
      <c r="J41" s="87"/>
      <c r="K41" s="90"/>
      <c r="L41" s="217"/>
      <c r="M41" s="90"/>
      <c r="N41" s="87"/>
      <c r="O41" s="90"/>
      <c r="P41" s="87"/>
      <c r="Q41" s="90"/>
      <c r="R41" s="87"/>
      <c r="S41" s="90"/>
      <c r="T41" s="87"/>
      <c r="U41" s="90"/>
      <c r="V41" s="87"/>
      <c r="W41" s="90"/>
      <c r="X41" s="87"/>
      <c r="Y41" s="209"/>
      <c r="Z41" s="3"/>
    </row>
    <row r="42" spans="1:38">
      <c r="A42" s="1485"/>
      <c r="B42" s="188" t="s">
        <v>331</v>
      </c>
      <c r="C42" s="90">
        <v>0</v>
      </c>
      <c r="D42" s="87">
        <v>0</v>
      </c>
      <c r="E42" s="90">
        <f>CUADRO10!D14</f>
        <v>4860.0071999999991</v>
      </c>
      <c r="F42" s="87">
        <v>0</v>
      </c>
      <c r="G42" s="90">
        <v>0</v>
      </c>
      <c r="H42" s="87">
        <v>0</v>
      </c>
      <c r="I42" s="90">
        <v>0</v>
      </c>
      <c r="J42" s="87">
        <v>0</v>
      </c>
      <c r="K42" s="90">
        <v>0</v>
      </c>
      <c r="L42" s="217">
        <f>SUM(C42:K42)</f>
        <v>4860.0071999999991</v>
      </c>
      <c r="M42" s="90">
        <v>0</v>
      </c>
      <c r="N42" s="87">
        <f>CUADRO10!D12</f>
        <v>956.11919322753226</v>
      </c>
      <c r="O42" s="90">
        <v>0</v>
      </c>
      <c r="P42" s="87">
        <v>0</v>
      </c>
      <c r="Q42" s="90">
        <v>0</v>
      </c>
      <c r="R42" s="87">
        <v>0</v>
      </c>
      <c r="S42" s="90">
        <f>CUADRO10!D15</f>
        <v>1249.9878669999998</v>
      </c>
      <c r="T42" s="87">
        <v>0</v>
      </c>
      <c r="U42" s="90">
        <v>0</v>
      </c>
      <c r="V42" s="87">
        <v>0</v>
      </c>
      <c r="W42" s="90">
        <v>0</v>
      </c>
      <c r="X42" s="87">
        <f>SUM(M42:W42)</f>
        <v>2206.1070602275322</v>
      </c>
      <c r="Y42" s="209">
        <f>X42+L42</f>
        <v>7066.1142602275313</v>
      </c>
      <c r="Z42" s="5"/>
    </row>
    <row r="43" spans="1:38">
      <c r="A43" s="1485"/>
      <c r="B43" s="188"/>
      <c r="C43" s="90"/>
      <c r="D43" s="87"/>
      <c r="E43" s="90"/>
      <c r="F43" s="87"/>
      <c r="G43" s="90"/>
      <c r="H43" s="87"/>
      <c r="I43" s="90"/>
      <c r="J43" s="87"/>
      <c r="K43" s="90"/>
      <c r="L43" s="217"/>
      <c r="M43" s="90"/>
      <c r="N43" s="87"/>
      <c r="O43" s="90"/>
      <c r="P43" s="87"/>
      <c r="Q43" s="90"/>
      <c r="R43" s="87"/>
      <c r="S43" s="90"/>
      <c r="T43" s="87"/>
      <c r="U43" s="90"/>
      <c r="V43" s="87"/>
      <c r="W43" s="90"/>
      <c r="X43" s="87"/>
      <c r="Y43" s="209"/>
      <c r="Z43" s="3"/>
    </row>
    <row r="44" spans="1:38">
      <c r="A44" s="1485"/>
      <c r="B44" s="188" t="s">
        <v>333</v>
      </c>
      <c r="C44" s="90">
        <v>0</v>
      </c>
      <c r="D44" s="87">
        <v>0</v>
      </c>
      <c r="E44" s="90">
        <v>0</v>
      </c>
      <c r="F44" s="87">
        <v>0</v>
      </c>
      <c r="G44" s="90">
        <v>0</v>
      </c>
      <c r="H44" s="87">
        <v>0</v>
      </c>
      <c r="I44" s="90">
        <v>0</v>
      </c>
      <c r="J44" s="87">
        <v>0</v>
      </c>
      <c r="K44" s="90">
        <v>0</v>
      </c>
      <c r="L44" s="217">
        <f>SUM(C44:K44)</f>
        <v>0</v>
      </c>
      <c r="M44" s="90">
        <v>0</v>
      </c>
      <c r="N44" s="87">
        <v>0</v>
      </c>
      <c r="O44" s="90">
        <v>0</v>
      </c>
      <c r="P44" s="87">
        <v>0</v>
      </c>
      <c r="Q44" s="90">
        <v>0</v>
      </c>
      <c r="R44" s="87">
        <v>0</v>
      </c>
      <c r="S44" s="90">
        <v>0</v>
      </c>
      <c r="T44" s="87">
        <v>0</v>
      </c>
      <c r="U44" s="90">
        <v>0</v>
      </c>
      <c r="V44" s="87">
        <v>0</v>
      </c>
      <c r="W44" s="90">
        <v>0</v>
      </c>
      <c r="X44" s="87">
        <f>SUM(M44:W44)</f>
        <v>0</v>
      </c>
      <c r="Y44" s="209">
        <f>X44+L44</f>
        <v>0</v>
      </c>
      <c r="Z44" s="5"/>
    </row>
    <row r="45" spans="1:38">
      <c r="A45" s="1485"/>
      <c r="B45" s="188"/>
      <c r="C45" s="90"/>
      <c r="D45" s="87"/>
      <c r="E45" s="90"/>
      <c r="F45" s="87"/>
      <c r="G45" s="90"/>
      <c r="H45" s="87"/>
      <c r="I45" s="90"/>
      <c r="J45" s="87"/>
      <c r="K45" s="90"/>
      <c r="L45" s="217"/>
      <c r="M45" s="90"/>
      <c r="N45" s="87"/>
      <c r="O45" s="90"/>
      <c r="P45" s="87"/>
      <c r="Q45" s="90"/>
      <c r="R45" s="87"/>
      <c r="S45" s="90"/>
      <c r="T45" s="87"/>
      <c r="U45" s="90"/>
      <c r="V45" s="87"/>
      <c r="W45" s="90"/>
      <c r="X45" s="87"/>
      <c r="Y45" s="209"/>
      <c r="Z45" s="3"/>
    </row>
    <row r="46" spans="1:38">
      <c r="A46" s="1485"/>
      <c r="B46" s="188" t="s">
        <v>334</v>
      </c>
      <c r="C46" s="90">
        <v>0</v>
      </c>
      <c r="D46" s="87">
        <f>CUADRO10!G16</f>
        <v>9460.2069150000007</v>
      </c>
      <c r="E46" s="90">
        <v>0</v>
      </c>
      <c r="F46" s="87">
        <v>0</v>
      </c>
      <c r="G46" s="90">
        <v>0</v>
      </c>
      <c r="H46" s="87">
        <v>0</v>
      </c>
      <c r="I46" s="90">
        <v>0</v>
      </c>
      <c r="J46" s="87">
        <v>0</v>
      </c>
      <c r="K46" s="90">
        <v>0</v>
      </c>
      <c r="L46" s="217">
        <f>SUM(C46:K46)</f>
        <v>9460.2069150000007</v>
      </c>
      <c r="M46" s="90">
        <v>0</v>
      </c>
      <c r="N46" s="87">
        <v>0</v>
      </c>
      <c r="O46" s="90">
        <v>0</v>
      </c>
      <c r="P46" s="87">
        <v>0</v>
      </c>
      <c r="Q46" s="90">
        <v>0</v>
      </c>
      <c r="R46" s="87">
        <v>0</v>
      </c>
      <c r="S46" s="90">
        <v>0</v>
      </c>
      <c r="T46" s="87">
        <v>0</v>
      </c>
      <c r="U46" s="90">
        <v>0</v>
      </c>
      <c r="V46" s="87">
        <v>0</v>
      </c>
      <c r="W46" s="90">
        <v>0</v>
      </c>
      <c r="X46" s="87">
        <f>SUM(M46:W46)</f>
        <v>0</v>
      </c>
      <c r="Y46" s="209">
        <f>X46+L46</f>
        <v>9460.2069150000007</v>
      </c>
      <c r="Z46" s="5"/>
    </row>
    <row r="47" spans="1:38" ht="13.5" thickBot="1">
      <c r="A47" s="1486"/>
      <c r="B47" s="189"/>
      <c r="C47" s="90"/>
      <c r="D47" s="87"/>
      <c r="E47" s="90"/>
      <c r="F47" s="87"/>
      <c r="G47" s="90"/>
      <c r="H47" s="87"/>
      <c r="I47" s="90"/>
      <c r="J47" s="87"/>
      <c r="K47" s="90"/>
      <c r="L47" s="212"/>
      <c r="M47" s="196"/>
      <c r="N47" s="210"/>
      <c r="O47" s="196"/>
      <c r="P47" s="210"/>
      <c r="Q47" s="196"/>
      <c r="R47" s="210"/>
      <c r="S47" s="196"/>
      <c r="T47" s="210"/>
      <c r="U47" s="196"/>
      <c r="V47" s="210"/>
      <c r="W47" s="196"/>
      <c r="X47" s="210"/>
      <c r="Y47" s="211"/>
      <c r="Z47" s="5"/>
    </row>
    <row r="48" spans="1:38" ht="13.5" thickBot="1">
      <c r="A48" s="202"/>
      <c r="B48" s="189" t="s">
        <v>335</v>
      </c>
      <c r="C48" s="412">
        <f>C28</f>
        <v>0</v>
      </c>
      <c r="D48" s="220">
        <f>SUM(D28:D46)-D32-D34</f>
        <v>18383.14746114827</v>
      </c>
      <c r="E48" s="220">
        <f t="shared" ref="E48:Y48" si="2">SUM(E28:E46)-E32-E34</f>
        <v>39702.255552750634</v>
      </c>
      <c r="F48" s="220">
        <f t="shared" si="2"/>
        <v>0</v>
      </c>
      <c r="G48" s="414">
        <f t="shared" si="2"/>
        <v>0</v>
      </c>
      <c r="H48" s="220">
        <f t="shared" si="2"/>
        <v>0</v>
      </c>
      <c r="I48" s="229">
        <f t="shared" si="2"/>
        <v>5392.1421366367413</v>
      </c>
      <c r="J48" s="220">
        <f t="shared" si="2"/>
        <v>0</v>
      </c>
      <c r="K48" s="413">
        <f t="shared" si="2"/>
        <v>0</v>
      </c>
      <c r="L48" s="406">
        <f t="shared" si="2"/>
        <v>63477.545150535647</v>
      </c>
      <c r="M48" s="212">
        <f t="shared" si="2"/>
        <v>0</v>
      </c>
      <c r="N48" s="212">
        <f t="shared" si="2"/>
        <v>994.54454491753222</v>
      </c>
      <c r="O48" s="212">
        <f t="shared" si="2"/>
        <v>0</v>
      </c>
      <c r="P48" s="212">
        <f t="shared" si="2"/>
        <v>0</v>
      </c>
      <c r="Q48" s="212">
        <f t="shared" si="2"/>
        <v>26202.253806596193</v>
      </c>
      <c r="R48" s="212">
        <f t="shared" si="2"/>
        <v>3094.6209409195872</v>
      </c>
      <c r="S48" s="212">
        <f t="shared" si="2"/>
        <v>6073.4116500000009</v>
      </c>
      <c r="T48" s="212">
        <f t="shared" si="2"/>
        <v>0</v>
      </c>
      <c r="U48" s="212">
        <f t="shared" si="2"/>
        <v>171.46348058275498</v>
      </c>
      <c r="V48" s="212">
        <f t="shared" si="2"/>
        <v>0</v>
      </c>
      <c r="W48" s="212">
        <f t="shared" si="2"/>
        <v>0</v>
      </c>
      <c r="X48" s="212">
        <f t="shared" si="2"/>
        <v>36536.294423016065</v>
      </c>
      <c r="Y48" s="212">
        <f t="shared" si="2"/>
        <v>100013.83957355171</v>
      </c>
      <c r="Z48" s="5"/>
    </row>
    <row r="49" spans="1:27">
      <c r="A49" s="230"/>
      <c r="B49" s="415"/>
      <c r="C49" s="416"/>
      <c r="D49" s="213"/>
      <c r="E49" s="197"/>
      <c r="F49" s="213"/>
      <c r="G49" s="197"/>
      <c r="H49" s="213"/>
      <c r="I49" s="197"/>
      <c r="J49" s="213"/>
      <c r="K49" s="407"/>
      <c r="L49" s="404"/>
      <c r="M49" s="197"/>
      <c r="N49" s="213"/>
      <c r="O49" s="197"/>
      <c r="P49" s="213"/>
      <c r="Q49" s="197"/>
      <c r="R49" s="213"/>
      <c r="S49" s="197"/>
      <c r="T49" s="213"/>
      <c r="U49" s="197"/>
      <c r="V49" s="213"/>
      <c r="W49" s="197"/>
      <c r="X49" s="213"/>
      <c r="Y49" s="214"/>
      <c r="Z49" s="5"/>
    </row>
    <row r="50" spans="1:27">
      <c r="A50" s="230"/>
      <c r="B50" s="402" t="s">
        <v>336</v>
      </c>
      <c r="C50" s="286">
        <v>0</v>
      </c>
      <c r="D50" s="87">
        <f>CONS_TERAC!S44</f>
        <v>12.657411704032596</v>
      </c>
      <c r="E50" s="90">
        <f>CONS_TERAC!N44</f>
        <v>0</v>
      </c>
      <c r="F50" s="87">
        <v>0</v>
      </c>
      <c r="G50" s="90">
        <v>0</v>
      </c>
      <c r="H50" s="87">
        <v>0</v>
      </c>
      <c r="I50" s="90">
        <v>0</v>
      </c>
      <c r="J50" s="87">
        <v>0</v>
      </c>
      <c r="K50" s="408">
        <v>0</v>
      </c>
      <c r="L50" s="217">
        <f>SUM(C50:K50)</f>
        <v>12.657411704032596</v>
      </c>
      <c r="M50" s="90">
        <f>CONS_TERAC!M44</f>
        <v>2005.5664315159718</v>
      </c>
      <c r="N50" s="87">
        <f>CONS_TERAC!G44</f>
        <v>1316.2451781609998</v>
      </c>
      <c r="O50" s="90">
        <v>0</v>
      </c>
      <c r="P50" s="87">
        <f>CONS_TERAC!I44+CONS_TERAC!F44</f>
        <v>0</v>
      </c>
      <c r="Q50" s="90">
        <f>CONS_TERAC!C44</f>
        <v>292.28947843200001</v>
      </c>
      <c r="R50" s="87">
        <f>CONS_TERAC!D44</f>
        <v>658.43066599999997</v>
      </c>
      <c r="S50" s="90">
        <v>0</v>
      </c>
      <c r="T50" s="87">
        <v>0</v>
      </c>
      <c r="U50" s="90">
        <f>CONS_TERAC!K44+CONS_TERAC!Q44+CONS_TERAC!R44</f>
        <v>4578.9205380655385</v>
      </c>
      <c r="V50" s="87">
        <f>CONS_TERAC!J44+CONS_TERAC!T44+CONS_TERAC!P44</f>
        <v>1299.8197619999999</v>
      </c>
      <c r="W50" s="90">
        <v>0</v>
      </c>
      <c r="X50" s="87">
        <f>SUM(M50:W50)</f>
        <v>10151.272054174509</v>
      </c>
      <c r="Y50" s="209">
        <f>X50+L50</f>
        <v>10163.929465878542</v>
      </c>
      <c r="Z50" s="5"/>
    </row>
    <row r="51" spans="1:27">
      <c r="A51" s="230"/>
      <c r="B51" s="402" t="s">
        <v>337</v>
      </c>
      <c r="C51" s="286">
        <v>0</v>
      </c>
      <c r="D51" s="87">
        <f>CUADRO3!E25</f>
        <v>179.01801408278334</v>
      </c>
      <c r="E51" s="90">
        <v>0</v>
      </c>
      <c r="F51" s="87">
        <v>0</v>
      </c>
      <c r="G51" s="90">
        <v>0</v>
      </c>
      <c r="H51" s="87">
        <v>0</v>
      </c>
      <c r="I51" s="90">
        <v>0</v>
      </c>
      <c r="J51" s="87">
        <v>0</v>
      </c>
      <c r="K51" s="408">
        <v>0</v>
      </c>
      <c r="L51" s="217">
        <f>SUM(C51:K51)</f>
        <v>179.01801408278334</v>
      </c>
      <c r="M51" s="90">
        <f>CUADRO4!F20</f>
        <v>4369.4603287832033</v>
      </c>
      <c r="N51" s="87">
        <v>0</v>
      </c>
      <c r="O51" s="90">
        <v>0</v>
      </c>
      <c r="P51" s="87">
        <v>0</v>
      </c>
      <c r="Q51" s="90">
        <v>0</v>
      </c>
      <c r="R51" s="87">
        <v>0</v>
      </c>
      <c r="S51" s="90">
        <v>0</v>
      </c>
      <c r="T51" s="87">
        <v>0</v>
      </c>
      <c r="U51" s="90">
        <v>0</v>
      </c>
      <c r="V51" s="87">
        <v>0</v>
      </c>
      <c r="W51" s="90">
        <v>0</v>
      </c>
      <c r="X51" s="87">
        <f>SUM(M51:W51)</f>
        <v>4369.4603287832033</v>
      </c>
      <c r="Y51" s="209">
        <f>X51+L51</f>
        <v>4548.4783428659866</v>
      </c>
      <c r="Z51" s="5"/>
      <c r="AA51" s="5"/>
    </row>
    <row r="52" spans="1:27" ht="13.5" thickBot="1">
      <c r="A52" s="202"/>
      <c r="B52" s="403" t="s">
        <v>338</v>
      </c>
      <c r="C52" s="411">
        <f t="shared" ref="C52:K52" si="3">C26-C48-C51-C70</f>
        <v>110419.55387337925</v>
      </c>
      <c r="D52" s="95">
        <f t="shared" si="3"/>
        <v>177.67324859999917</v>
      </c>
      <c r="E52" s="98">
        <f t="shared" si="3"/>
        <v>0.19040000000086366</v>
      </c>
      <c r="F52" s="95">
        <f t="shared" si="3"/>
        <v>20865.125579528787</v>
      </c>
      <c r="G52" s="98">
        <f t="shared" si="3"/>
        <v>0</v>
      </c>
      <c r="H52" s="95">
        <f t="shared" si="3"/>
        <v>0</v>
      </c>
      <c r="I52" s="98">
        <f t="shared" si="3"/>
        <v>0</v>
      </c>
      <c r="J52" s="95">
        <f t="shared" si="3"/>
        <v>0</v>
      </c>
      <c r="K52" s="417">
        <f t="shared" si="3"/>
        <v>0</v>
      </c>
      <c r="L52" s="217">
        <f>SUM(C52:K52)</f>
        <v>131462.54310150805</v>
      </c>
      <c r="M52" s="196">
        <f>M26-M48-M51-M70+M22</f>
        <v>0</v>
      </c>
      <c r="N52" s="210">
        <f>N26-N48-N51-N70</f>
        <v>0</v>
      </c>
      <c r="O52" s="196" t="e">
        <f>O26-O48-O50-O51-O70</f>
        <v>#REF!</v>
      </c>
      <c r="P52" s="210">
        <f>P26-P48-P51-P70</f>
        <v>0</v>
      </c>
      <c r="Q52" s="196">
        <f>Q26-Q48-Q51-Q70</f>
        <v>0</v>
      </c>
      <c r="R52" s="210">
        <f>R26-R48-R51-R70</f>
        <v>0</v>
      </c>
      <c r="S52" s="196">
        <f>S26-S48-S51-S70</f>
        <v>0</v>
      </c>
      <c r="T52" s="210">
        <f>T26-T48-T50-T51-T70</f>
        <v>0</v>
      </c>
      <c r="U52" s="196">
        <f>U26-U48-U51-U70</f>
        <v>0</v>
      </c>
      <c r="V52" s="210">
        <f>V26-V48-V51-V70</f>
        <v>518.84752986000012</v>
      </c>
      <c r="W52" s="196">
        <f>W26-W48-W50-W51-W70</f>
        <v>0</v>
      </c>
      <c r="X52" s="87" t="e">
        <f>SUM(M52:W52)</f>
        <v>#REF!</v>
      </c>
      <c r="Y52" s="209" t="e">
        <f>X52+L52</f>
        <v>#REF!</v>
      </c>
      <c r="Z52" s="5"/>
    </row>
    <row r="53" spans="1:27">
      <c r="A53" s="1484" t="s">
        <v>522</v>
      </c>
      <c r="B53" s="415"/>
      <c r="C53" s="410"/>
      <c r="D53" s="79"/>
      <c r="E53" s="82"/>
      <c r="F53" s="79"/>
      <c r="G53" s="82"/>
      <c r="H53" s="79"/>
      <c r="I53" s="82"/>
      <c r="J53" s="79"/>
      <c r="K53" s="418"/>
      <c r="L53" s="404"/>
      <c r="M53" s="197"/>
      <c r="N53" s="213"/>
      <c r="O53" s="197"/>
      <c r="P53" s="213"/>
      <c r="Q53" s="197"/>
      <c r="R53" s="213"/>
      <c r="S53" s="197"/>
      <c r="T53" s="213"/>
      <c r="U53" s="197"/>
      <c r="V53" s="213"/>
      <c r="W53" s="197"/>
      <c r="X53" s="213"/>
      <c r="Y53" s="214"/>
      <c r="Z53" s="5"/>
    </row>
    <row r="54" spans="1:27">
      <c r="A54" s="1485"/>
      <c r="B54" s="402" t="s">
        <v>339</v>
      </c>
      <c r="C54" s="286">
        <v>0</v>
      </c>
      <c r="D54" s="87">
        <f>CUADRO5!C25</f>
        <v>143.62281876539927</v>
      </c>
      <c r="E54" s="90">
        <v>0</v>
      </c>
      <c r="F54" s="87">
        <v>0</v>
      </c>
      <c r="G54" s="90">
        <v>0</v>
      </c>
      <c r="H54" s="87">
        <v>0</v>
      </c>
      <c r="I54" s="90">
        <v>0</v>
      </c>
      <c r="J54" s="87">
        <v>0</v>
      </c>
      <c r="K54" s="408">
        <v>0</v>
      </c>
      <c r="L54" s="405">
        <f>SUM(C54:K54)</f>
        <v>143.62281876539927</v>
      </c>
      <c r="M54" s="90">
        <f>CUADRO5!C19</f>
        <v>366.66327980292283</v>
      </c>
      <c r="N54" s="87">
        <f>CUADRO5!C14</f>
        <v>35.91767244263</v>
      </c>
      <c r="O54" s="90" t="e">
        <f>CUADRO5!C12+CUADRO5!#REF!+CUADRO5!C15</f>
        <v>#REF!</v>
      </c>
      <c r="P54" s="87">
        <f>CUADRO5!C13+CUADRO5!C16</f>
        <v>9514.9243252260021</v>
      </c>
      <c r="Q54" s="90">
        <f>CUADRO5!C11</f>
        <v>39115.354909756679</v>
      </c>
      <c r="R54" s="87">
        <f>CUADRO5!C10</f>
        <v>14990.2366117455</v>
      </c>
      <c r="S54" s="90">
        <v>0</v>
      </c>
      <c r="T54" s="87">
        <v>0</v>
      </c>
      <c r="U54" s="90">
        <v>0</v>
      </c>
      <c r="V54" s="87">
        <v>0</v>
      </c>
      <c r="W54" s="90">
        <v>0</v>
      </c>
      <c r="X54" s="87" t="e">
        <f>SUM(M54:W54)</f>
        <v>#REF!</v>
      </c>
      <c r="Y54" s="209" t="e">
        <f>X54+L54</f>
        <v>#REF!</v>
      </c>
      <c r="Z54" s="5"/>
    </row>
    <row r="55" spans="1:27">
      <c r="A55" s="1485"/>
      <c r="B55" s="402"/>
      <c r="C55" s="286"/>
      <c r="D55" s="87"/>
      <c r="E55" s="90"/>
      <c r="F55" s="87"/>
      <c r="G55" s="90"/>
      <c r="H55" s="87"/>
      <c r="I55" s="90"/>
      <c r="J55" s="87"/>
      <c r="K55" s="408"/>
      <c r="L55" s="405"/>
      <c r="M55" s="90"/>
      <c r="N55" s="87"/>
      <c r="O55" s="90"/>
      <c r="P55" s="87"/>
      <c r="Q55" s="90"/>
      <c r="R55" s="87"/>
      <c r="S55" s="90"/>
      <c r="T55" s="87"/>
      <c r="U55" s="90"/>
      <c r="V55" s="87"/>
      <c r="W55" s="90"/>
      <c r="X55" s="87"/>
      <c r="Y55" s="209"/>
      <c r="Z55" s="3"/>
    </row>
    <row r="56" spans="1:27">
      <c r="A56" s="1485"/>
      <c r="B56" s="402" t="s">
        <v>340</v>
      </c>
      <c r="C56" s="286">
        <v>0</v>
      </c>
      <c r="D56" s="87">
        <f>CUADRO5!D25</f>
        <v>664.72789555519751</v>
      </c>
      <c r="E56" s="90">
        <f>CUADRO5!D20</f>
        <v>3948.8956068155503</v>
      </c>
      <c r="F56" s="87">
        <v>0</v>
      </c>
      <c r="G56" s="90">
        <v>0</v>
      </c>
      <c r="H56" s="87">
        <v>0</v>
      </c>
      <c r="I56" s="90">
        <f>CUADRO5!D27</f>
        <v>16272.219563176368</v>
      </c>
      <c r="J56" s="87">
        <v>0</v>
      </c>
      <c r="K56" s="408">
        <v>0</v>
      </c>
      <c r="L56" s="405">
        <f>SUM(C56:K56)</f>
        <v>20885.843065547117</v>
      </c>
      <c r="M56" s="90">
        <f>CUADRO5!D19</f>
        <v>31504.953697691853</v>
      </c>
      <c r="N56" s="87">
        <f>CUADRO5!D14</f>
        <v>3475.4786927748787</v>
      </c>
      <c r="O56" s="90" t="e">
        <f>CUADRO5!D12+CUADRO5!#REF!+CUADRO5!D15</f>
        <v>#REF!</v>
      </c>
      <c r="P56" s="87">
        <f>CUADRO5!D13+CUADRO5!D16</f>
        <v>285.95282094000004</v>
      </c>
      <c r="Q56" s="90">
        <f>CUADRO5!D11</f>
        <v>22361.74692975224</v>
      </c>
      <c r="R56" s="87">
        <f>CUADRO5!D10</f>
        <v>9684.0364822079118</v>
      </c>
      <c r="S56" s="90">
        <f>CUADRO5!D21</f>
        <v>2922.1378696858251</v>
      </c>
      <c r="T56" s="87">
        <v>0</v>
      </c>
      <c r="U56" s="90">
        <f>CUADRO5!D18+CUADRO5!D23+CUADRO5!D24</f>
        <v>927.04334181446245</v>
      </c>
      <c r="V56" s="87">
        <f>CUADRO5!D17+CUADRO5!D22</f>
        <v>18.209341500000001</v>
      </c>
      <c r="W56" s="90">
        <v>0</v>
      </c>
      <c r="X56" s="87" t="e">
        <f>SUM(M56:W56)</f>
        <v>#REF!</v>
      </c>
      <c r="Y56" s="209" t="e">
        <f>X56+L56</f>
        <v>#REF!</v>
      </c>
      <c r="Z56" s="5"/>
    </row>
    <row r="57" spans="1:27">
      <c r="A57" s="1485"/>
      <c r="B57" s="402"/>
      <c r="C57" s="286"/>
      <c r="D57" s="87"/>
      <c r="E57" s="90"/>
      <c r="F57" s="87"/>
      <c r="G57" s="90"/>
      <c r="H57" s="87"/>
      <c r="I57" s="90"/>
      <c r="J57" s="87"/>
      <c r="K57" s="408"/>
      <c r="L57" s="405"/>
      <c r="M57" s="90"/>
      <c r="N57" s="87"/>
      <c r="O57" s="90"/>
      <c r="P57" s="87"/>
      <c r="Q57" s="90"/>
      <c r="R57" s="87"/>
      <c r="S57" s="90"/>
      <c r="T57" s="87"/>
      <c r="U57" s="90"/>
      <c r="V57" s="87"/>
      <c r="W57" s="90"/>
      <c r="X57" s="87"/>
      <c r="Y57" s="209"/>
      <c r="Z57" s="3"/>
    </row>
    <row r="58" spans="1:27">
      <c r="A58" s="1485"/>
      <c r="B58" s="402" t="s">
        <v>134</v>
      </c>
      <c r="C58" s="286">
        <v>0</v>
      </c>
      <c r="D58" s="87">
        <f>CUADRO8!E19</f>
        <v>3954.136344131733</v>
      </c>
      <c r="E58" s="90">
        <f>CUADRO8!E17</f>
        <v>0.146231</v>
      </c>
      <c r="F58" s="87">
        <v>0</v>
      </c>
      <c r="G58" s="90">
        <v>0</v>
      </c>
      <c r="H58" s="87">
        <v>0</v>
      </c>
      <c r="I58" s="90">
        <f>CUADRO8!E20</f>
        <v>29505.216625181194</v>
      </c>
      <c r="J58" s="87">
        <v>0</v>
      </c>
      <c r="K58" s="408">
        <v>0</v>
      </c>
      <c r="L58" s="405">
        <f>SUM(C58:K58)</f>
        <v>33459.49920031293</v>
      </c>
      <c r="M58" s="90">
        <f>CUADRO8!E16</f>
        <v>7524.0999803562127</v>
      </c>
      <c r="N58" s="87">
        <f>CUADRO8!E14</f>
        <v>8965.6698186636804</v>
      </c>
      <c r="O58" s="90">
        <f>0</f>
        <v>0</v>
      </c>
      <c r="P58" s="87">
        <f>CUADRO8!E13</f>
        <v>570.933058437</v>
      </c>
      <c r="Q58" s="90">
        <f>CUADRO8!E12</f>
        <v>52.553194857240008</v>
      </c>
      <c r="R58" s="87">
        <f>CUADRO8!E11</f>
        <v>0</v>
      </c>
      <c r="S58" s="90">
        <v>0</v>
      </c>
      <c r="T58" s="87">
        <v>0</v>
      </c>
      <c r="U58" s="90">
        <f>CUADRO8!E18</f>
        <v>117.4179346138463</v>
      </c>
      <c r="V58" s="87">
        <v>0</v>
      </c>
      <c r="W58" s="90">
        <v>0</v>
      </c>
      <c r="X58" s="87">
        <f>SUM(M58:W58)</f>
        <v>17230.673986927981</v>
      </c>
      <c r="Y58" s="209">
        <f>X58+L58</f>
        <v>50690.173187240915</v>
      </c>
      <c r="Z58" s="5"/>
    </row>
    <row r="59" spans="1:27">
      <c r="A59" s="1485"/>
      <c r="B59" s="402" t="s">
        <v>288</v>
      </c>
      <c r="C59" s="286"/>
      <c r="D59" s="87"/>
      <c r="E59" s="90"/>
      <c r="F59" s="87"/>
      <c r="G59" s="90"/>
      <c r="H59" s="87"/>
      <c r="I59" s="90"/>
      <c r="J59" s="87"/>
      <c r="K59" s="408"/>
      <c r="L59" s="405"/>
      <c r="M59" s="90"/>
      <c r="N59" s="87"/>
      <c r="O59" s="90"/>
      <c r="P59" s="87"/>
      <c r="Q59" s="90"/>
      <c r="R59" s="87"/>
      <c r="S59" s="90"/>
      <c r="T59" s="87"/>
      <c r="U59" s="90"/>
      <c r="V59" s="87"/>
      <c r="W59" s="90"/>
      <c r="X59" s="87"/>
      <c r="Y59" s="209"/>
      <c r="Z59" s="3"/>
    </row>
    <row r="60" spans="1:27">
      <c r="A60" s="1485"/>
      <c r="B60" s="402" t="s">
        <v>341</v>
      </c>
      <c r="C60" s="286">
        <v>0</v>
      </c>
      <c r="D60" s="87">
        <f>CUADRO8!C19+CUADRO8!D19</f>
        <v>1279.7078589336686</v>
      </c>
      <c r="E60" s="90">
        <f>CUADRO8!C17+CUADRO8!D17</f>
        <v>43.714856290898759</v>
      </c>
      <c r="F60" s="87">
        <v>0</v>
      </c>
      <c r="G60" s="90">
        <v>0</v>
      </c>
      <c r="H60" s="87">
        <v>0</v>
      </c>
      <c r="I60" s="90">
        <f>CUADRO8!C20+CUADRO8!D20</f>
        <v>0</v>
      </c>
      <c r="J60" s="87">
        <v>0</v>
      </c>
      <c r="K60" s="408">
        <v>0</v>
      </c>
      <c r="L60" s="405">
        <f>SUM(C60:K60)</f>
        <v>1323.4227152245674</v>
      </c>
      <c r="M60" s="90">
        <f>CUADRO8!C16+CUADRO8!D16</f>
        <v>6567.3250872920644</v>
      </c>
      <c r="N60" s="87">
        <f>CUADRO8!C14+CUADRO8!D14</f>
        <v>1256.5657194029588</v>
      </c>
      <c r="O60" s="90">
        <v>0</v>
      </c>
      <c r="P60" s="87">
        <f>CUADRO8!C13+CUADRO8!D13</f>
        <v>6.1894044000000008</v>
      </c>
      <c r="Q60" s="90">
        <f>CUADRO8!C12+CUADRO8!D12</f>
        <v>1763.1717792905997</v>
      </c>
      <c r="R60" s="87">
        <f>CUADRO8!C11+CUADRO8!D11</f>
        <v>628.90685346300006</v>
      </c>
      <c r="S60" s="90">
        <v>0</v>
      </c>
      <c r="T60" s="87">
        <v>0</v>
      </c>
      <c r="U60" s="90">
        <f>CUADRO8!C18+CUADRO8!D18</f>
        <v>137.31647796105798</v>
      </c>
      <c r="V60" s="87">
        <f>CUADRO8!D15</f>
        <v>0</v>
      </c>
      <c r="W60" s="90">
        <v>0</v>
      </c>
      <c r="X60" s="87">
        <f>SUM(M60:W60)</f>
        <v>10359.475321809681</v>
      </c>
      <c r="Y60" s="209">
        <f>X60+L60</f>
        <v>11682.898037034249</v>
      </c>
      <c r="Z60" s="5"/>
    </row>
    <row r="61" spans="1:27">
      <c r="A61" s="1485"/>
      <c r="B61" s="402" t="s">
        <v>288</v>
      </c>
      <c r="C61" s="286"/>
      <c r="D61" s="87"/>
      <c r="E61" s="90"/>
      <c r="F61" s="87"/>
      <c r="G61" s="90"/>
      <c r="H61" s="87"/>
      <c r="I61" s="90"/>
      <c r="J61" s="87"/>
      <c r="K61" s="408"/>
      <c r="L61" s="405"/>
      <c r="M61" s="90"/>
      <c r="N61" s="87"/>
      <c r="O61" s="90"/>
      <c r="P61" s="87"/>
      <c r="Q61" s="90"/>
      <c r="R61" s="87"/>
      <c r="S61" s="90"/>
      <c r="T61" s="87"/>
      <c r="U61" s="90"/>
      <c r="V61" s="87"/>
      <c r="W61" s="90"/>
      <c r="X61" s="87"/>
      <c r="Y61" s="209"/>
      <c r="Z61" s="3"/>
    </row>
    <row r="62" spans="1:27">
      <c r="A62" s="1485"/>
      <c r="B62" s="402" t="s">
        <v>342</v>
      </c>
      <c r="C62" s="286">
        <v>0</v>
      </c>
      <c r="D62" s="87">
        <v>0</v>
      </c>
      <c r="E62" s="90">
        <v>0</v>
      </c>
      <c r="F62" s="87">
        <v>0</v>
      </c>
      <c r="G62" s="90">
        <v>0</v>
      </c>
      <c r="H62" s="87">
        <v>0</v>
      </c>
      <c r="I62" s="90">
        <v>0</v>
      </c>
      <c r="J62" s="87">
        <v>0</v>
      </c>
      <c r="K62" s="408">
        <v>0</v>
      </c>
      <c r="L62" s="405">
        <f>SUM(C62:K62)</f>
        <v>0</v>
      </c>
      <c r="M62" s="90">
        <v>0</v>
      </c>
      <c r="N62" s="87">
        <v>0</v>
      </c>
      <c r="O62" s="90">
        <v>0</v>
      </c>
      <c r="P62" s="87">
        <v>0</v>
      </c>
      <c r="Q62" s="90">
        <v>0</v>
      </c>
      <c r="R62" s="87">
        <v>0</v>
      </c>
      <c r="S62" s="90">
        <v>0</v>
      </c>
      <c r="T62" s="87">
        <v>0</v>
      </c>
      <c r="U62" s="90">
        <v>0</v>
      </c>
      <c r="V62" s="87">
        <v>0</v>
      </c>
      <c r="W62" s="90">
        <v>0</v>
      </c>
      <c r="X62" s="87">
        <f>SUM(M62:W62)</f>
        <v>0</v>
      </c>
      <c r="Y62" s="209">
        <f>X62+L62</f>
        <v>0</v>
      </c>
      <c r="Z62" s="5"/>
    </row>
    <row r="63" spans="1:27">
      <c r="A63" s="1485"/>
      <c r="B63" s="402" t="s">
        <v>288</v>
      </c>
      <c r="C63" s="286"/>
      <c r="D63" s="87"/>
      <c r="E63" s="90"/>
      <c r="F63" s="87"/>
      <c r="G63" s="90"/>
      <c r="H63" s="87"/>
      <c r="I63" s="90"/>
      <c r="J63" s="87"/>
      <c r="K63" s="408"/>
      <c r="L63" s="405"/>
      <c r="M63" s="90"/>
      <c r="N63" s="87"/>
      <c r="O63" s="90"/>
      <c r="P63" s="87"/>
      <c r="Q63" s="90"/>
      <c r="R63" s="87"/>
      <c r="S63" s="90"/>
      <c r="T63" s="87"/>
      <c r="U63" s="90"/>
      <c r="V63" s="87"/>
      <c r="W63" s="90"/>
      <c r="X63" s="87"/>
      <c r="Y63" s="209"/>
      <c r="Z63" s="3"/>
    </row>
    <row r="64" spans="1:27">
      <c r="A64" s="1485"/>
      <c r="B64" s="402" t="s">
        <v>343</v>
      </c>
      <c r="C64" s="286">
        <v>0</v>
      </c>
      <c r="D64" s="87">
        <v>0</v>
      </c>
      <c r="E64" s="90">
        <v>0</v>
      </c>
      <c r="F64" s="87">
        <v>0</v>
      </c>
      <c r="G64" s="90">
        <v>0</v>
      </c>
      <c r="H64" s="87">
        <v>0</v>
      </c>
      <c r="I64" s="90">
        <v>0</v>
      </c>
      <c r="J64" s="87">
        <v>0</v>
      </c>
      <c r="K64" s="408">
        <v>0</v>
      </c>
      <c r="L64" s="405">
        <f>SUM(C64:K64)</f>
        <v>0</v>
      </c>
      <c r="M64" s="90">
        <v>0</v>
      </c>
      <c r="N64" s="87">
        <v>0</v>
      </c>
      <c r="O64" s="90">
        <v>0</v>
      </c>
      <c r="P64" s="87">
        <v>0</v>
      </c>
      <c r="Q64" s="90">
        <v>0</v>
      </c>
      <c r="R64" s="87">
        <v>0</v>
      </c>
      <c r="S64" s="90">
        <v>0</v>
      </c>
      <c r="T64" s="87">
        <v>0</v>
      </c>
      <c r="U64" s="90">
        <v>0</v>
      </c>
      <c r="V64" s="87">
        <v>0</v>
      </c>
      <c r="W64" s="90">
        <v>0</v>
      </c>
      <c r="X64" s="87">
        <f>SUM(M64:W64)</f>
        <v>0</v>
      </c>
      <c r="Y64" s="209">
        <f>X64+L64</f>
        <v>0</v>
      </c>
      <c r="Z64" s="5"/>
    </row>
    <row r="65" spans="1:27" ht="13.5" thickBot="1">
      <c r="A65" s="1485"/>
      <c r="B65" s="403" t="s">
        <v>288</v>
      </c>
      <c r="C65" s="419"/>
      <c r="D65" s="210"/>
      <c r="E65" s="196"/>
      <c r="F65" s="210"/>
      <c r="G65" s="196"/>
      <c r="H65" s="210"/>
      <c r="I65" s="196"/>
      <c r="J65" s="210"/>
      <c r="K65" s="409"/>
      <c r="L65" s="406"/>
      <c r="M65" s="196"/>
      <c r="N65" s="210"/>
      <c r="O65" s="196"/>
      <c r="P65" s="210"/>
      <c r="Q65" s="196"/>
      <c r="R65" s="210"/>
      <c r="S65" s="196"/>
      <c r="T65" s="210"/>
      <c r="U65" s="196"/>
      <c r="V65" s="210"/>
      <c r="W65" s="196"/>
      <c r="X65" s="210"/>
      <c r="Y65" s="211"/>
      <c r="Z65" s="3"/>
    </row>
    <row r="66" spans="1:27">
      <c r="A66" s="1485"/>
      <c r="B66" s="188" t="s">
        <v>344</v>
      </c>
      <c r="C66" s="204">
        <v>0</v>
      </c>
      <c r="D66" s="217">
        <f>SUM(D54:D64)+D50</f>
        <v>6054.8523290900312</v>
      </c>
      <c r="E66" s="217">
        <f t="shared" ref="E66:W66" si="4">SUM(E54:E64)+E50</f>
        <v>3992.7566941064492</v>
      </c>
      <c r="F66" s="217">
        <f t="shared" si="4"/>
        <v>0</v>
      </c>
      <c r="G66" s="217">
        <f t="shared" si="4"/>
        <v>0</v>
      </c>
      <c r="H66" s="217">
        <f t="shared" si="4"/>
        <v>0</v>
      </c>
      <c r="I66" s="217">
        <f t="shared" si="4"/>
        <v>45777.436188357562</v>
      </c>
      <c r="J66" s="217">
        <f t="shared" si="4"/>
        <v>0</v>
      </c>
      <c r="K66" s="217">
        <f t="shared" si="4"/>
        <v>0</v>
      </c>
      <c r="L66" s="405">
        <f>SUM(C66:K66)</f>
        <v>55825.045211554039</v>
      </c>
      <c r="M66" s="215">
        <f t="shared" si="4"/>
        <v>47968.608476659028</v>
      </c>
      <c r="N66" s="215">
        <f t="shared" si="4"/>
        <v>15049.877081445149</v>
      </c>
      <c r="O66" s="215" t="e">
        <f t="shared" si="4"/>
        <v>#REF!</v>
      </c>
      <c r="P66" s="215">
        <f t="shared" si="4"/>
        <v>10377.999609003002</v>
      </c>
      <c r="Q66" s="215">
        <f t="shared" si="4"/>
        <v>63585.116292088758</v>
      </c>
      <c r="R66" s="215">
        <f t="shared" si="4"/>
        <v>25961.610613416411</v>
      </c>
      <c r="S66" s="215">
        <f t="shared" si="4"/>
        <v>2922.1378696858251</v>
      </c>
      <c r="T66" s="215">
        <f t="shared" si="4"/>
        <v>0</v>
      </c>
      <c r="U66" s="215">
        <f t="shared" si="4"/>
        <v>5760.6982924549047</v>
      </c>
      <c r="V66" s="215">
        <f t="shared" si="4"/>
        <v>1318.0291034999998</v>
      </c>
      <c r="W66" s="215">
        <f t="shared" si="4"/>
        <v>0</v>
      </c>
      <c r="X66" s="215" t="e">
        <f>SUM(X54:X64)+X50</f>
        <v>#REF!</v>
      </c>
      <c r="Y66" s="400" t="e">
        <f>X66+L66</f>
        <v>#REF!</v>
      </c>
      <c r="Z66" s="5"/>
    </row>
    <row r="67" spans="1:27">
      <c r="A67" s="1485"/>
      <c r="B67" s="188"/>
      <c r="C67" s="204"/>
      <c r="D67" s="217"/>
      <c r="E67" s="218"/>
      <c r="F67" s="217"/>
      <c r="G67" s="218"/>
      <c r="H67" s="217"/>
      <c r="I67" s="218"/>
      <c r="J67" s="217"/>
      <c r="K67" s="218"/>
      <c r="L67" s="217"/>
      <c r="M67" s="218"/>
      <c r="N67" s="217"/>
      <c r="O67" s="218"/>
      <c r="P67" s="217"/>
      <c r="Q67" s="218"/>
      <c r="R67" s="217"/>
      <c r="S67" s="218"/>
      <c r="T67" s="217"/>
      <c r="U67" s="218"/>
      <c r="V67" s="217"/>
      <c r="W67" s="218"/>
      <c r="X67" s="217"/>
      <c r="Y67" s="209"/>
      <c r="Z67" s="3"/>
    </row>
    <row r="68" spans="1:27">
      <c r="A68" s="1485"/>
      <c r="B68" s="188" t="s">
        <v>345</v>
      </c>
      <c r="C68" s="204">
        <v>0</v>
      </c>
      <c r="D68" s="217">
        <v>0</v>
      </c>
      <c r="E68" s="218">
        <v>0</v>
      </c>
      <c r="F68" s="217">
        <v>0</v>
      </c>
      <c r="G68" s="218">
        <v>0</v>
      </c>
      <c r="H68" s="217">
        <v>0</v>
      </c>
      <c r="I68" s="218">
        <v>0</v>
      </c>
      <c r="J68" s="217">
        <v>0</v>
      </c>
      <c r="K68" s="218">
        <v>0</v>
      </c>
      <c r="L68" s="217">
        <v>0</v>
      </c>
      <c r="M68" s="218">
        <v>0</v>
      </c>
      <c r="N68" s="217">
        <v>0</v>
      </c>
      <c r="O68" s="218">
        <v>0</v>
      </c>
      <c r="P68" s="217">
        <v>0</v>
      </c>
      <c r="Q68" s="218">
        <v>0</v>
      </c>
      <c r="R68" s="217">
        <v>0</v>
      </c>
      <c r="S68" s="218">
        <v>0</v>
      </c>
      <c r="T68" s="217">
        <v>0</v>
      </c>
      <c r="U68" s="218">
        <v>0</v>
      </c>
      <c r="V68" s="217">
        <v>0</v>
      </c>
      <c r="W68" s="218">
        <f>W26</f>
        <v>1562.1975598832</v>
      </c>
      <c r="X68" s="217">
        <f>SUM(M68:W68)</f>
        <v>1562.1975598832</v>
      </c>
      <c r="Y68" s="209">
        <f>X68+L68</f>
        <v>1562.1975598832</v>
      </c>
      <c r="Z68" s="5"/>
    </row>
    <row r="69" spans="1:27" ht="13.5" thickBot="1">
      <c r="A69" s="1485"/>
      <c r="B69" s="189"/>
      <c r="C69" s="205"/>
      <c r="D69" s="212"/>
      <c r="E69" s="201"/>
      <c r="F69" s="212"/>
      <c r="G69" s="201"/>
      <c r="H69" s="212"/>
      <c r="I69" s="201"/>
      <c r="J69" s="212"/>
      <c r="K69" s="201"/>
      <c r="L69" s="212"/>
      <c r="M69" s="201"/>
      <c r="N69" s="212"/>
      <c r="O69" s="201"/>
      <c r="P69" s="212"/>
      <c r="Q69" s="201"/>
      <c r="R69" s="212"/>
      <c r="S69" s="201"/>
      <c r="T69" s="212"/>
      <c r="U69" s="201"/>
      <c r="V69" s="212"/>
      <c r="W69" s="201"/>
      <c r="X69" s="212"/>
      <c r="Y69" s="211"/>
      <c r="Z69" s="5"/>
    </row>
    <row r="70" spans="1:27" ht="13.5" thickBot="1">
      <c r="A70" s="1486"/>
      <c r="B70" s="233" t="s">
        <v>346</v>
      </c>
      <c r="C70" s="220">
        <v>0</v>
      </c>
      <c r="D70" s="219">
        <f t="shared" ref="D70:X70" si="5">D66+D68</f>
        <v>6054.8523290900312</v>
      </c>
      <c r="E70" s="220">
        <f t="shared" si="5"/>
        <v>3992.7566941064492</v>
      </c>
      <c r="F70" s="219">
        <f t="shared" si="5"/>
        <v>0</v>
      </c>
      <c r="G70" s="220">
        <f t="shared" si="5"/>
        <v>0</v>
      </c>
      <c r="H70" s="219">
        <f t="shared" si="5"/>
        <v>0</v>
      </c>
      <c r="I70" s="220">
        <f t="shared" si="5"/>
        <v>45777.436188357562</v>
      </c>
      <c r="J70" s="219">
        <f t="shared" si="5"/>
        <v>0</v>
      </c>
      <c r="K70" s="220">
        <f t="shared" si="5"/>
        <v>0</v>
      </c>
      <c r="L70" s="219">
        <f>SUM(C70:K70)</f>
        <v>55825.045211554039</v>
      </c>
      <c r="M70" s="220">
        <f t="shared" si="5"/>
        <v>47968.608476659028</v>
      </c>
      <c r="N70" s="219">
        <f t="shared" si="5"/>
        <v>15049.877081445149</v>
      </c>
      <c r="O70" s="220" t="e">
        <f t="shared" si="5"/>
        <v>#REF!</v>
      </c>
      <c r="P70" s="229">
        <f t="shared" si="5"/>
        <v>10377.999609003002</v>
      </c>
      <c r="Q70" s="220">
        <f t="shared" si="5"/>
        <v>63585.116292088758</v>
      </c>
      <c r="R70" s="229">
        <f t="shared" si="5"/>
        <v>25961.610613416411</v>
      </c>
      <c r="S70" s="219">
        <f t="shared" si="5"/>
        <v>2922.1378696858251</v>
      </c>
      <c r="T70" s="220">
        <f t="shared" si="5"/>
        <v>0</v>
      </c>
      <c r="U70" s="219">
        <f t="shared" si="5"/>
        <v>5760.6982924549047</v>
      </c>
      <c r="V70" s="220">
        <f t="shared" si="5"/>
        <v>1318.0291034999998</v>
      </c>
      <c r="W70" s="219">
        <f t="shared" si="5"/>
        <v>1562.1975598832</v>
      </c>
      <c r="X70" s="220" t="e">
        <f t="shared" si="5"/>
        <v>#REF!</v>
      </c>
      <c r="Y70" s="221" t="e">
        <f>X70+L70</f>
        <v>#REF!</v>
      </c>
      <c r="Z70" s="5"/>
      <c r="AA70" s="5"/>
    </row>
    <row r="71" spans="1:27" ht="13.5" thickBot="1">
      <c r="A71" s="232"/>
      <c r="B71" s="234" t="s">
        <v>530</v>
      </c>
      <c r="C71" s="220">
        <f>C70+C48</f>
        <v>0</v>
      </c>
      <c r="D71" s="219">
        <f t="shared" ref="D71:Y71" si="6">D70+D48</f>
        <v>24437.9997902383</v>
      </c>
      <c r="E71" s="220">
        <f t="shared" si="6"/>
        <v>43695.012246857084</v>
      </c>
      <c r="F71" s="219">
        <f t="shared" si="6"/>
        <v>0</v>
      </c>
      <c r="G71" s="220">
        <f t="shared" si="6"/>
        <v>0</v>
      </c>
      <c r="H71" s="219">
        <f t="shared" si="6"/>
        <v>0</v>
      </c>
      <c r="I71" s="220">
        <f t="shared" si="6"/>
        <v>51169.578324994305</v>
      </c>
      <c r="J71" s="219">
        <f t="shared" si="6"/>
        <v>0</v>
      </c>
      <c r="K71" s="220">
        <f t="shared" si="6"/>
        <v>0</v>
      </c>
      <c r="L71" s="219">
        <f>SUM(C71:K71)</f>
        <v>119302.59036208969</v>
      </c>
      <c r="M71" s="220">
        <f t="shared" si="6"/>
        <v>47968.608476659028</v>
      </c>
      <c r="N71" s="219">
        <f t="shared" si="6"/>
        <v>16044.42162636268</v>
      </c>
      <c r="O71" s="220" t="e">
        <f t="shared" si="6"/>
        <v>#REF!</v>
      </c>
      <c r="P71" s="229">
        <f t="shared" si="6"/>
        <v>10377.999609003002</v>
      </c>
      <c r="Q71" s="220">
        <f t="shared" si="6"/>
        <v>89787.370098684944</v>
      </c>
      <c r="R71" s="229">
        <f t="shared" si="6"/>
        <v>29056.231554335998</v>
      </c>
      <c r="S71" s="219">
        <f t="shared" si="6"/>
        <v>8995.5495196858265</v>
      </c>
      <c r="T71" s="220">
        <f t="shared" si="6"/>
        <v>0</v>
      </c>
      <c r="U71" s="219">
        <f t="shared" si="6"/>
        <v>5932.1617730376602</v>
      </c>
      <c r="V71" s="220">
        <f t="shared" si="6"/>
        <v>1318.0291034999998</v>
      </c>
      <c r="W71" s="219">
        <f t="shared" si="6"/>
        <v>1562.1975598832</v>
      </c>
      <c r="X71" s="220" t="e">
        <f t="shared" si="6"/>
        <v>#REF!</v>
      </c>
      <c r="Y71" s="401" t="e">
        <f t="shared" si="6"/>
        <v>#REF!</v>
      </c>
      <c r="Z71" s="3"/>
    </row>
    <row r="72" spans="1:27">
      <c r="A72" s="3"/>
      <c r="B72" s="3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110"/>
      <c r="Y72" s="58"/>
      <c r="Z72" s="5"/>
    </row>
    <row r="73" spans="1:27">
      <c r="A73" s="3"/>
      <c r="B73" s="3"/>
      <c r="C73" s="58"/>
      <c r="D73" s="58"/>
      <c r="E73" s="110"/>
      <c r="F73" s="58"/>
      <c r="G73" s="58"/>
      <c r="H73" s="58"/>
      <c r="I73" s="58"/>
      <c r="J73" s="58"/>
      <c r="K73" s="58"/>
      <c r="L73" s="110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110"/>
      <c r="Z73" s="3"/>
    </row>
    <row r="74" spans="1:27">
      <c r="A74" s="3"/>
      <c r="B74" s="3"/>
      <c r="C74" s="3" t="s">
        <v>531</v>
      </c>
      <c r="D74" s="58"/>
      <c r="E74" s="58"/>
      <c r="F74" s="58"/>
      <c r="G74" s="58"/>
      <c r="H74" s="58"/>
      <c r="I74" s="58"/>
      <c r="J74" s="58"/>
      <c r="K74" s="58"/>
      <c r="L74" s="58"/>
      <c r="M74" s="110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110"/>
      <c r="Z74" s="3"/>
    </row>
    <row r="75" spans="1:27">
      <c r="A75" s="3"/>
      <c r="B75" s="3"/>
      <c r="C75" s="3" t="s">
        <v>532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3"/>
    </row>
    <row r="76" spans="1:27">
      <c r="A76" s="3"/>
      <c r="B76" s="3"/>
      <c r="C76" s="3" t="s">
        <v>533</v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3"/>
    </row>
    <row r="77" spans="1:27">
      <c r="A77" s="3"/>
      <c r="B77" s="3"/>
      <c r="C77" s="3" t="s">
        <v>534</v>
      </c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3"/>
    </row>
    <row r="78" spans="1:27">
      <c r="A78" s="3"/>
      <c r="B78" s="3"/>
      <c r="C78" s="3" t="s">
        <v>535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3"/>
    </row>
    <row r="79" spans="1:27">
      <c r="A79" s="3"/>
      <c r="B79" s="3"/>
      <c r="C79" s="231" t="s">
        <v>536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3"/>
    </row>
    <row r="80" spans="1:27">
      <c r="A80" s="3"/>
      <c r="B80" s="3"/>
      <c r="C80" s="231" t="s">
        <v>545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3"/>
    </row>
    <row r="81" spans="1:26">
      <c r="A81" s="3"/>
      <c r="B81" s="3"/>
      <c r="C81" s="231" t="s">
        <v>544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3"/>
    </row>
    <row r="82" spans="1:26">
      <c r="A82" s="3"/>
      <c r="B82" s="3"/>
      <c r="C82" s="231" t="s">
        <v>645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3"/>
    </row>
    <row r="83" spans="1:26">
      <c r="A83" s="3"/>
      <c r="B83" s="3"/>
      <c r="C83" s="3" t="s">
        <v>644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</sheetData>
  <mergeCells count="5">
    <mergeCell ref="A53:A70"/>
    <mergeCell ref="C4:L4"/>
    <mergeCell ref="M4:Y4"/>
    <mergeCell ref="A8:A25"/>
    <mergeCell ref="A27:A47"/>
  </mergeCells>
  <phoneticPr fontId="0" type="noConversion"/>
  <hyperlinks>
    <hyperlink ref="E1" location="INDICE!A60" display="VOLVER A INDICE"/>
  </hyperlinks>
  <pageMargins left="0.75" right="0.75" top="1" bottom="1" header="0" footer="0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showGridLines="0" workbookViewId="0">
      <selection activeCell="G7" sqref="G7"/>
    </sheetView>
  </sheetViews>
  <sheetFormatPr baseColWidth="10" defaultRowHeight="12.75"/>
  <cols>
    <col min="1" max="1" width="3" customWidth="1"/>
    <col min="2" max="2" width="41.5703125" customWidth="1"/>
  </cols>
  <sheetData>
    <row r="1" spans="1:8" ht="13.5" thickBot="1">
      <c r="A1" s="815"/>
      <c r="B1" s="504"/>
      <c r="C1" s="1388"/>
      <c r="D1" s="1388"/>
      <c r="E1" s="1388"/>
      <c r="F1" s="62"/>
      <c r="G1" s="62"/>
      <c r="H1" s="62"/>
    </row>
    <row r="2" spans="1:8">
      <c r="A2" s="815"/>
      <c r="B2" s="569"/>
      <c r="C2" s="1389"/>
      <c r="D2" s="1389"/>
      <c r="E2" s="1389"/>
      <c r="F2" s="1390"/>
      <c r="G2" s="1391"/>
      <c r="H2" s="509" t="s">
        <v>649</v>
      </c>
    </row>
    <row r="3" spans="1:8">
      <c r="A3" s="815"/>
      <c r="B3" s="1392"/>
      <c r="C3" s="1393" t="s">
        <v>347</v>
      </c>
      <c r="D3" s="1394"/>
      <c r="E3" s="1394"/>
      <c r="F3" s="1395"/>
      <c r="G3" s="1391"/>
      <c r="H3" s="1391"/>
    </row>
    <row r="4" spans="1:8">
      <c r="A4" s="815"/>
      <c r="B4" s="1396"/>
      <c r="C4" s="1397" t="s">
        <v>772</v>
      </c>
      <c r="D4" s="1394"/>
      <c r="E4" s="1394"/>
      <c r="F4" s="1395"/>
      <c r="G4" s="1391"/>
      <c r="H4" s="1391"/>
    </row>
    <row r="5" spans="1:8">
      <c r="A5" s="815"/>
      <c r="B5" s="1396"/>
      <c r="C5" s="1393"/>
      <c r="D5" s="1398" t="s">
        <v>348</v>
      </c>
      <c r="E5" s="1398"/>
      <c r="F5" s="1395"/>
      <c r="G5" s="1391"/>
      <c r="H5" s="1391"/>
    </row>
    <row r="6" spans="1:8" ht="13.5" thickBot="1">
      <c r="A6" s="815"/>
      <c r="B6" s="1396"/>
      <c r="C6" s="1393"/>
      <c r="D6" s="1394" t="s">
        <v>349</v>
      </c>
      <c r="E6" s="1394" t="s">
        <v>350</v>
      </c>
      <c r="F6" s="1395"/>
      <c r="G6" s="1391"/>
      <c r="H6" s="1391"/>
    </row>
    <row r="7" spans="1:8">
      <c r="A7" s="815"/>
      <c r="B7" s="1399" t="s">
        <v>351</v>
      </c>
      <c r="C7" s="1400">
        <f>C10+C15</f>
        <v>14296.422000000002</v>
      </c>
      <c r="D7" s="1401">
        <v>1</v>
      </c>
      <c r="E7" s="1401"/>
      <c r="F7" s="1402"/>
      <c r="G7" s="1391"/>
      <c r="H7" s="1391"/>
    </row>
    <row r="8" spans="1:8">
      <c r="A8" s="815"/>
      <c r="B8" s="1403" t="s">
        <v>352</v>
      </c>
      <c r="C8" s="1404"/>
      <c r="D8" s="1405"/>
      <c r="E8" s="1405"/>
      <c r="F8" s="1406"/>
      <c r="G8" s="1391"/>
      <c r="H8" s="1391"/>
    </row>
    <row r="9" spans="1:8">
      <c r="A9" s="815"/>
      <c r="B9" s="1403"/>
      <c r="C9" s="1404"/>
      <c r="D9" s="1405"/>
      <c r="E9" s="1405"/>
      <c r="F9" s="1406"/>
      <c r="G9" s="1391"/>
      <c r="H9" s="1391"/>
    </row>
    <row r="10" spans="1:8">
      <c r="A10" s="815"/>
      <c r="B10" s="1403" t="s">
        <v>353</v>
      </c>
      <c r="C10" s="1407">
        <f>C11+C12+C13</f>
        <v>9250.7350000000006</v>
      </c>
      <c r="D10" s="1405">
        <f>C10/C7</f>
        <v>0.6470664478147049</v>
      </c>
      <c r="E10" s="1405"/>
      <c r="F10" s="1406"/>
      <c r="G10" s="1408"/>
      <c r="H10" s="1391"/>
    </row>
    <row r="11" spans="1:8">
      <c r="A11" s="815"/>
      <c r="B11" s="1409" t="s">
        <v>354</v>
      </c>
      <c r="C11" s="1404">
        <v>640.60799999999995</v>
      </c>
      <c r="D11" s="1405"/>
      <c r="E11" s="1405">
        <f>C11/C10</f>
        <v>6.9249416397724056E-2</v>
      </c>
      <c r="F11" s="1406"/>
      <c r="G11" s="1391"/>
      <c r="H11" s="1391"/>
    </row>
    <row r="12" spans="1:8">
      <c r="A12" s="815"/>
      <c r="B12" s="1409" t="s">
        <v>355</v>
      </c>
      <c r="C12" s="1404">
        <v>455.86799999999999</v>
      </c>
      <c r="D12" s="1405"/>
      <c r="E12" s="1405">
        <f>C12/C10</f>
        <v>4.9279111335477667E-2</v>
      </c>
      <c r="F12" s="1406"/>
      <c r="G12" s="1408"/>
      <c r="H12" s="1391"/>
    </row>
    <row r="13" spans="1:8">
      <c r="A13" s="815"/>
      <c r="B13" s="1409" t="s">
        <v>356</v>
      </c>
      <c r="C13" s="1404">
        <v>8154.259</v>
      </c>
      <c r="D13" s="1405"/>
      <c r="E13" s="1405">
        <f>C13/C10</f>
        <v>0.88147147226679823</v>
      </c>
      <c r="F13" s="1406"/>
      <c r="G13" s="1408"/>
      <c r="H13" s="1391"/>
    </row>
    <row r="14" spans="1:8">
      <c r="A14" s="815"/>
      <c r="B14" s="1403"/>
      <c r="C14" s="1404"/>
      <c r="D14" s="1405"/>
      <c r="E14" s="1405"/>
      <c r="F14" s="1406"/>
      <c r="G14" s="1391"/>
      <c r="H14" s="1391"/>
    </row>
    <row r="15" spans="1:8">
      <c r="A15" s="815"/>
      <c r="B15" s="1403" t="s">
        <v>357</v>
      </c>
      <c r="C15" s="1407">
        <f>C16+C17</f>
        <v>5045.6870000000008</v>
      </c>
      <c r="D15" s="1405">
        <f>1-D10</f>
        <v>0.3529335521852951</v>
      </c>
      <c r="E15" s="1405"/>
      <c r="F15" s="1406"/>
      <c r="G15" s="1391"/>
      <c r="H15" s="1391"/>
    </row>
    <row r="16" spans="1:8">
      <c r="A16" s="815"/>
      <c r="B16" s="1409" t="s">
        <v>354</v>
      </c>
      <c r="C16" s="1404">
        <v>82.334000000000003</v>
      </c>
      <c r="D16" s="1405"/>
      <c r="E16" s="1405">
        <f>C16/C15</f>
        <v>1.6317698660261722E-2</v>
      </c>
      <c r="F16" s="1406"/>
      <c r="G16" s="1391"/>
      <c r="H16" s="1391"/>
    </row>
    <row r="17" spans="1:8">
      <c r="A17" s="815"/>
      <c r="B17" s="1409" t="s">
        <v>356</v>
      </c>
      <c r="C17" s="1404">
        <v>4963.353000000001</v>
      </c>
      <c r="D17" s="1405"/>
      <c r="E17" s="1405">
        <v>0.98036776756890898</v>
      </c>
      <c r="F17" s="1406"/>
      <c r="G17" s="1408"/>
      <c r="H17" s="1391"/>
    </row>
    <row r="18" spans="1:8">
      <c r="A18" s="815"/>
      <c r="B18" s="1410"/>
      <c r="C18" s="1404"/>
      <c r="D18" s="1405"/>
      <c r="E18" s="1405"/>
      <c r="F18" s="1406"/>
      <c r="G18" s="1391"/>
      <c r="H18" s="1391"/>
    </row>
    <row r="19" spans="1:8">
      <c r="A19" s="815"/>
      <c r="B19" s="1410" t="s">
        <v>358</v>
      </c>
      <c r="C19" s="1404"/>
      <c r="D19" s="1405"/>
      <c r="E19" s="1405"/>
      <c r="F19" s="1406"/>
      <c r="G19" s="1391"/>
      <c r="H19" s="1391"/>
    </row>
    <row r="20" spans="1:8">
      <c r="A20" s="815"/>
      <c r="B20" s="1403" t="s">
        <v>359</v>
      </c>
      <c r="C20" s="1407">
        <f>C21+C26</f>
        <v>60858.205280211885</v>
      </c>
      <c r="D20" s="1405">
        <v>1</v>
      </c>
      <c r="E20" s="1405"/>
      <c r="F20" s="1406"/>
      <c r="G20" s="1408"/>
      <c r="H20" s="1391"/>
    </row>
    <row r="21" spans="1:8">
      <c r="A21" s="815"/>
      <c r="B21" s="1403" t="s">
        <v>353</v>
      </c>
      <c r="C21" s="1407">
        <f>C22+C23+C24</f>
        <v>36558.83050552725</v>
      </c>
      <c r="D21" s="1405">
        <f>C21/C20</f>
        <v>0.6007214694747891</v>
      </c>
      <c r="E21" s="1405"/>
      <c r="F21" s="1406"/>
      <c r="G21" s="1411"/>
      <c r="H21" s="1391"/>
    </row>
    <row r="22" spans="1:8">
      <c r="A22" s="815"/>
      <c r="B22" s="1409" t="s">
        <v>354</v>
      </c>
      <c r="C22" s="1404">
        <v>491.26906174573645</v>
      </c>
      <c r="D22" s="1405"/>
      <c r="E22" s="1405">
        <f>C22/C21</f>
        <v>1.343776742725571E-2</v>
      </c>
      <c r="F22" s="1406"/>
      <c r="G22" s="1391"/>
      <c r="H22" s="1391"/>
    </row>
    <row r="23" spans="1:8">
      <c r="A23" s="815"/>
      <c r="B23" s="1409" t="s">
        <v>355</v>
      </c>
      <c r="C23" s="1404">
        <v>3098.3239860228141</v>
      </c>
      <c r="D23" s="1405"/>
      <c r="E23" s="1405">
        <f>C23/C21</f>
        <v>8.4748990686515133E-2</v>
      </c>
      <c r="F23" s="1406"/>
      <c r="G23" s="1391"/>
      <c r="H23" s="1391"/>
    </row>
    <row r="24" spans="1:8">
      <c r="A24" s="815"/>
      <c r="B24" s="1409" t="s">
        <v>356</v>
      </c>
      <c r="C24" s="1404">
        <v>32969.237457758696</v>
      </c>
      <c r="D24" s="1405"/>
      <c r="E24" s="1405">
        <f>C24/C21</f>
        <v>0.90181324188622902</v>
      </c>
      <c r="F24" s="1406"/>
      <c r="G24" s="1408"/>
      <c r="H24" s="1391"/>
    </row>
    <row r="25" spans="1:8">
      <c r="A25" s="815"/>
      <c r="B25" s="1403"/>
      <c r="C25" s="1404"/>
      <c r="D25" s="1405"/>
      <c r="E25" s="1405"/>
      <c r="F25" s="1406"/>
      <c r="G25" s="1391"/>
      <c r="H25" s="1391"/>
    </row>
    <row r="26" spans="1:8">
      <c r="A26" s="815"/>
      <c r="B26" s="1403" t="s">
        <v>357</v>
      </c>
      <c r="C26" s="1407">
        <f>C27+C28</f>
        <v>24299.374774684638</v>
      </c>
      <c r="D26" s="1405">
        <f>1-D21</f>
        <v>0.3992785305252109</v>
      </c>
      <c r="E26" s="1405"/>
      <c r="F26" s="1406"/>
      <c r="G26" s="1391"/>
      <c r="H26" s="1391"/>
    </row>
    <row r="27" spans="1:8">
      <c r="A27" s="815"/>
      <c r="B27" s="1409" t="s">
        <v>354</v>
      </c>
      <c r="C27" s="1404">
        <v>420.78499699999998</v>
      </c>
      <c r="D27" s="1405"/>
      <c r="E27" s="1405">
        <f>C27/C26</f>
        <v>1.7316700569529817E-2</v>
      </c>
      <c r="F27" s="1406"/>
      <c r="G27" s="1391"/>
      <c r="H27" s="1391"/>
    </row>
    <row r="28" spans="1:8">
      <c r="A28" s="815"/>
      <c r="B28" s="1409" t="s">
        <v>356</v>
      </c>
      <c r="C28" s="1404">
        <v>23878.58977768464</v>
      </c>
      <c r="D28" s="1405"/>
      <c r="E28" s="1405">
        <f>C28/C26</f>
        <v>0.98268329943047028</v>
      </c>
      <c r="F28" s="1406"/>
      <c r="G28" s="1408"/>
      <c r="H28" s="1391"/>
    </row>
    <row r="29" spans="1:8">
      <c r="A29" s="815"/>
      <c r="B29" s="1412"/>
      <c r="C29" s="1404"/>
      <c r="D29" s="1405"/>
      <c r="E29" s="1405"/>
      <c r="F29" s="1406"/>
      <c r="G29" s="1391"/>
      <c r="H29" s="1391"/>
    </row>
    <row r="30" spans="1:8">
      <c r="A30" s="815"/>
      <c r="B30" s="1412" t="s">
        <v>757</v>
      </c>
      <c r="C30" s="1404"/>
      <c r="D30" s="1405"/>
      <c r="E30" s="1405"/>
      <c r="F30" s="1406"/>
      <c r="G30" s="1391"/>
      <c r="H30" s="1391"/>
    </row>
    <row r="31" spans="1:8">
      <c r="A31" s="815"/>
      <c r="B31" s="1412" t="s">
        <v>360</v>
      </c>
      <c r="C31" s="1404"/>
      <c r="D31" s="1413"/>
      <c r="E31" s="1405"/>
      <c r="F31" s="1406"/>
      <c r="G31" s="1391"/>
      <c r="H31" s="1391"/>
    </row>
    <row r="32" spans="1:8">
      <c r="A32" s="815"/>
      <c r="B32" s="1403" t="s">
        <v>361</v>
      </c>
      <c r="C32" s="1407">
        <f>SUM(C33:C37)</f>
        <v>355258.72502453544</v>
      </c>
      <c r="D32" s="1405">
        <v>1</v>
      </c>
      <c r="E32" s="1405"/>
      <c r="F32" s="1406"/>
      <c r="G32" s="1391"/>
      <c r="H32" s="1391"/>
    </row>
    <row r="33" spans="1:8">
      <c r="A33" s="815"/>
      <c r="B33" s="1403" t="s">
        <v>362</v>
      </c>
      <c r="C33" s="1404">
        <f>CUADRO4!I20</f>
        <v>47968.608476659028</v>
      </c>
      <c r="D33" s="1405">
        <f>C33/$C$32</f>
        <v>0.13502443458171548</v>
      </c>
      <c r="E33" s="1405"/>
      <c r="F33" s="1406"/>
      <c r="G33" s="1391"/>
      <c r="H33" s="1391"/>
    </row>
    <row r="34" spans="1:8">
      <c r="A34" s="815"/>
      <c r="B34" s="1403" t="s">
        <v>363</v>
      </c>
      <c r="C34" s="1404">
        <f>CUADRO4!I21+CUADRO4!I22+CUADRO4!I23</f>
        <v>52866.785166542919</v>
      </c>
      <c r="D34" s="1405">
        <f>C34/$C$32</f>
        <v>0.14881206693204158</v>
      </c>
      <c r="E34" s="1405"/>
      <c r="F34" s="1406"/>
      <c r="G34" s="1391"/>
      <c r="H34" s="1391"/>
    </row>
    <row r="35" spans="1:8">
      <c r="A35" s="815"/>
      <c r="B35" s="1414" t="s">
        <v>364</v>
      </c>
      <c r="C35" s="1404">
        <f>CUADRO4!I10</f>
        <v>175774.59177906596</v>
      </c>
      <c r="D35" s="1405">
        <f>C35/$C$32</f>
        <v>0.49477909871721332</v>
      </c>
      <c r="E35" s="1405"/>
      <c r="F35" s="1406"/>
      <c r="G35" s="1391"/>
      <c r="H35" s="1391"/>
    </row>
    <row r="36" spans="1:8">
      <c r="A36" s="815"/>
      <c r="B36" s="1414" t="s">
        <v>365</v>
      </c>
      <c r="C36" s="1404">
        <f>CUADRO4!I27+CUADRO4!I26+CUADRO4!I25+CUADRO4!I24</f>
        <v>27479.161277273204</v>
      </c>
      <c r="D36" s="1405">
        <f>C36/$C$32</f>
        <v>7.7349715409172279E-2</v>
      </c>
      <c r="E36" s="1405"/>
      <c r="F36" s="1406"/>
      <c r="G36" s="1391"/>
      <c r="H36" s="1391"/>
    </row>
    <row r="37" spans="1:8">
      <c r="A37" s="815"/>
      <c r="B37" s="1403" t="s">
        <v>366</v>
      </c>
      <c r="C37" s="1404">
        <f>CUADRO4!I28</f>
        <v>51169.578324994305</v>
      </c>
      <c r="D37" s="1405">
        <f>C37/$C$32</f>
        <v>0.14403468435985731</v>
      </c>
      <c r="E37" s="1405"/>
      <c r="F37" s="1406"/>
      <c r="G37" s="1391"/>
      <c r="H37" s="1391"/>
    </row>
    <row r="38" spans="1:8">
      <c r="A38" s="815"/>
      <c r="B38" s="1410"/>
      <c r="C38" s="1404"/>
      <c r="D38" s="1405"/>
      <c r="E38" s="1405"/>
      <c r="F38" s="1415"/>
      <c r="G38" s="1391"/>
      <c r="H38" s="1391"/>
    </row>
    <row r="39" spans="1:8">
      <c r="A39" s="815"/>
      <c r="B39" s="1410" t="s">
        <v>367</v>
      </c>
      <c r="C39" s="1404"/>
      <c r="D39" s="1405"/>
      <c r="E39" s="1405"/>
      <c r="F39" s="1406"/>
      <c r="G39" s="1391"/>
      <c r="H39" s="1391"/>
    </row>
    <row r="40" spans="1:8">
      <c r="A40" s="815"/>
      <c r="B40" s="1410" t="s">
        <v>368</v>
      </c>
      <c r="C40" s="1404"/>
      <c r="D40" s="1405"/>
      <c r="E40" s="1405"/>
      <c r="F40" s="1406"/>
      <c r="G40" s="1391"/>
      <c r="H40" s="1391"/>
    </row>
    <row r="41" spans="1:8">
      <c r="A41" s="815"/>
      <c r="B41" s="1410" t="s">
        <v>359</v>
      </c>
      <c r="C41" s="1407">
        <f>SUM(C42:C52)</f>
        <v>36633.667090339375</v>
      </c>
      <c r="D41" s="1413">
        <v>1</v>
      </c>
      <c r="E41" s="1405"/>
      <c r="F41" s="1406"/>
      <c r="G41" s="1391"/>
      <c r="H41" s="1391"/>
    </row>
    <row r="42" spans="1:8">
      <c r="A42" s="815"/>
      <c r="B42" s="1403" t="s">
        <v>253</v>
      </c>
      <c r="C42" s="1404">
        <f>CONS_U.FIS!L20</f>
        <v>607.25376738604666</v>
      </c>
      <c r="D42" s="1416">
        <f>C42/$C$41</f>
        <v>1.6576384938164841E-2</v>
      </c>
      <c r="E42" s="1405"/>
      <c r="F42" s="1417"/>
      <c r="G42" s="1232"/>
      <c r="H42" s="815"/>
    </row>
    <row r="43" spans="1:8">
      <c r="A43" s="815"/>
      <c r="B43" s="1403" t="s">
        <v>246</v>
      </c>
      <c r="C43" s="1404">
        <f>CONS_U.FIS!L14</f>
        <v>17847.540897925472</v>
      </c>
      <c r="D43" s="1416">
        <f t="shared" ref="D43:D52" si="0">C43/$C$41</f>
        <v>0.48718958039098487</v>
      </c>
      <c r="E43" s="1405"/>
      <c r="F43" s="1417"/>
      <c r="G43" s="1232"/>
      <c r="H43" s="815"/>
    </row>
    <row r="44" spans="1:8">
      <c r="A44" s="815"/>
      <c r="B44" s="1403" t="s">
        <v>250</v>
      </c>
      <c r="C44" s="1404">
        <f>CONS_U.FIS!L17</f>
        <v>5344.955561976516</v>
      </c>
      <c r="D44" s="1416">
        <f t="shared" si="0"/>
        <v>0.14590282618433328</v>
      </c>
      <c r="E44" s="1405"/>
      <c r="F44" s="1417"/>
      <c r="G44" s="1232"/>
      <c r="H44" s="815"/>
    </row>
    <row r="45" spans="1:8">
      <c r="A45" s="815"/>
      <c r="B45" s="1403" t="s">
        <v>252</v>
      </c>
      <c r="C45" s="1404">
        <f>CONS_U.FIS!L19</f>
        <v>536.05267817741947</v>
      </c>
      <c r="D45" s="1416">
        <f t="shared" si="0"/>
        <v>1.4632787835722331E-2</v>
      </c>
      <c r="E45" s="1405"/>
      <c r="F45" s="1417"/>
      <c r="G45" s="1232"/>
      <c r="H45" s="815"/>
    </row>
    <row r="46" spans="1:8">
      <c r="A46" s="815"/>
      <c r="B46" s="1403" t="s">
        <v>251</v>
      </c>
      <c r="C46" s="1404">
        <f>CONS_U.FIS!L18</f>
        <v>605.38285700000006</v>
      </c>
      <c r="D46" s="1416">
        <f t="shared" si="0"/>
        <v>1.6525314146331939E-2</v>
      </c>
      <c r="E46" s="1405"/>
      <c r="F46" s="1417"/>
      <c r="G46" s="1232"/>
      <c r="H46" s="815"/>
    </row>
    <row r="47" spans="1:8">
      <c r="A47" s="815"/>
      <c r="B47" s="1403" t="s">
        <v>369</v>
      </c>
      <c r="C47" s="1404">
        <f>CONS_U.FIS!L21</f>
        <v>73.001949999999994</v>
      </c>
      <c r="D47" s="1416">
        <f t="shared" si="0"/>
        <v>1.9927557298584303E-3</v>
      </c>
      <c r="E47" s="1405"/>
      <c r="F47" s="1417"/>
      <c r="G47" s="1232"/>
      <c r="H47" s="815"/>
    </row>
    <row r="48" spans="1:8">
      <c r="A48" s="815"/>
      <c r="B48" s="1403" t="s">
        <v>249</v>
      </c>
      <c r="C48" s="1404">
        <f>CONS_U.FIS!L16</f>
        <v>473.23781800000006</v>
      </c>
      <c r="D48" s="1416">
        <f t="shared" si="0"/>
        <v>1.2918112097076875E-2</v>
      </c>
      <c r="E48" s="1405"/>
      <c r="F48" s="1417"/>
      <c r="G48" s="1232"/>
      <c r="H48" s="815"/>
    </row>
    <row r="49" spans="1:8">
      <c r="A49" s="815"/>
      <c r="B49" s="1403" t="s">
        <v>255</v>
      </c>
      <c r="C49" s="1404">
        <f>CONS_U.FIS!L22</f>
        <v>188.49438119595706</v>
      </c>
      <c r="D49" s="1416">
        <f t="shared" si="0"/>
        <v>5.1453866393207657E-3</v>
      </c>
      <c r="E49" s="1405"/>
      <c r="F49" s="1417"/>
      <c r="G49" s="1232"/>
      <c r="H49" s="815"/>
    </row>
    <row r="50" spans="1:8">
      <c r="A50" s="815"/>
      <c r="B50" s="1403" t="s">
        <v>248</v>
      </c>
      <c r="C50" s="1404">
        <f>CONS_U.FIS!L15</f>
        <v>404.53327075137952</v>
      </c>
      <c r="D50" s="1416">
        <f t="shared" si="0"/>
        <v>1.1042663835804156E-2</v>
      </c>
      <c r="E50" s="1405"/>
      <c r="F50" s="1417"/>
      <c r="G50" s="1232"/>
      <c r="H50" s="815"/>
    </row>
    <row r="51" spans="1:8">
      <c r="A51" s="815"/>
      <c r="B51" s="1403" t="s">
        <v>256</v>
      </c>
      <c r="C51" s="1404">
        <f>CONS_U.FIS!L23</f>
        <v>8999.1947824158888</v>
      </c>
      <c r="D51" s="1416">
        <f t="shared" si="0"/>
        <v>0.24565367043991773</v>
      </c>
      <c r="E51" s="1405"/>
      <c r="F51" s="1417"/>
      <c r="G51" s="1232"/>
      <c r="H51" s="815"/>
    </row>
    <row r="52" spans="1:8">
      <c r="A52" s="815"/>
      <c r="B52" s="1403" t="s">
        <v>257</v>
      </c>
      <c r="C52" s="1404">
        <f>CONS_U.FIS!L24</f>
        <v>1554.0191255106895</v>
      </c>
      <c r="D52" s="1416">
        <f t="shared" si="0"/>
        <v>4.2420517762484615E-2</v>
      </c>
      <c r="E52" s="1405"/>
      <c r="F52" s="1417"/>
      <c r="G52" s="1232"/>
      <c r="H52" s="815"/>
    </row>
    <row r="53" spans="1:8">
      <c r="A53" s="815"/>
      <c r="B53" s="1410"/>
      <c r="C53" s="1404"/>
      <c r="D53" s="1405"/>
      <c r="E53" s="1405"/>
      <c r="F53" s="1418"/>
      <c r="G53" s="1411"/>
      <c r="H53" s="1391"/>
    </row>
    <row r="54" spans="1:8">
      <c r="A54" s="815"/>
      <c r="B54" s="1410" t="s">
        <v>370</v>
      </c>
      <c r="C54" s="1404"/>
      <c r="D54" s="1405"/>
      <c r="E54" s="1405"/>
      <c r="F54" s="1406"/>
      <c r="G54" s="1391"/>
      <c r="H54" s="1391"/>
    </row>
    <row r="55" spans="1:8">
      <c r="A55" s="815"/>
      <c r="B55" s="1419" t="s">
        <v>376</v>
      </c>
      <c r="C55" s="1404"/>
      <c r="D55" s="1405"/>
      <c r="E55" s="1405"/>
      <c r="F55" s="1406"/>
      <c r="G55" s="1391"/>
      <c r="H55" s="1391"/>
    </row>
    <row r="56" spans="1:8" ht="13.5" thickBot="1">
      <c r="A56" s="815"/>
      <c r="B56" s="1420" t="s">
        <v>371</v>
      </c>
      <c r="C56" s="1421">
        <f>(1000000000*C33/860)/16763470</f>
        <v>3327.3213551278695</v>
      </c>
      <c r="D56" s="1422"/>
      <c r="E56" s="1423"/>
      <c r="F56" s="1424"/>
      <c r="G56" s="1391"/>
      <c r="H56" s="1391"/>
    </row>
    <row r="57" spans="1:8">
      <c r="A57" s="815"/>
      <c r="B57" s="1391" t="s">
        <v>372</v>
      </c>
      <c r="C57" s="1425"/>
      <c r="D57" s="1425"/>
      <c r="E57" s="1425"/>
      <c r="F57" s="62"/>
      <c r="G57" s="62"/>
      <c r="H57" s="62"/>
    </row>
    <row r="58" spans="1:8">
      <c r="A58" s="815"/>
      <c r="B58" s="62" t="s">
        <v>840</v>
      </c>
      <c r="C58" s="243"/>
      <c r="D58" s="243"/>
      <c r="E58" s="243"/>
      <c r="F58" s="62"/>
      <c r="G58" s="62"/>
      <c r="H58" s="62"/>
    </row>
    <row r="59" spans="1:8">
      <c r="A59" s="815"/>
      <c r="B59" s="62" t="s">
        <v>373</v>
      </c>
      <c r="C59" s="243"/>
      <c r="D59" s="243"/>
      <c r="E59" s="243"/>
      <c r="F59" s="62"/>
      <c r="G59" s="62"/>
      <c r="H59" s="62"/>
    </row>
    <row r="60" spans="1:8">
      <c r="A60" s="815"/>
      <c r="B60" s="62" t="s">
        <v>841</v>
      </c>
      <c r="C60" s="243"/>
      <c r="D60" s="243"/>
      <c r="E60" s="243"/>
      <c r="F60" s="62"/>
      <c r="G60" s="62"/>
      <c r="H60" s="62"/>
    </row>
    <row r="61" spans="1:8">
      <c r="A61" s="815"/>
      <c r="B61" s="62" t="s">
        <v>844</v>
      </c>
      <c r="C61" s="243"/>
      <c r="D61" s="243"/>
      <c r="E61" s="243"/>
      <c r="F61" s="62"/>
      <c r="G61" s="62"/>
      <c r="H61" s="62"/>
    </row>
    <row r="62" spans="1:8">
      <c r="A62" s="815"/>
      <c r="B62" s="55" t="s">
        <v>374</v>
      </c>
      <c r="C62" s="243"/>
      <c r="D62" s="243"/>
      <c r="E62" s="243"/>
      <c r="F62" s="62"/>
      <c r="G62" s="62"/>
      <c r="H62" s="62"/>
    </row>
    <row r="63" spans="1:8">
      <c r="A63" s="815"/>
      <c r="B63" s="56" t="s">
        <v>842</v>
      </c>
      <c r="C63" s="243"/>
      <c r="D63" s="243"/>
      <c r="E63" s="243"/>
      <c r="F63" s="62"/>
      <c r="G63" s="62"/>
      <c r="H63" s="62"/>
    </row>
    <row r="64" spans="1:8">
      <c r="A64" s="815"/>
      <c r="B64" s="56" t="s">
        <v>843</v>
      </c>
      <c r="C64" s="243"/>
      <c r="D64" s="243"/>
      <c r="E64" s="243"/>
      <c r="F64" s="62"/>
      <c r="G64" s="62"/>
      <c r="H64" s="62"/>
    </row>
    <row r="65" spans="1:8">
      <c r="A65" s="815"/>
      <c r="B65" s="56" t="s">
        <v>375</v>
      </c>
      <c r="C65" s="1425"/>
      <c r="D65" s="1425"/>
      <c r="E65" s="1425"/>
      <c r="F65" s="1391"/>
      <c r="G65" s="1391"/>
      <c r="H65" s="1391"/>
    </row>
    <row r="66" spans="1:8">
      <c r="A66" s="815"/>
      <c r="B66" s="815"/>
      <c r="C66" s="815"/>
      <c r="D66" s="815"/>
      <c r="E66" s="815"/>
      <c r="F66" s="815"/>
      <c r="G66" s="815"/>
      <c r="H66" s="815"/>
    </row>
    <row r="67" spans="1:8">
      <c r="A67" s="815"/>
      <c r="B67" s="815"/>
      <c r="C67" s="815"/>
      <c r="D67" s="815"/>
      <c r="E67" s="815"/>
      <c r="F67" s="815"/>
      <c r="G67" s="815"/>
      <c r="H67" s="815"/>
    </row>
    <row r="68" spans="1:8">
      <c r="A68" s="815"/>
      <c r="B68" s="815"/>
      <c r="C68" s="815"/>
      <c r="D68" s="815"/>
      <c r="E68" s="815"/>
      <c r="F68" s="815"/>
      <c r="G68" s="815"/>
      <c r="H68" s="815"/>
    </row>
    <row r="69" spans="1:8">
      <c r="A69" s="815"/>
      <c r="B69" s="815"/>
      <c r="C69" s="815"/>
      <c r="D69" s="815"/>
      <c r="E69" s="815"/>
      <c r="F69" s="815"/>
      <c r="G69" s="815"/>
      <c r="H69" s="815"/>
    </row>
    <row r="70" spans="1:8">
      <c r="A70" s="815"/>
      <c r="B70" s="815"/>
      <c r="C70" s="815"/>
      <c r="D70" s="815"/>
      <c r="E70" s="815"/>
      <c r="F70" s="815"/>
      <c r="G70" s="815"/>
      <c r="H70" s="815"/>
    </row>
    <row r="71" spans="1:8">
      <c r="A71" s="815"/>
      <c r="B71" s="815"/>
      <c r="C71" s="815"/>
      <c r="D71" s="815"/>
      <c r="E71" s="815"/>
      <c r="F71" s="815"/>
      <c r="G71" s="815"/>
      <c r="H71" s="815"/>
    </row>
  </sheetData>
  <phoneticPr fontId="51" type="noConversion"/>
  <hyperlinks>
    <hyperlink ref="H2" location="INDICE!A80" display="VOLVER A INDICE"/>
  </hyperlinks>
  <pageMargins left="0.75" right="0.75" top="1" bottom="1" header="0" footer="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showGridLines="0" workbookViewId="0">
      <selection activeCell="J7" sqref="J7"/>
    </sheetView>
  </sheetViews>
  <sheetFormatPr baseColWidth="10" defaultRowHeight="12.75"/>
  <cols>
    <col min="1" max="1" width="2.85546875" customWidth="1"/>
    <col min="2" max="2" width="12.85546875" customWidth="1"/>
    <col min="7" max="7" width="14.85546875" customWidth="1"/>
    <col min="8" max="8" width="16.5703125" customWidth="1"/>
  </cols>
  <sheetData>
    <row r="1" spans="1:10" ht="15.75">
      <c r="A1" s="928"/>
      <c r="B1" s="929"/>
      <c r="C1" s="930"/>
      <c r="D1" s="930"/>
      <c r="E1" s="931"/>
      <c r="F1" s="930"/>
      <c r="G1" s="932" t="s">
        <v>649</v>
      </c>
      <c r="H1" s="933"/>
      <c r="I1" s="933"/>
      <c r="J1" s="601"/>
    </row>
    <row r="2" spans="1:10">
      <c r="A2" s="934"/>
      <c r="B2" s="601"/>
      <c r="C2" s="933"/>
      <c r="D2" s="933"/>
      <c r="E2" s="601"/>
      <c r="F2" s="933"/>
      <c r="G2" s="933"/>
      <c r="H2" s="933"/>
      <c r="I2" s="933"/>
      <c r="J2" s="601"/>
    </row>
    <row r="3" spans="1:10">
      <c r="A3" s="934"/>
      <c r="B3" s="935" t="s">
        <v>377</v>
      </c>
      <c r="C3" s="936"/>
      <c r="D3" s="936"/>
      <c r="E3" s="935"/>
      <c r="F3" s="937"/>
      <c r="G3" s="937"/>
      <c r="H3" s="937"/>
      <c r="I3" s="938"/>
      <c r="J3" s="939"/>
    </row>
    <row r="4" spans="1:10">
      <c r="A4" s="940"/>
      <c r="B4" s="935" t="s">
        <v>378</v>
      </c>
      <c r="C4" s="936"/>
      <c r="D4" s="936"/>
      <c r="E4" s="935"/>
      <c r="F4" s="937"/>
      <c r="G4" s="937"/>
      <c r="H4" s="937"/>
      <c r="I4" s="938"/>
      <c r="J4" s="939"/>
    </row>
    <row r="5" spans="1:10" ht="13.5" thickBot="1">
      <c r="A5" s="940"/>
      <c r="B5" s="941"/>
      <c r="C5" s="937"/>
      <c r="D5" s="937"/>
      <c r="E5" s="941"/>
      <c r="F5" s="937"/>
      <c r="G5" s="937"/>
      <c r="H5" s="937"/>
      <c r="I5" s="937"/>
      <c r="J5" s="939"/>
    </row>
    <row r="6" spans="1:10" ht="13.5" thickBot="1">
      <c r="A6" s="940"/>
      <c r="B6" s="978"/>
      <c r="C6" s="979"/>
      <c r="D6" s="979"/>
      <c r="E6" s="980"/>
      <c r="F6" s="979"/>
      <c r="G6" s="979"/>
      <c r="H6" s="979"/>
      <c r="I6" s="981"/>
      <c r="J6" s="939"/>
    </row>
    <row r="7" spans="1:10">
      <c r="A7" s="940"/>
      <c r="B7" s="942"/>
      <c r="C7" s="943" t="s">
        <v>379</v>
      </c>
      <c r="D7" s="944" t="s">
        <v>380</v>
      </c>
      <c r="E7" s="943" t="s">
        <v>381</v>
      </c>
      <c r="F7" s="944" t="s">
        <v>381</v>
      </c>
      <c r="G7" s="943" t="s">
        <v>31</v>
      </c>
      <c r="H7" s="944" t="s">
        <v>328</v>
      </c>
      <c r="I7" s="943" t="s">
        <v>382</v>
      </c>
      <c r="J7" s="945"/>
    </row>
    <row r="8" spans="1:10" ht="13.5" thickBot="1">
      <c r="A8" s="946"/>
      <c r="B8" s="947"/>
      <c r="C8" s="948"/>
      <c r="D8" s="949"/>
      <c r="E8" s="950" t="s">
        <v>383</v>
      </c>
      <c r="F8" s="951" t="s">
        <v>384</v>
      </c>
      <c r="G8" s="950" t="s">
        <v>385</v>
      </c>
      <c r="H8" s="949"/>
      <c r="I8" s="948"/>
      <c r="J8" s="945"/>
    </row>
    <row r="9" spans="1:10">
      <c r="A9" s="946"/>
      <c r="B9" s="984">
        <v>1990</v>
      </c>
      <c r="C9" s="952" t="s">
        <v>386</v>
      </c>
      <c r="D9" s="953">
        <v>3195.1</v>
      </c>
      <c r="E9" s="952" t="s">
        <v>386</v>
      </c>
      <c r="F9" s="953">
        <v>45.5</v>
      </c>
      <c r="G9" s="954">
        <v>3240.6</v>
      </c>
      <c r="H9" s="953">
        <v>1185.4000000000001</v>
      </c>
      <c r="I9" s="954">
        <v>4426</v>
      </c>
      <c r="J9" s="955"/>
    </row>
    <row r="10" spans="1:10">
      <c r="A10" s="956"/>
      <c r="B10" s="957" t="s">
        <v>387</v>
      </c>
      <c r="C10" s="958"/>
      <c r="D10" s="959">
        <v>0.27400000000000002</v>
      </c>
      <c r="E10" s="960"/>
      <c r="F10" s="959">
        <v>1</v>
      </c>
      <c r="G10" s="958">
        <v>0.302587567244471</v>
      </c>
      <c r="H10" s="959">
        <v>0.91900000000000004</v>
      </c>
      <c r="I10" s="958">
        <v>0.45300000000000001</v>
      </c>
      <c r="J10" s="955"/>
    </row>
    <row r="11" spans="1:10">
      <c r="A11" s="956"/>
      <c r="B11" s="957" t="s">
        <v>388</v>
      </c>
      <c r="C11" s="958"/>
      <c r="D11" s="959">
        <v>0.72599999999999998</v>
      </c>
      <c r="E11" s="961"/>
      <c r="F11" s="959" t="s">
        <v>389</v>
      </c>
      <c r="G11" s="958">
        <v>0.697412432755529</v>
      </c>
      <c r="H11" s="959">
        <v>8.1000000000000003E-2</v>
      </c>
      <c r="I11" s="958">
        <v>0.54700000000000004</v>
      </c>
      <c r="J11" s="955"/>
    </row>
    <row r="12" spans="1:10">
      <c r="A12" s="956"/>
      <c r="B12" s="957"/>
      <c r="C12" s="962"/>
      <c r="D12" s="963"/>
      <c r="E12" s="964"/>
      <c r="F12" s="963"/>
      <c r="G12" s="962"/>
      <c r="H12" s="963"/>
      <c r="I12" s="962"/>
      <c r="J12" s="955"/>
    </row>
    <row r="13" spans="1:10">
      <c r="A13" s="956"/>
      <c r="B13" s="967">
        <v>199</v>
      </c>
      <c r="C13" s="962" t="s">
        <v>386</v>
      </c>
      <c r="D13" s="965">
        <v>3831.1</v>
      </c>
      <c r="E13" s="962" t="s">
        <v>386</v>
      </c>
      <c r="F13" s="965">
        <v>45.5</v>
      </c>
      <c r="G13" s="966">
        <v>3876.6</v>
      </c>
      <c r="H13" s="965">
        <v>1208.4000000000001</v>
      </c>
      <c r="I13" s="966">
        <v>5085</v>
      </c>
      <c r="J13" s="955"/>
    </row>
    <row r="14" spans="1:10">
      <c r="A14" s="956"/>
      <c r="B14" s="957" t="s">
        <v>390</v>
      </c>
      <c r="C14" s="958"/>
      <c r="D14" s="959">
        <v>0.223</v>
      </c>
      <c r="E14" s="960"/>
      <c r="F14" s="959">
        <v>1</v>
      </c>
      <c r="G14" s="958">
        <v>0.24829984932194876</v>
      </c>
      <c r="H14" s="959">
        <v>0.92</v>
      </c>
      <c r="I14" s="958">
        <v>0.39400000000000002</v>
      </c>
      <c r="J14" s="955"/>
    </row>
    <row r="15" spans="1:10">
      <c r="A15" s="956"/>
      <c r="B15" s="957" t="s">
        <v>391</v>
      </c>
      <c r="C15" s="958"/>
      <c r="D15" s="959">
        <v>0.77700000000000002</v>
      </c>
      <c r="E15" s="960"/>
      <c r="F15" s="959" t="s">
        <v>389</v>
      </c>
      <c r="G15" s="958">
        <v>0.75170015067805129</v>
      </c>
      <c r="H15" s="959">
        <v>0.08</v>
      </c>
      <c r="I15" s="958">
        <v>0.60599999999999998</v>
      </c>
      <c r="J15" s="955"/>
    </row>
    <row r="16" spans="1:10">
      <c r="A16" s="956"/>
      <c r="B16" s="957"/>
      <c r="C16" s="962"/>
      <c r="D16" s="963"/>
      <c r="E16" s="964"/>
      <c r="F16" s="963"/>
      <c r="G16" s="962"/>
      <c r="H16" s="963"/>
      <c r="I16" s="962"/>
      <c r="J16" s="955"/>
    </row>
    <row r="17" spans="1:10">
      <c r="A17" s="956"/>
      <c r="B17" s="967">
        <v>1992</v>
      </c>
      <c r="C17" s="962" t="s">
        <v>386</v>
      </c>
      <c r="D17" s="965">
        <v>3831.1</v>
      </c>
      <c r="E17" s="962" t="s">
        <v>386</v>
      </c>
      <c r="F17" s="965">
        <v>46.4</v>
      </c>
      <c r="G17" s="966">
        <v>3877.5</v>
      </c>
      <c r="H17" s="965">
        <v>1317.5</v>
      </c>
      <c r="I17" s="966">
        <v>5195</v>
      </c>
      <c r="J17" s="955"/>
    </row>
    <row r="18" spans="1:10">
      <c r="A18" s="956"/>
      <c r="B18" s="967" t="s">
        <v>390</v>
      </c>
      <c r="C18" s="958"/>
      <c r="D18" s="959">
        <v>0.218</v>
      </c>
      <c r="E18" s="960"/>
      <c r="F18" s="959">
        <v>1</v>
      </c>
      <c r="G18" s="958">
        <v>0.2451202913108991</v>
      </c>
      <c r="H18" s="959">
        <v>0.91700000000000004</v>
      </c>
      <c r="I18" s="958">
        <v>0.40200000000000002</v>
      </c>
      <c r="J18" s="955"/>
    </row>
    <row r="19" spans="1:10">
      <c r="A19" s="956"/>
      <c r="B19" s="967" t="s">
        <v>391</v>
      </c>
      <c r="C19" s="958"/>
      <c r="D19" s="959">
        <v>0.78200000000000003</v>
      </c>
      <c r="E19" s="960"/>
      <c r="F19" s="959" t="s">
        <v>389</v>
      </c>
      <c r="G19" s="958">
        <v>0.75487970868910081</v>
      </c>
      <c r="H19" s="959">
        <v>8.3000000000000004E-2</v>
      </c>
      <c r="I19" s="958">
        <v>0.59799999999999998</v>
      </c>
      <c r="J19" s="955"/>
    </row>
    <row r="20" spans="1:10">
      <c r="A20" s="956"/>
      <c r="B20" s="967"/>
      <c r="C20" s="962"/>
      <c r="D20" s="963"/>
      <c r="E20" s="964"/>
      <c r="F20" s="963"/>
      <c r="G20" s="962"/>
      <c r="H20" s="963"/>
      <c r="I20" s="962"/>
      <c r="J20" s="955"/>
    </row>
    <row r="21" spans="1:10">
      <c r="A21" s="956"/>
      <c r="B21" s="967">
        <v>1993</v>
      </c>
      <c r="C21" s="966">
        <v>799.1</v>
      </c>
      <c r="D21" s="965">
        <v>3889.9</v>
      </c>
      <c r="E21" s="962" t="s">
        <v>386</v>
      </c>
      <c r="F21" s="965">
        <v>46.4</v>
      </c>
      <c r="G21" s="966">
        <v>4735.3999999999996</v>
      </c>
      <c r="H21" s="965">
        <v>668.6</v>
      </c>
      <c r="I21" s="966">
        <v>5404</v>
      </c>
      <c r="J21" s="955"/>
    </row>
    <row r="22" spans="1:10">
      <c r="A22" s="956"/>
      <c r="B22" s="967" t="s">
        <v>390</v>
      </c>
      <c r="C22" s="958">
        <v>0.94399999999999995</v>
      </c>
      <c r="D22" s="959">
        <v>0.19600000000000001</v>
      </c>
      <c r="E22" s="960"/>
      <c r="F22" s="959">
        <v>1</v>
      </c>
      <c r="G22" s="958">
        <v>0.32762831858407077</v>
      </c>
      <c r="H22" s="959">
        <v>0.92200000000000004</v>
      </c>
      <c r="I22" s="958">
        <v>0.4</v>
      </c>
      <c r="J22" s="955"/>
    </row>
    <row r="23" spans="1:10">
      <c r="A23" s="956"/>
      <c r="B23" s="967" t="s">
        <v>391</v>
      </c>
      <c r="C23" s="958">
        <v>5.6000000000000001E-2</v>
      </c>
      <c r="D23" s="959">
        <v>0.80400000000000005</v>
      </c>
      <c r="E23" s="960"/>
      <c r="F23" s="959" t="s">
        <v>389</v>
      </c>
      <c r="G23" s="958">
        <v>0.67237168141592918</v>
      </c>
      <c r="H23" s="959">
        <v>7.8E-2</v>
      </c>
      <c r="I23" s="958">
        <v>0.6</v>
      </c>
      <c r="J23" s="955"/>
    </row>
    <row r="24" spans="1:10">
      <c r="A24" s="956"/>
      <c r="B24" s="967"/>
      <c r="C24" s="962"/>
      <c r="D24" s="963"/>
      <c r="E24" s="964"/>
      <c r="F24" s="963"/>
      <c r="G24" s="962"/>
      <c r="H24" s="963"/>
      <c r="I24" s="962"/>
      <c r="J24" s="955"/>
    </row>
    <row r="25" spans="1:10">
      <c r="A25" s="956"/>
      <c r="B25" s="967">
        <v>1994</v>
      </c>
      <c r="C25" s="966">
        <v>799.1</v>
      </c>
      <c r="D25" s="965">
        <v>3893.4</v>
      </c>
      <c r="E25" s="962" t="s">
        <v>386</v>
      </c>
      <c r="F25" s="965">
        <v>49.3</v>
      </c>
      <c r="G25" s="966">
        <v>4741.8</v>
      </c>
      <c r="H25" s="965">
        <v>693.2</v>
      </c>
      <c r="I25" s="966">
        <v>5435</v>
      </c>
      <c r="J25" s="955"/>
    </row>
    <row r="26" spans="1:10">
      <c r="A26" s="956"/>
      <c r="B26" s="967" t="s">
        <v>390</v>
      </c>
      <c r="C26" s="958">
        <v>0.98699999999999999</v>
      </c>
      <c r="D26" s="959">
        <v>0.19</v>
      </c>
      <c r="E26" s="960"/>
      <c r="F26" s="959">
        <v>1</v>
      </c>
      <c r="G26" s="958">
        <v>0.33217213804713802</v>
      </c>
      <c r="H26" s="959">
        <v>0.85599999999999998</v>
      </c>
      <c r="I26" s="958">
        <v>0.39800000000000002</v>
      </c>
      <c r="J26" s="955"/>
    </row>
    <row r="27" spans="1:10">
      <c r="A27" s="956"/>
      <c r="B27" s="967" t="s">
        <v>391</v>
      </c>
      <c r="C27" s="958">
        <v>1.2999999999999999E-2</v>
      </c>
      <c r="D27" s="959">
        <v>0.81</v>
      </c>
      <c r="E27" s="960"/>
      <c r="F27" s="959" t="s">
        <v>389</v>
      </c>
      <c r="G27" s="958">
        <v>0.66782786195286192</v>
      </c>
      <c r="H27" s="959">
        <v>0.14399999999999999</v>
      </c>
      <c r="I27" s="958">
        <v>0.60199999999999998</v>
      </c>
      <c r="J27" s="955"/>
    </row>
    <row r="28" spans="1:10">
      <c r="A28" s="956"/>
      <c r="B28" s="967"/>
      <c r="C28" s="962"/>
      <c r="D28" s="963"/>
      <c r="E28" s="964"/>
      <c r="F28" s="963"/>
      <c r="G28" s="962"/>
      <c r="H28" s="963"/>
      <c r="I28" s="962"/>
      <c r="J28" s="955"/>
    </row>
    <row r="29" spans="1:10">
      <c r="A29" s="956"/>
      <c r="B29" s="967">
        <v>1995</v>
      </c>
      <c r="C29" s="966">
        <v>1156.9000000000001</v>
      </c>
      <c r="D29" s="965">
        <v>4083.6</v>
      </c>
      <c r="E29" s="962" t="s">
        <v>386</v>
      </c>
      <c r="F29" s="965">
        <v>49.3</v>
      </c>
      <c r="G29" s="966">
        <v>5289.8</v>
      </c>
      <c r="H29" s="965">
        <v>659.2</v>
      </c>
      <c r="I29" s="966">
        <v>5949</v>
      </c>
      <c r="J29" s="955"/>
    </row>
    <row r="30" spans="1:10">
      <c r="A30" s="956"/>
      <c r="B30" s="967" t="s">
        <v>390</v>
      </c>
      <c r="C30" s="958">
        <v>0.98799999999999999</v>
      </c>
      <c r="D30" s="959">
        <v>0.224</v>
      </c>
      <c r="E30" s="960"/>
      <c r="F30" s="959">
        <v>1</v>
      </c>
      <c r="G30" s="958">
        <v>0.39807548594074355</v>
      </c>
      <c r="H30" s="959">
        <v>0.85499999999999998</v>
      </c>
      <c r="I30" s="958">
        <v>0.44800000000000001</v>
      </c>
      <c r="J30" s="955"/>
    </row>
    <row r="31" spans="1:10">
      <c r="A31" s="956"/>
      <c r="B31" s="967" t="s">
        <v>391</v>
      </c>
      <c r="C31" s="958">
        <v>1.2E-2</v>
      </c>
      <c r="D31" s="959">
        <v>0.77600000000000002</v>
      </c>
      <c r="E31" s="960"/>
      <c r="F31" s="959" t="s">
        <v>389</v>
      </c>
      <c r="G31" s="958">
        <v>0.60192451405925651</v>
      </c>
      <c r="H31" s="959">
        <v>0.14499999999999999</v>
      </c>
      <c r="I31" s="958">
        <v>0.55200000000000005</v>
      </c>
      <c r="J31" s="955"/>
    </row>
    <row r="32" spans="1:10">
      <c r="A32" s="956"/>
      <c r="B32" s="967"/>
      <c r="C32" s="962"/>
      <c r="D32" s="963"/>
      <c r="E32" s="964"/>
      <c r="F32" s="963"/>
      <c r="G32" s="962"/>
      <c r="H32" s="963"/>
      <c r="I32" s="962"/>
      <c r="J32" s="955"/>
    </row>
    <row r="33" spans="1:10">
      <c r="A33" s="956"/>
      <c r="B33" s="967">
        <v>1996</v>
      </c>
      <c r="C33" s="966">
        <v>1159.5999999999999</v>
      </c>
      <c r="D33" s="965">
        <v>4858.5</v>
      </c>
      <c r="E33" s="962" t="s">
        <v>386</v>
      </c>
      <c r="F33" s="965">
        <v>60.2</v>
      </c>
      <c r="G33" s="966">
        <v>6078.3</v>
      </c>
      <c r="H33" s="965">
        <v>631.70000000000005</v>
      </c>
      <c r="I33" s="966">
        <v>6710</v>
      </c>
      <c r="J33" s="955"/>
    </row>
    <row r="34" spans="1:10">
      <c r="A34" s="956"/>
      <c r="B34" s="957" t="s">
        <v>390</v>
      </c>
      <c r="C34" s="958">
        <v>0.98799999999999999</v>
      </c>
      <c r="D34" s="959">
        <v>0.245</v>
      </c>
      <c r="E34" s="960"/>
      <c r="F34" s="959">
        <v>1</v>
      </c>
      <c r="G34" s="958">
        <v>0.39500114961405813</v>
      </c>
      <c r="H34" s="959">
        <v>0.83799999999999997</v>
      </c>
      <c r="I34" s="958">
        <v>0.436</v>
      </c>
      <c r="J34" s="955"/>
    </row>
    <row r="35" spans="1:10">
      <c r="A35" s="956"/>
      <c r="B35" s="957" t="s">
        <v>391</v>
      </c>
      <c r="C35" s="958">
        <v>1.2E-2</v>
      </c>
      <c r="D35" s="959">
        <v>0.755</v>
      </c>
      <c r="E35" s="960"/>
      <c r="F35" s="959" t="s">
        <v>389</v>
      </c>
      <c r="G35" s="958">
        <v>0.60499885038594192</v>
      </c>
      <c r="H35" s="959">
        <v>0.16200000000000001</v>
      </c>
      <c r="I35" s="958">
        <v>0.56399999999999995</v>
      </c>
      <c r="J35" s="955"/>
    </row>
    <row r="36" spans="1:10">
      <c r="A36" s="956"/>
      <c r="B36" s="957"/>
      <c r="C36" s="962"/>
      <c r="D36" s="963"/>
      <c r="E36" s="964"/>
      <c r="F36" s="963"/>
      <c r="G36" s="962"/>
      <c r="H36" s="963"/>
      <c r="I36" s="962"/>
      <c r="J36" s="955"/>
    </row>
    <row r="37" spans="1:10">
      <c r="A37" s="956"/>
      <c r="B37" s="967">
        <v>1997</v>
      </c>
      <c r="C37" s="966">
        <v>1276.9000000000001</v>
      </c>
      <c r="D37" s="965">
        <v>5266.8</v>
      </c>
      <c r="E37" s="962" t="s">
        <v>386</v>
      </c>
      <c r="F37" s="965">
        <v>60.2</v>
      </c>
      <c r="G37" s="966">
        <v>6603.9</v>
      </c>
      <c r="H37" s="965">
        <v>668.1</v>
      </c>
      <c r="I37" s="966">
        <v>7272</v>
      </c>
      <c r="J37" s="955"/>
    </row>
    <row r="38" spans="1:10">
      <c r="A38" s="956"/>
      <c r="B38" s="967" t="s">
        <v>390</v>
      </c>
      <c r="C38" s="958">
        <v>0.99</v>
      </c>
      <c r="D38" s="959">
        <v>0.29699999999999999</v>
      </c>
      <c r="E38" s="960"/>
      <c r="F38" s="959">
        <v>1</v>
      </c>
      <c r="G38" s="958">
        <v>0.43701571946795642</v>
      </c>
      <c r="H38" s="959">
        <v>0.84699999999999998</v>
      </c>
      <c r="I38" s="958">
        <v>0.47399999999999998</v>
      </c>
      <c r="J38" s="955"/>
    </row>
    <row r="39" spans="1:10">
      <c r="A39" s="956"/>
      <c r="B39" s="967" t="s">
        <v>391</v>
      </c>
      <c r="C39" s="958">
        <v>0.01</v>
      </c>
      <c r="D39" s="959">
        <v>0.70299999999999996</v>
      </c>
      <c r="E39" s="960"/>
      <c r="F39" s="959" t="s">
        <v>389</v>
      </c>
      <c r="G39" s="958">
        <v>0.56298428053204352</v>
      </c>
      <c r="H39" s="959">
        <v>0.153</v>
      </c>
      <c r="I39" s="958">
        <v>0.52600000000000002</v>
      </c>
      <c r="J39" s="955"/>
    </row>
    <row r="40" spans="1:10">
      <c r="A40" s="956"/>
      <c r="B40" s="967"/>
      <c r="C40" s="962"/>
      <c r="D40" s="963"/>
      <c r="E40" s="964"/>
      <c r="F40" s="963"/>
      <c r="G40" s="962"/>
      <c r="H40" s="963"/>
      <c r="I40" s="962"/>
      <c r="J40" s="955"/>
    </row>
    <row r="41" spans="1:10">
      <c r="A41" s="956"/>
      <c r="B41" s="967">
        <v>1998</v>
      </c>
      <c r="C41" s="966">
        <v>1475.7</v>
      </c>
      <c r="D41" s="965">
        <v>6242.4</v>
      </c>
      <c r="E41" s="962">
        <v>16.2</v>
      </c>
      <c r="F41" s="965">
        <v>64.5</v>
      </c>
      <c r="G41" s="966">
        <v>7798.8</v>
      </c>
      <c r="H41" s="965">
        <v>616.20000000000005</v>
      </c>
      <c r="I41" s="966">
        <v>8415</v>
      </c>
      <c r="J41" s="955"/>
    </row>
    <row r="42" spans="1:10">
      <c r="A42" s="956"/>
      <c r="B42" s="967" t="s">
        <v>390</v>
      </c>
      <c r="C42" s="958">
        <v>0.99099999999999999</v>
      </c>
      <c r="D42" s="959">
        <v>0.377</v>
      </c>
      <c r="E42" s="958">
        <v>0.66700000000000004</v>
      </c>
      <c r="F42" s="959">
        <v>1</v>
      </c>
      <c r="G42" s="958">
        <v>0.49849672783267035</v>
      </c>
      <c r="H42" s="959">
        <v>0.83</v>
      </c>
      <c r="I42" s="958">
        <v>0.52300000000000002</v>
      </c>
      <c r="J42" s="955"/>
    </row>
    <row r="43" spans="1:10">
      <c r="A43" s="956"/>
      <c r="B43" s="967" t="s">
        <v>391</v>
      </c>
      <c r="C43" s="958">
        <v>8.9999999999999993E-3</v>
      </c>
      <c r="D43" s="959">
        <v>0.623</v>
      </c>
      <c r="E43" s="958">
        <v>0.33300000000000002</v>
      </c>
      <c r="F43" s="959" t="s">
        <v>389</v>
      </c>
      <c r="G43" s="958">
        <v>0.50150327216732971</v>
      </c>
      <c r="H43" s="959">
        <v>0.17</v>
      </c>
      <c r="I43" s="958">
        <v>0.47699999999999998</v>
      </c>
      <c r="J43" s="955"/>
    </row>
    <row r="44" spans="1:10">
      <c r="A44" s="956"/>
      <c r="B44" s="967"/>
      <c r="C44" s="958"/>
      <c r="D44" s="959"/>
      <c r="E44" s="958"/>
      <c r="F44" s="959"/>
      <c r="G44" s="958"/>
      <c r="H44" s="959"/>
      <c r="I44" s="958"/>
      <c r="J44" s="955"/>
    </row>
    <row r="45" spans="1:10">
      <c r="A45" s="956"/>
      <c r="B45" s="967">
        <v>1999</v>
      </c>
      <c r="C45" s="966">
        <v>2637.3</v>
      </c>
      <c r="D45" s="965">
        <v>6695.1</v>
      </c>
      <c r="E45" s="962">
        <v>17.8</v>
      </c>
      <c r="F45" s="965">
        <v>64.5</v>
      </c>
      <c r="G45" s="966">
        <v>9414.7000000000007</v>
      </c>
      <c r="H45" s="965">
        <v>605.29999999999995</v>
      </c>
      <c r="I45" s="966">
        <v>10020</v>
      </c>
      <c r="J45" s="955"/>
    </row>
    <row r="46" spans="1:10">
      <c r="A46" s="956"/>
      <c r="B46" s="967" t="s">
        <v>392</v>
      </c>
      <c r="C46" s="958">
        <v>0.995</v>
      </c>
      <c r="D46" s="959">
        <v>0.41699999999999998</v>
      </c>
      <c r="E46" s="958">
        <v>0.67</v>
      </c>
      <c r="F46" s="959">
        <v>1</v>
      </c>
      <c r="G46" s="958">
        <v>0.57957073015198224</v>
      </c>
      <c r="H46" s="959">
        <v>0.84899999999999998</v>
      </c>
      <c r="I46" s="958">
        <v>0.59599999999999997</v>
      </c>
      <c r="J46" s="955"/>
    </row>
    <row r="47" spans="1:10">
      <c r="A47" s="956"/>
      <c r="B47" s="967" t="s">
        <v>391</v>
      </c>
      <c r="C47" s="958">
        <v>5.0000000000000001E-3</v>
      </c>
      <c r="D47" s="959">
        <v>0.58299999999999996</v>
      </c>
      <c r="E47" s="958">
        <v>0.33</v>
      </c>
      <c r="F47" s="959" t="s">
        <v>389</v>
      </c>
      <c r="G47" s="958">
        <v>0.42042926984801787</v>
      </c>
      <c r="H47" s="959">
        <v>0.151</v>
      </c>
      <c r="I47" s="958">
        <v>0.40400000000000003</v>
      </c>
      <c r="J47" s="955"/>
    </row>
    <row r="48" spans="1:10">
      <c r="A48" s="956"/>
      <c r="B48" s="967"/>
      <c r="C48" s="958"/>
      <c r="D48" s="959"/>
      <c r="E48" s="958"/>
      <c r="F48" s="959"/>
      <c r="G48" s="958"/>
      <c r="H48" s="959"/>
      <c r="I48" s="958"/>
      <c r="J48" s="955"/>
    </row>
    <row r="49" spans="1:10">
      <c r="A49" s="956"/>
      <c r="B49" s="967">
        <v>2000</v>
      </c>
      <c r="C49" s="966">
        <v>3040.9</v>
      </c>
      <c r="D49" s="965">
        <v>6652.8</v>
      </c>
      <c r="E49" s="962">
        <v>20.100000000000001</v>
      </c>
      <c r="F49" s="965">
        <v>64.5</v>
      </c>
      <c r="G49" s="966">
        <v>9778.2999999999993</v>
      </c>
      <c r="H49" s="965">
        <v>591.70000000000005</v>
      </c>
      <c r="I49" s="966">
        <v>10370</v>
      </c>
      <c r="J49" s="955"/>
    </row>
    <row r="50" spans="1:10">
      <c r="A50" s="956"/>
      <c r="B50" s="967" t="s">
        <v>392</v>
      </c>
      <c r="C50" s="958">
        <v>0.996</v>
      </c>
      <c r="D50" s="959">
        <v>0.4</v>
      </c>
      <c r="E50" s="958">
        <v>0.76300000000000001</v>
      </c>
      <c r="F50" s="959">
        <v>1</v>
      </c>
      <c r="G50" s="958">
        <v>0.58600128927953832</v>
      </c>
      <c r="H50" s="959">
        <v>0.86399999999999999</v>
      </c>
      <c r="I50" s="958">
        <v>0.60199999999999998</v>
      </c>
      <c r="J50" s="955"/>
    </row>
    <row r="51" spans="1:10">
      <c r="A51" s="956"/>
      <c r="B51" s="967" t="s">
        <v>391</v>
      </c>
      <c r="C51" s="958">
        <v>4.0000000000000001E-3</v>
      </c>
      <c r="D51" s="959">
        <v>0.6</v>
      </c>
      <c r="E51" s="958">
        <v>0.23699999999999999</v>
      </c>
      <c r="F51" s="959" t="s">
        <v>389</v>
      </c>
      <c r="G51" s="958">
        <v>0.41400894309774994</v>
      </c>
      <c r="H51" s="959">
        <v>0.13600000000000001</v>
      </c>
      <c r="I51" s="958">
        <v>0.39800000000000002</v>
      </c>
      <c r="J51" s="955"/>
    </row>
    <row r="52" spans="1:10">
      <c r="A52" s="956"/>
      <c r="B52" s="967"/>
      <c r="C52" s="958"/>
      <c r="D52" s="959"/>
      <c r="E52" s="958"/>
      <c r="F52" s="959"/>
      <c r="G52" s="958"/>
      <c r="H52" s="959"/>
      <c r="I52" s="958"/>
      <c r="J52" s="955"/>
    </row>
    <row r="53" spans="1:10">
      <c r="A53" s="956"/>
      <c r="B53" s="967">
        <v>2001</v>
      </c>
      <c r="C53" s="966">
        <v>3440.9</v>
      </c>
      <c r="D53" s="965">
        <v>6579.2</v>
      </c>
      <c r="E53" s="962">
        <v>22.9</v>
      </c>
      <c r="F53" s="965">
        <v>64.5</v>
      </c>
      <c r="G53" s="966">
        <v>10107.5</v>
      </c>
      <c r="H53" s="965">
        <v>796.5</v>
      </c>
      <c r="I53" s="966">
        <v>10904</v>
      </c>
      <c r="J53" s="955"/>
    </row>
    <row r="54" spans="1:10">
      <c r="A54" s="956"/>
      <c r="B54" s="967" t="s">
        <v>392</v>
      </c>
      <c r="C54" s="958">
        <v>0.996</v>
      </c>
      <c r="D54" s="959">
        <v>0.38700000000000001</v>
      </c>
      <c r="E54" s="958">
        <v>0.73099999999999998</v>
      </c>
      <c r="F54" s="959">
        <v>1</v>
      </c>
      <c r="G54" s="958">
        <v>0.60008176796673918</v>
      </c>
      <c r="H54" s="959">
        <v>0.89900000000000002</v>
      </c>
      <c r="I54" s="958">
        <v>0.6220675</v>
      </c>
      <c r="J54" s="955"/>
    </row>
    <row r="55" spans="1:10">
      <c r="A55" s="956"/>
      <c r="B55" s="967" t="s">
        <v>391</v>
      </c>
      <c r="C55" s="958">
        <v>4.0000000000000001E-3</v>
      </c>
      <c r="D55" s="959">
        <v>0.61299999999999999</v>
      </c>
      <c r="E55" s="958">
        <v>0.26900000000000002</v>
      </c>
      <c r="F55" s="959" t="s">
        <v>389</v>
      </c>
      <c r="G55" s="958">
        <v>0.39991823203326077</v>
      </c>
      <c r="H55" s="959">
        <v>0.10100000000000001</v>
      </c>
      <c r="I55" s="958">
        <v>0.3779325</v>
      </c>
      <c r="J55" s="955"/>
    </row>
    <row r="56" spans="1:10">
      <c r="A56" s="956"/>
      <c r="B56" s="967"/>
      <c r="C56" s="958"/>
      <c r="D56" s="959"/>
      <c r="E56" s="958"/>
      <c r="F56" s="959"/>
      <c r="G56" s="958"/>
      <c r="H56" s="959"/>
      <c r="I56" s="958"/>
      <c r="J56" s="955"/>
    </row>
    <row r="57" spans="1:10">
      <c r="A57" s="956"/>
      <c r="B57" s="967">
        <v>2002</v>
      </c>
      <c r="C57" s="966">
        <v>3633.2</v>
      </c>
      <c r="D57" s="965">
        <v>6737.2</v>
      </c>
      <c r="E57" s="962">
        <v>22.6</v>
      </c>
      <c r="F57" s="965">
        <v>64.5</v>
      </c>
      <c r="G57" s="966">
        <v>10457.5</v>
      </c>
      <c r="H57" s="965">
        <v>678.5</v>
      </c>
      <c r="I57" s="966">
        <v>11136</v>
      </c>
      <c r="J57" s="955"/>
    </row>
    <row r="58" spans="1:10">
      <c r="A58" s="956"/>
      <c r="B58" s="967" t="s">
        <v>392</v>
      </c>
      <c r="C58" s="958">
        <v>0.996</v>
      </c>
      <c r="D58" s="959">
        <v>0.38800000000000001</v>
      </c>
      <c r="E58" s="958">
        <v>0.58199999999999996</v>
      </c>
      <c r="F58" s="959">
        <v>1</v>
      </c>
      <c r="G58" s="958">
        <v>0.61006597474167612</v>
      </c>
      <c r="H58" s="959">
        <v>0.89900000000000002</v>
      </c>
      <c r="I58" s="958">
        <v>0.62781299999999995</v>
      </c>
      <c r="J58" s="955"/>
    </row>
    <row r="59" spans="1:10">
      <c r="A59" s="956"/>
      <c r="B59" s="967" t="s">
        <v>391</v>
      </c>
      <c r="C59" s="958">
        <v>4.0000000000000001E-3</v>
      </c>
      <c r="D59" s="959">
        <v>0.61199999999999999</v>
      </c>
      <c r="E59" s="958">
        <v>0.41799999999999998</v>
      </c>
      <c r="F59" s="959" t="s">
        <v>389</v>
      </c>
      <c r="G59" s="958">
        <v>0.38993402525832382</v>
      </c>
      <c r="H59" s="959">
        <v>0.10100000000000001</v>
      </c>
      <c r="I59" s="958">
        <v>0.37218699999999999</v>
      </c>
      <c r="J59" s="955"/>
    </row>
    <row r="60" spans="1:10">
      <c r="A60" s="956"/>
      <c r="B60" s="967"/>
      <c r="C60" s="958"/>
      <c r="D60" s="959"/>
      <c r="E60" s="958"/>
      <c r="F60" s="959"/>
      <c r="G60" s="958"/>
      <c r="H60" s="959"/>
      <c r="I60" s="958"/>
      <c r="J60" s="955"/>
    </row>
    <row r="61" spans="1:10">
      <c r="A61" s="956"/>
      <c r="B61" s="967">
        <v>2003</v>
      </c>
      <c r="C61" s="966">
        <v>3640.7</v>
      </c>
      <c r="D61" s="965">
        <v>6996.2</v>
      </c>
      <c r="E61" s="962">
        <v>33.1</v>
      </c>
      <c r="F61" s="965">
        <v>65</v>
      </c>
      <c r="G61" s="966">
        <v>10735</v>
      </c>
      <c r="H61" s="965">
        <v>719</v>
      </c>
      <c r="I61" s="966">
        <v>11454</v>
      </c>
      <c r="J61" s="955"/>
    </row>
    <row r="62" spans="1:10">
      <c r="A62" s="956"/>
      <c r="B62" s="967" t="s">
        <v>392</v>
      </c>
      <c r="C62" s="958">
        <v>0.996</v>
      </c>
      <c r="D62" s="959">
        <v>0.42</v>
      </c>
      <c r="E62" s="958">
        <v>0.441</v>
      </c>
      <c r="F62" s="959">
        <v>1</v>
      </c>
      <c r="G62" s="958">
        <v>0.61970109050237676</v>
      </c>
      <c r="H62" s="959">
        <v>0.89300000000000002</v>
      </c>
      <c r="I62" s="958">
        <v>0.63700000000000001</v>
      </c>
      <c r="J62" s="955"/>
    </row>
    <row r="63" spans="1:10">
      <c r="A63" s="956"/>
      <c r="B63" s="967" t="s">
        <v>391</v>
      </c>
      <c r="C63" s="958">
        <v>4.0000000000000001E-3</v>
      </c>
      <c r="D63" s="959">
        <v>0.57999999999999996</v>
      </c>
      <c r="E63" s="958">
        <v>0.55900000000000005</v>
      </c>
      <c r="F63" s="959" t="s">
        <v>389</v>
      </c>
      <c r="G63" s="958">
        <v>0.38029890949762324</v>
      </c>
      <c r="H63" s="959">
        <v>0.107</v>
      </c>
      <c r="I63" s="958">
        <v>0.36299999999999999</v>
      </c>
      <c r="J63" s="955"/>
    </row>
    <row r="64" spans="1:10">
      <c r="A64" s="956"/>
      <c r="B64" s="967"/>
      <c r="C64" s="958"/>
      <c r="D64" s="959"/>
      <c r="E64" s="958"/>
      <c r="F64" s="959"/>
      <c r="G64" s="958"/>
      <c r="H64" s="959"/>
      <c r="I64" s="958"/>
      <c r="J64" s="955"/>
    </row>
    <row r="65" spans="1:10">
      <c r="A65" s="956"/>
      <c r="B65" s="967">
        <v>2004</v>
      </c>
      <c r="C65" s="966">
        <v>3595.7950000000001</v>
      </c>
      <c r="D65" s="965">
        <v>7867.4</v>
      </c>
      <c r="E65" s="962">
        <v>33.463000000000001</v>
      </c>
      <c r="F65" s="965">
        <v>64.704999999999998</v>
      </c>
      <c r="G65" s="966">
        <v>11561.363000000001</v>
      </c>
      <c r="H65" s="965">
        <v>731.63499999999999</v>
      </c>
      <c r="I65" s="966">
        <v>12292.998000000001</v>
      </c>
      <c r="J65" s="955"/>
    </row>
    <row r="66" spans="1:10">
      <c r="A66" s="956"/>
      <c r="B66" s="967" t="s">
        <v>392</v>
      </c>
      <c r="C66" s="958">
        <v>0.9964397302960819</v>
      </c>
      <c r="D66" s="959">
        <v>0.40319927803340366</v>
      </c>
      <c r="E66" s="958">
        <v>0.41487613184711469</v>
      </c>
      <c r="F66" s="959">
        <v>1</v>
      </c>
      <c r="G66" s="958">
        <v>0.59108177816058538</v>
      </c>
      <c r="H66" s="959">
        <v>0.8936573564687309</v>
      </c>
      <c r="I66" s="958">
        <v>0.60908998764988009</v>
      </c>
      <c r="J66" s="955"/>
    </row>
    <row r="67" spans="1:10">
      <c r="A67" s="956"/>
      <c r="B67" s="967" t="s">
        <v>391</v>
      </c>
      <c r="C67" s="958">
        <v>3.5602697039180484E-3</v>
      </c>
      <c r="D67" s="959">
        <v>0.59680072196659628</v>
      </c>
      <c r="E67" s="958">
        <v>0.58512386815288531</v>
      </c>
      <c r="F67" s="959">
        <v>0</v>
      </c>
      <c r="G67" s="958">
        <v>0.40891822183941456</v>
      </c>
      <c r="H67" s="959">
        <v>0.10634264353126902</v>
      </c>
      <c r="I67" s="958">
        <v>0.39091001235011991</v>
      </c>
      <c r="J67" s="955"/>
    </row>
    <row r="68" spans="1:10">
      <c r="A68" s="956"/>
      <c r="B68" s="967"/>
      <c r="C68" s="958"/>
      <c r="D68" s="959"/>
      <c r="E68" s="958"/>
      <c r="F68" s="959"/>
      <c r="G68" s="958"/>
      <c r="H68" s="959"/>
      <c r="I68" s="958"/>
      <c r="J68" s="955"/>
    </row>
    <row r="69" spans="1:10">
      <c r="A69" s="956"/>
      <c r="B69" s="967">
        <v>2005</v>
      </c>
      <c r="C69" s="966">
        <v>3595.7950000000001</v>
      </c>
      <c r="D69" s="965">
        <v>8288.2999999999993</v>
      </c>
      <c r="E69" s="962">
        <v>33.463000000000001</v>
      </c>
      <c r="F69" s="965">
        <v>64.704999999999998</v>
      </c>
      <c r="G69" s="966">
        <v>11982.263000000001</v>
      </c>
      <c r="H69" s="965">
        <v>1023.861</v>
      </c>
      <c r="I69" s="966">
        <v>13006.124000000002</v>
      </c>
      <c r="J69" s="955"/>
    </row>
    <row r="70" spans="1:10">
      <c r="A70" s="956"/>
      <c r="B70" s="967" t="s">
        <v>392</v>
      </c>
      <c r="C70" s="958">
        <v>0.9964397302960819</v>
      </c>
      <c r="D70" s="959">
        <v>0.43350626787157798</v>
      </c>
      <c r="E70" s="958">
        <v>0.41487613184711469</v>
      </c>
      <c r="F70" s="959">
        <v>1</v>
      </c>
      <c r="G70" s="958">
        <v>0.60544581603658665</v>
      </c>
      <c r="H70" s="959">
        <v>0.91560963841771492</v>
      </c>
      <c r="I70" s="958">
        <v>0.62986236329901202</v>
      </c>
      <c r="J70" s="955"/>
    </row>
    <row r="71" spans="1:10">
      <c r="A71" s="956"/>
      <c r="B71" s="967" t="s">
        <v>391</v>
      </c>
      <c r="C71" s="958">
        <v>3.5602697039180484E-3</v>
      </c>
      <c r="D71" s="959">
        <v>0.56649373212842202</v>
      </c>
      <c r="E71" s="958">
        <v>0.58512386815288531</v>
      </c>
      <c r="F71" s="959">
        <v>0</v>
      </c>
      <c r="G71" s="958">
        <v>0.39455418396341324</v>
      </c>
      <c r="H71" s="959">
        <v>8.4390361582285092E-2</v>
      </c>
      <c r="I71" s="958">
        <v>0.37013763670098798</v>
      </c>
      <c r="J71" s="955"/>
    </row>
    <row r="72" spans="1:10">
      <c r="A72" s="956"/>
      <c r="B72" s="967"/>
      <c r="C72" s="958"/>
      <c r="D72" s="959"/>
      <c r="E72" s="958"/>
      <c r="F72" s="959"/>
      <c r="G72" s="958"/>
      <c r="H72" s="959"/>
      <c r="I72" s="958"/>
      <c r="J72" s="955"/>
    </row>
    <row r="73" spans="1:10">
      <c r="A73" s="956"/>
      <c r="B73" s="967">
        <v>2006</v>
      </c>
      <c r="C73" s="966">
        <v>3601.855</v>
      </c>
      <c r="D73" s="965">
        <v>8669.5</v>
      </c>
      <c r="E73" s="962">
        <v>33.463000000000001</v>
      </c>
      <c r="F73" s="965">
        <v>64.704999999999998</v>
      </c>
      <c r="G73" s="966">
        <v>12369.522999999999</v>
      </c>
      <c r="H73" s="965">
        <v>1109.6614999999999</v>
      </c>
      <c r="I73" s="966">
        <v>13479.184499999999</v>
      </c>
      <c r="J73" s="955"/>
    </row>
    <row r="74" spans="1:10">
      <c r="A74" s="956"/>
      <c r="B74" s="967" t="s">
        <v>392</v>
      </c>
      <c r="C74" s="958">
        <v>0.99644572033021872</v>
      </c>
      <c r="D74" s="959">
        <v>0.44832227925485896</v>
      </c>
      <c r="E74" s="958">
        <v>0.41487613184711469</v>
      </c>
      <c r="F74" s="959">
        <v>1</v>
      </c>
      <c r="G74" s="958">
        <v>0.6107245202583802</v>
      </c>
      <c r="H74" s="959">
        <v>0.92213481318402057</v>
      </c>
      <c r="I74" s="958">
        <v>0.6363610869782218</v>
      </c>
      <c r="J74" s="955"/>
    </row>
    <row r="75" spans="1:10">
      <c r="A75" s="956"/>
      <c r="B75" s="967" t="s">
        <v>391</v>
      </c>
      <c r="C75" s="958">
        <v>3.5542796697812652E-3</v>
      </c>
      <c r="D75" s="959">
        <v>0.5516777207451411</v>
      </c>
      <c r="E75" s="958">
        <v>0.58512386815288531</v>
      </c>
      <c r="F75" s="959">
        <v>0</v>
      </c>
      <c r="G75" s="958">
        <v>0.3892754797416198</v>
      </c>
      <c r="H75" s="959">
        <v>7.7865186815979467E-2</v>
      </c>
      <c r="I75" s="958">
        <v>0.3636389130217782</v>
      </c>
      <c r="J75" s="955"/>
    </row>
    <row r="76" spans="1:10">
      <c r="A76" s="956"/>
      <c r="B76" s="967"/>
      <c r="C76" s="958"/>
      <c r="D76" s="959"/>
      <c r="E76" s="958"/>
      <c r="F76" s="959"/>
      <c r="G76" s="958"/>
      <c r="H76" s="959"/>
      <c r="I76" s="958"/>
      <c r="J76" s="955"/>
    </row>
    <row r="77" spans="1:10">
      <c r="A77" s="956"/>
      <c r="B77" s="967">
        <v>2007</v>
      </c>
      <c r="C77" s="966">
        <v>3601.8549999999996</v>
      </c>
      <c r="D77" s="965">
        <v>9118.242000000002</v>
      </c>
      <c r="E77" s="962">
        <v>47.826999999999991</v>
      </c>
      <c r="F77" s="965">
        <v>79.564999999999998</v>
      </c>
      <c r="G77" s="966">
        <v>12847.489000000001</v>
      </c>
      <c r="H77" s="965">
        <v>1063.6704999999999</v>
      </c>
      <c r="I77" s="966">
        <v>13911.159500000002</v>
      </c>
      <c r="J77" s="955"/>
    </row>
    <row r="78" spans="1:10">
      <c r="A78" s="956"/>
      <c r="B78" s="967" t="s">
        <v>392</v>
      </c>
      <c r="C78" s="958">
        <v>0.99644572033021872</v>
      </c>
      <c r="D78" s="959">
        <v>0.4634415274347839</v>
      </c>
      <c r="E78" s="958">
        <v>0.54184874652393011</v>
      </c>
      <c r="F78" s="959">
        <v>1</v>
      </c>
      <c r="G78" s="958">
        <v>0.61648661462173637</v>
      </c>
      <c r="H78" s="959">
        <v>0.91876807714419084</v>
      </c>
      <c r="I78" s="958">
        <v>0.63959956033859</v>
      </c>
      <c r="J78" s="955"/>
    </row>
    <row r="79" spans="1:10">
      <c r="A79" s="956"/>
      <c r="B79" s="967" t="s">
        <v>391</v>
      </c>
      <c r="C79" s="958">
        <v>3.5542796697812656E-3</v>
      </c>
      <c r="D79" s="959">
        <v>0.53456247377509825</v>
      </c>
      <c r="E79" s="958">
        <v>0.41675204382461795</v>
      </c>
      <c r="F79" s="959">
        <v>0</v>
      </c>
      <c r="G79" s="958">
        <v>0.38351338537826341</v>
      </c>
      <c r="H79" s="959">
        <v>8.1231922855809199E-2</v>
      </c>
      <c r="I79" s="958">
        <v>0.36040043966141</v>
      </c>
      <c r="J79" s="955"/>
    </row>
    <row r="80" spans="1:10">
      <c r="A80" s="956"/>
      <c r="B80" s="967"/>
      <c r="C80" s="958"/>
      <c r="D80" s="959"/>
      <c r="E80" s="958"/>
      <c r="F80" s="959"/>
      <c r="G80" s="958"/>
      <c r="H80" s="959"/>
      <c r="I80" s="958"/>
      <c r="J80" s="955"/>
    </row>
    <row r="81" spans="1:10">
      <c r="A81" s="956"/>
      <c r="B81" s="967">
        <v>2008</v>
      </c>
      <c r="C81" s="966">
        <v>3601.855</v>
      </c>
      <c r="D81" s="965">
        <v>9385.7460000000028</v>
      </c>
      <c r="E81" s="962">
        <v>50.445999999999991</v>
      </c>
      <c r="F81" s="965">
        <v>79.564999999999998</v>
      </c>
      <c r="G81" s="966">
        <v>13117.612000000003</v>
      </c>
      <c r="H81" s="965">
        <v>1178.81</v>
      </c>
      <c r="I81" s="966">
        <f>H81+G81</f>
        <v>14296.422000000002</v>
      </c>
      <c r="J81" s="955"/>
    </row>
    <row r="82" spans="1:10">
      <c r="A82" s="956"/>
      <c r="B82" s="967" t="s">
        <v>392</v>
      </c>
      <c r="C82" s="958">
        <v>0.99644572033021872</v>
      </c>
      <c r="D82" s="959">
        <v>0.47496192630825496</v>
      </c>
      <c r="E82" s="958">
        <v>0.55046980930103484</v>
      </c>
      <c r="F82" s="959">
        <v>1</v>
      </c>
      <c r="G82" s="958">
        <v>0.62162678694872198</v>
      </c>
      <c r="H82" s="959">
        <v>0.93015498680873077</v>
      </c>
      <c r="I82" s="958">
        <f>BALANCE_ELECT!D10</f>
        <v>0.6470664478147049</v>
      </c>
      <c r="J82" s="955"/>
    </row>
    <row r="83" spans="1:10" ht="13.5" thickBot="1">
      <c r="A83" s="956"/>
      <c r="B83" s="968" t="s">
        <v>391</v>
      </c>
      <c r="C83" s="969">
        <v>3.5542796697812652E-3</v>
      </c>
      <c r="D83" s="970">
        <v>0.52503807369174482</v>
      </c>
      <c r="E83" s="969">
        <v>0.44953019069896527</v>
      </c>
      <c r="F83" s="970">
        <v>0</v>
      </c>
      <c r="G83" s="969">
        <v>0.37837321305127791</v>
      </c>
      <c r="H83" s="970">
        <v>6.9845013191269165E-2</v>
      </c>
      <c r="I83" s="969">
        <f>BALANCE_ELECT!D15</f>
        <v>0.3529335521852951</v>
      </c>
      <c r="J83" s="955"/>
    </row>
    <row r="84" spans="1:10">
      <c r="A84" s="956"/>
      <c r="B84" s="971" t="s">
        <v>531</v>
      </c>
      <c r="C84" s="972"/>
      <c r="D84" s="972"/>
      <c r="E84" s="973"/>
      <c r="F84" s="972"/>
      <c r="G84" s="972"/>
      <c r="H84" s="972"/>
      <c r="I84" s="972"/>
      <c r="J84" s="955"/>
    </row>
    <row r="85" spans="1:10">
      <c r="A85" s="956"/>
      <c r="B85" s="983" t="s">
        <v>845</v>
      </c>
      <c r="C85" s="982"/>
      <c r="D85" s="976"/>
      <c r="E85" s="974"/>
      <c r="F85" s="976"/>
      <c r="G85" s="976"/>
      <c r="H85" s="976"/>
      <c r="I85" s="975"/>
      <c r="J85" s="601"/>
    </row>
    <row r="86" spans="1:10">
      <c r="A86" s="934"/>
      <c r="B86" s="983" t="s">
        <v>846</v>
      </c>
      <c r="C86" s="982"/>
      <c r="D86" s="976"/>
      <c r="E86" s="974"/>
      <c r="F86" s="976"/>
      <c r="G86" s="976"/>
      <c r="H86" s="976"/>
      <c r="I86" s="975"/>
      <c r="J86" s="601"/>
    </row>
    <row r="87" spans="1:10">
      <c r="A87" s="934"/>
      <c r="B87" s="983" t="s">
        <v>848</v>
      </c>
      <c r="C87" s="982"/>
      <c r="D87" s="976"/>
      <c r="E87" s="974"/>
      <c r="F87" s="976"/>
      <c r="G87" s="976"/>
      <c r="H87" s="976"/>
      <c r="I87" s="933"/>
      <c r="J87" s="601"/>
    </row>
    <row r="88" spans="1:10">
      <c r="A88" s="934"/>
      <c r="B88" s="983" t="s">
        <v>847</v>
      </c>
      <c r="C88" s="982"/>
      <c r="D88" s="976"/>
      <c r="E88" s="974"/>
      <c r="F88" s="976"/>
      <c r="G88" s="976"/>
      <c r="H88" s="976"/>
      <c r="I88" s="933"/>
      <c r="J88" s="934"/>
    </row>
    <row r="89" spans="1:10">
      <c r="A89" s="934"/>
      <c r="B89" s="977" t="s">
        <v>374</v>
      </c>
      <c r="C89" s="982"/>
      <c r="D89" s="976"/>
      <c r="E89" s="974"/>
      <c r="F89" s="976"/>
      <c r="G89" s="976"/>
      <c r="H89" s="976"/>
      <c r="I89" s="933"/>
      <c r="J89" s="934"/>
    </row>
    <row r="90" spans="1:10">
      <c r="A90" s="934"/>
      <c r="B90" s="974" t="s">
        <v>758</v>
      </c>
      <c r="C90" s="982"/>
      <c r="D90" s="976"/>
      <c r="E90" s="974"/>
      <c r="F90" s="976"/>
      <c r="G90" s="976"/>
      <c r="H90" s="976"/>
      <c r="I90" s="933"/>
      <c r="J90" s="934"/>
    </row>
    <row r="91" spans="1:10">
      <c r="A91" s="934"/>
      <c r="B91" s="974" t="s">
        <v>759</v>
      </c>
      <c r="C91" s="982"/>
      <c r="D91" s="976"/>
      <c r="E91" s="974"/>
      <c r="F91" s="976"/>
      <c r="G91" s="976"/>
      <c r="H91" s="976"/>
      <c r="I91" s="933"/>
      <c r="J91" s="934"/>
    </row>
    <row r="92" spans="1:10">
      <c r="A92" s="934"/>
      <c r="B92" s="974" t="s">
        <v>375</v>
      </c>
      <c r="C92" s="982"/>
      <c r="D92" s="976"/>
      <c r="E92" s="974"/>
      <c r="F92" s="976"/>
      <c r="G92" s="976"/>
      <c r="H92" s="976"/>
      <c r="I92" s="933"/>
      <c r="J92" s="934"/>
    </row>
    <row r="93" spans="1:10">
      <c r="A93" s="934"/>
      <c r="B93" s="982"/>
      <c r="C93" s="982"/>
      <c r="D93" s="982"/>
      <c r="E93" s="982"/>
      <c r="F93" s="982"/>
      <c r="G93" s="982"/>
      <c r="H93" s="982"/>
      <c r="I93" s="934"/>
      <c r="J93" s="934"/>
    </row>
    <row r="94" spans="1:10">
      <c r="A94" s="934"/>
      <c r="B94" s="934"/>
      <c r="C94" s="934"/>
      <c r="D94" s="934"/>
      <c r="E94" s="934"/>
      <c r="F94" s="934"/>
      <c r="G94" s="934"/>
      <c r="H94" s="934"/>
      <c r="I94" s="934"/>
    </row>
  </sheetData>
  <phoneticPr fontId="51" type="noConversion"/>
  <hyperlinks>
    <hyperlink ref="G1" location="INDICE!A70" display="VOLVER A INDICE"/>
  </hyperlinks>
  <pageMargins left="0.75" right="0.75" top="1" bottom="1" header="0" footer="0"/>
  <pageSetup paperSize="9" orientation="portrait" horizontalDpi="200" verticalDpi="200" copies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showGridLines="0" workbookViewId="0">
      <selection activeCell="J89" sqref="J89"/>
    </sheetView>
  </sheetViews>
  <sheetFormatPr baseColWidth="10" defaultRowHeight="12.75"/>
  <cols>
    <col min="1" max="1" width="2.28515625" customWidth="1"/>
  </cols>
  <sheetData>
    <row r="1" spans="1:9" ht="15.75">
      <c r="A1" s="928"/>
      <c r="B1" s="929"/>
      <c r="C1" s="931"/>
      <c r="D1" s="931"/>
      <c r="E1" s="931"/>
      <c r="F1" s="931"/>
      <c r="G1" s="931"/>
      <c r="H1" s="604" t="s">
        <v>649</v>
      </c>
      <c r="I1" s="934"/>
    </row>
    <row r="2" spans="1:9">
      <c r="A2" s="934"/>
      <c r="B2" s="941"/>
      <c r="C2" s="941"/>
      <c r="D2" s="941"/>
      <c r="E2" s="941"/>
      <c r="F2" s="941"/>
      <c r="G2" s="941"/>
      <c r="H2" s="941"/>
      <c r="I2" s="940"/>
    </row>
    <row r="3" spans="1:9">
      <c r="A3" s="940"/>
      <c r="B3" s="935" t="s">
        <v>393</v>
      </c>
      <c r="C3" s="935"/>
      <c r="D3" s="935"/>
      <c r="E3" s="935"/>
      <c r="F3" s="941"/>
      <c r="G3" s="941"/>
      <c r="H3" s="941"/>
      <c r="I3" s="940"/>
    </row>
    <row r="4" spans="1:9">
      <c r="A4" s="940"/>
      <c r="B4" s="935" t="s">
        <v>394</v>
      </c>
      <c r="C4" s="935"/>
      <c r="D4" s="935"/>
      <c r="E4" s="935"/>
      <c r="F4" s="941"/>
      <c r="G4" s="941"/>
      <c r="H4" s="941"/>
      <c r="I4" s="940"/>
    </row>
    <row r="5" spans="1:9" ht="13.5" thickBot="1">
      <c r="A5" s="940"/>
      <c r="B5" s="935"/>
      <c r="C5" s="935"/>
      <c r="D5" s="935"/>
      <c r="E5" s="935"/>
      <c r="F5" s="941"/>
      <c r="G5" s="941"/>
      <c r="H5" s="941"/>
      <c r="I5" s="940"/>
    </row>
    <row r="6" spans="1:9" ht="13.5" thickBot="1">
      <c r="A6" s="940"/>
      <c r="B6" s="1426"/>
      <c r="C6" s="1427"/>
      <c r="D6" s="1427"/>
      <c r="E6" s="1427"/>
      <c r="F6" s="1427"/>
      <c r="G6" s="1427"/>
      <c r="H6" s="1428"/>
      <c r="I6" s="940"/>
    </row>
    <row r="7" spans="1:9">
      <c r="A7" s="940"/>
      <c r="B7" s="942" t="s">
        <v>395</v>
      </c>
      <c r="C7" s="943" t="s">
        <v>379</v>
      </c>
      <c r="D7" s="944" t="s">
        <v>380</v>
      </c>
      <c r="E7" s="943" t="s">
        <v>381</v>
      </c>
      <c r="F7" s="944" t="s">
        <v>396</v>
      </c>
      <c r="G7" s="943" t="s">
        <v>328</v>
      </c>
      <c r="H7" s="1429" t="s">
        <v>382</v>
      </c>
      <c r="I7" s="946"/>
    </row>
    <row r="8" spans="1:9" ht="13.5" thickBot="1">
      <c r="A8" s="946"/>
      <c r="B8" s="947" t="s">
        <v>397</v>
      </c>
      <c r="C8" s="948"/>
      <c r="D8" s="949"/>
      <c r="E8" s="950" t="s">
        <v>398</v>
      </c>
      <c r="F8" s="1430" t="s">
        <v>384</v>
      </c>
      <c r="G8" s="950"/>
      <c r="H8" s="1431"/>
      <c r="I8" s="946"/>
    </row>
    <row r="9" spans="1:9">
      <c r="A9" s="946"/>
      <c r="B9" s="1432">
        <v>1990</v>
      </c>
      <c r="C9" s="1433" t="s">
        <v>386</v>
      </c>
      <c r="D9" s="1434">
        <v>13666.6</v>
      </c>
      <c r="E9" s="1433" t="s">
        <v>386</v>
      </c>
      <c r="F9" s="1434">
        <v>97</v>
      </c>
      <c r="G9" s="1433">
        <v>4634.3999999999996</v>
      </c>
      <c r="H9" s="1435">
        <v>18398</v>
      </c>
      <c r="I9" s="934"/>
    </row>
    <row r="10" spans="1:9">
      <c r="A10" s="934"/>
      <c r="B10" s="1436" t="s">
        <v>390</v>
      </c>
      <c r="C10" s="1437"/>
      <c r="D10" s="1438">
        <v>0.4</v>
      </c>
      <c r="E10" s="1437"/>
      <c r="F10" s="1438">
        <v>1</v>
      </c>
      <c r="G10" s="1437">
        <v>0.84599999999999997</v>
      </c>
      <c r="H10" s="1439">
        <v>0.51400000000000001</v>
      </c>
      <c r="I10" s="934"/>
    </row>
    <row r="11" spans="1:9">
      <c r="A11" s="934"/>
      <c r="B11" s="1436" t="s">
        <v>391</v>
      </c>
      <c r="C11" s="1437"/>
      <c r="D11" s="1438">
        <v>0.6</v>
      </c>
      <c r="E11" s="1437"/>
      <c r="F11" s="1438">
        <v>0</v>
      </c>
      <c r="G11" s="1437">
        <v>0.154</v>
      </c>
      <c r="H11" s="1439">
        <v>0.48599999999999999</v>
      </c>
      <c r="I11" s="934"/>
    </row>
    <row r="12" spans="1:9">
      <c r="A12" s="934"/>
      <c r="B12" s="1436"/>
      <c r="C12" s="1440"/>
      <c r="D12" s="1441"/>
      <c r="E12" s="1440"/>
      <c r="F12" s="1441"/>
      <c r="G12" s="1440"/>
      <c r="H12" s="1442"/>
      <c r="I12" s="934"/>
    </row>
    <row r="13" spans="1:9">
      <c r="A13" s="934"/>
      <c r="B13" s="1436">
        <v>1991</v>
      </c>
      <c r="C13" s="1443" t="s">
        <v>386</v>
      </c>
      <c r="D13" s="1444">
        <v>14734.7</v>
      </c>
      <c r="E13" s="1443" t="s">
        <v>386</v>
      </c>
      <c r="F13" s="1444">
        <v>100.7</v>
      </c>
      <c r="G13" s="1443">
        <v>5127.6000000000004</v>
      </c>
      <c r="H13" s="1445">
        <v>19963</v>
      </c>
      <c r="I13" s="934"/>
    </row>
    <row r="14" spans="1:9">
      <c r="A14" s="934"/>
      <c r="B14" s="1436" t="s">
        <v>390</v>
      </c>
      <c r="C14" s="1437"/>
      <c r="D14" s="1438">
        <v>0.16500000000000001</v>
      </c>
      <c r="E14" s="1437"/>
      <c r="F14" s="1438">
        <v>1</v>
      </c>
      <c r="G14" s="1437">
        <v>0.85799999999999998</v>
      </c>
      <c r="H14" s="1439">
        <v>0.34200000000000003</v>
      </c>
      <c r="I14" s="934"/>
    </row>
    <row r="15" spans="1:9">
      <c r="A15" s="934"/>
      <c r="B15" s="1436" t="s">
        <v>391</v>
      </c>
      <c r="C15" s="1437"/>
      <c r="D15" s="1438">
        <v>0.83499999999999996</v>
      </c>
      <c r="E15" s="1437"/>
      <c r="F15" s="1438" t="s">
        <v>389</v>
      </c>
      <c r="G15" s="1437">
        <v>0.14199999999999999</v>
      </c>
      <c r="H15" s="1439">
        <v>0.65800000000000003</v>
      </c>
      <c r="I15" s="934"/>
    </row>
    <row r="16" spans="1:9">
      <c r="A16" s="934"/>
      <c r="B16" s="1436"/>
      <c r="C16" s="1440"/>
      <c r="D16" s="1441"/>
      <c r="E16" s="1440"/>
      <c r="F16" s="1441"/>
      <c r="G16" s="1440"/>
      <c r="H16" s="1442"/>
      <c r="I16" s="934"/>
    </row>
    <row r="17" spans="1:9">
      <c r="A17" s="934"/>
      <c r="B17" s="1436">
        <v>1992</v>
      </c>
      <c r="C17" s="1443" t="s">
        <v>386</v>
      </c>
      <c r="D17" s="1444">
        <v>16290.1</v>
      </c>
      <c r="E17" s="1443" t="s">
        <v>386</v>
      </c>
      <c r="F17" s="1444">
        <v>108.2</v>
      </c>
      <c r="G17" s="1443">
        <v>5951.6</v>
      </c>
      <c r="H17" s="1445">
        <v>22350</v>
      </c>
      <c r="I17" s="934"/>
    </row>
    <row r="18" spans="1:9">
      <c r="A18" s="934"/>
      <c r="B18" s="1436" t="s">
        <v>390</v>
      </c>
      <c r="C18" s="1437"/>
      <c r="D18" s="1438">
        <v>2.8000000000000001E-2</v>
      </c>
      <c r="E18" s="1437"/>
      <c r="F18" s="1438">
        <v>1</v>
      </c>
      <c r="G18" s="1437">
        <v>0.86199999999999999</v>
      </c>
      <c r="H18" s="1439">
        <v>0.251</v>
      </c>
      <c r="I18" s="934"/>
    </row>
    <row r="19" spans="1:9">
      <c r="A19" s="934"/>
      <c r="B19" s="1436" t="s">
        <v>391</v>
      </c>
      <c r="C19" s="1437"/>
      <c r="D19" s="1438">
        <v>0.97199999999999998</v>
      </c>
      <c r="E19" s="1437"/>
      <c r="F19" s="1438" t="s">
        <v>389</v>
      </c>
      <c r="G19" s="1437">
        <v>0.13800000000000001</v>
      </c>
      <c r="H19" s="1439">
        <v>0.749</v>
      </c>
      <c r="I19" s="934"/>
    </row>
    <row r="20" spans="1:9">
      <c r="A20" s="934"/>
      <c r="B20" s="1436"/>
      <c r="C20" s="1440"/>
      <c r="D20" s="1441"/>
      <c r="E20" s="1440"/>
      <c r="F20" s="1441"/>
      <c r="G20" s="1440"/>
      <c r="H20" s="1442"/>
      <c r="I20" s="934"/>
    </row>
    <row r="21" spans="1:9">
      <c r="A21" s="934"/>
      <c r="B21" s="1436">
        <v>1993</v>
      </c>
      <c r="C21" s="1443">
        <f>3350-1903</f>
        <v>1447</v>
      </c>
      <c r="D21" s="1444">
        <v>17670.3</v>
      </c>
      <c r="E21" s="1443" t="s">
        <v>386</v>
      </c>
      <c r="F21" s="1444">
        <v>116.4</v>
      </c>
      <c r="G21" s="1443">
        <v>4779.3</v>
      </c>
      <c r="H21" s="1445">
        <v>24013</v>
      </c>
      <c r="I21" s="934"/>
    </row>
    <row r="22" spans="1:9">
      <c r="A22" s="934"/>
      <c r="B22" s="1436" t="s">
        <v>390</v>
      </c>
      <c r="C22" s="1437">
        <v>0.80400000000000005</v>
      </c>
      <c r="D22" s="1438">
        <v>7.2999999999999995E-2</v>
      </c>
      <c r="E22" s="1437"/>
      <c r="F22" s="1438">
        <v>1</v>
      </c>
      <c r="G22" s="1437">
        <v>0.873</v>
      </c>
      <c r="H22" s="1439">
        <v>0.28299999999999997</v>
      </c>
      <c r="I22" s="934"/>
    </row>
    <row r="23" spans="1:9">
      <c r="A23" s="934"/>
      <c r="B23" s="1436" t="s">
        <v>391</v>
      </c>
      <c r="C23" s="1437">
        <v>0.19600000000000001</v>
      </c>
      <c r="D23" s="1438">
        <v>0.92700000000000005</v>
      </c>
      <c r="E23" s="1437"/>
      <c r="F23" s="1438" t="s">
        <v>389</v>
      </c>
      <c r="G23" s="1437">
        <v>0.127</v>
      </c>
      <c r="H23" s="1439">
        <v>0.71699999999999997</v>
      </c>
      <c r="I23" s="934"/>
    </row>
    <row r="24" spans="1:9">
      <c r="A24" s="934"/>
      <c r="B24" s="1436"/>
      <c r="C24" s="1440"/>
      <c r="D24" s="1441"/>
      <c r="E24" s="1440"/>
      <c r="F24" s="1441"/>
      <c r="G24" s="1440"/>
      <c r="H24" s="1442"/>
      <c r="I24" s="934"/>
    </row>
    <row r="25" spans="1:9">
      <c r="A25" s="934"/>
      <c r="B25" s="1436">
        <v>1994</v>
      </c>
      <c r="C25" s="1443">
        <v>3745.3</v>
      </c>
      <c r="D25" s="1444">
        <v>18985.400000000001</v>
      </c>
      <c r="E25" s="1443" t="s">
        <v>386</v>
      </c>
      <c r="F25" s="1444">
        <v>125</v>
      </c>
      <c r="G25" s="1443">
        <v>2420.3000000000002</v>
      </c>
      <c r="H25" s="1445">
        <v>25276</v>
      </c>
      <c r="I25" s="934"/>
    </row>
    <row r="26" spans="1:9">
      <c r="A26" s="934"/>
      <c r="B26" s="1436" t="s">
        <v>390</v>
      </c>
      <c r="C26" s="1437">
        <v>0.98799999999999999</v>
      </c>
      <c r="D26" s="1438">
        <v>0.13300000000000001</v>
      </c>
      <c r="E26" s="1437"/>
      <c r="F26" s="1438">
        <v>1</v>
      </c>
      <c r="G26" s="1437">
        <v>0.81489999999999996</v>
      </c>
      <c r="H26" s="1439">
        <v>0.32800000000000001</v>
      </c>
      <c r="I26" s="934"/>
    </row>
    <row r="27" spans="1:9">
      <c r="A27" s="934"/>
      <c r="B27" s="1436" t="s">
        <v>391</v>
      </c>
      <c r="C27" s="1437">
        <v>1.2E-2</v>
      </c>
      <c r="D27" s="1438">
        <v>0.86699999999999999</v>
      </c>
      <c r="E27" s="1437"/>
      <c r="F27" s="1438" t="s">
        <v>389</v>
      </c>
      <c r="G27" s="1437">
        <v>0.18509999999999999</v>
      </c>
      <c r="H27" s="1439">
        <v>0.67200000000000004</v>
      </c>
      <c r="I27" s="934"/>
    </row>
    <row r="28" spans="1:9">
      <c r="A28" s="934"/>
      <c r="B28" s="1436"/>
      <c r="C28" s="1440"/>
      <c r="D28" s="1441"/>
      <c r="E28" s="1440"/>
      <c r="F28" s="1441"/>
      <c r="G28" s="1440"/>
      <c r="H28" s="1442"/>
      <c r="I28" s="934"/>
    </row>
    <row r="29" spans="1:9">
      <c r="A29" s="934"/>
      <c r="B29" s="1436">
        <v>1995</v>
      </c>
      <c r="C29" s="1443">
        <v>4403.6000000000004</v>
      </c>
      <c r="D29" s="1444">
        <v>20506.5</v>
      </c>
      <c r="E29" s="1443" t="s">
        <v>386</v>
      </c>
      <c r="F29" s="1444">
        <v>129.4</v>
      </c>
      <c r="G29" s="1443">
        <v>2987.5</v>
      </c>
      <c r="H29" s="1445">
        <v>28027</v>
      </c>
      <c r="I29" s="934"/>
    </row>
    <row r="30" spans="1:9">
      <c r="A30" s="934"/>
      <c r="B30" s="1436" t="s">
        <v>390</v>
      </c>
      <c r="C30" s="1437">
        <v>0.99139999999999995</v>
      </c>
      <c r="D30" s="1438">
        <v>0.14199999999999999</v>
      </c>
      <c r="E30" s="1437"/>
      <c r="F30" s="1438">
        <v>1</v>
      </c>
      <c r="G30" s="1437">
        <v>0.73929999999999996</v>
      </c>
      <c r="H30" s="1439">
        <v>0.34300000000000003</v>
      </c>
      <c r="I30" s="934"/>
    </row>
    <row r="31" spans="1:9">
      <c r="A31" s="934"/>
      <c r="B31" s="1436" t="s">
        <v>391</v>
      </c>
      <c r="C31" s="1437">
        <v>8.6E-3</v>
      </c>
      <c r="D31" s="1438">
        <v>0.85799999999999998</v>
      </c>
      <c r="E31" s="1437"/>
      <c r="F31" s="1438" t="s">
        <v>389</v>
      </c>
      <c r="G31" s="1437">
        <v>0.26069999999999999</v>
      </c>
      <c r="H31" s="1439">
        <v>0.65700000000000003</v>
      </c>
      <c r="I31" s="934"/>
    </row>
    <row r="32" spans="1:9">
      <c r="A32" s="934"/>
      <c r="B32" s="1436"/>
      <c r="C32" s="1440"/>
      <c r="D32" s="1441"/>
      <c r="E32" s="1440"/>
      <c r="F32" s="1441"/>
      <c r="G32" s="1440"/>
      <c r="H32" s="1442"/>
      <c r="I32" s="934"/>
    </row>
    <row r="33" spans="1:9">
      <c r="A33" s="934"/>
      <c r="B33" s="1436">
        <v>1996</v>
      </c>
      <c r="C33" s="1443">
        <v>5544.6</v>
      </c>
      <c r="D33" s="1444">
        <v>22424.7</v>
      </c>
      <c r="E33" s="1443" t="s">
        <v>386</v>
      </c>
      <c r="F33" s="1444">
        <v>139.30000000000001</v>
      </c>
      <c r="G33" s="1443">
        <v>2682.4</v>
      </c>
      <c r="H33" s="1445">
        <v>30791</v>
      </c>
      <c r="I33" s="934"/>
    </row>
    <row r="34" spans="1:9">
      <c r="A34" s="934"/>
      <c r="B34" s="1436" t="s">
        <v>390</v>
      </c>
      <c r="C34" s="1437">
        <v>0.99399999999999999</v>
      </c>
      <c r="D34" s="1438">
        <v>0.28199999999999997</v>
      </c>
      <c r="E34" s="1437"/>
      <c r="F34" s="1438">
        <v>1</v>
      </c>
      <c r="G34" s="1437">
        <v>0.72860000000000003</v>
      </c>
      <c r="H34" s="1439">
        <v>0.45200000000000001</v>
      </c>
      <c r="I34" s="934"/>
    </row>
    <row r="35" spans="1:9">
      <c r="A35" s="934"/>
      <c r="B35" s="1436" t="s">
        <v>391</v>
      </c>
      <c r="C35" s="1437">
        <v>6.0000000000000001E-3</v>
      </c>
      <c r="D35" s="1438">
        <v>0.71799999999999997</v>
      </c>
      <c r="E35" s="1437"/>
      <c r="F35" s="1438" t="s">
        <v>389</v>
      </c>
      <c r="G35" s="1437">
        <v>0.27139999999999997</v>
      </c>
      <c r="H35" s="1439">
        <v>0.54800000000000004</v>
      </c>
      <c r="I35" s="934"/>
    </row>
    <row r="36" spans="1:9">
      <c r="A36" s="934"/>
      <c r="B36" s="1436"/>
      <c r="C36" s="1440"/>
      <c r="D36" s="1441"/>
      <c r="E36" s="1440"/>
      <c r="F36" s="1441"/>
      <c r="G36" s="1440"/>
      <c r="H36" s="1442"/>
      <c r="I36" s="934"/>
    </row>
    <row r="37" spans="1:9">
      <c r="A37" s="934"/>
      <c r="B37" s="1436">
        <v>1997</v>
      </c>
      <c r="C37" s="1443">
        <v>6392.4</v>
      </c>
      <c r="D37" s="1444">
        <v>23959.1</v>
      </c>
      <c r="E37" s="1443" t="s">
        <v>386</v>
      </c>
      <c r="F37" s="1444">
        <v>142.69999999999999</v>
      </c>
      <c r="G37" s="1443">
        <v>2797.8</v>
      </c>
      <c r="H37" s="1445">
        <v>33292</v>
      </c>
      <c r="I37" s="934"/>
    </row>
    <row r="38" spans="1:9">
      <c r="A38" s="934"/>
      <c r="B38" s="1436" t="s">
        <v>390</v>
      </c>
      <c r="C38" s="1437">
        <v>0.99099999999999999</v>
      </c>
      <c r="D38" s="1438">
        <v>0.245</v>
      </c>
      <c r="E38" s="1437"/>
      <c r="F38" s="1438">
        <v>1</v>
      </c>
      <c r="G38" s="1437">
        <v>0.71699999999999997</v>
      </c>
      <c r="H38" s="1439">
        <v>0.43099999999999999</v>
      </c>
      <c r="I38" s="934"/>
    </row>
    <row r="39" spans="1:9">
      <c r="A39" s="934"/>
      <c r="B39" s="1436" t="s">
        <v>391</v>
      </c>
      <c r="C39" s="1437">
        <v>8.9999999999999993E-3</v>
      </c>
      <c r="D39" s="1438">
        <v>0.755</v>
      </c>
      <c r="E39" s="1437"/>
      <c r="F39" s="1438" t="s">
        <v>389</v>
      </c>
      <c r="G39" s="1437">
        <v>0.28299999999999997</v>
      </c>
      <c r="H39" s="1439">
        <v>0.56899999999999995</v>
      </c>
      <c r="I39" s="934"/>
    </row>
    <row r="40" spans="1:9">
      <c r="A40" s="934"/>
      <c r="B40" s="1436"/>
      <c r="C40" s="1440"/>
      <c r="D40" s="1441"/>
      <c r="E40" s="1440"/>
      <c r="F40" s="1441"/>
      <c r="G40" s="1440"/>
      <c r="H40" s="1442"/>
      <c r="I40" s="934"/>
    </row>
    <row r="41" spans="1:9">
      <c r="A41" s="934"/>
      <c r="B41" s="1436">
        <v>1998</v>
      </c>
      <c r="C41" s="1443">
        <v>7357.5</v>
      </c>
      <c r="D41" s="1444">
        <v>25649.7</v>
      </c>
      <c r="E41" s="1443">
        <v>66.7</v>
      </c>
      <c r="F41" s="1444">
        <v>151.69999999999999</v>
      </c>
      <c r="G41" s="1443">
        <v>2269.4</v>
      </c>
      <c r="H41" s="1445">
        <v>35495</v>
      </c>
      <c r="I41" s="934"/>
    </row>
    <row r="42" spans="1:9">
      <c r="A42" s="934"/>
      <c r="B42" s="1436" t="s">
        <v>390</v>
      </c>
      <c r="C42" s="1437">
        <v>0.99299999999999999</v>
      </c>
      <c r="D42" s="1438">
        <v>0.41</v>
      </c>
      <c r="E42" s="1437">
        <v>0.434</v>
      </c>
      <c r="F42" s="1438">
        <v>1</v>
      </c>
      <c r="G42" s="1437">
        <v>0.68200000000000005</v>
      </c>
      <c r="H42" s="1439">
        <v>0.55100000000000005</v>
      </c>
      <c r="I42" s="934"/>
    </row>
    <row r="43" spans="1:9">
      <c r="A43" s="934"/>
      <c r="B43" s="1436" t="s">
        <v>391</v>
      </c>
      <c r="C43" s="1437">
        <v>7.0000000000000001E-3</v>
      </c>
      <c r="D43" s="1438">
        <v>0.59</v>
      </c>
      <c r="E43" s="1437">
        <v>0.56599999999999995</v>
      </c>
      <c r="F43" s="1438" t="s">
        <v>389</v>
      </c>
      <c r="G43" s="1437">
        <v>0.318</v>
      </c>
      <c r="H43" s="1439">
        <v>0.44900000000000001</v>
      </c>
      <c r="I43" s="934"/>
    </row>
    <row r="44" spans="1:9">
      <c r="A44" s="934"/>
      <c r="B44" s="1436"/>
      <c r="C44" s="1437"/>
      <c r="D44" s="1438"/>
      <c r="E44" s="1437"/>
      <c r="F44" s="1438"/>
      <c r="G44" s="1437"/>
      <c r="H44" s="1439"/>
      <c r="I44" s="934"/>
    </row>
    <row r="45" spans="1:9">
      <c r="A45" s="934"/>
      <c r="B45" s="1436">
        <v>1999</v>
      </c>
      <c r="C45" s="1443">
        <v>9001</v>
      </c>
      <c r="D45" s="1444">
        <v>26915</v>
      </c>
      <c r="E45" s="1443">
        <v>71.599999999999994</v>
      </c>
      <c r="F45" s="1444">
        <v>154.80000000000001</v>
      </c>
      <c r="G45" s="1443">
        <v>2241.6</v>
      </c>
      <c r="H45" s="1445">
        <v>38384</v>
      </c>
      <c r="I45" s="934"/>
    </row>
    <row r="46" spans="1:9">
      <c r="A46" s="934"/>
      <c r="B46" s="1436" t="s">
        <v>390</v>
      </c>
      <c r="C46" s="1437">
        <v>0.99299999999999999</v>
      </c>
      <c r="D46" s="1438">
        <v>0.52400000000000002</v>
      </c>
      <c r="E46" s="1437">
        <v>0.48799999999999999</v>
      </c>
      <c r="F46" s="1438">
        <v>1</v>
      </c>
      <c r="G46" s="1437">
        <v>0.69799999999999995</v>
      </c>
      <c r="H46" s="1439">
        <v>0.64600000000000002</v>
      </c>
      <c r="I46" s="934"/>
    </row>
    <row r="47" spans="1:9">
      <c r="A47" s="934"/>
      <c r="B47" s="1436" t="s">
        <v>391</v>
      </c>
      <c r="C47" s="1437">
        <v>7.0000000000000001E-3</v>
      </c>
      <c r="D47" s="1438">
        <v>0.47599999999999998</v>
      </c>
      <c r="E47" s="1437">
        <v>0.51200000000000001</v>
      </c>
      <c r="F47" s="1438" t="s">
        <v>389</v>
      </c>
      <c r="G47" s="1437">
        <v>0.30199999999999999</v>
      </c>
      <c r="H47" s="1439">
        <v>0.35399999999999998</v>
      </c>
      <c r="I47" s="934"/>
    </row>
    <row r="48" spans="1:9">
      <c r="A48" s="934"/>
      <c r="B48" s="1436"/>
      <c r="C48" s="1437"/>
      <c r="D48" s="1438"/>
      <c r="E48" s="1437"/>
      <c r="F48" s="1438"/>
      <c r="G48" s="1437"/>
      <c r="H48" s="1439"/>
      <c r="I48" s="934"/>
    </row>
    <row r="49" spans="1:9">
      <c r="A49" s="934"/>
      <c r="B49" s="1436">
        <v>2000</v>
      </c>
      <c r="C49" s="1443">
        <v>9327.4</v>
      </c>
      <c r="D49" s="1444">
        <v>29576.6</v>
      </c>
      <c r="E49" s="1443">
        <v>75.400000000000006</v>
      </c>
      <c r="F49" s="1444">
        <v>163</v>
      </c>
      <c r="G49" s="1443">
        <v>2125.6</v>
      </c>
      <c r="H49" s="1445">
        <v>41268</v>
      </c>
      <c r="I49" s="934"/>
    </row>
    <row r="50" spans="1:9">
      <c r="A50" s="934"/>
      <c r="B50" s="1436" t="s">
        <v>390</v>
      </c>
      <c r="C50" s="1437">
        <v>0.99399999999999999</v>
      </c>
      <c r="D50" s="1438">
        <v>0.377</v>
      </c>
      <c r="E50" s="1437">
        <v>0.40100000000000002</v>
      </c>
      <c r="F50" s="1438">
        <v>1</v>
      </c>
      <c r="G50" s="1437">
        <v>0.73699999999999999</v>
      </c>
      <c r="H50" s="1439">
        <v>0.53800000000000003</v>
      </c>
      <c r="I50" s="934"/>
    </row>
    <row r="51" spans="1:9">
      <c r="A51" s="934"/>
      <c r="B51" s="1436" t="s">
        <v>391</v>
      </c>
      <c r="C51" s="1437">
        <v>6.0000000000000001E-3</v>
      </c>
      <c r="D51" s="1438">
        <v>0.623</v>
      </c>
      <c r="E51" s="1437">
        <v>0.50900000000000001</v>
      </c>
      <c r="F51" s="1438" t="s">
        <v>389</v>
      </c>
      <c r="G51" s="1437">
        <v>0.26300000000000001</v>
      </c>
      <c r="H51" s="1439">
        <v>0.46200000000000002</v>
      </c>
      <c r="I51" s="934"/>
    </row>
    <row r="52" spans="1:9">
      <c r="A52" s="934"/>
      <c r="B52" s="1436"/>
      <c r="C52" s="1437"/>
      <c r="D52" s="1438"/>
      <c r="E52" s="1437"/>
      <c r="F52" s="1438"/>
      <c r="G52" s="1437"/>
      <c r="H52" s="1439"/>
      <c r="I52" s="934"/>
    </row>
    <row r="53" spans="1:9">
      <c r="A53" s="934"/>
      <c r="B53" s="1436">
        <v>2001</v>
      </c>
      <c r="C53" s="1443">
        <v>9851.4</v>
      </c>
      <c r="D53" s="1444">
        <v>30765</v>
      </c>
      <c r="E53" s="1443">
        <v>77.7</v>
      </c>
      <c r="F53" s="1444">
        <v>170.4</v>
      </c>
      <c r="G53" s="1443">
        <v>3052.5</v>
      </c>
      <c r="H53" s="1445">
        <v>43917</v>
      </c>
      <c r="I53" s="934"/>
    </row>
    <row r="54" spans="1:9">
      <c r="A54" s="934"/>
      <c r="B54" s="1436" t="s">
        <v>390</v>
      </c>
      <c r="C54" s="1437">
        <v>0.99399999999999999</v>
      </c>
      <c r="D54" s="1438">
        <v>0.316</v>
      </c>
      <c r="E54" s="1437">
        <v>0.51400000000000001</v>
      </c>
      <c r="F54" s="1438">
        <v>1</v>
      </c>
      <c r="G54" s="1437">
        <v>0.80400000000000005</v>
      </c>
      <c r="H54" s="1439">
        <v>0.50600000000000001</v>
      </c>
      <c r="I54" s="934"/>
    </row>
    <row r="55" spans="1:9">
      <c r="A55" s="934"/>
      <c r="B55" s="1436" t="s">
        <v>391</v>
      </c>
      <c r="C55" s="1437">
        <v>6.0000000000000001E-3</v>
      </c>
      <c r="D55" s="1438">
        <v>0.68400000000000005</v>
      </c>
      <c r="E55" s="1437">
        <v>0.48599999999999999</v>
      </c>
      <c r="F55" s="1438" t="s">
        <v>389</v>
      </c>
      <c r="G55" s="1437">
        <v>0.19600000000000001</v>
      </c>
      <c r="H55" s="1439">
        <v>0.49399999999999999</v>
      </c>
      <c r="I55" s="934"/>
    </row>
    <row r="56" spans="1:9">
      <c r="A56" s="934"/>
      <c r="B56" s="1436"/>
      <c r="C56" s="1437"/>
      <c r="D56" s="1438"/>
      <c r="E56" s="1437"/>
      <c r="F56" s="1438"/>
      <c r="G56" s="1437"/>
      <c r="H56" s="1439"/>
      <c r="I56" s="934"/>
    </row>
    <row r="57" spans="1:9">
      <c r="A57" s="934"/>
      <c r="B57" s="1436">
        <v>2002</v>
      </c>
      <c r="C57" s="1443">
        <v>10399.6</v>
      </c>
      <c r="D57" s="1444">
        <v>31971.3</v>
      </c>
      <c r="E57" s="1443">
        <v>86.3</v>
      </c>
      <c r="F57" s="1444">
        <v>176.5</v>
      </c>
      <c r="G57" s="1443">
        <v>2850.3</v>
      </c>
      <c r="H57" s="1445">
        <v>45484</v>
      </c>
      <c r="I57" s="934"/>
    </row>
    <row r="58" spans="1:9">
      <c r="A58" s="934"/>
      <c r="B58" s="1436" t="s">
        <v>390</v>
      </c>
      <c r="C58" s="1437">
        <v>0.99399999999999999</v>
      </c>
      <c r="D58" s="1438">
        <v>0.29799999999999999</v>
      </c>
      <c r="E58" s="1437">
        <v>0.40899999999999997</v>
      </c>
      <c r="F58" s="1438">
        <v>1</v>
      </c>
      <c r="G58" s="1437">
        <v>0.78100000000000003</v>
      </c>
      <c r="H58" s="1439">
        <v>0.49</v>
      </c>
      <c r="I58" s="934"/>
    </row>
    <row r="59" spans="1:9">
      <c r="A59" s="934"/>
      <c r="B59" s="1436" t="s">
        <v>391</v>
      </c>
      <c r="C59" s="1437">
        <v>6.0000000000000001E-3</v>
      </c>
      <c r="D59" s="1438">
        <v>0.70199999999999996</v>
      </c>
      <c r="E59" s="1437">
        <v>0.59099999999999997</v>
      </c>
      <c r="F59" s="1438" t="s">
        <v>389</v>
      </c>
      <c r="G59" s="1437">
        <v>0.219</v>
      </c>
      <c r="H59" s="1439">
        <v>0.51</v>
      </c>
      <c r="I59" s="934"/>
    </row>
    <row r="60" spans="1:9">
      <c r="A60" s="934"/>
      <c r="B60" s="1436"/>
      <c r="C60" s="1440"/>
      <c r="D60" s="1441"/>
      <c r="E60" s="1440"/>
      <c r="F60" s="1441"/>
      <c r="G60" s="1440"/>
      <c r="H60" s="1442"/>
      <c r="I60" s="934"/>
    </row>
    <row r="61" spans="1:9">
      <c r="A61" s="934"/>
      <c r="B61" s="1436">
        <v>2003</v>
      </c>
      <c r="C61" s="1443">
        <v>11424.1</v>
      </c>
      <c r="D61" s="1444">
        <v>33708.1</v>
      </c>
      <c r="E61" s="1443">
        <v>89.3</v>
      </c>
      <c r="F61" s="1444">
        <v>184.5</v>
      </c>
      <c r="G61" s="1443">
        <v>3374</v>
      </c>
      <c r="H61" s="1445">
        <v>48780</v>
      </c>
      <c r="I61" s="934"/>
    </row>
    <row r="62" spans="1:9">
      <c r="A62" s="934"/>
      <c r="B62" s="1436" t="s">
        <v>390</v>
      </c>
      <c r="C62" s="1437">
        <v>0.99399999999999999</v>
      </c>
      <c r="D62" s="1438">
        <v>0.35199999999999998</v>
      </c>
      <c r="E62" s="1437">
        <v>0.15</v>
      </c>
      <c r="F62" s="1438">
        <v>1</v>
      </c>
      <c r="G62" s="1437">
        <v>0.54500000000000004</v>
      </c>
      <c r="H62" s="1439">
        <v>0.53659999999999997</v>
      </c>
      <c r="I62" s="934"/>
    </row>
    <row r="63" spans="1:9">
      <c r="A63" s="934"/>
      <c r="B63" s="1436" t="s">
        <v>391</v>
      </c>
      <c r="C63" s="1437">
        <v>6.0000000000000001E-3</v>
      </c>
      <c r="D63" s="1438">
        <v>0.64800000000000002</v>
      </c>
      <c r="E63" s="1437">
        <v>0.85</v>
      </c>
      <c r="F63" s="1438" t="s">
        <v>389</v>
      </c>
      <c r="G63" s="1437">
        <v>0.45450000000000002</v>
      </c>
      <c r="H63" s="1439">
        <v>0.46300000000000002</v>
      </c>
      <c r="I63" s="934"/>
    </row>
    <row r="64" spans="1:9">
      <c r="A64" s="934"/>
      <c r="B64" s="1436"/>
      <c r="C64" s="1437"/>
      <c r="D64" s="1438"/>
      <c r="E64" s="1437"/>
      <c r="F64" s="1438"/>
      <c r="G64" s="1437"/>
      <c r="H64" s="1439"/>
      <c r="I64" s="934"/>
    </row>
    <row r="65" spans="1:9">
      <c r="A65" s="934"/>
      <c r="B65" s="1436">
        <v>2004</v>
      </c>
      <c r="C65" s="1443">
        <v>12330</v>
      </c>
      <c r="D65" s="1444">
        <v>36344</v>
      </c>
      <c r="E65" s="1443">
        <v>96.9</v>
      </c>
      <c r="F65" s="1444">
        <v>199.3</v>
      </c>
      <c r="G65" s="1443">
        <v>3884.0856407188148</v>
      </c>
      <c r="H65" s="1445">
        <v>52854.285640718808</v>
      </c>
      <c r="I65" s="934"/>
    </row>
    <row r="66" spans="1:9">
      <c r="A66" s="934"/>
      <c r="B66" s="1436" t="s">
        <v>390</v>
      </c>
      <c r="C66" s="1437">
        <v>0.99464720194647205</v>
      </c>
      <c r="D66" s="1438">
        <v>0.42527239709443099</v>
      </c>
      <c r="E66" s="1437">
        <v>0.11455108359133127</v>
      </c>
      <c r="F66" s="1438">
        <v>1</v>
      </c>
      <c r="G66" s="1437">
        <v>0.86005251936221383</v>
      </c>
      <c r="H66" s="1439">
        <v>0.591645828935917</v>
      </c>
      <c r="I66" s="934"/>
    </row>
    <row r="67" spans="1:9">
      <c r="A67" s="934"/>
      <c r="B67" s="1436" t="s">
        <v>391</v>
      </c>
      <c r="C67" s="1437">
        <v>5.3527980535279804E-3</v>
      </c>
      <c r="D67" s="1438">
        <v>0.57472760290556901</v>
      </c>
      <c r="E67" s="1437">
        <v>0.88544891640866874</v>
      </c>
      <c r="F67" s="1438">
        <v>0</v>
      </c>
      <c r="G67" s="1437">
        <v>0.13994748063778625</v>
      </c>
      <c r="H67" s="1439">
        <v>0.408354171064083</v>
      </c>
      <c r="I67" s="934"/>
    </row>
    <row r="68" spans="1:9">
      <c r="A68" s="934"/>
      <c r="B68" s="1436"/>
      <c r="C68" s="1437"/>
      <c r="D68" s="1438"/>
      <c r="E68" s="1437"/>
      <c r="F68" s="1438"/>
      <c r="G68" s="1437"/>
      <c r="H68" s="1439"/>
      <c r="I68" s="934"/>
    </row>
    <row r="69" spans="1:9">
      <c r="A69" s="934"/>
      <c r="B69" s="1436">
        <v>2005</v>
      </c>
      <c r="C69" s="1443">
        <v>12657.3</v>
      </c>
      <c r="D69" s="1444">
        <v>37964.5</v>
      </c>
      <c r="E69" s="1443">
        <v>107.9</v>
      </c>
      <c r="F69" s="1444">
        <v>207.6</v>
      </c>
      <c r="G69" s="1443">
        <v>3545.8309195638667</v>
      </c>
      <c r="H69" s="1445">
        <v>54483.130919563861</v>
      </c>
      <c r="I69" s="934"/>
    </row>
    <row r="70" spans="1:9">
      <c r="A70" s="934"/>
      <c r="B70" s="1436" t="s">
        <v>390</v>
      </c>
      <c r="C70" s="1437">
        <v>0.99525965253253068</v>
      </c>
      <c r="D70" s="1438">
        <v>0.33019004596399265</v>
      </c>
      <c r="E70" s="1437">
        <v>0.13531047265987026</v>
      </c>
      <c r="F70" s="1438">
        <v>1</v>
      </c>
      <c r="G70" s="1437">
        <v>0.84162273590048287</v>
      </c>
      <c r="H70" s="1439">
        <v>0.52014727203182398</v>
      </c>
      <c r="I70" s="934"/>
    </row>
    <row r="71" spans="1:9">
      <c r="A71" s="934"/>
      <c r="B71" s="1436" t="s">
        <v>391</v>
      </c>
      <c r="C71" s="1437">
        <v>4.740347467469366E-3</v>
      </c>
      <c r="D71" s="1438">
        <v>0.66980995403600729</v>
      </c>
      <c r="E71" s="1437">
        <v>0.86468952734012983</v>
      </c>
      <c r="F71" s="1438">
        <v>0</v>
      </c>
      <c r="G71" s="1437">
        <v>0.15837726409951705</v>
      </c>
      <c r="H71" s="1439">
        <v>0.47985272796817602</v>
      </c>
      <c r="I71" s="934"/>
    </row>
    <row r="72" spans="1:9">
      <c r="A72" s="934"/>
      <c r="B72" s="1436"/>
      <c r="C72" s="1437"/>
      <c r="D72" s="1438"/>
      <c r="E72" s="1437"/>
      <c r="F72" s="1438"/>
      <c r="G72" s="1437"/>
      <c r="H72" s="1439"/>
      <c r="I72" s="934"/>
    </row>
    <row r="73" spans="1:9">
      <c r="A73" s="934"/>
      <c r="B73" s="1436">
        <v>2006</v>
      </c>
      <c r="C73" s="1443">
        <v>13236</v>
      </c>
      <c r="D73" s="1444">
        <v>40339.699999999997</v>
      </c>
      <c r="E73" s="1443">
        <v>140.40375700000001</v>
      </c>
      <c r="F73" s="1444">
        <v>224.61317000000003</v>
      </c>
      <c r="G73" s="1443">
        <v>3614.3041980777143</v>
      </c>
      <c r="H73" s="1445">
        <v>57555.021125077707</v>
      </c>
      <c r="I73" s="934"/>
    </row>
    <row r="74" spans="1:9">
      <c r="A74" s="934"/>
      <c r="B74" s="1436" t="s">
        <v>390</v>
      </c>
      <c r="C74" s="1437">
        <v>0.99473405862798425</v>
      </c>
      <c r="D74" s="1438">
        <v>0.30432799450665227</v>
      </c>
      <c r="E74" s="1437">
        <v>0.18023692770557412</v>
      </c>
      <c r="F74" s="1438">
        <v>1</v>
      </c>
      <c r="G74" s="1437">
        <v>0.85101065613503146</v>
      </c>
      <c r="H74" s="1439">
        <v>0.4998439742791228</v>
      </c>
      <c r="I74" s="934"/>
    </row>
    <row r="75" spans="1:9">
      <c r="A75" s="934"/>
      <c r="B75" s="1436" t="s">
        <v>391</v>
      </c>
      <c r="C75" s="1437">
        <v>5.2659413720157148E-3</v>
      </c>
      <c r="D75" s="1438">
        <v>0.69567200549334784</v>
      </c>
      <c r="E75" s="1437">
        <v>0.8197630722944258</v>
      </c>
      <c r="F75" s="1438">
        <v>0</v>
      </c>
      <c r="G75" s="1437">
        <v>0.14898934386496854</v>
      </c>
      <c r="H75" s="1439">
        <v>0.50015602572087725</v>
      </c>
      <c r="I75" s="934"/>
    </row>
    <row r="76" spans="1:9">
      <c r="A76" s="934"/>
      <c r="B76" s="1436"/>
      <c r="C76" s="1437"/>
      <c r="D76" s="1438"/>
      <c r="E76" s="1437"/>
      <c r="F76" s="1438"/>
      <c r="G76" s="1437"/>
      <c r="H76" s="1439"/>
      <c r="I76" s="934"/>
    </row>
    <row r="77" spans="1:9">
      <c r="A77" s="934"/>
      <c r="B77" s="1436">
        <v>2007</v>
      </c>
      <c r="C77" s="1443">
        <v>13928.771609798341</v>
      </c>
      <c r="D77" s="1444">
        <v>42034.989644625493</v>
      </c>
      <c r="E77" s="1443">
        <v>148.75834122099999</v>
      </c>
      <c r="F77" s="1444">
        <v>239.52180479999998</v>
      </c>
      <c r="G77" s="1443">
        <v>3785.5697422122894</v>
      </c>
      <c r="H77" s="1445">
        <v>60137.61114265713</v>
      </c>
      <c r="I77" s="934"/>
    </row>
    <row r="78" spans="1:9">
      <c r="A78" s="934"/>
      <c r="B78" s="1436" t="s">
        <v>390</v>
      </c>
      <c r="C78" s="1437">
        <v>0.99621115188916765</v>
      </c>
      <c r="D78" s="1438">
        <v>0.47342313482341536</v>
      </c>
      <c r="E78" s="1437">
        <v>0.33294865076788099</v>
      </c>
      <c r="F78" s="1438">
        <v>1</v>
      </c>
      <c r="G78" s="1437">
        <v>0.87428513000479491</v>
      </c>
      <c r="H78" s="1439">
        <v>0.62149213275164439</v>
      </c>
      <c r="I78" s="934"/>
    </row>
    <row r="79" spans="1:9">
      <c r="A79" s="934"/>
      <c r="B79" s="1436" t="s">
        <v>391</v>
      </c>
      <c r="C79" s="1437">
        <v>3.7888481108323707E-3</v>
      </c>
      <c r="D79" s="1438">
        <v>0.52657686517658475</v>
      </c>
      <c r="E79" s="1437">
        <v>0.66705134923211906</v>
      </c>
      <c r="F79" s="1438">
        <v>0</v>
      </c>
      <c r="G79" s="1437">
        <v>0.12571486999520509</v>
      </c>
      <c r="H79" s="1439">
        <v>0.37850786724835561</v>
      </c>
      <c r="I79" s="934"/>
    </row>
    <row r="80" spans="1:9">
      <c r="A80" s="934"/>
      <c r="B80" s="1436"/>
      <c r="C80" s="1437"/>
      <c r="D80" s="1438"/>
      <c r="E80" s="1437"/>
      <c r="F80" s="1438"/>
      <c r="G80" s="1437"/>
      <c r="H80" s="1439"/>
      <c r="I80" s="934"/>
    </row>
    <row r="81" spans="1:9">
      <c r="A81" s="934"/>
      <c r="B81" s="1436">
        <v>2008</v>
      </c>
      <c r="C81" s="1443">
        <v>14488.047670999997</v>
      </c>
      <c r="D81" s="1444">
        <v>41971.04847714334</v>
      </c>
      <c r="E81" s="1443">
        <v>139.49852300000001</v>
      </c>
      <c r="F81" s="1444">
        <v>249.23256430000001</v>
      </c>
      <c r="G81" s="1443">
        <v>4010.3780447685504</v>
      </c>
      <c r="H81" s="1445">
        <f>SUM(C81:G81)</f>
        <v>60858.205280211885</v>
      </c>
      <c r="I81" s="934"/>
    </row>
    <row r="82" spans="1:9">
      <c r="A82" s="934"/>
      <c r="B82" s="1436" t="s">
        <v>390</v>
      </c>
      <c r="C82" s="1437">
        <v>0.99530272804553088</v>
      </c>
      <c r="D82" s="1438">
        <v>0.43520759157127303</v>
      </c>
      <c r="E82" s="1437">
        <v>0.24296027134280121</v>
      </c>
      <c r="F82" s="1438">
        <v>1</v>
      </c>
      <c r="G82" s="1437">
        <v>0.89507597730121613</v>
      </c>
      <c r="H82" s="1439">
        <f>BALANCE_ELECT!D21</f>
        <v>0.6007214694747891</v>
      </c>
      <c r="I82" s="934"/>
    </row>
    <row r="83" spans="1:9" ht="13.5" thickBot="1">
      <c r="A83" s="934"/>
      <c r="B83" s="1446" t="s">
        <v>391</v>
      </c>
      <c r="C83" s="1447">
        <v>4.6972719544691255E-3</v>
      </c>
      <c r="D83" s="1448">
        <v>0.56479240842872691</v>
      </c>
      <c r="E83" s="1447">
        <v>0.75703972865719871</v>
      </c>
      <c r="F83" s="1448">
        <v>0</v>
      </c>
      <c r="G83" s="1447">
        <v>0.1049240226987839</v>
      </c>
      <c r="H83" s="1449">
        <f>BALANCE_ELECT!D26</f>
        <v>0.3992785305252109</v>
      </c>
      <c r="I83" s="934"/>
    </row>
    <row r="84" spans="1:9">
      <c r="A84" s="934"/>
      <c r="B84" s="971" t="s">
        <v>531</v>
      </c>
      <c r="C84" s="1450"/>
      <c r="D84" s="1450"/>
      <c r="E84" s="1450"/>
      <c r="F84" s="1450"/>
      <c r="G84" s="1450"/>
      <c r="H84" s="1450"/>
      <c r="I84" s="934"/>
    </row>
    <row r="85" spans="1:9">
      <c r="A85" s="982"/>
      <c r="B85" s="983" t="s">
        <v>845</v>
      </c>
      <c r="C85" s="972"/>
      <c r="D85" s="972"/>
      <c r="E85" s="972"/>
      <c r="F85" s="1450"/>
      <c r="G85" s="1450"/>
      <c r="H85" s="1450"/>
      <c r="I85" s="934"/>
    </row>
    <row r="86" spans="1:9">
      <c r="A86" s="982"/>
      <c r="B86" s="983" t="s">
        <v>846</v>
      </c>
      <c r="C86" s="972"/>
      <c r="D86" s="972"/>
      <c r="E86" s="972"/>
      <c r="F86" s="1450"/>
      <c r="G86" s="1450"/>
      <c r="H86" s="1450"/>
      <c r="I86" s="934"/>
    </row>
    <row r="87" spans="1:9">
      <c r="A87" s="982"/>
      <c r="B87" s="983" t="s">
        <v>852</v>
      </c>
      <c r="C87" s="972"/>
      <c r="D87" s="972"/>
      <c r="E87" s="972"/>
      <c r="F87" s="1450"/>
      <c r="G87" s="1450"/>
      <c r="H87" s="1450"/>
      <c r="I87" s="934"/>
    </row>
    <row r="88" spans="1:9">
      <c r="A88" s="982"/>
      <c r="B88" s="983" t="s">
        <v>853</v>
      </c>
      <c r="C88" s="972"/>
      <c r="D88" s="972"/>
      <c r="E88" s="972"/>
      <c r="F88" s="1450"/>
      <c r="G88" s="1450"/>
      <c r="H88" s="1450"/>
      <c r="I88" s="934"/>
    </row>
    <row r="89" spans="1:9">
      <c r="A89" s="982"/>
      <c r="B89" s="985" t="s">
        <v>851</v>
      </c>
      <c r="C89" s="972"/>
      <c r="D89" s="972"/>
      <c r="E89" s="972"/>
      <c r="F89" s="1450"/>
      <c r="G89" s="1450"/>
      <c r="H89" s="1450"/>
      <c r="I89" s="934"/>
    </row>
    <row r="90" spans="1:9">
      <c r="A90" s="982"/>
      <c r="B90" s="974"/>
      <c r="C90" s="972"/>
      <c r="D90" s="972"/>
      <c r="E90" s="972"/>
      <c r="F90" s="1450"/>
      <c r="G90" s="1450"/>
      <c r="H90" s="1450"/>
      <c r="I90" s="934"/>
    </row>
    <row r="91" spans="1:9">
      <c r="A91" s="934"/>
      <c r="B91" s="974" t="s">
        <v>399</v>
      </c>
      <c r="C91" s="982"/>
      <c r="D91" s="974"/>
      <c r="E91" s="974"/>
      <c r="F91" s="974"/>
      <c r="G91" s="601"/>
      <c r="H91" s="601"/>
      <c r="I91" s="934"/>
    </row>
    <row r="92" spans="1:9">
      <c r="A92" s="934"/>
      <c r="B92" s="974" t="s">
        <v>849</v>
      </c>
      <c r="C92" s="982"/>
      <c r="D92" s="974"/>
      <c r="E92" s="974"/>
      <c r="F92" s="974"/>
      <c r="G92" s="601"/>
      <c r="H92" s="601"/>
      <c r="I92" s="934"/>
    </row>
    <row r="93" spans="1:9">
      <c r="A93" s="934"/>
      <c r="B93" s="974" t="s">
        <v>850</v>
      </c>
      <c r="C93" s="982"/>
      <c r="D93" s="974"/>
      <c r="E93" s="974"/>
      <c r="F93" s="974"/>
      <c r="G93" s="601"/>
      <c r="H93" s="601"/>
      <c r="I93" s="934"/>
    </row>
    <row r="94" spans="1:9">
      <c r="A94" s="934"/>
      <c r="B94" s="974" t="s">
        <v>400</v>
      </c>
      <c r="C94" s="982"/>
      <c r="D94" s="974"/>
      <c r="E94" s="974"/>
      <c r="F94" s="974"/>
      <c r="G94" s="601"/>
      <c r="H94" s="601"/>
      <c r="I94" s="934"/>
    </row>
    <row r="95" spans="1:9">
      <c r="A95" s="934"/>
      <c r="B95" s="601"/>
      <c r="C95" s="934"/>
      <c r="D95" s="601"/>
      <c r="E95" s="601"/>
      <c r="F95" s="601"/>
      <c r="G95" s="601"/>
      <c r="H95" s="601"/>
      <c r="I95" s="934"/>
    </row>
    <row r="96" spans="1:9">
      <c r="A96" s="934"/>
      <c r="B96" s="601"/>
      <c r="C96" s="601"/>
      <c r="D96" s="601"/>
      <c r="E96" s="601"/>
      <c r="F96" s="601"/>
      <c r="G96" s="601"/>
      <c r="H96" s="601"/>
      <c r="I96" s="934"/>
    </row>
    <row r="97" spans="1:9">
      <c r="A97" s="934"/>
      <c r="B97" s="601"/>
      <c r="C97" s="601"/>
      <c r="D97" s="601"/>
      <c r="E97" s="601"/>
      <c r="F97" s="601"/>
      <c r="G97" s="601"/>
      <c r="H97" s="601"/>
      <c r="I97" s="934"/>
    </row>
  </sheetData>
  <phoneticPr fontId="51" type="noConversion"/>
  <hyperlinks>
    <hyperlink ref="H1" location="INDICE!A70" display="VOLVER A INDICE"/>
  </hyperlinks>
  <pageMargins left="0.75" right="0.75" top="1" bottom="1" header="0" footer="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workbookViewId="0">
      <selection activeCell="F2" sqref="F2"/>
    </sheetView>
  </sheetViews>
  <sheetFormatPr baseColWidth="10" defaultRowHeight="12.75"/>
  <cols>
    <col min="1" max="1" width="1.7109375" style="3" customWidth="1"/>
    <col min="2" max="2" width="26.5703125" style="296" customWidth="1"/>
    <col min="3" max="3" width="11.42578125" style="296"/>
    <col min="4" max="4" width="21" style="296" customWidth="1"/>
    <col min="5" max="22" width="11.42578125" style="3"/>
    <col min="23" max="16384" width="11.42578125" style="296"/>
  </cols>
  <sheetData>
    <row r="1" spans="1:6" ht="9" customHeight="1"/>
    <row r="2" spans="1:6">
      <c r="A2" s="263"/>
      <c r="B2" s="264"/>
      <c r="C2" s="265"/>
      <c r="D2" s="266"/>
      <c r="E2" s="263"/>
      <c r="F2" s="288" t="s">
        <v>649</v>
      </c>
    </row>
    <row r="3" spans="1:6">
      <c r="A3" s="263"/>
      <c r="B3" s="271"/>
      <c r="C3" s="262"/>
      <c r="D3" s="272"/>
      <c r="E3" s="263"/>
    </row>
    <row r="4" spans="1:6">
      <c r="A4" s="263"/>
      <c r="B4" s="267"/>
      <c r="C4" s="261" t="s">
        <v>559</v>
      </c>
      <c r="D4" s="268"/>
      <c r="E4" s="263"/>
    </row>
    <row r="5" spans="1:6">
      <c r="A5" s="263"/>
      <c r="B5" s="269"/>
      <c r="C5" s="261" t="s">
        <v>560</v>
      </c>
      <c r="D5" s="270"/>
      <c r="E5" s="263"/>
    </row>
    <row r="6" spans="1:6">
      <c r="A6" s="263"/>
      <c r="B6" s="273"/>
      <c r="C6" s="274"/>
      <c r="D6" s="275"/>
      <c r="E6" s="263"/>
    </row>
    <row r="7" spans="1:6">
      <c r="A7" s="263"/>
      <c r="B7" s="352" t="s">
        <v>561</v>
      </c>
      <c r="C7" s="353" t="s">
        <v>562</v>
      </c>
      <c r="D7" s="354" t="s">
        <v>563</v>
      </c>
      <c r="E7" s="263"/>
    </row>
    <row r="8" spans="1:6">
      <c r="A8" s="263"/>
      <c r="B8" s="352"/>
      <c r="C8" s="353" t="s">
        <v>564</v>
      </c>
      <c r="D8" s="354" t="s">
        <v>565</v>
      </c>
      <c r="E8" s="263"/>
    </row>
    <row r="9" spans="1:6">
      <c r="A9" s="263"/>
      <c r="B9" s="352" t="s">
        <v>566</v>
      </c>
      <c r="C9" s="355">
        <v>0.82450000000000001</v>
      </c>
      <c r="D9" s="356">
        <v>10963</v>
      </c>
      <c r="E9" s="263" t="s">
        <v>515</v>
      </c>
    </row>
    <row r="10" spans="1:6">
      <c r="A10" s="263"/>
      <c r="B10" s="352" t="s">
        <v>567</v>
      </c>
      <c r="C10" s="355">
        <v>0.85499999999999998</v>
      </c>
      <c r="D10" s="356">
        <v>10860</v>
      </c>
      <c r="E10" s="263"/>
    </row>
    <row r="11" spans="1:6">
      <c r="A11" s="263"/>
      <c r="B11" s="352" t="s">
        <v>568</v>
      </c>
      <c r="C11" s="355">
        <v>0.92700000000000005</v>
      </c>
      <c r="D11" s="356">
        <v>10500</v>
      </c>
      <c r="E11" s="263"/>
    </row>
    <row r="12" spans="1:6">
      <c r="A12" s="263"/>
      <c r="B12" s="352" t="s">
        <v>569</v>
      </c>
      <c r="C12" s="355">
        <v>0.93600000000000005</v>
      </c>
      <c r="D12" s="356">
        <v>10500</v>
      </c>
      <c r="E12" s="263"/>
    </row>
    <row r="13" spans="1:6">
      <c r="A13" s="263"/>
      <c r="B13" s="352" t="s">
        <v>570</v>
      </c>
      <c r="C13" s="355">
        <v>0.94499999999999995</v>
      </c>
      <c r="D13" s="356">
        <v>10500</v>
      </c>
      <c r="E13" s="263"/>
    </row>
    <row r="14" spans="1:6">
      <c r="A14" s="263"/>
      <c r="B14" s="352" t="s">
        <v>81</v>
      </c>
      <c r="C14" s="355">
        <v>0.7</v>
      </c>
      <c r="D14" s="356">
        <v>11500</v>
      </c>
      <c r="E14" s="263"/>
    </row>
    <row r="15" spans="1:6">
      <c r="A15" s="263"/>
      <c r="B15" s="352" t="s">
        <v>78</v>
      </c>
      <c r="C15" s="355">
        <v>0.55000000000000004</v>
      </c>
      <c r="D15" s="356">
        <v>12100</v>
      </c>
      <c r="E15" s="263"/>
    </row>
    <row r="16" spans="1:6">
      <c r="A16" s="263"/>
      <c r="B16" s="352" t="s">
        <v>571</v>
      </c>
      <c r="C16" s="355">
        <v>0.73</v>
      </c>
      <c r="D16" s="356">
        <v>11200</v>
      </c>
      <c r="E16" s="263"/>
    </row>
    <row r="17" spans="1:5">
      <c r="A17" s="263"/>
      <c r="B17" s="352" t="s">
        <v>197</v>
      </c>
      <c r="C17" s="355">
        <v>0.7</v>
      </c>
      <c r="D17" s="356">
        <v>11400</v>
      </c>
      <c r="E17" s="263"/>
    </row>
    <row r="18" spans="1:5">
      <c r="A18" s="263"/>
      <c r="B18" s="352" t="s">
        <v>80</v>
      </c>
      <c r="C18" s="355">
        <v>0.81</v>
      </c>
      <c r="D18" s="356">
        <v>11100</v>
      </c>
      <c r="E18" s="263"/>
    </row>
    <row r="19" spans="1:5">
      <c r="A19" s="263"/>
      <c r="B19" s="352" t="s">
        <v>77</v>
      </c>
      <c r="C19" s="355">
        <v>0.81</v>
      </c>
      <c r="D19" s="356">
        <v>11100</v>
      </c>
      <c r="E19" s="263"/>
    </row>
    <row r="20" spans="1:5">
      <c r="A20" s="263"/>
      <c r="B20" s="352" t="s">
        <v>76</v>
      </c>
      <c r="C20" s="355">
        <v>0.84</v>
      </c>
      <c r="D20" s="356">
        <v>10900</v>
      </c>
      <c r="E20" s="263"/>
    </row>
    <row r="21" spans="1:5">
      <c r="A21" s="263"/>
      <c r="B21" s="352" t="s">
        <v>572</v>
      </c>
      <c r="C21" s="357" t="s">
        <v>240</v>
      </c>
      <c r="D21" s="356">
        <v>9341</v>
      </c>
      <c r="E21" s="263" t="s">
        <v>573</v>
      </c>
    </row>
    <row r="22" spans="1:5">
      <c r="A22" s="263"/>
      <c r="B22" s="352" t="s">
        <v>29</v>
      </c>
      <c r="C22" s="357" t="s">
        <v>240</v>
      </c>
      <c r="D22" s="356">
        <v>3500</v>
      </c>
      <c r="E22" s="263"/>
    </row>
    <row r="23" spans="1:5">
      <c r="A23" s="263"/>
      <c r="B23" s="352" t="s">
        <v>27</v>
      </c>
      <c r="C23" s="357" t="s">
        <v>240</v>
      </c>
      <c r="D23" s="356">
        <v>7000</v>
      </c>
      <c r="E23" s="263"/>
    </row>
    <row r="24" spans="1:5">
      <c r="A24" s="263"/>
      <c r="B24" s="352" t="s">
        <v>307</v>
      </c>
      <c r="C24" s="357"/>
      <c r="D24" s="356">
        <v>7000</v>
      </c>
      <c r="E24" s="263"/>
    </row>
    <row r="25" spans="1:5">
      <c r="A25" s="263"/>
      <c r="B25" s="352" t="s">
        <v>30</v>
      </c>
      <c r="C25" s="357" t="s">
        <v>240</v>
      </c>
      <c r="D25" s="356">
        <v>4000</v>
      </c>
      <c r="E25" s="263" t="s">
        <v>573</v>
      </c>
    </row>
    <row r="26" spans="1:5">
      <c r="A26" s="263"/>
      <c r="B26" s="352" t="s">
        <v>574</v>
      </c>
      <c r="C26" s="357" t="s">
        <v>240</v>
      </c>
      <c r="D26" s="356">
        <v>4260</v>
      </c>
      <c r="E26" s="263" t="s">
        <v>575</v>
      </c>
    </row>
    <row r="27" spans="1:5">
      <c r="A27" s="263"/>
      <c r="B27" s="352" t="s">
        <v>38</v>
      </c>
      <c r="C27" s="357" t="s">
        <v>240</v>
      </c>
      <c r="D27" s="356">
        <v>860</v>
      </c>
      <c r="E27" s="263" t="s">
        <v>576</v>
      </c>
    </row>
    <row r="28" spans="1:5">
      <c r="A28" s="263"/>
      <c r="B28" s="358" t="s">
        <v>577</v>
      </c>
      <c r="C28" s="359"/>
      <c r="D28" s="360"/>
      <c r="E28" s="263"/>
    </row>
    <row r="29" spans="1:5">
      <c r="A29" s="263"/>
      <c r="B29" s="358" t="s">
        <v>578</v>
      </c>
      <c r="C29" s="359"/>
      <c r="D29" s="360"/>
      <c r="E29" s="263"/>
    </row>
    <row r="30" spans="1:5">
      <c r="A30" s="263"/>
      <c r="B30" s="358" t="s">
        <v>579</v>
      </c>
      <c r="C30" s="359"/>
      <c r="D30" s="360"/>
      <c r="E30" s="263"/>
    </row>
    <row r="31" spans="1:5">
      <c r="A31" s="263"/>
      <c r="B31" s="358" t="s">
        <v>580</v>
      </c>
      <c r="C31" s="359"/>
      <c r="D31" s="360"/>
      <c r="E31" s="263"/>
    </row>
    <row r="32" spans="1:5">
      <c r="A32" s="263"/>
      <c r="B32" s="361" t="s">
        <v>581</v>
      </c>
      <c r="C32" s="359"/>
      <c r="D32" s="360"/>
      <c r="E32" s="263"/>
    </row>
    <row r="33" spans="1:5">
      <c r="A33" s="263"/>
      <c r="B33" s="362" t="s">
        <v>582</v>
      </c>
      <c r="C33" s="363"/>
      <c r="D33" s="364"/>
      <c r="E33" s="263"/>
    </row>
    <row r="34" spans="1:5">
      <c r="A34" s="263"/>
      <c r="B34" s="263"/>
      <c r="C34" s="263"/>
      <c r="D34" s="263"/>
      <c r="E34" s="263"/>
    </row>
    <row r="35" spans="1:5">
      <c r="B35" s="3"/>
      <c r="C35" s="3"/>
      <c r="D35" s="3"/>
    </row>
    <row r="36" spans="1:5">
      <c r="B36" s="3"/>
      <c r="C36" s="3"/>
      <c r="D36" s="3"/>
    </row>
    <row r="37" spans="1:5">
      <c r="B37" s="3"/>
      <c r="C37" s="3"/>
      <c r="D37" s="3"/>
    </row>
    <row r="38" spans="1:5">
      <c r="B38" s="3"/>
      <c r="C38" s="3"/>
      <c r="D38" s="3"/>
    </row>
    <row r="39" spans="1:5">
      <c r="B39" s="3"/>
      <c r="C39" s="3"/>
      <c r="D39" s="3"/>
    </row>
    <row r="40" spans="1:5">
      <c r="B40" s="3"/>
      <c r="C40" s="3"/>
      <c r="D40" s="3"/>
    </row>
    <row r="41" spans="1:5">
      <c r="B41" s="3"/>
      <c r="C41" s="3"/>
      <c r="D41" s="3"/>
    </row>
    <row r="42" spans="1:5">
      <c r="B42" s="3"/>
      <c r="C42" s="3"/>
      <c r="D42" s="3"/>
    </row>
    <row r="43" spans="1:5">
      <c r="B43" s="3"/>
      <c r="C43" s="3"/>
      <c r="D43" s="3"/>
    </row>
    <row r="44" spans="1:5">
      <c r="B44" s="3"/>
      <c r="C44" s="3"/>
      <c r="D44" s="3"/>
    </row>
    <row r="45" spans="1:5">
      <c r="B45" s="3"/>
      <c r="C45" s="3"/>
      <c r="D45" s="3"/>
    </row>
    <row r="46" spans="1:5">
      <c r="B46" s="3"/>
      <c r="C46" s="3"/>
      <c r="D46" s="3"/>
    </row>
    <row r="47" spans="1:5">
      <c r="B47" s="3"/>
      <c r="C47" s="3"/>
      <c r="D47" s="3"/>
    </row>
    <row r="48" spans="1:5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="3" customFormat="1"/>
    <row r="66" s="3" customFormat="1"/>
    <row r="67" s="3" customFormat="1"/>
    <row r="68" s="3" customFormat="1"/>
    <row r="69" s="3" customFormat="1"/>
  </sheetData>
  <phoneticPr fontId="0" type="noConversion"/>
  <hyperlinks>
    <hyperlink ref="F2" location="INDICE!A70" display="VOLVER A INDICE"/>
  </hyperlinks>
  <pageMargins left="0.75" right="0.75" top="1" bottom="1" header="0" footer="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9"/>
  <sheetViews>
    <sheetView workbookViewId="0">
      <selection activeCell="L3" sqref="L3"/>
    </sheetView>
  </sheetViews>
  <sheetFormatPr baseColWidth="10" defaultRowHeight="12.75"/>
  <cols>
    <col min="1" max="1" width="1.7109375" style="296" customWidth="1"/>
    <col min="2" max="11" width="11.42578125" style="296"/>
    <col min="12" max="22" width="11.42578125" style="3"/>
    <col min="23" max="16384" width="11.42578125" style="296"/>
  </cols>
  <sheetData>
    <row r="1" spans="2:15" ht="5.25" customHeight="1" thickBot="1"/>
    <row r="2" spans="2:15">
      <c r="B2" s="365"/>
      <c r="C2" s="366"/>
      <c r="D2" s="366"/>
      <c r="E2" s="366"/>
      <c r="F2" s="366"/>
      <c r="G2" s="366"/>
      <c r="H2" s="366"/>
      <c r="I2" s="366"/>
      <c r="J2" s="366"/>
      <c r="K2" s="367"/>
      <c r="L2" s="281"/>
      <c r="M2" s="281"/>
      <c r="N2" s="281"/>
      <c r="O2" s="281"/>
    </row>
    <row r="3" spans="2:15">
      <c r="B3" s="368"/>
      <c r="C3" s="278"/>
      <c r="D3" s="279"/>
      <c r="E3" s="279"/>
      <c r="F3" s="279"/>
      <c r="G3" s="279"/>
      <c r="H3" s="279"/>
      <c r="I3" s="278"/>
      <c r="J3" s="278"/>
      <c r="K3" s="369"/>
      <c r="L3" s="290" t="s">
        <v>649</v>
      </c>
      <c r="M3" s="281"/>
      <c r="N3" s="281"/>
      <c r="O3" s="281"/>
    </row>
    <row r="4" spans="2:15">
      <c r="B4" s="370"/>
      <c r="C4" s="276"/>
      <c r="D4" s="277" t="s">
        <v>583</v>
      </c>
      <c r="E4" s="276"/>
      <c r="F4" s="276"/>
      <c r="G4" s="276"/>
      <c r="H4" s="276"/>
      <c r="I4" s="276"/>
      <c r="J4" s="276"/>
      <c r="K4" s="371"/>
      <c r="L4" s="281"/>
      <c r="M4" s="281"/>
      <c r="N4" s="281"/>
      <c r="O4" s="281"/>
    </row>
    <row r="5" spans="2:15">
      <c r="B5" s="370"/>
      <c r="C5" s="276"/>
      <c r="D5" s="276"/>
      <c r="E5" s="276" t="s">
        <v>584</v>
      </c>
      <c r="F5" s="276"/>
      <c r="G5" s="277" t="s">
        <v>585</v>
      </c>
      <c r="H5" s="276"/>
      <c r="I5" s="276"/>
      <c r="J5" s="276"/>
      <c r="K5" s="371"/>
      <c r="L5" s="281"/>
      <c r="M5" s="281"/>
      <c r="N5" s="281"/>
      <c r="O5" s="281"/>
    </row>
    <row r="6" spans="2:15">
      <c r="B6" s="372"/>
      <c r="C6" s="276"/>
      <c r="D6" s="276"/>
      <c r="E6" s="276"/>
      <c r="F6" s="276"/>
      <c r="G6" s="276"/>
      <c r="H6" s="276"/>
      <c r="I6" s="276"/>
      <c r="J6" s="276"/>
      <c r="K6" s="371"/>
      <c r="L6" s="281"/>
      <c r="M6" s="281"/>
      <c r="N6" s="281"/>
      <c r="O6" s="281"/>
    </row>
    <row r="7" spans="2:15">
      <c r="B7" s="373"/>
      <c r="C7" s="280" t="s">
        <v>586</v>
      </c>
      <c r="D7" s="280" t="s">
        <v>587</v>
      </c>
      <c r="E7" s="280" t="s">
        <v>517</v>
      </c>
      <c r="F7" s="280" t="s">
        <v>588</v>
      </c>
      <c r="G7" s="280" t="s">
        <v>589</v>
      </c>
      <c r="H7" s="280" t="s">
        <v>590</v>
      </c>
      <c r="I7" s="280" t="s">
        <v>591</v>
      </c>
      <c r="J7" s="280" t="s">
        <v>592</v>
      </c>
      <c r="K7" s="374" t="s">
        <v>593</v>
      </c>
      <c r="L7" s="281"/>
      <c r="M7" s="281"/>
      <c r="N7" s="281"/>
      <c r="O7" s="281"/>
    </row>
    <row r="8" spans="2:15">
      <c r="B8" s="375" t="s">
        <v>586</v>
      </c>
      <c r="C8" s="299">
        <v>1</v>
      </c>
      <c r="D8" s="299">
        <v>0.13780000000000001</v>
      </c>
      <c r="E8" s="299">
        <v>1.39E-3</v>
      </c>
      <c r="F8" s="299">
        <v>5.8100000000000001E-3</v>
      </c>
      <c r="G8" s="299">
        <v>5524.86</v>
      </c>
      <c r="H8" s="299">
        <v>1.613944</v>
      </c>
      <c r="I8" s="299">
        <v>131.0615</v>
      </c>
      <c r="J8" s="299">
        <v>167.2073</v>
      </c>
      <c r="K8" s="376">
        <v>5917.1597000000002</v>
      </c>
      <c r="L8" s="281"/>
      <c r="M8" s="281"/>
      <c r="N8" s="281"/>
      <c r="O8" s="281"/>
    </row>
    <row r="9" spans="2:15">
      <c r="B9" s="377"/>
      <c r="C9" s="300"/>
      <c r="D9" s="300"/>
      <c r="E9" s="300"/>
      <c r="F9" s="300"/>
      <c r="G9" s="300"/>
      <c r="H9" s="300"/>
      <c r="I9" s="300"/>
      <c r="J9" s="300"/>
      <c r="K9" s="378"/>
      <c r="L9" s="281"/>
      <c r="M9" s="281"/>
      <c r="N9" s="281"/>
      <c r="O9" s="281"/>
    </row>
    <row r="10" spans="2:15">
      <c r="B10" s="379" t="s">
        <v>587</v>
      </c>
      <c r="C10" s="302">
        <v>7.2056490000000002</v>
      </c>
      <c r="D10" s="302">
        <v>1</v>
      </c>
      <c r="E10" s="302">
        <v>0.01</v>
      </c>
      <c r="F10" s="302">
        <v>4.1840000000000002E-2</v>
      </c>
      <c r="G10" s="302">
        <v>39810.22</v>
      </c>
      <c r="H10" s="302">
        <v>11.62951</v>
      </c>
      <c r="I10" s="302">
        <v>944.38379999999995</v>
      </c>
      <c r="J10" s="302">
        <v>1204.837</v>
      </c>
      <c r="K10" s="380">
        <v>42636.976000000002</v>
      </c>
      <c r="L10" s="281"/>
      <c r="M10" s="281"/>
      <c r="N10" s="281"/>
      <c r="O10" s="281"/>
    </row>
    <row r="11" spans="2:15">
      <c r="B11" s="377"/>
      <c r="C11" s="300"/>
      <c r="D11" s="300"/>
      <c r="E11" s="300"/>
      <c r="F11" s="300"/>
      <c r="G11" s="300"/>
      <c r="H11" s="300"/>
      <c r="I11" s="300"/>
      <c r="J11" s="300"/>
      <c r="K11" s="378"/>
      <c r="L11" s="281"/>
      <c r="M11" s="281"/>
      <c r="N11" s="281"/>
      <c r="O11" s="281"/>
    </row>
    <row r="12" spans="2:15">
      <c r="B12" s="379" t="s">
        <v>517</v>
      </c>
      <c r="C12" s="302">
        <v>720.56489999999997</v>
      </c>
      <c r="D12" s="302">
        <v>100</v>
      </c>
      <c r="E12" s="302">
        <v>1</v>
      </c>
      <c r="F12" s="302">
        <v>4.1840000000000002</v>
      </c>
      <c r="G12" s="302">
        <v>3981022</v>
      </c>
      <c r="H12" s="302">
        <v>1162.952</v>
      </c>
      <c r="I12" s="302">
        <v>94438.38</v>
      </c>
      <c r="J12" s="302">
        <v>120483.7</v>
      </c>
      <c r="K12" s="380">
        <v>4263697.5999999996</v>
      </c>
      <c r="L12" s="281"/>
      <c r="M12" s="281"/>
      <c r="N12" s="281"/>
      <c r="O12" s="281"/>
    </row>
    <row r="13" spans="2:15">
      <c r="B13" s="377"/>
      <c r="C13" s="300"/>
      <c r="D13" s="300"/>
      <c r="E13" s="300"/>
      <c r="F13" s="300"/>
      <c r="G13" s="300"/>
      <c r="H13" s="300"/>
      <c r="I13" s="300"/>
      <c r="J13" s="300"/>
      <c r="K13" s="378"/>
      <c r="L13" s="281"/>
      <c r="M13" s="281"/>
      <c r="N13" s="281"/>
      <c r="O13" s="281"/>
    </row>
    <row r="14" spans="2:15">
      <c r="B14" s="379" t="s">
        <v>588</v>
      </c>
      <c r="C14" s="302">
        <v>172.2191</v>
      </c>
      <c r="D14" s="302">
        <v>23.900569999999998</v>
      </c>
      <c r="E14" s="302">
        <v>0.239005</v>
      </c>
      <c r="F14" s="302">
        <v>1</v>
      </c>
      <c r="G14" s="302">
        <v>952380.95238095243</v>
      </c>
      <c r="H14" s="302">
        <v>277.95209999999997</v>
      </c>
      <c r="I14" s="302">
        <v>22571.31</v>
      </c>
      <c r="J14" s="302">
        <v>28796.29</v>
      </c>
      <c r="K14" s="380">
        <v>1019048.1</v>
      </c>
      <c r="L14" s="281"/>
      <c r="M14" s="281"/>
      <c r="N14" s="281"/>
      <c r="O14" s="281"/>
    </row>
    <row r="15" spans="2:15">
      <c r="B15" s="377"/>
      <c r="C15" s="300"/>
      <c r="D15" s="300"/>
      <c r="E15" s="300"/>
      <c r="F15" s="300"/>
      <c r="G15" s="300"/>
      <c r="H15" s="300"/>
      <c r="I15" s="300"/>
      <c r="J15" s="300"/>
      <c r="K15" s="378"/>
      <c r="L15" s="281"/>
      <c r="M15" s="281"/>
      <c r="N15" s="281"/>
      <c r="O15" s="281"/>
    </row>
    <row r="16" spans="2:15">
      <c r="B16" s="379" t="s">
        <v>589</v>
      </c>
      <c r="C16" s="302">
        <v>1.8000000000000001E-4</v>
      </c>
      <c r="D16" s="302">
        <v>2.51E-5</v>
      </c>
      <c r="E16" s="302">
        <v>2.4999999999999999E-7</v>
      </c>
      <c r="F16" s="302">
        <v>1.0499999999999999E-6</v>
      </c>
      <c r="G16" s="302">
        <v>1</v>
      </c>
      <c r="H16" s="302">
        <v>2.9E-4</v>
      </c>
      <c r="I16" s="302">
        <v>2.3720000000000001E-2</v>
      </c>
      <c r="J16" s="302">
        <v>3.0265E-2</v>
      </c>
      <c r="K16" s="380">
        <v>1.07101</v>
      </c>
      <c r="L16" s="281"/>
      <c r="M16" s="281"/>
      <c r="N16" s="281"/>
      <c r="O16" s="281"/>
    </row>
    <row r="17" spans="2:15">
      <c r="B17" s="377"/>
      <c r="C17" s="300"/>
      <c r="D17" s="300"/>
      <c r="E17" s="300"/>
      <c r="F17" s="300"/>
      <c r="G17" s="300"/>
      <c r="H17" s="300"/>
      <c r="I17" s="300"/>
      <c r="J17" s="300"/>
      <c r="K17" s="378"/>
      <c r="L17" s="281"/>
      <c r="M17" s="281"/>
      <c r="N17" s="281"/>
      <c r="O17" s="281"/>
    </row>
    <row r="18" spans="2:15">
      <c r="B18" s="379" t="s">
        <v>590</v>
      </c>
      <c r="C18" s="302">
        <v>0.61960000000000004</v>
      </c>
      <c r="D18" s="302">
        <v>8.5989999999999997E-2</v>
      </c>
      <c r="E18" s="302">
        <v>8.5999999999999998E-4</v>
      </c>
      <c r="F18" s="302">
        <v>3.5999999999999999E-3</v>
      </c>
      <c r="G18" s="302">
        <v>3423.2</v>
      </c>
      <c r="H18" s="302">
        <v>1</v>
      </c>
      <c r="I18" s="302">
        <v>81.205770000000001</v>
      </c>
      <c r="J18" s="302">
        <v>103.6016</v>
      </c>
      <c r="K18" s="380">
        <v>3666.2721000000001</v>
      </c>
      <c r="L18" s="281"/>
      <c r="M18" s="281"/>
      <c r="N18" s="281"/>
      <c r="O18" s="281"/>
    </row>
    <row r="19" spans="2:15">
      <c r="B19" s="377"/>
      <c r="C19" s="300"/>
      <c r="D19" s="300"/>
      <c r="E19" s="300"/>
      <c r="F19" s="300"/>
      <c r="G19" s="300"/>
      <c r="H19" s="300"/>
      <c r="I19" s="300"/>
      <c r="J19" s="300"/>
      <c r="K19" s="378"/>
      <c r="L19" s="281"/>
      <c r="M19" s="281"/>
      <c r="N19" s="281"/>
      <c r="O19" s="281"/>
    </row>
    <row r="20" spans="2:15">
      <c r="B20" s="379" t="s">
        <v>591</v>
      </c>
      <c r="C20" s="302">
        <v>7.6299999999999996E-3</v>
      </c>
      <c r="D20" s="302">
        <v>1.06E-3</v>
      </c>
      <c r="E20" s="302">
        <v>1.06E-5</v>
      </c>
      <c r="F20" s="302">
        <v>4.4299999999999999E-5</v>
      </c>
      <c r="G20" s="302">
        <v>42.154690000000002</v>
      </c>
      <c r="H20" s="302">
        <v>1.2314E-2</v>
      </c>
      <c r="I20" s="302">
        <v>1</v>
      </c>
      <c r="J20" s="302">
        <v>1.2757909999999999</v>
      </c>
      <c r="K20" s="380">
        <v>45.147928</v>
      </c>
      <c r="L20" s="281"/>
      <c r="M20" s="281"/>
      <c r="N20" s="281"/>
      <c r="O20" s="281"/>
    </row>
    <row r="21" spans="2:15">
      <c r="B21" s="377"/>
      <c r="C21" s="300"/>
      <c r="D21" s="300"/>
      <c r="E21" s="300"/>
      <c r="F21" s="300"/>
      <c r="G21" s="300"/>
      <c r="H21" s="300"/>
      <c r="I21" s="300"/>
      <c r="J21" s="300"/>
      <c r="K21" s="378"/>
      <c r="L21" s="281"/>
      <c r="M21" s="281"/>
      <c r="N21" s="281"/>
      <c r="O21" s="281"/>
    </row>
    <row r="22" spans="2:15">
      <c r="B22" s="379" t="s">
        <v>594</v>
      </c>
      <c r="C22" s="302">
        <v>5.9800000000000001E-3</v>
      </c>
      <c r="D22" s="302">
        <v>8.3000000000000001E-4</v>
      </c>
      <c r="E22" s="302">
        <v>8.3000000000000002E-6</v>
      </c>
      <c r="F22" s="302">
        <v>3.4700000000000003E-5</v>
      </c>
      <c r="G22" s="302">
        <v>33.041980000000002</v>
      </c>
      <c r="H22" s="302">
        <v>9.6520000000000009E-3</v>
      </c>
      <c r="I22" s="302">
        <v>0.78382600000000002</v>
      </c>
      <c r="J22" s="302">
        <v>1</v>
      </c>
      <c r="K22" s="380">
        <v>35.388165000000001</v>
      </c>
      <c r="L22" s="281"/>
      <c r="M22" s="281"/>
      <c r="N22" s="281"/>
      <c r="O22" s="281"/>
    </row>
    <row r="23" spans="2:15">
      <c r="B23" s="377"/>
      <c r="C23" s="300"/>
      <c r="D23" s="300"/>
      <c r="E23" s="300"/>
      <c r="F23" s="300"/>
      <c r="G23" s="300"/>
      <c r="H23" s="300"/>
      <c r="I23" s="300"/>
      <c r="J23" s="300"/>
      <c r="K23" s="378"/>
      <c r="L23" s="281"/>
      <c r="M23" s="281"/>
      <c r="N23" s="281"/>
      <c r="O23" s="281"/>
    </row>
    <row r="24" spans="2:15" ht="13.5" thickBot="1">
      <c r="B24" s="381" t="s">
        <v>593</v>
      </c>
      <c r="C24" s="382">
        <v>1.7000000000000001E-4</v>
      </c>
      <c r="D24" s="382">
        <v>2.3499999999999999E-5</v>
      </c>
      <c r="E24" s="382">
        <v>2.35E-7</v>
      </c>
      <c r="F24" s="382">
        <v>9.8100000000000001E-7</v>
      </c>
      <c r="G24" s="382">
        <v>0.933701</v>
      </c>
      <c r="H24" s="382">
        <v>2.72E-4</v>
      </c>
      <c r="I24" s="382">
        <v>2.2148999999999999E-2</v>
      </c>
      <c r="J24" s="382">
        <v>2.8257999999999998E-2</v>
      </c>
      <c r="K24" s="383">
        <v>1</v>
      </c>
      <c r="L24" s="281"/>
      <c r="M24" s="281"/>
      <c r="N24" s="281"/>
      <c r="O24" s="281"/>
    </row>
    <row r="25" spans="2:15">
      <c r="B25" s="282" t="s">
        <v>595</v>
      </c>
      <c r="C25" s="282"/>
      <c r="D25" s="282"/>
      <c r="E25" s="282"/>
      <c r="F25" s="282"/>
      <c r="G25" s="282"/>
      <c r="H25" s="282"/>
      <c r="I25" s="282"/>
      <c r="J25" s="282"/>
      <c r="K25" s="282"/>
      <c r="L25" s="281"/>
      <c r="M25" s="281"/>
      <c r="N25" s="281"/>
      <c r="O25" s="281"/>
    </row>
    <row r="26" spans="2:15"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1"/>
      <c r="M26" s="281"/>
      <c r="N26" s="281"/>
      <c r="O26" s="281"/>
    </row>
    <row r="27" spans="2:15"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1"/>
      <c r="M27" s="281"/>
      <c r="N27" s="281"/>
      <c r="O27" s="281"/>
    </row>
    <row r="28" spans="2:15">
      <c r="B28" s="305" t="s">
        <v>596</v>
      </c>
      <c r="C28" s="306"/>
      <c r="D28" s="307"/>
      <c r="E28" s="282"/>
      <c r="F28" s="308" t="s">
        <v>597</v>
      </c>
      <c r="G28" s="307"/>
      <c r="H28" s="282"/>
      <c r="I28" s="308" t="s">
        <v>598</v>
      </c>
      <c r="J28" s="306"/>
      <c r="K28" s="307"/>
      <c r="L28" s="281"/>
      <c r="M28" s="281"/>
      <c r="N28" s="281"/>
      <c r="O28" s="281"/>
    </row>
    <row r="29" spans="2:15">
      <c r="B29" s="309" t="s">
        <v>599</v>
      </c>
      <c r="C29" s="310"/>
      <c r="D29" s="311" t="s">
        <v>600</v>
      </c>
      <c r="E29" s="282"/>
      <c r="F29" s="312" t="s">
        <v>601</v>
      </c>
      <c r="G29" s="313" t="s">
        <v>602</v>
      </c>
      <c r="H29" s="282"/>
      <c r="I29" s="314" t="s">
        <v>603</v>
      </c>
      <c r="J29" s="315" t="s">
        <v>604</v>
      </c>
      <c r="K29" s="316"/>
      <c r="L29" s="281"/>
      <c r="M29" s="281"/>
      <c r="N29" s="281"/>
      <c r="O29" s="281"/>
    </row>
    <row r="30" spans="2:15">
      <c r="B30" s="317" t="s">
        <v>605</v>
      </c>
      <c r="C30" s="318"/>
      <c r="D30" s="319" t="s">
        <v>586</v>
      </c>
      <c r="E30" s="282"/>
      <c r="F30" s="320" t="s">
        <v>606</v>
      </c>
      <c r="G30" s="321" t="s">
        <v>607</v>
      </c>
      <c r="H30" s="282"/>
      <c r="I30" s="322" t="s">
        <v>608</v>
      </c>
      <c r="J30" s="323"/>
      <c r="K30" s="324"/>
      <c r="L30" s="281"/>
      <c r="M30" s="281"/>
      <c r="N30" s="281"/>
      <c r="O30" s="281"/>
    </row>
    <row r="31" spans="2:15">
      <c r="B31" s="325" t="s">
        <v>609</v>
      </c>
      <c r="C31" s="326"/>
      <c r="D31" s="327" t="s">
        <v>587</v>
      </c>
      <c r="E31" s="282"/>
      <c r="F31" s="312" t="s">
        <v>610</v>
      </c>
      <c r="G31" s="313" t="s">
        <v>611</v>
      </c>
      <c r="H31" s="282"/>
      <c r="I31" s="282" t="s">
        <v>612</v>
      </c>
      <c r="J31" s="282"/>
      <c r="K31" s="282"/>
      <c r="L31" s="281"/>
      <c r="M31" s="281"/>
      <c r="N31" s="281"/>
      <c r="O31" s="281"/>
    </row>
    <row r="32" spans="2:15">
      <c r="B32" s="317" t="s">
        <v>613</v>
      </c>
      <c r="C32" s="328"/>
      <c r="D32" s="329" t="s">
        <v>614</v>
      </c>
      <c r="E32" s="282"/>
      <c r="F32" s="322" t="s">
        <v>615</v>
      </c>
      <c r="G32" s="324" t="s">
        <v>616</v>
      </c>
      <c r="H32" s="282"/>
      <c r="I32" s="282"/>
      <c r="J32" s="282"/>
      <c r="K32" s="282"/>
      <c r="L32" s="281"/>
      <c r="M32" s="281"/>
      <c r="N32" s="281"/>
      <c r="O32" s="281"/>
    </row>
    <row r="33" spans="2:15">
      <c r="B33" s="325" t="s">
        <v>617</v>
      </c>
      <c r="C33" s="330"/>
      <c r="D33" s="331" t="s">
        <v>618</v>
      </c>
      <c r="E33" s="282"/>
      <c r="F33" s="282"/>
      <c r="G33" s="282"/>
      <c r="H33" s="282"/>
      <c r="I33" s="282"/>
      <c r="J33" s="282"/>
      <c r="K33" s="282"/>
      <c r="L33" s="281"/>
      <c r="M33" s="281"/>
      <c r="N33" s="281"/>
      <c r="O33" s="281"/>
    </row>
    <row r="34" spans="2:15">
      <c r="B34" s="317" t="s">
        <v>619</v>
      </c>
      <c r="C34" s="318"/>
      <c r="D34" s="319" t="s">
        <v>517</v>
      </c>
      <c r="E34" s="283"/>
      <c r="F34" s="305" t="s">
        <v>620</v>
      </c>
      <c r="G34" s="332"/>
      <c r="H34" s="333"/>
      <c r="I34" s="282"/>
      <c r="J34" s="282"/>
      <c r="K34" s="282"/>
      <c r="L34" s="281"/>
      <c r="M34" s="281"/>
      <c r="N34" s="281"/>
      <c r="O34" s="281"/>
    </row>
    <row r="35" spans="2:15">
      <c r="B35" s="325" t="s">
        <v>621</v>
      </c>
      <c r="C35" s="326"/>
      <c r="D35" s="327" t="s">
        <v>622</v>
      </c>
      <c r="E35" s="282"/>
      <c r="F35" s="334" t="s">
        <v>600</v>
      </c>
      <c r="G35" s="335" t="s">
        <v>623</v>
      </c>
      <c r="H35" s="336" t="s">
        <v>624</v>
      </c>
      <c r="I35" s="282"/>
      <c r="J35" s="282"/>
      <c r="K35" s="282"/>
      <c r="L35" s="281"/>
      <c r="M35" s="281"/>
      <c r="N35" s="281"/>
      <c r="O35" s="281"/>
    </row>
    <row r="36" spans="2:15">
      <c r="B36" s="317" t="s">
        <v>625</v>
      </c>
      <c r="C36" s="318"/>
      <c r="D36" s="319" t="s">
        <v>626</v>
      </c>
      <c r="E36" s="282"/>
      <c r="F36" s="337" t="s">
        <v>627</v>
      </c>
      <c r="G36" s="338" t="s">
        <v>628</v>
      </c>
      <c r="H36" s="303">
        <v>1000</v>
      </c>
      <c r="I36" s="282"/>
      <c r="J36" s="282"/>
      <c r="K36" s="282"/>
      <c r="L36" s="281"/>
      <c r="M36" s="281"/>
      <c r="N36" s="281"/>
      <c r="O36" s="281"/>
    </row>
    <row r="37" spans="2:15">
      <c r="B37" s="325" t="s">
        <v>629</v>
      </c>
      <c r="C37" s="339"/>
      <c r="D37" s="327" t="s">
        <v>630</v>
      </c>
      <c r="E37" s="282"/>
      <c r="F37" s="340" t="s">
        <v>332</v>
      </c>
      <c r="G37" s="341" t="s">
        <v>631</v>
      </c>
      <c r="H37" s="301">
        <v>1000000</v>
      </c>
      <c r="I37" s="282"/>
      <c r="J37" s="282"/>
      <c r="K37" s="282"/>
      <c r="L37" s="281"/>
      <c r="M37" s="281"/>
      <c r="N37" s="281"/>
      <c r="O37" s="281"/>
    </row>
    <row r="38" spans="2:15">
      <c r="B38" s="317" t="s">
        <v>632</v>
      </c>
      <c r="C38" s="318"/>
      <c r="D38" s="319" t="s">
        <v>633</v>
      </c>
      <c r="E38" s="284"/>
      <c r="F38" s="337" t="s">
        <v>634</v>
      </c>
      <c r="G38" s="338" t="s">
        <v>635</v>
      </c>
      <c r="H38" s="303">
        <v>1000000000</v>
      </c>
      <c r="I38" s="282"/>
      <c r="J38" s="282"/>
      <c r="K38" s="282"/>
      <c r="L38" s="281"/>
      <c r="M38" s="281"/>
      <c r="N38" s="281"/>
      <c r="O38" s="281"/>
    </row>
    <row r="39" spans="2:15">
      <c r="B39" s="325" t="s">
        <v>636</v>
      </c>
      <c r="C39" s="339"/>
      <c r="D39" s="327" t="s">
        <v>637</v>
      </c>
      <c r="E39" s="282"/>
      <c r="F39" s="340" t="s">
        <v>322</v>
      </c>
      <c r="G39" s="341" t="s">
        <v>638</v>
      </c>
      <c r="H39" s="301">
        <v>1000000000000</v>
      </c>
      <c r="I39" s="282"/>
      <c r="J39" s="282"/>
      <c r="K39" s="282"/>
      <c r="L39" s="281"/>
      <c r="M39" s="281"/>
      <c r="N39" s="281"/>
      <c r="O39" s="281"/>
    </row>
    <row r="40" spans="2:15">
      <c r="B40" s="342" t="s">
        <v>639</v>
      </c>
      <c r="C40" s="343"/>
      <c r="D40" s="344" t="s">
        <v>590</v>
      </c>
      <c r="E40" s="282"/>
      <c r="F40" s="345" t="s">
        <v>640</v>
      </c>
      <c r="G40" s="346" t="s">
        <v>641</v>
      </c>
      <c r="H40" s="304">
        <v>1000000000000000</v>
      </c>
      <c r="I40" s="282"/>
      <c r="J40" s="282"/>
      <c r="K40" s="282"/>
      <c r="L40" s="281"/>
      <c r="M40" s="281"/>
      <c r="N40" s="281"/>
      <c r="O40" s="281"/>
    </row>
    <row r="41" spans="2:15">
      <c r="B41" s="281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</row>
    <row r="42" spans="2:15">
      <c r="B42" s="281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1"/>
    </row>
    <row r="43" spans="2:15">
      <c r="B43" s="281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</row>
    <row r="44" spans="2:15">
      <c r="B44" s="281" t="s">
        <v>642</v>
      </c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1"/>
      <c r="N44" s="281"/>
      <c r="O44" s="281"/>
    </row>
    <row r="45" spans="2:15">
      <c r="B45" s="281" t="s">
        <v>643</v>
      </c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</row>
    <row r="46" spans="2:15"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</row>
    <row r="47" spans="2:15"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</row>
    <row r="48" spans="2:15"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</row>
    <row r="49" spans="2:15">
      <c r="B49" s="281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</row>
    <row r="50" spans="2:15"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</row>
    <row r="51" spans="2:15"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</row>
    <row r="52" spans="2:15"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</row>
    <row r="53" spans="2:15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5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5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5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5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5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5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5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5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5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5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5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 s="3" customFormat="1"/>
    <row r="67" spans="2:11" s="3" customFormat="1"/>
    <row r="68" spans="2:11" s="3" customFormat="1"/>
    <row r="69" spans="2:11" s="3" customFormat="1"/>
    <row r="70" spans="2:11" s="3" customFormat="1"/>
    <row r="71" spans="2:11" s="3" customFormat="1"/>
    <row r="72" spans="2:11" s="3" customFormat="1"/>
    <row r="73" spans="2:11" s="3" customFormat="1"/>
    <row r="74" spans="2:11" s="3" customFormat="1"/>
    <row r="75" spans="2:11" s="3" customFormat="1"/>
    <row r="76" spans="2:11" s="3" customFormat="1"/>
    <row r="77" spans="2:11" s="3" customFormat="1"/>
    <row r="78" spans="2:11" s="3" customFormat="1"/>
    <row r="79" spans="2:11" s="3" customFormat="1"/>
    <row r="80" spans="2:11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</sheetData>
  <phoneticPr fontId="0" type="noConversion"/>
  <hyperlinks>
    <hyperlink ref="L3" location="INDICE!A70" display="VOLVER A INDICE"/>
  </hyperlink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D28" sqref="D28"/>
    </sheetView>
  </sheetViews>
  <sheetFormatPr baseColWidth="10" defaultRowHeight="12.75"/>
  <cols>
    <col min="1" max="1" width="1.7109375" style="295" customWidth="1"/>
    <col min="2" max="2" width="23.28515625" style="295" customWidth="1"/>
    <col min="3" max="5" width="19" style="295" customWidth="1"/>
    <col min="6" max="21" width="11.42578125" style="30"/>
    <col min="22" max="16384" width="11.42578125" style="295"/>
  </cols>
  <sheetData>
    <row r="1" spans="1:10" ht="6.75" customHeight="1" thickBot="1">
      <c r="A1" s="568"/>
      <c r="B1" s="568"/>
      <c r="C1" s="568"/>
      <c r="D1" s="568"/>
      <c r="E1" s="568"/>
      <c r="F1" s="183"/>
      <c r="G1" s="183"/>
    </row>
    <row r="2" spans="1:10" ht="13.5" thickBot="1">
      <c r="A2" s="568"/>
      <c r="B2" s="569"/>
      <c r="C2" s="570"/>
      <c r="D2" s="570"/>
      <c r="E2" s="571"/>
      <c r="F2" s="183"/>
      <c r="G2" s="572" t="s">
        <v>649</v>
      </c>
    </row>
    <row r="3" spans="1:10" ht="15.75">
      <c r="A3" s="568"/>
      <c r="B3" s="573"/>
      <c r="C3" s="574" t="s">
        <v>552</v>
      </c>
      <c r="D3" s="575"/>
      <c r="E3" s="576"/>
      <c r="F3" s="183"/>
      <c r="G3" s="183"/>
    </row>
    <row r="4" spans="1:10" ht="15.75">
      <c r="A4" s="568"/>
      <c r="B4" s="577"/>
      <c r="C4" s="578" t="s">
        <v>553</v>
      </c>
      <c r="D4" s="578"/>
      <c r="E4" s="579"/>
      <c r="F4" s="183"/>
      <c r="G4" s="183"/>
    </row>
    <row r="5" spans="1:10" ht="15.75">
      <c r="A5" s="568"/>
      <c r="B5" s="577"/>
      <c r="C5" s="578"/>
      <c r="D5" s="578"/>
      <c r="E5" s="579"/>
      <c r="F5" s="183"/>
      <c r="G5" s="183"/>
    </row>
    <row r="6" spans="1:10" ht="15.75">
      <c r="A6" s="568"/>
      <c r="B6" s="577"/>
      <c r="C6" s="578"/>
      <c r="D6" s="578"/>
      <c r="E6" s="579"/>
      <c r="F6" s="183"/>
      <c r="G6" s="183"/>
    </row>
    <row r="7" spans="1:10" ht="15.75">
      <c r="A7" s="568"/>
      <c r="B7" s="577"/>
      <c r="C7" s="578"/>
      <c r="D7" s="580" t="s">
        <v>21</v>
      </c>
      <c r="E7" s="581" t="s">
        <v>22</v>
      </c>
      <c r="F7" s="183"/>
      <c r="G7" s="183"/>
    </row>
    <row r="8" spans="1:10" ht="15.75">
      <c r="A8" s="568"/>
      <c r="B8" s="582" t="s">
        <v>23</v>
      </c>
      <c r="C8" s="1">
        <v>2007</v>
      </c>
      <c r="D8" s="1">
        <v>2008</v>
      </c>
      <c r="E8" s="583" t="s">
        <v>24</v>
      </c>
      <c r="F8" s="183"/>
      <c r="G8" s="183"/>
    </row>
    <row r="9" spans="1:10" ht="13.5" thickBot="1">
      <c r="A9" s="568"/>
      <c r="B9" s="584"/>
      <c r="C9" s="585"/>
      <c r="D9" s="586"/>
      <c r="E9" s="587"/>
      <c r="F9" s="183"/>
      <c r="G9" s="183"/>
    </row>
    <row r="10" spans="1:10" ht="16.5" customHeight="1">
      <c r="A10" s="568"/>
      <c r="B10" s="588" t="s">
        <v>25</v>
      </c>
      <c r="C10" s="589">
        <v>106155.41799571791</v>
      </c>
      <c r="D10" s="457">
        <v>110419.55387337925</v>
      </c>
      <c r="E10" s="590">
        <f>100*(D10-C10)/C10</f>
        <v>4.0168801161268473</v>
      </c>
      <c r="F10" s="183"/>
      <c r="G10" s="458"/>
      <c r="H10" s="293"/>
      <c r="I10" s="293"/>
      <c r="J10" s="293"/>
    </row>
    <row r="11" spans="1:10" ht="16.5" customHeight="1">
      <c r="A11" s="568"/>
      <c r="B11" s="591" t="s">
        <v>26</v>
      </c>
      <c r="C11" s="589">
        <v>42718.078722951112</v>
      </c>
      <c r="D11" s="457">
        <v>24794.691052921084</v>
      </c>
      <c r="E11" s="590">
        <f>100*(D11-C11)/C11</f>
        <v>-41.957382461586086</v>
      </c>
      <c r="F11" s="183"/>
      <c r="G11" s="458"/>
      <c r="H11" s="293"/>
      <c r="I11" s="293"/>
      <c r="J11" s="293"/>
    </row>
    <row r="12" spans="1:10" ht="16.5" customHeight="1">
      <c r="A12" s="568"/>
      <c r="B12" s="591" t="s">
        <v>27</v>
      </c>
      <c r="C12" s="589">
        <v>40861.195771907056</v>
      </c>
      <c r="D12" s="457">
        <v>43695.202646857084</v>
      </c>
      <c r="E12" s="590">
        <f>100*(D12-C12)/C12</f>
        <v>6.9356924617915068</v>
      </c>
      <c r="F12" s="183"/>
      <c r="G12" s="458"/>
      <c r="H12" s="293"/>
      <c r="I12" s="293"/>
      <c r="J12" s="293"/>
    </row>
    <row r="13" spans="1:10" ht="16.5" customHeight="1">
      <c r="A13" s="568"/>
      <c r="B13" s="591" t="s">
        <v>28</v>
      </c>
      <c r="C13" s="589">
        <v>19575.800684115558</v>
      </c>
      <c r="D13" s="457">
        <v>20897.904570688788</v>
      </c>
      <c r="E13" s="590">
        <f>100*(D13-C13)/C13</f>
        <v>6.7537665912486933</v>
      </c>
      <c r="F13" s="183"/>
      <c r="G13" s="458"/>
      <c r="H13" s="293"/>
      <c r="I13" s="293"/>
      <c r="J13" s="293"/>
    </row>
    <row r="14" spans="1:10" ht="16.5" customHeight="1">
      <c r="A14" s="568"/>
      <c r="B14" s="591" t="s">
        <v>29</v>
      </c>
      <c r="C14" s="589">
        <v>49841.047612433242</v>
      </c>
      <c r="D14" s="457">
        <v>51169.578324994305</v>
      </c>
      <c r="E14" s="590">
        <f>100*(D14-C14)/C14</f>
        <v>2.6655352890890098</v>
      </c>
      <c r="F14" s="183"/>
      <c r="G14" s="458"/>
      <c r="H14" s="293"/>
      <c r="I14" s="293"/>
      <c r="J14" s="293"/>
    </row>
    <row r="15" spans="1:10" ht="16.5" customHeight="1">
      <c r="A15" s="568"/>
      <c r="B15" s="591" t="s">
        <v>30</v>
      </c>
      <c r="C15" s="589">
        <v>0</v>
      </c>
      <c r="D15" s="457">
        <v>0</v>
      </c>
      <c r="E15" s="590"/>
      <c r="F15" s="183"/>
      <c r="G15" s="458"/>
      <c r="H15" s="293"/>
      <c r="I15" s="293"/>
      <c r="J15" s="293"/>
    </row>
    <row r="16" spans="1:10">
      <c r="A16" s="568"/>
      <c r="B16" s="592" t="s">
        <v>31</v>
      </c>
      <c r="C16" s="593">
        <f>SUM(C10:C15)</f>
        <v>259151.54078712486</v>
      </c>
      <c r="D16" s="593">
        <f>SUM(D10:D15)</f>
        <v>250976.93046884052</v>
      </c>
      <c r="E16" s="594">
        <f>100*(D16-C16)/C16</f>
        <v>-3.154374576919539</v>
      </c>
      <c r="F16" s="183"/>
      <c r="G16" s="595"/>
      <c r="H16" s="294"/>
      <c r="I16" s="293"/>
      <c r="J16" s="293"/>
    </row>
    <row r="17" spans="1:10" ht="13.5" thickBot="1">
      <c r="A17" s="568"/>
      <c r="B17" s="596"/>
      <c r="C17" s="597"/>
      <c r="D17" s="598"/>
      <c r="E17" s="599"/>
      <c r="F17" s="183"/>
      <c r="G17" s="458"/>
      <c r="H17" s="293"/>
      <c r="I17" s="293"/>
      <c r="J17" s="293"/>
    </row>
    <row r="18" spans="1:10">
      <c r="A18" s="568"/>
      <c r="B18" s="1050" t="s">
        <v>806</v>
      </c>
      <c r="C18" s="1051"/>
      <c r="D18" s="1052"/>
      <c r="E18" s="1051"/>
      <c r="F18" s="183"/>
      <c r="G18" s="458"/>
      <c r="H18" s="293"/>
      <c r="I18" s="293"/>
      <c r="J18" s="293"/>
    </row>
    <row r="19" spans="1:10" ht="25.5" customHeight="1">
      <c r="A19" s="568"/>
      <c r="B19" s="1452" t="s">
        <v>807</v>
      </c>
      <c r="C19" s="1452"/>
      <c r="D19" s="1452"/>
      <c r="E19" s="1452"/>
      <c r="F19" s="183"/>
      <c r="G19" s="458"/>
      <c r="H19" s="293"/>
      <c r="I19" s="293"/>
      <c r="J19" s="293"/>
    </row>
    <row r="20" spans="1:10">
      <c r="A20" s="568"/>
      <c r="B20" s="1050" t="s">
        <v>808</v>
      </c>
      <c r="C20" s="1051"/>
      <c r="D20" s="1052"/>
      <c r="E20" s="1051"/>
      <c r="F20" s="183"/>
      <c r="G20" s="458"/>
      <c r="H20" s="293"/>
      <c r="I20" s="293"/>
      <c r="J20" s="293"/>
    </row>
    <row r="21" spans="1:10">
      <c r="A21" s="568"/>
      <c r="B21" s="1053" t="s">
        <v>34</v>
      </c>
      <c r="C21" s="1051"/>
      <c r="D21" s="1051"/>
      <c r="E21" s="1051"/>
      <c r="F21" s="183"/>
      <c r="G21" s="458"/>
      <c r="H21" s="293"/>
      <c r="I21" s="293"/>
      <c r="J21" s="293"/>
    </row>
    <row r="22" spans="1:10">
      <c r="A22" s="568"/>
      <c r="B22" s="500" t="s">
        <v>770</v>
      </c>
      <c r="C22" s="1051"/>
      <c r="D22" s="1051"/>
      <c r="E22" s="1051"/>
      <c r="F22" s="183"/>
      <c r="G22" s="458"/>
      <c r="H22" s="293"/>
      <c r="I22" s="293"/>
      <c r="J22" s="293"/>
    </row>
    <row r="23" spans="1:10">
      <c r="A23" s="568"/>
      <c r="B23" s="183"/>
      <c r="C23" s="183"/>
      <c r="D23" s="183"/>
      <c r="E23" s="183"/>
      <c r="F23" s="183"/>
      <c r="G23" s="458"/>
      <c r="H23" s="293"/>
      <c r="I23" s="293"/>
      <c r="J23" s="293"/>
    </row>
    <row r="24" spans="1:10">
      <c r="A24" s="568"/>
      <c r="B24" s="183"/>
      <c r="C24" s="183"/>
      <c r="D24" s="183"/>
      <c r="E24" s="183"/>
      <c r="F24" s="183"/>
      <c r="G24" s="183"/>
      <c r="H24" s="293"/>
      <c r="I24" s="293"/>
      <c r="J24" s="293"/>
    </row>
    <row r="25" spans="1:10">
      <c r="A25" s="568"/>
      <c r="B25" s="183"/>
      <c r="C25" s="183"/>
      <c r="D25" s="183"/>
      <c r="E25" s="183"/>
      <c r="F25" s="183"/>
      <c r="G25" s="183"/>
      <c r="H25" s="293"/>
      <c r="I25" s="293"/>
      <c r="J25" s="293"/>
    </row>
    <row r="26" spans="1:10">
      <c r="A26" s="568"/>
      <c r="B26" s="183"/>
      <c r="C26" s="183"/>
      <c r="D26" s="183"/>
      <c r="E26" s="183"/>
      <c r="F26" s="183"/>
      <c r="G26" s="183"/>
      <c r="H26" s="293"/>
      <c r="I26" s="293"/>
      <c r="J26" s="293"/>
    </row>
    <row r="27" spans="1:10">
      <c r="B27" s="30"/>
      <c r="C27" s="293"/>
      <c r="D27" s="293"/>
      <c r="E27" s="293"/>
      <c r="F27" s="293"/>
      <c r="G27" s="293"/>
      <c r="H27" s="293"/>
      <c r="I27" s="293"/>
      <c r="J27" s="293"/>
    </row>
    <row r="28" spans="1:10">
      <c r="B28" s="30"/>
      <c r="C28" s="293"/>
      <c r="D28" s="293"/>
      <c r="E28" s="293"/>
      <c r="F28" s="293"/>
      <c r="G28" s="293"/>
      <c r="H28" s="293"/>
      <c r="I28" s="293"/>
      <c r="J28" s="293"/>
    </row>
    <row r="29" spans="1:10">
      <c r="B29" s="30"/>
      <c r="C29" s="293"/>
      <c r="D29" s="293"/>
      <c r="E29" s="293"/>
      <c r="F29" s="293"/>
      <c r="G29" s="293"/>
      <c r="H29" s="293"/>
      <c r="I29" s="293"/>
      <c r="J29" s="293"/>
    </row>
    <row r="30" spans="1:10">
      <c r="B30" s="30"/>
    </row>
    <row r="31" spans="1:10">
      <c r="B31" s="30"/>
    </row>
    <row r="32" spans="1:10">
      <c r="B32" s="30"/>
    </row>
    <row r="33" spans="2:2">
      <c r="B33" s="30"/>
    </row>
    <row r="34" spans="2:2">
      <c r="B34" s="30"/>
    </row>
    <row r="35" spans="2:2">
      <c r="B35" s="30"/>
    </row>
    <row r="36" spans="2:2">
      <c r="B36" s="30"/>
    </row>
    <row r="37" spans="2:2">
      <c r="B37" s="30"/>
    </row>
    <row r="38" spans="2:2">
      <c r="B38" s="30"/>
    </row>
    <row r="39" spans="2:2">
      <c r="B39" s="30"/>
    </row>
    <row r="40" spans="2:2">
      <c r="B40" s="30"/>
    </row>
    <row r="41" spans="2:2">
      <c r="B41" s="30"/>
    </row>
    <row r="42" spans="2:2">
      <c r="B42" s="30"/>
    </row>
    <row r="43" spans="2:2">
      <c r="B43" s="30"/>
    </row>
    <row r="44" spans="2:2">
      <c r="B44" s="30"/>
    </row>
    <row r="45" spans="2:2">
      <c r="B45" s="30"/>
    </row>
    <row r="46" spans="2:2">
      <c r="B46" s="30"/>
    </row>
    <row r="47" spans="2:2">
      <c r="B47" s="30"/>
    </row>
    <row r="48" spans="2: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</sheetData>
  <mergeCells count="1">
    <mergeCell ref="B19:E19"/>
  </mergeCells>
  <phoneticPr fontId="0" type="noConversion"/>
  <hyperlinks>
    <hyperlink ref="G2" location="INDICE!A1" display="VOLVER A INDICE"/>
  </hyperlink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85" workbookViewId="0">
      <selection activeCell="H23" sqref="H23"/>
    </sheetView>
  </sheetViews>
  <sheetFormatPr baseColWidth="10" defaultRowHeight="12.75"/>
  <cols>
    <col min="1" max="1" width="1.85546875" style="296" customWidth="1"/>
    <col min="2" max="2" width="25.140625" style="296" customWidth="1"/>
    <col min="3" max="5" width="17.85546875" style="296" customWidth="1"/>
    <col min="6" max="13" width="11.42578125" style="3"/>
    <col min="14" max="16384" width="11.42578125" style="296"/>
  </cols>
  <sheetData>
    <row r="1" spans="1:9" ht="8.25" customHeight="1" thickBot="1">
      <c r="A1" s="504"/>
      <c r="B1" s="504"/>
      <c r="C1" s="504"/>
      <c r="D1" s="504"/>
      <c r="E1" s="504"/>
      <c r="F1" s="62"/>
      <c r="G1" s="62"/>
    </row>
    <row r="2" spans="1:9" ht="13.5" thickBot="1">
      <c r="A2" s="504"/>
      <c r="B2" s="538"/>
      <c r="C2" s="539"/>
      <c r="D2" s="539"/>
      <c r="E2" s="540"/>
      <c r="F2" s="541"/>
      <c r="G2" s="542"/>
      <c r="H2" s="4"/>
      <c r="I2" s="4"/>
    </row>
    <row r="3" spans="1:9">
      <c r="A3" s="504"/>
      <c r="B3" s="543"/>
      <c r="C3" s="544" t="s">
        <v>727</v>
      </c>
      <c r="D3" s="545"/>
      <c r="E3" s="546"/>
      <c r="F3" s="541"/>
      <c r="G3" s="572" t="s">
        <v>649</v>
      </c>
      <c r="H3" s="4"/>
      <c r="I3" s="4"/>
    </row>
    <row r="4" spans="1:9">
      <c r="A4" s="504"/>
      <c r="B4" s="547"/>
      <c r="C4" s="548" t="s">
        <v>35</v>
      </c>
      <c r="D4" s="549"/>
      <c r="E4" s="550"/>
      <c r="F4" s="541"/>
      <c r="G4" s="542"/>
      <c r="H4" s="4"/>
      <c r="I4" s="4"/>
    </row>
    <row r="5" spans="1:9">
      <c r="A5" s="504"/>
      <c r="B5" s="547"/>
      <c r="C5" s="549"/>
      <c r="D5" s="549"/>
      <c r="E5" s="550"/>
      <c r="F5" s="541"/>
      <c r="G5" s="542"/>
      <c r="H5" s="4"/>
      <c r="I5" s="4"/>
    </row>
    <row r="6" spans="1:9">
      <c r="A6" s="504"/>
      <c r="B6" s="547"/>
      <c r="C6" s="551" t="s">
        <v>21</v>
      </c>
      <c r="D6" s="551"/>
      <c r="E6" s="552" t="s">
        <v>22</v>
      </c>
      <c r="F6" s="541"/>
      <c r="G6" s="542"/>
      <c r="H6" s="4"/>
      <c r="I6" s="4"/>
    </row>
    <row r="7" spans="1:9" ht="15.75" thickBot="1">
      <c r="A7" s="504"/>
      <c r="B7" s="553" t="s">
        <v>23</v>
      </c>
      <c r="C7" s="61">
        <v>2007</v>
      </c>
      <c r="D7" s="61">
        <v>2008</v>
      </c>
      <c r="E7" s="554" t="s">
        <v>24</v>
      </c>
      <c r="F7" s="541"/>
      <c r="G7" s="542"/>
      <c r="H7" s="4"/>
      <c r="I7" s="4"/>
    </row>
    <row r="8" spans="1:9">
      <c r="A8" s="504"/>
      <c r="B8" s="555"/>
      <c r="C8" s="556"/>
      <c r="D8" s="183"/>
      <c r="E8" s="557"/>
      <c r="F8" s="541"/>
      <c r="G8" s="542"/>
      <c r="H8" s="4"/>
      <c r="I8" s="4"/>
    </row>
    <row r="9" spans="1:9">
      <c r="A9" s="504"/>
      <c r="B9" s="555" t="s">
        <v>36</v>
      </c>
      <c r="C9" s="556"/>
      <c r="D9" s="183"/>
      <c r="E9" s="557"/>
      <c r="F9" s="541"/>
      <c r="G9" s="542"/>
      <c r="H9" s="4"/>
      <c r="I9" s="4"/>
    </row>
    <row r="10" spans="1:9">
      <c r="A10" s="504"/>
      <c r="B10" s="555" t="s">
        <v>37</v>
      </c>
      <c r="C10" s="558">
        <v>138868.55533944425</v>
      </c>
      <c r="D10" s="347">
        <f>CUADRO4!G10</f>
        <v>145311.67439104986</v>
      </c>
      <c r="E10" s="559">
        <f>100*(D10-C10)/C10</f>
        <v>4.6397249801125451</v>
      </c>
      <c r="F10" s="560"/>
      <c r="G10" s="541"/>
      <c r="H10" s="4"/>
      <c r="I10" s="4"/>
    </row>
    <row r="11" spans="1:9">
      <c r="A11" s="504"/>
      <c r="B11" s="561"/>
      <c r="C11" s="558"/>
      <c r="D11" s="348"/>
      <c r="E11" s="559"/>
      <c r="F11" s="541"/>
      <c r="G11" s="541"/>
      <c r="H11" s="4"/>
      <c r="I11" s="4"/>
    </row>
    <row r="12" spans="1:9">
      <c r="A12" s="504"/>
      <c r="B12" s="555" t="s">
        <v>38</v>
      </c>
      <c r="C12" s="558">
        <v>47494.405384541693</v>
      </c>
      <c r="D12" s="347">
        <f>CUADRO4!G20</f>
        <v>47968.608476659028</v>
      </c>
      <c r="E12" s="559">
        <f>100*(D12-C12)/C12</f>
        <v>0.99843989682135781</v>
      </c>
      <c r="F12" s="560"/>
      <c r="G12" s="541"/>
      <c r="H12" s="4"/>
      <c r="I12" s="4"/>
    </row>
    <row r="13" spans="1:9">
      <c r="A13" s="504"/>
      <c r="B13" s="555"/>
      <c r="C13" s="558"/>
      <c r="D13" s="348"/>
      <c r="E13" s="559"/>
      <c r="F13" s="541"/>
      <c r="G13" s="541"/>
      <c r="H13" s="4"/>
      <c r="I13" s="4"/>
    </row>
    <row r="14" spans="1:9">
      <c r="A14" s="504"/>
      <c r="B14" s="555" t="s">
        <v>27</v>
      </c>
      <c r="C14" s="558">
        <v>4377.6686843925245</v>
      </c>
      <c r="D14" s="347">
        <f>CUADRO4!G21</f>
        <v>3992.9470941064492</v>
      </c>
      <c r="E14" s="559">
        <f>100*(D14-C14)/C14</f>
        <v>-8.7882756330487801</v>
      </c>
      <c r="F14" s="560"/>
      <c r="G14" s="541"/>
      <c r="H14" s="4"/>
      <c r="I14" s="4"/>
    </row>
    <row r="15" spans="1:9">
      <c r="A15" s="504"/>
      <c r="B15" s="555"/>
      <c r="C15" s="558"/>
      <c r="D15" s="348"/>
      <c r="E15" s="559"/>
      <c r="F15" s="541"/>
      <c r="G15" s="541"/>
      <c r="H15" s="4"/>
      <c r="I15" s="4"/>
    </row>
    <row r="16" spans="1:9">
      <c r="A16" s="504"/>
      <c r="B16" s="555" t="s">
        <v>39</v>
      </c>
      <c r="C16" s="558">
        <v>2977.3454585000004</v>
      </c>
      <c r="D16" s="347">
        <f>CUADRO4!G22+CUADRO4!G23</f>
        <v>3098.170869685825</v>
      </c>
      <c r="E16" s="559">
        <f>100*(D16-C16)/C16</f>
        <v>4.0581589496402257</v>
      </c>
      <c r="F16" s="542"/>
      <c r="G16" s="541"/>
      <c r="H16" s="4"/>
      <c r="I16" s="4"/>
    </row>
    <row r="17" spans="1:9">
      <c r="A17" s="504"/>
      <c r="B17" s="555"/>
      <c r="C17" s="558"/>
      <c r="D17" s="348"/>
      <c r="E17" s="559"/>
      <c r="F17" s="541"/>
      <c r="G17" s="541"/>
      <c r="H17" s="4"/>
      <c r="I17" s="4"/>
    </row>
    <row r="18" spans="1:9">
      <c r="A18" s="504"/>
      <c r="B18" s="555" t="s">
        <v>40</v>
      </c>
      <c r="C18" s="558">
        <v>1454.3840791289194</v>
      </c>
      <c r="D18" s="347">
        <f>CUADRO4!G24</f>
        <v>1346.6034125749043</v>
      </c>
      <c r="E18" s="559">
        <f>100*(D18-C18)/C18</f>
        <v>-7.4107430149103886</v>
      </c>
      <c r="F18" s="542"/>
      <c r="G18" s="541"/>
      <c r="H18" s="4"/>
      <c r="I18" s="4"/>
    </row>
    <row r="19" spans="1:9">
      <c r="A19" s="504"/>
      <c r="B19" s="555"/>
      <c r="C19" s="558"/>
      <c r="D19" s="348"/>
      <c r="E19" s="559"/>
      <c r="F19" s="541"/>
      <c r="G19" s="541"/>
      <c r="H19" s="4"/>
      <c r="I19" s="4"/>
    </row>
    <row r="20" spans="1:9">
      <c r="A20" s="504"/>
      <c r="B20" s="555" t="s">
        <v>41</v>
      </c>
      <c r="C20" s="558">
        <v>1063.6199999999999</v>
      </c>
      <c r="D20" s="347">
        <f>CUADRO4!G25</f>
        <v>1000.532152</v>
      </c>
      <c r="E20" s="559">
        <f>100*(D20-C20)/C20</f>
        <v>-5.931427389481196</v>
      </c>
      <c r="F20" s="542"/>
      <c r="G20" s="541"/>
      <c r="H20" s="4"/>
      <c r="I20" s="4"/>
    </row>
    <row r="21" spans="1:9">
      <c r="A21" s="504"/>
      <c r="B21" s="555"/>
      <c r="C21" s="558"/>
      <c r="D21" s="348"/>
      <c r="E21" s="559"/>
      <c r="F21" s="541"/>
      <c r="G21" s="541"/>
      <c r="H21" s="4"/>
      <c r="I21" s="4"/>
    </row>
    <row r="22" spans="1:9">
      <c r="A22" s="504"/>
      <c r="B22" s="555" t="s">
        <v>26</v>
      </c>
      <c r="C22" s="558">
        <v>9808.844531614699</v>
      </c>
      <c r="D22" s="347">
        <f>CUADRO4!G26</f>
        <v>6054.8523290900312</v>
      </c>
      <c r="E22" s="559">
        <f>100*(D22-C22)/C22</f>
        <v>-38.271502728229073</v>
      </c>
      <c r="F22" s="542"/>
      <c r="G22" s="541"/>
      <c r="H22" s="4"/>
      <c r="I22" s="4"/>
    </row>
    <row r="23" spans="1:9">
      <c r="A23" s="504"/>
      <c r="B23" s="555"/>
      <c r="C23" s="558"/>
      <c r="D23" s="348"/>
      <c r="E23" s="559"/>
      <c r="F23" s="541"/>
      <c r="G23" s="541"/>
      <c r="H23" s="4"/>
      <c r="I23" s="4"/>
    </row>
    <row r="24" spans="1:9">
      <c r="A24" s="504"/>
      <c r="B24" s="555" t="s">
        <v>42</v>
      </c>
      <c r="C24" s="558">
        <v>520.39364074999992</v>
      </c>
      <c r="D24" s="347">
        <f>CUADRO4!G27</f>
        <v>516.3526738600001</v>
      </c>
      <c r="E24" s="559">
        <v>0</v>
      </c>
      <c r="F24" s="542"/>
      <c r="G24" s="541"/>
      <c r="H24" s="4"/>
      <c r="I24" s="4"/>
    </row>
    <row r="25" spans="1:9">
      <c r="A25" s="504"/>
      <c r="B25" s="555"/>
      <c r="C25" s="558"/>
      <c r="D25" s="348"/>
      <c r="E25" s="559"/>
      <c r="F25" s="541"/>
      <c r="G25" s="541"/>
      <c r="H25" s="4"/>
      <c r="I25" s="4"/>
    </row>
    <row r="26" spans="1:9">
      <c r="A26" s="504"/>
      <c r="B26" s="555" t="s">
        <v>43</v>
      </c>
      <c r="C26" s="558">
        <v>44646.678857491759</v>
      </c>
      <c r="D26" s="347">
        <f>CUADRO4!G28</f>
        <v>45777.436188357562</v>
      </c>
      <c r="E26" s="559">
        <f>100*(D26-C26)/C26</f>
        <v>2.5326796075360503</v>
      </c>
      <c r="F26" s="542"/>
      <c r="G26" s="541"/>
      <c r="H26" s="4"/>
      <c r="I26" s="4"/>
    </row>
    <row r="27" spans="1:9">
      <c r="A27" s="504"/>
      <c r="B27" s="555"/>
      <c r="C27" s="558"/>
      <c r="D27" s="348"/>
      <c r="E27" s="559"/>
      <c r="F27" s="541"/>
      <c r="G27" s="541"/>
      <c r="H27" s="4"/>
      <c r="I27" s="4"/>
    </row>
    <row r="28" spans="1:9">
      <c r="A28" s="504"/>
      <c r="B28" s="555" t="s">
        <v>30</v>
      </c>
      <c r="C28" s="558">
        <v>0</v>
      </c>
      <c r="D28" s="348">
        <v>0</v>
      </c>
      <c r="E28" s="559">
        <v>0</v>
      </c>
      <c r="F28" s="542"/>
      <c r="G28" s="541"/>
      <c r="H28" s="4"/>
      <c r="I28" s="4"/>
    </row>
    <row r="29" spans="1:9">
      <c r="A29" s="504"/>
      <c r="B29" s="555"/>
      <c r="C29" s="558"/>
      <c r="D29" s="558"/>
      <c r="E29" s="559"/>
      <c r="F29" s="541"/>
      <c r="G29" s="541"/>
      <c r="H29" s="4"/>
      <c r="I29" s="4"/>
    </row>
    <row r="30" spans="1:9">
      <c r="A30" s="504"/>
      <c r="B30" s="555"/>
      <c r="C30" s="558"/>
      <c r="D30" s="558"/>
      <c r="E30" s="559"/>
      <c r="F30" s="541"/>
      <c r="G30" s="541"/>
      <c r="H30" s="4"/>
      <c r="I30" s="4"/>
    </row>
    <row r="31" spans="1:9">
      <c r="A31" s="504"/>
      <c r="B31" s="562" t="s">
        <v>31</v>
      </c>
      <c r="C31" s="563">
        <f>SUM(C10:C28)</f>
        <v>251211.89597586385</v>
      </c>
      <c r="D31" s="563">
        <f>SUM(D10:D28)</f>
        <v>255067.17758738366</v>
      </c>
      <c r="E31" s="564">
        <f>100*(D31-C31)/C31</f>
        <v>1.5346731875668096</v>
      </c>
      <c r="F31" s="560"/>
      <c r="G31" s="541"/>
      <c r="H31" s="4"/>
      <c r="I31" s="4"/>
    </row>
    <row r="32" spans="1:9" ht="13.5" thickBot="1">
      <c r="A32" s="504"/>
      <c r="B32" s="565"/>
      <c r="C32" s="566"/>
      <c r="D32" s="566"/>
      <c r="E32" s="567"/>
      <c r="F32" s="541"/>
      <c r="G32" s="541"/>
      <c r="H32" s="4"/>
      <c r="I32" s="4"/>
    </row>
    <row r="33" spans="1:9">
      <c r="A33" s="504"/>
      <c r="B33" s="524" t="s">
        <v>32</v>
      </c>
      <c r="C33" s="1054"/>
      <c r="D33" s="1054"/>
      <c r="E33" s="1054"/>
      <c r="F33" s="541"/>
      <c r="G33" s="542"/>
      <c r="H33" s="4"/>
      <c r="I33" s="4"/>
    </row>
    <row r="34" spans="1:9">
      <c r="A34" s="504"/>
      <c r="B34" s="524" t="s">
        <v>33</v>
      </c>
      <c r="C34" s="1055"/>
      <c r="D34" s="1055"/>
      <c r="E34" s="1054"/>
      <c r="F34" s="541"/>
      <c r="G34" s="542"/>
      <c r="H34" s="4"/>
      <c r="I34" s="4"/>
    </row>
    <row r="35" spans="1:9">
      <c r="A35" s="504"/>
      <c r="B35" s="500" t="s">
        <v>34</v>
      </c>
      <c r="C35" s="1054"/>
      <c r="D35" s="1054"/>
      <c r="E35" s="1054"/>
      <c r="F35" s="541"/>
      <c r="G35" s="542"/>
      <c r="H35" s="4"/>
      <c r="I35" s="4"/>
    </row>
    <row r="36" spans="1:9">
      <c r="A36" s="504"/>
      <c r="B36" s="500" t="s">
        <v>769</v>
      </c>
      <c r="C36" s="1054"/>
      <c r="D36" s="1054"/>
      <c r="E36" s="1054"/>
      <c r="F36" s="541"/>
      <c r="G36" s="542"/>
      <c r="H36" s="4"/>
      <c r="I36" s="4"/>
    </row>
    <row r="37" spans="1:9">
      <c r="A37" s="504"/>
      <c r="B37" s="1054"/>
      <c r="C37" s="1054"/>
      <c r="D37" s="1054"/>
      <c r="E37" s="1054"/>
      <c r="F37" s="541"/>
      <c r="G37" s="542"/>
      <c r="H37" s="4"/>
      <c r="I37" s="4"/>
    </row>
    <row r="38" spans="1:9">
      <c r="A38" s="504"/>
      <c r="B38" s="541"/>
      <c r="C38" s="541"/>
      <c r="D38" s="541"/>
      <c r="E38" s="541"/>
      <c r="F38" s="541"/>
      <c r="G38" s="542"/>
      <c r="H38" s="4"/>
      <c r="I38" s="4"/>
    </row>
    <row r="39" spans="1:9">
      <c r="A39" s="504"/>
      <c r="B39" s="541"/>
      <c r="C39" s="541"/>
      <c r="D39" s="541"/>
      <c r="E39" s="541"/>
      <c r="F39" s="541"/>
      <c r="G39" s="542"/>
      <c r="H39" s="4"/>
      <c r="I39" s="4"/>
    </row>
    <row r="40" spans="1:9">
      <c r="A40" s="504"/>
      <c r="B40" s="541"/>
      <c r="C40" s="541"/>
      <c r="D40" s="541"/>
      <c r="E40" s="541"/>
      <c r="F40" s="541"/>
      <c r="G40" s="542"/>
      <c r="H40" s="4"/>
      <c r="I40" s="4"/>
    </row>
    <row r="41" spans="1:9">
      <c r="A41" s="504"/>
      <c r="B41" s="62"/>
      <c r="C41" s="62"/>
      <c r="D41" s="62"/>
      <c r="E41" s="62"/>
      <c r="F41" s="62"/>
      <c r="G41" s="62"/>
    </row>
    <row r="42" spans="1:9">
      <c r="A42" s="504"/>
      <c r="B42" s="62"/>
      <c r="C42" s="62"/>
      <c r="D42" s="62"/>
      <c r="E42" s="62"/>
      <c r="F42" s="62"/>
      <c r="G42" s="62"/>
    </row>
    <row r="43" spans="1:9">
      <c r="B43" s="3"/>
      <c r="C43" s="3"/>
      <c r="D43" s="3"/>
      <c r="E43" s="3"/>
    </row>
    <row r="44" spans="1:9">
      <c r="B44" s="3"/>
      <c r="C44" s="3"/>
      <c r="D44" s="3"/>
      <c r="E44" s="3"/>
    </row>
    <row r="45" spans="1:9">
      <c r="B45" s="3"/>
      <c r="C45" s="3"/>
      <c r="D45" s="3"/>
      <c r="E45" s="3"/>
    </row>
    <row r="46" spans="1:9">
      <c r="B46" s="3"/>
      <c r="C46" s="3"/>
      <c r="D46" s="3"/>
      <c r="E46" s="3"/>
    </row>
    <row r="47" spans="1:9">
      <c r="B47" s="3"/>
      <c r="C47" s="3"/>
      <c r="D47" s="3"/>
      <c r="E47" s="3"/>
    </row>
    <row r="48" spans="1:9">
      <c r="B48" s="3"/>
      <c r="C48" s="3"/>
      <c r="D48" s="3"/>
      <c r="E48" s="3"/>
    </row>
    <row r="49" spans="2:5">
      <c r="B49" s="3"/>
      <c r="C49" s="3"/>
      <c r="D49" s="3"/>
      <c r="E49" s="3"/>
    </row>
    <row r="50" spans="2:5" s="3" customFormat="1"/>
    <row r="51" spans="2:5" s="3" customFormat="1"/>
    <row r="52" spans="2:5" s="3" customFormat="1"/>
    <row r="53" spans="2:5" s="3" customFormat="1"/>
    <row r="54" spans="2:5" s="3" customFormat="1"/>
    <row r="55" spans="2:5" s="3" customFormat="1"/>
    <row r="56" spans="2:5" s="3" customFormat="1"/>
    <row r="57" spans="2:5" s="3" customFormat="1"/>
    <row r="58" spans="2:5" s="3" customFormat="1"/>
    <row r="59" spans="2:5" s="3" customFormat="1"/>
    <row r="60" spans="2:5" s="3" customFormat="1"/>
    <row r="61" spans="2:5" s="3" customFormat="1"/>
    <row r="62" spans="2:5" s="3" customFormat="1"/>
    <row r="63" spans="2:5" s="3" customFormat="1"/>
    <row r="64" spans="2:5" s="3" customFormat="1"/>
    <row r="65" s="3" customFormat="1"/>
    <row r="66" s="3" customFormat="1"/>
    <row r="67" s="3" customFormat="1"/>
  </sheetData>
  <phoneticPr fontId="0" type="noConversion"/>
  <hyperlinks>
    <hyperlink ref="G3" location="INDICE!A1" display="VOLVER A INDICE"/>
  </hyperlink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I21" sqref="I21"/>
    </sheetView>
  </sheetViews>
  <sheetFormatPr baseColWidth="10" defaultRowHeight="12.75"/>
  <cols>
    <col min="1" max="1" width="1.42578125" style="296" customWidth="1"/>
    <col min="2" max="2" width="25.85546875" style="296" customWidth="1"/>
    <col min="3" max="3" width="13.28515625" style="296" customWidth="1"/>
    <col min="4" max="4" width="11.7109375" style="296" customWidth="1"/>
    <col min="5" max="5" width="11.85546875" style="296" customWidth="1"/>
    <col min="6" max="6" width="11.5703125" style="296" customWidth="1"/>
    <col min="7" max="7" width="11.42578125" style="296"/>
    <col min="8" max="8" width="14" style="5" bestFit="1" customWidth="1"/>
    <col min="9" max="9" width="26.28515625" style="3" customWidth="1"/>
    <col min="10" max="15" width="11.42578125" style="3"/>
    <col min="16" max="16384" width="11.42578125" style="296"/>
  </cols>
  <sheetData>
    <row r="1" spans="1:9" ht="7.5" customHeight="1" thickBot="1">
      <c r="A1" s="504"/>
      <c r="B1" s="504"/>
      <c r="C1" s="504"/>
      <c r="D1" s="504"/>
      <c r="E1" s="504"/>
      <c r="F1" s="504"/>
      <c r="G1" s="504"/>
      <c r="H1" s="503"/>
      <c r="I1" s="62"/>
    </row>
    <row r="2" spans="1:9" ht="15.75" customHeight="1" thickBot="1">
      <c r="A2" s="504"/>
      <c r="B2" s="349"/>
      <c r="C2" s="350"/>
      <c r="D2" s="350"/>
      <c r="E2" s="350"/>
      <c r="F2" s="350"/>
      <c r="G2" s="351"/>
      <c r="H2" s="503"/>
      <c r="I2" s="62"/>
    </row>
    <row r="3" spans="1:9" ht="15.75">
      <c r="A3" s="504"/>
      <c r="B3" s="505"/>
      <c r="C3" s="506"/>
      <c r="D3" s="507" t="s">
        <v>44</v>
      </c>
      <c r="E3" s="506"/>
      <c r="F3" s="506"/>
      <c r="G3" s="508"/>
      <c r="H3" s="534"/>
      <c r="I3" s="509" t="s">
        <v>649</v>
      </c>
    </row>
    <row r="4" spans="1:9" ht="15.75">
      <c r="A4" s="504"/>
      <c r="B4" s="510"/>
      <c r="C4" s="511"/>
      <c r="D4" s="512" t="s">
        <v>20</v>
      </c>
      <c r="E4" s="511"/>
      <c r="F4" s="511"/>
      <c r="G4" s="513"/>
      <c r="H4" s="534"/>
      <c r="I4" s="62"/>
    </row>
    <row r="5" spans="1:9" ht="15.75">
      <c r="A5" s="504"/>
      <c r="B5" s="510"/>
      <c r="C5" s="511"/>
      <c r="D5" s="512" t="s">
        <v>771</v>
      </c>
      <c r="E5" s="511"/>
      <c r="F5" s="511"/>
      <c r="G5" s="513"/>
      <c r="H5" s="534"/>
      <c r="I5" s="62"/>
    </row>
    <row r="6" spans="1:9" ht="15.75">
      <c r="A6" s="504"/>
      <c r="B6" s="510"/>
      <c r="C6" s="511"/>
      <c r="D6" s="511"/>
      <c r="E6" s="511"/>
      <c r="F6" s="511"/>
      <c r="G6" s="513"/>
      <c r="H6" s="534"/>
      <c r="I6" s="62"/>
    </row>
    <row r="7" spans="1:9" ht="15.75">
      <c r="A7" s="504"/>
      <c r="B7" s="510"/>
      <c r="C7" s="511" t="s">
        <v>45</v>
      </c>
      <c r="D7" s="511" t="s">
        <v>46</v>
      </c>
      <c r="E7" s="511" t="s">
        <v>47</v>
      </c>
      <c r="F7" s="511" t="s">
        <v>48</v>
      </c>
      <c r="G7" s="513" t="s">
        <v>49</v>
      </c>
      <c r="H7" s="534"/>
      <c r="I7" s="62"/>
    </row>
    <row r="8" spans="1:9" ht="16.5" thickBot="1">
      <c r="A8" s="504"/>
      <c r="B8" s="514" t="s">
        <v>23</v>
      </c>
      <c r="C8" s="515" t="s">
        <v>50</v>
      </c>
      <c r="D8" s="515"/>
      <c r="E8" s="515"/>
      <c r="F8" s="515" t="s">
        <v>51</v>
      </c>
      <c r="G8" s="516" t="s">
        <v>52</v>
      </c>
      <c r="H8" s="534"/>
      <c r="I8" s="62"/>
    </row>
    <row r="9" spans="1:9" ht="16.5" customHeight="1">
      <c r="A9" s="504"/>
      <c r="B9" s="535" t="s">
        <v>53</v>
      </c>
      <c r="C9" s="536">
        <v>1397.41618979028</v>
      </c>
      <c r="D9" s="536">
        <v>108806.2131723588</v>
      </c>
      <c r="E9" s="536">
        <v>0</v>
      </c>
      <c r="F9" s="536">
        <v>-215.92451123017236</v>
      </c>
      <c r="G9" s="537">
        <v>110419.55387337925</v>
      </c>
      <c r="H9" s="534"/>
      <c r="I9" s="503"/>
    </row>
    <row r="10" spans="1:9" ht="16.5" customHeight="1">
      <c r="A10" s="504"/>
      <c r="B10" s="535" t="s">
        <v>54</v>
      </c>
      <c r="C10" s="536">
        <v>19694.880862399998</v>
      </c>
      <c r="D10" s="536">
        <v>7287.3787551317955</v>
      </c>
      <c r="E10" s="536">
        <v>0</v>
      </c>
      <c r="F10" s="536">
        <v>2187.5685646107104</v>
      </c>
      <c r="G10" s="537">
        <v>24794.691052921084</v>
      </c>
      <c r="H10" s="534"/>
      <c r="I10" s="503"/>
    </row>
    <row r="11" spans="1:9" ht="16.5" customHeight="1">
      <c r="A11" s="504"/>
      <c r="B11" s="535" t="s">
        <v>27</v>
      </c>
      <c r="C11" s="536">
        <v>2764.9146750000004</v>
      </c>
      <c r="D11" s="536">
        <v>43399.63552044372</v>
      </c>
      <c r="E11" s="536">
        <v>0</v>
      </c>
      <c r="F11" s="536">
        <v>2469.3475485866356</v>
      </c>
      <c r="G11" s="537">
        <v>43695.202646857084</v>
      </c>
      <c r="H11" s="534"/>
      <c r="I11" s="503"/>
    </row>
    <row r="12" spans="1:9" ht="16.5" customHeight="1">
      <c r="A12" s="504"/>
      <c r="B12" s="535" t="s">
        <v>28</v>
      </c>
      <c r="C12" s="536">
        <v>21496.386057650889</v>
      </c>
      <c r="D12" s="536">
        <v>0</v>
      </c>
      <c r="E12" s="536">
        <v>0</v>
      </c>
      <c r="F12" s="536">
        <v>631.26047812210322</v>
      </c>
      <c r="G12" s="537">
        <v>20865.125579528787</v>
      </c>
      <c r="H12" s="534"/>
      <c r="I12" s="503"/>
    </row>
    <row r="13" spans="1:9" ht="16.5" customHeight="1">
      <c r="A13" s="504"/>
      <c r="B13" s="535" t="s">
        <v>805</v>
      </c>
      <c r="C13" s="536">
        <v>32.77899115999999</v>
      </c>
      <c r="D13" s="536">
        <v>0</v>
      </c>
      <c r="E13" s="536">
        <v>0</v>
      </c>
      <c r="F13" s="536">
        <v>0</v>
      </c>
      <c r="G13" s="537">
        <v>32.77899115999999</v>
      </c>
      <c r="H13" s="534"/>
      <c r="I13" s="503"/>
    </row>
    <row r="14" spans="1:9" ht="16.5" customHeight="1">
      <c r="A14" s="504"/>
      <c r="B14" s="535" t="s">
        <v>43</v>
      </c>
      <c r="C14" s="536">
        <v>51169.578324994305</v>
      </c>
      <c r="D14" s="536">
        <v>0</v>
      </c>
      <c r="E14" s="536">
        <v>0</v>
      </c>
      <c r="F14" s="536">
        <v>0</v>
      </c>
      <c r="G14" s="537">
        <f>C14</f>
        <v>51169.578324994305</v>
      </c>
      <c r="H14" s="534"/>
      <c r="I14" s="503"/>
    </row>
    <row r="15" spans="1:9" ht="16.5" customHeight="1">
      <c r="A15" s="504"/>
      <c r="B15" s="535" t="s">
        <v>30</v>
      </c>
      <c r="C15" s="536">
        <v>0</v>
      </c>
      <c r="D15" s="536">
        <v>0</v>
      </c>
      <c r="E15" s="536">
        <v>0</v>
      </c>
      <c r="F15" s="536">
        <v>0</v>
      </c>
      <c r="G15" s="537">
        <v>0</v>
      </c>
      <c r="H15" s="534"/>
      <c r="I15" s="503"/>
    </row>
    <row r="16" spans="1:9">
      <c r="A16" s="504"/>
      <c r="B16" s="517" t="s">
        <v>31</v>
      </c>
      <c r="C16" s="518">
        <f>SUM(C9:C15)</f>
        <v>96555.955100995474</v>
      </c>
      <c r="D16" s="518">
        <f>SUM(D9:D15)</f>
        <v>159493.2274479343</v>
      </c>
      <c r="E16" s="518">
        <f>SUM(E9:E15)</f>
        <v>0</v>
      </c>
      <c r="F16" s="518">
        <f>SUM(F9:F15)</f>
        <v>5072.2520800892771</v>
      </c>
      <c r="G16" s="519">
        <f>SUM(G9:G15)</f>
        <v>250976.93046884055</v>
      </c>
      <c r="H16" s="534"/>
      <c r="I16" s="503"/>
    </row>
    <row r="17" spans="1:9" ht="13.5" thickBot="1">
      <c r="A17" s="504"/>
      <c r="B17" s="520"/>
      <c r="C17" s="521"/>
      <c r="D17" s="522"/>
      <c r="E17" s="522"/>
      <c r="F17" s="522"/>
      <c r="G17" s="523"/>
      <c r="H17" s="534"/>
      <c r="I17" s="62"/>
    </row>
    <row r="18" spans="1:9">
      <c r="A18" s="298"/>
      <c r="B18" s="500" t="s">
        <v>68</v>
      </c>
      <c r="C18" s="500"/>
      <c r="D18" s="500"/>
      <c r="E18" s="500"/>
      <c r="F18" s="500"/>
      <c r="G18" s="500"/>
      <c r="H18" s="498"/>
      <c r="I18" s="62"/>
    </row>
    <row r="19" spans="1:9">
      <c r="A19" s="298"/>
      <c r="B19" s="524" t="s">
        <v>55</v>
      </c>
      <c r="C19" s="524"/>
      <c r="D19" s="500"/>
      <c r="E19" s="500"/>
      <c r="F19" s="500"/>
      <c r="G19" s="500"/>
      <c r="H19" s="498"/>
      <c r="I19" s="62"/>
    </row>
    <row r="20" spans="1:9">
      <c r="A20" s="298"/>
      <c r="B20" s="524"/>
      <c r="C20" s="525" t="s">
        <v>19</v>
      </c>
      <c r="D20" s="526">
        <v>576.89113020000002</v>
      </c>
      <c r="E20" s="526">
        <v>318.66733517327998</v>
      </c>
      <c r="F20" s="500">
        <v>501.8577244170001</v>
      </c>
      <c r="G20" s="500"/>
      <c r="H20" s="498"/>
      <c r="I20" s="62"/>
    </row>
    <row r="21" spans="1:9">
      <c r="A21" s="298"/>
      <c r="B21" s="524" t="s">
        <v>56</v>
      </c>
      <c r="C21" s="524"/>
      <c r="D21" s="527" t="s">
        <v>57</v>
      </c>
      <c r="E21" s="239"/>
      <c r="F21" s="239"/>
      <c r="G21" s="239"/>
      <c r="H21" s="498"/>
      <c r="I21" s="62"/>
    </row>
    <row r="22" spans="1:9">
      <c r="A22" s="298"/>
      <c r="B22" s="524"/>
      <c r="C22" s="525" t="s">
        <v>17</v>
      </c>
      <c r="D22" s="528">
        <v>19694.880862399998</v>
      </c>
      <c r="E22" s="526">
        <v>0</v>
      </c>
      <c r="F22" s="500"/>
      <c r="G22" s="500"/>
      <c r="H22" s="498"/>
      <c r="I22" s="62"/>
    </row>
    <row r="23" spans="1:9">
      <c r="A23" s="298"/>
      <c r="B23" s="524" t="s">
        <v>58</v>
      </c>
      <c r="C23" s="524"/>
      <c r="D23" s="500" t="s">
        <v>59</v>
      </c>
      <c r="E23" s="500" t="s">
        <v>60</v>
      </c>
      <c r="F23" s="500"/>
      <c r="G23" s="529"/>
      <c r="H23" s="498"/>
      <c r="I23" s="62"/>
    </row>
    <row r="24" spans="1:9">
      <c r="A24" s="298"/>
      <c r="B24" s="524"/>
      <c r="C24" s="525" t="s">
        <v>18</v>
      </c>
      <c r="D24" s="528">
        <v>365.5810568741154</v>
      </c>
      <c r="E24" s="526">
        <v>1821.9875077365948</v>
      </c>
      <c r="F24" s="500"/>
      <c r="G24" s="500"/>
      <c r="H24" s="498"/>
      <c r="I24" s="62"/>
    </row>
    <row r="25" spans="1:9">
      <c r="A25" s="298"/>
      <c r="B25" s="524" t="s">
        <v>61</v>
      </c>
      <c r="C25" s="530"/>
      <c r="D25" s="500"/>
      <c r="E25" s="531">
        <v>179.01801408278334</v>
      </c>
      <c r="F25" s="500"/>
      <c r="G25" s="500"/>
      <c r="H25" s="498"/>
      <c r="I25" s="62"/>
    </row>
    <row r="26" spans="1:9">
      <c r="A26" s="298"/>
      <c r="B26" s="500"/>
      <c r="C26" s="500"/>
      <c r="D26" s="500"/>
      <c r="E26" s="500"/>
      <c r="F26" s="500"/>
      <c r="G26" s="500"/>
      <c r="H26" s="498"/>
      <c r="I26" s="62"/>
    </row>
    <row r="27" spans="1:9">
      <c r="A27" s="298"/>
      <c r="B27" s="524" t="s">
        <v>62</v>
      </c>
      <c r="C27" s="532"/>
      <c r="D27" s="533"/>
      <c r="E27" s="533"/>
      <c r="F27" s="533"/>
      <c r="G27" s="497"/>
      <c r="H27" s="498"/>
      <c r="I27" s="62"/>
    </row>
    <row r="28" spans="1:9">
      <c r="A28" s="298"/>
      <c r="B28" s="524" t="s">
        <v>63</v>
      </c>
      <c r="C28" s="500"/>
      <c r="D28" s="500"/>
      <c r="E28" s="500"/>
      <c r="F28" s="500"/>
      <c r="G28" s="500"/>
      <c r="H28" s="498"/>
      <c r="I28" s="62"/>
    </row>
    <row r="29" spans="1:9">
      <c r="A29" s="298"/>
      <c r="B29" s="524" t="s">
        <v>64</v>
      </c>
      <c r="C29" s="500"/>
      <c r="D29" s="500"/>
      <c r="E29" s="500"/>
      <c r="F29" s="500"/>
      <c r="G29" s="500"/>
      <c r="H29" s="498"/>
      <c r="I29" s="62"/>
    </row>
    <row r="30" spans="1:9">
      <c r="A30" s="298"/>
      <c r="B30" s="524" t="s">
        <v>65</v>
      </c>
      <c r="C30" s="500"/>
      <c r="D30" s="500"/>
      <c r="E30" s="500"/>
      <c r="F30" s="500"/>
      <c r="G30" s="500"/>
      <c r="H30" s="498"/>
      <c r="I30" s="62"/>
    </row>
    <row r="31" spans="1:9">
      <c r="A31" s="298"/>
      <c r="B31" s="500" t="s">
        <v>34</v>
      </c>
      <c r="C31" s="500"/>
      <c r="D31" s="500"/>
      <c r="E31" s="500"/>
      <c r="F31" s="500"/>
      <c r="G31" s="500"/>
      <c r="H31" s="498"/>
      <c r="I31" s="62"/>
    </row>
    <row r="32" spans="1:9">
      <c r="A32" s="298"/>
      <c r="B32" s="500" t="s">
        <v>770</v>
      </c>
      <c r="C32" s="500"/>
      <c r="D32" s="500"/>
      <c r="E32" s="500"/>
      <c r="F32" s="500"/>
      <c r="G32" s="500"/>
      <c r="H32" s="498"/>
      <c r="I32" s="62"/>
    </row>
    <row r="33" spans="1:9">
      <c r="A33" s="298"/>
      <c r="B33" s="56"/>
      <c r="C33" s="56"/>
      <c r="D33" s="56"/>
      <c r="E33" s="56"/>
      <c r="F33" s="56"/>
      <c r="G33" s="56"/>
      <c r="H33" s="503"/>
      <c r="I33" s="62"/>
    </row>
    <row r="34" spans="1:9">
      <c r="A34" s="298"/>
      <c r="B34" s="56"/>
      <c r="C34" s="56"/>
      <c r="D34" s="56"/>
      <c r="E34" s="56"/>
      <c r="F34" s="56"/>
      <c r="G34" s="56"/>
      <c r="H34" s="503"/>
      <c r="I34" s="62"/>
    </row>
    <row r="35" spans="1:9">
      <c r="A35" s="504"/>
      <c r="B35" s="62"/>
      <c r="C35" s="62"/>
      <c r="D35" s="62"/>
      <c r="E35" s="62"/>
      <c r="F35" s="62"/>
      <c r="G35" s="62"/>
      <c r="H35" s="503"/>
      <c r="I35" s="62"/>
    </row>
    <row r="36" spans="1:9">
      <c r="A36" s="504"/>
      <c r="B36" s="62"/>
      <c r="C36" s="62"/>
      <c r="D36" s="62"/>
      <c r="E36" s="62"/>
      <c r="F36" s="62"/>
      <c r="G36" s="62"/>
      <c r="H36" s="503"/>
      <c r="I36" s="62"/>
    </row>
    <row r="37" spans="1:9">
      <c r="B37" s="3"/>
      <c r="C37" s="3"/>
      <c r="D37" s="3"/>
      <c r="E37" s="3"/>
      <c r="F37" s="3"/>
      <c r="G37" s="3"/>
    </row>
    <row r="38" spans="1:9">
      <c r="B38" s="3"/>
      <c r="C38" s="3"/>
      <c r="D38" s="3"/>
      <c r="E38" s="3"/>
      <c r="F38" s="3"/>
      <c r="G38" s="3"/>
    </row>
    <row r="39" spans="1:9">
      <c r="B39" s="3"/>
      <c r="C39" s="3"/>
      <c r="D39" s="3"/>
      <c r="E39" s="3"/>
      <c r="F39" s="3"/>
      <c r="G39" s="3"/>
    </row>
    <row r="40" spans="1:9">
      <c r="B40" s="3"/>
      <c r="C40" s="3"/>
      <c r="D40" s="3"/>
      <c r="E40" s="3"/>
      <c r="F40" s="3"/>
      <c r="G40" s="3"/>
    </row>
    <row r="41" spans="1:9">
      <c r="B41" s="3"/>
      <c r="C41" s="3"/>
      <c r="D41" s="3"/>
      <c r="E41" s="3"/>
      <c r="F41" s="3"/>
      <c r="G41" s="3"/>
    </row>
    <row r="42" spans="1:9">
      <c r="B42" s="3"/>
      <c r="C42" s="3"/>
      <c r="D42" s="3"/>
      <c r="E42" s="3"/>
      <c r="F42" s="3"/>
      <c r="G42" s="3"/>
    </row>
    <row r="43" spans="1:9">
      <c r="B43" s="3"/>
      <c r="C43" s="3"/>
      <c r="D43" s="3"/>
      <c r="E43" s="3"/>
      <c r="F43" s="3"/>
      <c r="G43" s="3"/>
    </row>
    <row r="44" spans="1:9">
      <c r="A44" s="3"/>
      <c r="B44" s="3"/>
      <c r="C44" s="3"/>
      <c r="D44" s="3"/>
      <c r="E44" s="3"/>
      <c r="F44" s="3"/>
      <c r="G44" s="3"/>
    </row>
    <row r="45" spans="1:9">
      <c r="A45" s="3"/>
      <c r="B45" s="3"/>
      <c r="C45" s="3"/>
      <c r="D45" s="3"/>
      <c r="E45" s="3"/>
      <c r="F45" s="3"/>
      <c r="G45" s="3"/>
    </row>
    <row r="46" spans="1:9">
      <c r="A46" s="3"/>
      <c r="B46" s="3"/>
      <c r="C46" s="3"/>
      <c r="D46" s="3"/>
      <c r="E46" s="3"/>
      <c r="F46" s="3"/>
      <c r="G46" s="3"/>
    </row>
    <row r="47" spans="1:9">
      <c r="A47" s="3"/>
      <c r="B47" s="3"/>
      <c r="C47" s="3"/>
      <c r="D47" s="3"/>
      <c r="E47" s="3"/>
      <c r="F47" s="3"/>
      <c r="G47" s="3"/>
    </row>
    <row r="48" spans="1:9">
      <c r="A48" s="3"/>
      <c r="B48" s="3"/>
      <c r="C48" s="3"/>
      <c r="D48" s="3"/>
      <c r="E48" s="3"/>
      <c r="F48" s="3"/>
      <c r="G48" s="3"/>
    </row>
    <row r="49" spans="8:8" s="3" customFormat="1">
      <c r="H49" s="5"/>
    </row>
    <row r="50" spans="8:8" s="3" customFormat="1">
      <c r="H50" s="5"/>
    </row>
    <row r="51" spans="8:8" s="3" customFormat="1">
      <c r="H51" s="5"/>
    </row>
    <row r="52" spans="8:8" s="3" customFormat="1">
      <c r="H52" s="5"/>
    </row>
    <row r="53" spans="8:8" s="3" customFormat="1">
      <c r="H53" s="5"/>
    </row>
    <row r="54" spans="8:8" s="3" customFormat="1">
      <c r="H54" s="5"/>
    </row>
    <row r="55" spans="8:8" s="3" customFormat="1">
      <c r="H55" s="5"/>
    </row>
    <row r="56" spans="8:8" s="3" customFormat="1">
      <c r="H56" s="5"/>
    </row>
    <row r="57" spans="8:8" s="3" customFormat="1">
      <c r="H57" s="5"/>
    </row>
    <row r="58" spans="8:8" s="3" customFormat="1">
      <c r="H58" s="5"/>
    </row>
    <row r="59" spans="8:8" s="3" customFormat="1">
      <c r="H59" s="5"/>
    </row>
    <row r="60" spans="8:8" s="3" customFormat="1">
      <c r="H60" s="5"/>
    </row>
    <row r="61" spans="8:8" s="3" customFormat="1">
      <c r="H61" s="5"/>
    </row>
    <row r="62" spans="8:8" s="3" customFormat="1">
      <c r="H62" s="5"/>
    </row>
    <row r="63" spans="8:8" s="3" customFormat="1">
      <c r="H63" s="5"/>
    </row>
    <row r="64" spans="8:8" s="3" customFormat="1">
      <c r="H64" s="5"/>
    </row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J14" sqref="J14"/>
    </sheetView>
  </sheetViews>
  <sheetFormatPr baseColWidth="10" defaultRowHeight="12.75"/>
  <cols>
    <col min="1" max="1" width="1.5703125" style="296" customWidth="1"/>
    <col min="2" max="2" width="25.42578125" style="296" customWidth="1"/>
    <col min="3" max="3" width="11.42578125" style="296"/>
    <col min="4" max="4" width="12.7109375" style="296" customWidth="1"/>
    <col min="5" max="5" width="12.42578125" style="296" customWidth="1"/>
    <col min="6" max="7" width="11.42578125" style="296"/>
    <col min="8" max="19" width="11.42578125" style="3"/>
    <col min="20" max="16384" width="11.42578125" style="296"/>
  </cols>
  <sheetData>
    <row r="1" spans="1:12" ht="8.25" customHeight="1" thickBot="1">
      <c r="A1" s="1056"/>
      <c r="B1" s="1056"/>
      <c r="C1" s="1056"/>
      <c r="D1" s="1056"/>
      <c r="E1" s="1056"/>
      <c r="F1" s="1056"/>
      <c r="G1" s="1056"/>
      <c r="H1" s="452"/>
      <c r="I1" s="452"/>
    </row>
    <row r="2" spans="1:12" ht="13.5" thickBot="1">
      <c r="A2" s="1056"/>
      <c r="B2" s="1057"/>
      <c r="C2" s="1058"/>
      <c r="D2" s="1058"/>
      <c r="E2" s="1058"/>
      <c r="F2" s="1058"/>
      <c r="G2" s="1059"/>
      <c r="H2" s="603"/>
      <c r="I2" s="603"/>
      <c r="J2" s="62"/>
      <c r="K2" s="62"/>
    </row>
    <row r="3" spans="1:12" ht="15.75">
      <c r="A3" s="1060"/>
      <c r="B3" s="1061"/>
      <c r="C3" s="1062"/>
      <c r="D3" s="1063" t="s">
        <v>66</v>
      </c>
      <c r="E3" s="1062"/>
      <c r="F3" s="1062"/>
      <c r="G3" s="1064"/>
      <c r="H3" s="1065"/>
      <c r="I3" s="604" t="s">
        <v>649</v>
      </c>
      <c r="J3" s="62"/>
      <c r="K3" s="62"/>
    </row>
    <row r="4" spans="1:12" ht="15.75">
      <c r="A4" s="1066"/>
      <c r="B4" s="1067"/>
      <c r="C4" s="1068"/>
      <c r="D4" s="1069" t="s">
        <v>20</v>
      </c>
      <c r="E4" s="1068"/>
      <c r="F4" s="1068"/>
      <c r="G4" s="1070"/>
      <c r="H4" s="1065"/>
      <c r="I4" s="1065"/>
      <c r="J4" s="62"/>
      <c r="K4" s="62"/>
    </row>
    <row r="5" spans="1:12" ht="15.75">
      <c r="A5" s="1071"/>
      <c r="B5" s="1067"/>
      <c r="C5" s="1068"/>
      <c r="D5" s="1069" t="s">
        <v>771</v>
      </c>
      <c r="E5" s="1068"/>
      <c r="F5" s="1068"/>
      <c r="G5" s="1070"/>
      <c r="H5" s="1065"/>
      <c r="I5" s="1065"/>
      <c r="J5" s="62"/>
      <c r="K5" s="62"/>
    </row>
    <row r="6" spans="1:12" ht="15.75">
      <c r="A6" s="1071"/>
      <c r="B6" s="1067"/>
      <c r="C6" s="1068"/>
      <c r="D6" s="1068"/>
      <c r="E6" s="1068"/>
      <c r="F6" s="1068"/>
      <c r="G6" s="1070"/>
      <c r="H6" s="1065"/>
      <c r="I6" s="1065"/>
      <c r="J6" s="62"/>
      <c r="K6" s="62"/>
    </row>
    <row r="7" spans="1:12" ht="15.75">
      <c r="A7" s="1071"/>
      <c r="B7" s="1067"/>
      <c r="C7" s="1068" t="s">
        <v>45</v>
      </c>
      <c r="D7" s="1068" t="s">
        <v>46</v>
      </c>
      <c r="E7" s="1068" t="s">
        <v>47</v>
      </c>
      <c r="F7" s="1068" t="s">
        <v>67</v>
      </c>
      <c r="G7" s="1070" t="s">
        <v>49</v>
      </c>
      <c r="H7" s="1065"/>
      <c r="I7" s="1065"/>
      <c r="J7" s="62"/>
      <c r="K7" s="62"/>
    </row>
    <row r="8" spans="1:12" ht="16.5" thickBot="1">
      <c r="A8" s="1071"/>
      <c r="B8" s="1072" t="s">
        <v>23</v>
      </c>
      <c r="C8" s="1073" t="s">
        <v>50</v>
      </c>
      <c r="D8" s="1073"/>
      <c r="E8" s="1073"/>
      <c r="F8" s="1073" t="s">
        <v>51</v>
      </c>
      <c r="G8" s="1074" t="s">
        <v>52</v>
      </c>
      <c r="H8" s="1065"/>
      <c r="I8" s="1065"/>
      <c r="J8" s="62"/>
      <c r="K8" s="62"/>
    </row>
    <row r="9" spans="1:12" ht="16.5" customHeight="1">
      <c r="A9" s="1071"/>
      <c r="B9" s="1075" t="s">
        <v>53</v>
      </c>
      <c r="C9" s="1076">
        <f>CUADRO3!C9</f>
        <v>1397.41618979028</v>
      </c>
      <c r="D9" s="1076">
        <f>CUADRO3!D9</f>
        <v>108806.2131723588</v>
      </c>
      <c r="E9" s="1076">
        <f>CUADRO3!E9</f>
        <v>0</v>
      </c>
      <c r="F9" s="1076">
        <f>CUADRO3!F9</f>
        <v>-215.92451123017236</v>
      </c>
      <c r="G9" s="1077">
        <f>CUADRO3!G9</f>
        <v>110419.55387337925</v>
      </c>
      <c r="H9" s="1078"/>
      <c r="I9" s="1078"/>
      <c r="J9" s="504"/>
      <c r="K9" s="504"/>
      <c r="L9" s="296"/>
    </row>
    <row r="10" spans="1:12" ht="16.5" customHeight="1">
      <c r="A10" s="1060"/>
      <c r="B10" s="1075" t="s">
        <v>54</v>
      </c>
      <c r="C10" s="1076">
        <f>CUADRO3!C10</f>
        <v>19694.880862399998</v>
      </c>
      <c r="D10" s="1076">
        <f>CUADRO3!D10</f>
        <v>7287.3787551317955</v>
      </c>
      <c r="E10" s="1076">
        <f>CUADRO3!E10</f>
        <v>0</v>
      </c>
      <c r="F10" s="1076">
        <f>CUADRO3!F10</f>
        <v>2187.5685646107104</v>
      </c>
      <c r="G10" s="1077">
        <f>CUADRO3!G10</f>
        <v>24794.691052921084</v>
      </c>
      <c r="H10" s="1078"/>
      <c r="I10" s="1078"/>
      <c r="J10" s="504"/>
      <c r="K10" s="504"/>
      <c r="L10" s="296"/>
    </row>
    <row r="11" spans="1:12" ht="16.5" customHeight="1">
      <c r="A11" s="1060"/>
      <c r="B11" s="1075" t="s">
        <v>27</v>
      </c>
      <c r="C11" s="1076">
        <f>CUADRO3!C11</f>
        <v>2764.9146750000004</v>
      </c>
      <c r="D11" s="1076">
        <f>CUADRO3!D11</f>
        <v>43399.63552044372</v>
      </c>
      <c r="E11" s="1076">
        <f>CUADRO3!E11</f>
        <v>0</v>
      </c>
      <c r="F11" s="1076">
        <f>CUADRO3!F11</f>
        <v>2469.3475485866356</v>
      </c>
      <c r="G11" s="1077">
        <f>CUADRO3!G11</f>
        <v>43695.202646857084</v>
      </c>
      <c r="H11" s="1078"/>
      <c r="I11" s="1078"/>
      <c r="J11" s="504"/>
      <c r="K11" s="504"/>
      <c r="L11" s="296"/>
    </row>
    <row r="12" spans="1:12" ht="16.5" customHeight="1">
      <c r="A12" s="1060"/>
      <c r="B12" s="1075" t="s">
        <v>28</v>
      </c>
      <c r="C12" s="1076">
        <v>62684.917770026135</v>
      </c>
      <c r="D12" s="1076">
        <v>0</v>
      </c>
      <c r="E12" s="1076">
        <v>0</v>
      </c>
      <c r="F12" s="1076">
        <v>1837.9956246717984</v>
      </c>
      <c r="G12" s="1077">
        <v>60846.922145354336</v>
      </c>
      <c r="H12" s="1078"/>
      <c r="I12" s="1079"/>
      <c r="J12" s="504"/>
      <c r="K12" s="504"/>
      <c r="L12" s="296"/>
    </row>
    <row r="13" spans="1:12" ht="16.5" customHeight="1">
      <c r="A13" s="1060"/>
      <c r="B13" s="1075" t="s">
        <v>43</v>
      </c>
      <c r="C13" s="1076">
        <f>CUADRO3!C14</f>
        <v>51169.578324994305</v>
      </c>
      <c r="D13" s="1076">
        <f>CUADRO3!D14</f>
        <v>0</v>
      </c>
      <c r="E13" s="1076">
        <f>CUADRO3!E14</f>
        <v>0</v>
      </c>
      <c r="F13" s="1076">
        <f>CUADRO3!F14</f>
        <v>0</v>
      </c>
      <c r="G13" s="1077">
        <f>CUADRO3!G14</f>
        <v>51169.578324994305</v>
      </c>
      <c r="H13" s="1078"/>
      <c r="I13" s="1078"/>
      <c r="J13" s="62"/>
      <c r="K13" s="62"/>
    </row>
    <row r="14" spans="1:12" ht="16.5" customHeight="1">
      <c r="A14" s="1060"/>
      <c r="B14" s="1075" t="s">
        <v>30</v>
      </c>
      <c r="C14" s="1076">
        <v>0</v>
      </c>
      <c r="D14" s="1076">
        <v>0</v>
      </c>
      <c r="E14" s="1076">
        <v>0</v>
      </c>
      <c r="F14" s="1076">
        <v>0</v>
      </c>
      <c r="G14" s="1077">
        <v>0</v>
      </c>
      <c r="H14" s="1078"/>
      <c r="I14" s="1078"/>
      <c r="J14" s="62"/>
      <c r="K14" s="62"/>
    </row>
    <row r="15" spans="1:12">
      <c r="A15" s="1060"/>
      <c r="B15" s="1080" t="s">
        <v>31</v>
      </c>
      <c r="C15" s="1081">
        <f>SUM(C9:C14)</f>
        <v>137711.70782221074</v>
      </c>
      <c r="D15" s="1081">
        <f>SUM(D9:D14)</f>
        <v>159493.2274479343</v>
      </c>
      <c r="E15" s="1081">
        <f>SUM(E9:E14)</f>
        <v>0</v>
      </c>
      <c r="F15" s="1081">
        <f>SUM(F9:F14)</f>
        <v>6278.9872266389721</v>
      </c>
      <c r="G15" s="1082">
        <f>SUM(G9:G14)</f>
        <v>290925.94804350607</v>
      </c>
      <c r="H15" s="1078"/>
      <c r="I15" s="1078"/>
      <c r="J15" s="62"/>
      <c r="K15" s="62"/>
    </row>
    <row r="16" spans="1:12" ht="13.5" thickBot="1">
      <c r="A16" s="1060"/>
      <c r="B16" s="1083"/>
      <c r="C16" s="1084"/>
      <c r="D16" s="1085"/>
      <c r="E16" s="1085"/>
      <c r="F16" s="1085"/>
      <c r="G16" s="1086"/>
      <c r="H16" s="601"/>
      <c r="I16" s="601"/>
      <c r="J16" s="62"/>
      <c r="K16" s="62"/>
    </row>
    <row r="17" spans="1:11">
      <c r="A17" s="1087"/>
      <c r="B17" s="1088" t="s">
        <v>68</v>
      </c>
      <c r="C17" s="1088"/>
      <c r="D17" s="1088"/>
      <c r="E17" s="1088"/>
      <c r="F17" s="1088"/>
      <c r="G17" s="1088"/>
      <c r="H17" s="1088"/>
      <c r="I17" s="1088"/>
      <c r="J17" s="62"/>
      <c r="K17" s="62"/>
    </row>
    <row r="18" spans="1:11">
      <c r="A18" s="1087"/>
      <c r="B18" s="1089" t="s">
        <v>55</v>
      </c>
      <c r="C18" s="1089"/>
      <c r="D18" s="1088"/>
      <c r="E18" s="1088"/>
      <c r="F18" s="1088"/>
      <c r="G18" s="1088"/>
      <c r="H18" s="1088"/>
      <c r="I18" s="1088"/>
      <c r="J18" s="62"/>
      <c r="K18" s="62"/>
    </row>
    <row r="19" spans="1:11">
      <c r="A19" s="1087"/>
      <c r="B19" s="1089"/>
      <c r="C19" s="1090" t="s">
        <v>19</v>
      </c>
      <c r="D19" s="1091">
        <v>576.89113020000002</v>
      </c>
      <c r="E19" s="1091">
        <v>318.66733517327998</v>
      </c>
      <c r="F19" s="1088">
        <v>501.8577244170001</v>
      </c>
      <c r="G19" s="1088"/>
      <c r="H19" s="1088"/>
      <c r="I19" s="1088"/>
      <c r="J19" s="62"/>
      <c r="K19" s="62"/>
    </row>
    <row r="20" spans="1:11">
      <c r="A20" s="1087"/>
      <c r="B20" s="1089" t="s">
        <v>56</v>
      </c>
      <c r="C20" s="1089"/>
      <c r="D20" s="1092" t="s">
        <v>57</v>
      </c>
      <c r="E20" s="1093"/>
      <c r="F20" s="1093"/>
      <c r="G20" s="1093"/>
      <c r="H20" s="1088"/>
      <c r="I20" s="1088"/>
      <c r="J20" s="62"/>
      <c r="K20" s="62"/>
    </row>
    <row r="21" spans="1:11">
      <c r="A21" s="1087"/>
      <c r="B21" s="1089"/>
      <c r="C21" s="1090" t="s">
        <v>17</v>
      </c>
      <c r="D21" s="1094">
        <v>19694.880862399998</v>
      </c>
      <c r="E21" s="1091">
        <v>0</v>
      </c>
      <c r="F21" s="1088"/>
      <c r="G21" s="1088"/>
      <c r="H21" s="1088"/>
      <c r="I21" s="1088"/>
      <c r="J21" s="62"/>
      <c r="K21" s="62"/>
    </row>
    <row r="22" spans="1:11">
      <c r="A22" s="1087"/>
      <c r="B22" s="1089" t="s">
        <v>58</v>
      </c>
      <c r="C22" s="1089"/>
      <c r="D22" s="1088" t="s">
        <v>59</v>
      </c>
      <c r="E22" s="1088" t="s">
        <v>60</v>
      </c>
      <c r="F22" s="1088"/>
      <c r="G22" s="1095"/>
      <c r="H22" s="1088"/>
      <c r="I22" s="1088"/>
      <c r="J22" s="62"/>
      <c r="K22" s="62"/>
    </row>
    <row r="23" spans="1:11">
      <c r="A23" s="1087"/>
      <c r="B23" s="1089"/>
      <c r="C23" s="1090" t="s">
        <v>18</v>
      </c>
      <c r="D23" s="1094">
        <v>365.5810568741154</v>
      </c>
      <c r="E23" s="1091">
        <v>1821.9875077365948</v>
      </c>
      <c r="F23" s="1088"/>
      <c r="G23" s="1088"/>
      <c r="H23" s="1088"/>
      <c r="I23" s="1088"/>
      <c r="J23" s="62"/>
      <c r="K23" s="62"/>
    </row>
    <row r="24" spans="1:11">
      <c r="A24" s="1087"/>
      <c r="B24" s="1089" t="s">
        <v>61</v>
      </c>
      <c r="C24" s="1096"/>
      <c r="D24" s="1088"/>
      <c r="E24" s="1097">
        <f>CUADRO3!E25</f>
        <v>179.01801408278334</v>
      </c>
      <c r="F24" s="1088"/>
      <c r="G24" s="1088"/>
      <c r="H24" s="1088"/>
      <c r="I24" s="1088"/>
      <c r="J24" s="62"/>
      <c r="K24" s="62"/>
    </row>
    <row r="25" spans="1:11">
      <c r="A25" s="1087"/>
      <c r="B25" s="1088"/>
      <c r="C25" s="1088"/>
      <c r="D25" s="1088"/>
      <c r="E25" s="1088"/>
      <c r="F25" s="1088"/>
      <c r="G25" s="1088"/>
      <c r="H25" s="1088"/>
      <c r="I25" s="1088"/>
      <c r="J25" s="62"/>
      <c r="K25" s="62"/>
    </row>
    <row r="26" spans="1:11">
      <c r="A26" s="1087"/>
      <c r="B26" s="1098" t="s">
        <v>723</v>
      </c>
      <c r="C26" s="1099"/>
      <c r="D26" s="1100"/>
      <c r="E26" s="1100"/>
      <c r="F26" s="1100"/>
      <c r="G26" s="1101"/>
      <c r="H26" s="1088"/>
      <c r="I26" s="1088"/>
      <c r="J26" s="62"/>
      <c r="K26" s="62"/>
    </row>
    <row r="27" spans="1:11">
      <c r="A27" s="1087"/>
      <c r="B27" s="1089" t="s">
        <v>724</v>
      </c>
      <c r="C27" s="974"/>
      <c r="D27" s="974"/>
      <c r="E27" s="974"/>
      <c r="F27" s="974"/>
      <c r="G27" s="974"/>
      <c r="H27" s="974"/>
      <c r="I27" s="974"/>
      <c r="J27" s="62"/>
      <c r="K27" s="62"/>
    </row>
    <row r="28" spans="1:11">
      <c r="A28" s="1087"/>
      <c r="B28" s="1089" t="s">
        <v>64</v>
      </c>
      <c r="C28" s="1088"/>
      <c r="D28" s="1088"/>
      <c r="E28" s="1088"/>
      <c r="F28" s="1088"/>
      <c r="G28" s="1088"/>
      <c r="H28" s="1088"/>
      <c r="I28" s="1088"/>
      <c r="J28" s="62"/>
      <c r="K28" s="62"/>
    </row>
    <row r="29" spans="1:11">
      <c r="A29" s="1087"/>
      <c r="B29" s="1089" t="s">
        <v>65</v>
      </c>
      <c r="C29" s="1088"/>
      <c r="D29" s="1088"/>
      <c r="E29" s="1088"/>
      <c r="F29" s="1088"/>
      <c r="G29" s="1088"/>
      <c r="H29" s="1088"/>
      <c r="I29" s="1088"/>
      <c r="J29" s="62"/>
      <c r="K29" s="62"/>
    </row>
    <row r="30" spans="1:11">
      <c r="A30" s="1087"/>
      <c r="B30" s="1088" t="s">
        <v>34</v>
      </c>
      <c r="C30" s="1088"/>
      <c r="D30" s="1088"/>
      <c r="E30" s="1088"/>
      <c r="F30" s="1088"/>
      <c r="G30" s="1088"/>
      <c r="H30" s="1088"/>
      <c r="I30" s="1088"/>
      <c r="J30" s="62"/>
      <c r="K30" s="62"/>
    </row>
    <row r="31" spans="1:11">
      <c r="A31" s="1087"/>
      <c r="B31" s="1088" t="s">
        <v>769</v>
      </c>
      <c r="C31" s="1088"/>
      <c r="D31" s="1088"/>
      <c r="E31" s="1088"/>
      <c r="F31" s="1088"/>
      <c r="G31" s="1088"/>
      <c r="H31" s="1088"/>
      <c r="I31" s="1088"/>
      <c r="J31" s="62"/>
      <c r="K31" s="62"/>
    </row>
    <row r="32" spans="1:11">
      <c r="A32" s="1087"/>
      <c r="B32" s="1088"/>
      <c r="C32" s="1088"/>
      <c r="D32" s="1088"/>
      <c r="E32" s="1088"/>
      <c r="F32" s="1088"/>
      <c r="G32" s="1088"/>
      <c r="H32" s="1088"/>
      <c r="I32" s="1088"/>
      <c r="J32" s="62"/>
      <c r="K32" s="62"/>
    </row>
    <row r="33" spans="1:11">
      <c r="A33" s="1087"/>
      <c r="B33" s="1088"/>
      <c r="C33" s="1088"/>
      <c r="D33" s="1088"/>
      <c r="E33" s="1088"/>
      <c r="F33" s="1088"/>
      <c r="G33" s="1088"/>
      <c r="H33" s="1088"/>
      <c r="I33" s="1088"/>
      <c r="J33" s="62"/>
      <c r="K33" s="62"/>
    </row>
    <row r="34" spans="1:11">
      <c r="A34" s="1087"/>
      <c r="B34" s="1088"/>
      <c r="C34" s="1088"/>
      <c r="D34" s="1088"/>
      <c r="E34" s="1088"/>
      <c r="F34" s="1088"/>
      <c r="G34" s="1088"/>
      <c r="H34" s="1088"/>
      <c r="I34" s="1088"/>
      <c r="J34" s="62"/>
      <c r="K34" s="62"/>
    </row>
    <row r="35" spans="1:11">
      <c r="A35" s="1102"/>
      <c r="B35" s="1088"/>
      <c r="C35" s="1088"/>
      <c r="D35" s="1088"/>
      <c r="E35" s="1088"/>
      <c r="F35" s="1088"/>
      <c r="G35" s="1088"/>
      <c r="H35" s="1088"/>
      <c r="I35" s="1103"/>
      <c r="J35" s="62"/>
      <c r="K35" s="62"/>
    </row>
    <row r="36" spans="1:11">
      <c r="A36" s="504"/>
      <c r="B36" s="500"/>
      <c r="C36" s="500"/>
      <c r="D36" s="500"/>
      <c r="E36" s="500"/>
      <c r="F36" s="500"/>
      <c r="G36" s="500"/>
      <c r="H36" s="500"/>
      <c r="I36" s="459"/>
      <c r="J36" s="62"/>
      <c r="K36" s="62"/>
    </row>
    <row r="37" spans="1:11">
      <c r="A37" s="504"/>
      <c r="B37" s="500"/>
      <c r="C37" s="500"/>
      <c r="D37" s="500"/>
      <c r="E37" s="500"/>
      <c r="F37" s="500"/>
      <c r="G37" s="500"/>
      <c r="H37" s="500"/>
      <c r="I37" s="459"/>
      <c r="J37" s="62"/>
      <c r="K37" s="62"/>
    </row>
    <row r="38" spans="1:11">
      <c r="A38" s="504"/>
      <c r="B38" s="500"/>
      <c r="C38" s="500"/>
      <c r="D38" s="500"/>
      <c r="E38" s="500"/>
      <c r="F38" s="500"/>
      <c r="G38" s="500"/>
      <c r="H38" s="500"/>
      <c r="I38" s="459"/>
      <c r="J38" s="62"/>
      <c r="K38" s="62"/>
    </row>
    <row r="39" spans="1:11">
      <c r="A39" s="504"/>
      <c r="B39" s="500"/>
      <c r="C39" s="500"/>
      <c r="D39" s="500"/>
      <c r="E39" s="500"/>
      <c r="F39" s="500"/>
      <c r="G39" s="500"/>
      <c r="H39" s="500"/>
      <c r="I39" s="459"/>
      <c r="J39" s="62"/>
      <c r="K39" s="62"/>
    </row>
    <row r="40" spans="1:11">
      <c r="A40" s="504"/>
      <c r="B40" s="500"/>
      <c r="C40" s="500"/>
      <c r="D40" s="500"/>
      <c r="E40" s="500"/>
      <c r="F40" s="500"/>
      <c r="G40" s="500"/>
      <c r="H40" s="500"/>
      <c r="I40" s="459"/>
      <c r="J40" s="62"/>
      <c r="K40" s="62"/>
    </row>
    <row r="41" spans="1:11">
      <c r="A41" s="504"/>
      <c r="B41" s="500"/>
      <c r="C41" s="500"/>
      <c r="D41" s="500"/>
      <c r="E41" s="500"/>
      <c r="F41" s="500"/>
      <c r="G41" s="500"/>
      <c r="H41" s="500"/>
      <c r="I41" s="459"/>
      <c r="J41" s="62"/>
      <c r="K41" s="62"/>
    </row>
    <row r="42" spans="1:11">
      <c r="A42" s="504"/>
      <c r="B42" s="500"/>
      <c r="C42" s="500"/>
      <c r="D42" s="500"/>
      <c r="E42" s="500"/>
      <c r="F42" s="500"/>
      <c r="G42" s="500"/>
      <c r="H42" s="500"/>
      <c r="I42" s="459"/>
      <c r="J42" s="62"/>
      <c r="K42" s="62"/>
    </row>
    <row r="43" spans="1:11">
      <c r="A43" s="504"/>
      <c r="B43" s="500"/>
      <c r="C43" s="500"/>
      <c r="D43" s="500"/>
      <c r="E43" s="500"/>
      <c r="F43" s="500"/>
      <c r="G43" s="500"/>
      <c r="H43" s="500"/>
      <c r="I43" s="459"/>
      <c r="J43" s="62"/>
      <c r="K43" s="62"/>
    </row>
    <row r="44" spans="1:11">
      <c r="A44" s="504"/>
      <c r="B44" s="500"/>
      <c r="C44" s="500"/>
      <c r="D44" s="500"/>
      <c r="E44" s="500"/>
      <c r="F44" s="500"/>
      <c r="G44" s="500"/>
      <c r="H44" s="500"/>
      <c r="I44" s="459"/>
      <c r="J44" s="62"/>
      <c r="K44" s="62"/>
    </row>
    <row r="45" spans="1:11">
      <c r="A45" s="504"/>
      <c r="B45" s="500"/>
      <c r="C45" s="500"/>
      <c r="D45" s="500"/>
      <c r="E45" s="500"/>
      <c r="F45" s="500"/>
      <c r="G45" s="500"/>
      <c r="H45" s="500"/>
      <c r="I45" s="459"/>
      <c r="J45" s="62"/>
      <c r="K45" s="62"/>
    </row>
    <row r="46" spans="1:11">
      <c r="A46" s="504"/>
      <c r="B46" s="500"/>
      <c r="C46" s="500"/>
      <c r="D46" s="500"/>
      <c r="E46" s="500"/>
      <c r="F46" s="500"/>
      <c r="G46" s="500"/>
      <c r="H46" s="500"/>
      <c r="I46" s="459"/>
      <c r="J46" s="62"/>
      <c r="K46" s="62"/>
    </row>
    <row r="47" spans="1:11">
      <c r="A47" s="504"/>
      <c r="B47" s="500"/>
      <c r="C47" s="500"/>
      <c r="D47" s="500"/>
      <c r="E47" s="500"/>
      <c r="F47" s="500"/>
      <c r="G47" s="500"/>
      <c r="H47" s="500"/>
      <c r="I47" s="459"/>
      <c r="J47" s="62"/>
      <c r="K47" s="62"/>
    </row>
    <row r="48" spans="1:11">
      <c r="A48" s="504"/>
      <c r="B48" s="500"/>
      <c r="C48" s="500"/>
      <c r="D48" s="500"/>
      <c r="E48" s="500"/>
      <c r="F48" s="500"/>
      <c r="G48" s="500"/>
      <c r="H48" s="500"/>
      <c r="I48" s="459"/>
      <c r="J48" s="62"/>
      <c r="K48" s="62"/>
    </row>
    <row r="49" spans="1:11">
      <c r="A49" s="504"/>
      <c r="B49" s="500"/>
      <c r="C49" s="500"/>
      <c r="D49" s="500"/>
      <c r="E49" s="500"/>
      <c r="F49" s="500"/>
      <c r="G49" s="500"/>
      <c r="H49" s="500"/>
      <c r="I49" s="459"/>
      <c r="J49" s="62"/>
      <c r="K49" s="62"/>
    </row>
    <row r="50" spans="1:11">
      <c r="A50" s="504"/>
      <c r="B50" s="500"/>
      <c r="C50" s="500"/>
      <c r="D50" s="500"/>
      <c r="E50" s="500"/>
      <c r="F50" s="500"/>
      <c r="G50" s="500"/>
      <c r="H50" s="500"/>
      <c r="I50" s="459"/>
      <c r="J50" s="62"/>
      <c r="K50" s="62"/>
    </row>
    <row r="51" spans="1:11">
      <c r="A51" s="504"/>
      <c r="B51" s="500"/>
      <c r="C51" s="500"/>
      <c r="D51" s="500"/>
      <c r="E51" s="500"/>
      <c r="F51" s="500"/>
      <c r="G51" s="500"/>
      <c r="H51" s="500"/>
      <c r="I51" s="459"/>
      <c r="J51" s="62"/>
      <c r="K51" s="62"/>
    </row>
    <row r="52" spans="1:11">
      <c r="A52" s="504"/>
      <c r="B52" s="500"/>
      <c r="C52" s="500"/>
      <c r="D52" s="500"/>
      <c r="E52" s="500"/>
      <c r="F52" s="500"/>
      <c r="G52" s="500"/>
      <c r="H52" s="500"/>
      <c r="I52" s="459"/>
      <c r="J52" s="62"/>
      <c r="K52" s="62"/>
    </row>
    <row r="53" spans="1:11">
      <c r="A53" s="504"/>
      <c r="B53" s="500"/>
      <c r="C53" s="500"/>
      <c r="D53" s="500"/>
      <c r="E53" s="500"/>
      <c r="F53" s="500"/>
      <c r="G53" s="500"/>
      <c r="H53" s="500"/>
      <c r="I53" s="459"/>
      <c r="J53" s="62"/>
      <c r="K53" s="62"/>
    </row>
    <row r="54" spans="1:11">
      <c r="A54" s="504"/>
      <c r="B54" s="500"/>
      <c r="C54" s="500"/>
      <c r="D54" s="500"/>
      <c r="E54" s="500"/>
      <c r="F54" s="500"/>
      <c r="G54" s="500"/>
      <c r="H54" s="500"/>
      <c r="I54" s="459"/>
      <c r="J54" s="62"/>
      <c r="K54" s="62"/>
    </row>
    <row r="55" spans="1:11">
      <c r="A55" s="504"/>
      <c r="B55" s="500"/>
      <c r="C55" s="500"/>
      <c r="D55" s="500"/>
      <c r="E55" s="500"/>
      <c r="F55" s="500"/>
      <c r="G55" s="500"/>
      <c r="H55" s="500"/>
      <c r="I55" s="459"/>
      <c r="J55" s="62"/>
      <c r="K55" s="62"/>
    </row>
    <row r="56" spans="1:11">
      <c r="A56" s="504"/>
      <c r="B56" s="500"/>
      <c r="C56" s="500"/>
      <c r="D56" s="500"/>
      <c r="E56" s="500"/>
      <c r="F56" s="500"/>
      <c r="G56" s="500"/>
      <c r="H56" s="500"/>
      <c r="I56" s="459"/>
      <c r="J56" s="62"/>
      <c r="K56" s="62"/>
    </row>
    <row r="57" spans="1:11">
      <c r="A57" s="504"/>
      <c r="B57" s="500"/>
      <c r="C57" s="500"/>
      <c r="D57" s="500"/>
      <c r="E57" s="500"/>
      <c r="F57" s="500"/>
      <c r="G57" s="500"/>
      <c r="H57" s="500"/>
      <c r="I57" s="459"/>
      <c r="J57" s="62"/>
      <c r="K57" s="62"/>
    </row>
    <row r="58" spans="1:11">
      <c r="A58" s="504"/>
      <c r="B58" s="500"/>
      <c r="C58" s="500"/>
      <c r="D58" s="500"/>
      <c r="E58" s="500"/>
      <c r="F58" s="500"/>
      <c r="G58" s="500"/>
      <c r="H58" s="500"/>
      <c r="I58" s="459"/>
      <c r="J58" s="62"/>
      <c r="K58" s="62"/>
    </row>
    <row r="59" spans="1:11">
      <c r="A59" s="504"/>
      <c r="B59" s="500"/>
      <c r="C59" s="500"/>
      <c r="D59" s="500"/>
      <c r="E59" s="500"/>
      <c r="F59" s="500"/>
      <c r="G59" s="500"/>
      <c r="H59" s="500"/>
      <c r="I59" s="459"/>
      <c r="J59" s="62"/>
      <c r="K59" s="62"/>
    </row>
    <row r="60" spans="1:11">
      <c r="A60" s="504"/>
      <c r="B60" s="500"/>
      <c r="C60" s="500"/>
      <c r="D60" s="500"/>
      <c r="E60" s="500"/>
      <c r="F60" s="500"/>
      <c r="G60" s="500"/>
      <c r="H60" s="500"/>
      <c r="I60" s="459"/>
      <c r="J60" s="62"/>
      <c r="K60" s="62"/>
    </row>
    <row r="61" spans="1:11">
      <c r="A61" s="504"/>
      <c r="B61" s="500"/>
      <c r="C61" s="500"/>
      <c r="D61" s="500"/>
      <c r="E61" s="500"/>
      <c r="F61" s="500"/>
      <c r="G61" s="500"/>
      <c r="H61" s="500"/>
      <c r="I61" s="459"/>
      <c r="J61" s="62"/>
      <c r="K61" s="62"/>
    </row>
    <row r="62" spans="1:11">
      <c r="A62" s="504"/>
      <c r="B62" s="500"/>
      <c r="C62" s="500"/>
      <c r="D62" s="500"/>
      <c r="E62" s="500"/>
      <c r="F62" s="500"/>
      <c r="G62" s="500"/>
      <c r="H62" s="500"/>
      <c r="I62" s="459"/>
      <c r="J62" s="62"/>
      <c r="K62" s="62"/>
    </row>
    <row r="63" spans="1:11">
      <c r="A63" s="504"/>
      <c r="B63" s="500"/>
      <c r="C63" s="500"/>
      <c r="D63" s="500"/>
      <c r="E63" s="500"/>
      <c r="F63" s="500"/>
      <c r="G63" s="500"/>
      <c r="H63" s="500"/>
      <c r="I63" s="459"/>
      <c r="J63" s="62"/>
      <c r="K63" s="62"/>
    </row>
    <row r="64" spans="1:11">
      <c r="A64" s="504"/>
      <c r="B64" s="500"/>
      <c r="C64" s="500"/>
      <c r="D64" s="500"/>
      <c r="E64" s="500"/>
      <c r="F64" s="500"/>
      <c r="G64" s="500"/>
      <c r="H64" s="500"/>
      <c r="I64" s="459"/>
      <c r="J64" s="62"/>
      <c r="K64" s="62"/>
    </row>
    <row r="65" spans="1:11">
      <c r="A65" s="504"/>
      <c r="B65" s="500"/>
      <c r="C65" s="500"/>
      <c r="D65" s="500"/>
      <c r="E65" s="500"/>
      <c r="F65" s="500"/>
      <c r="G65" s="500"/>
      <c r="H65" s="500"/>
      <c r="I65" s="459"/>
      <c r="J65" s="62"/>
      <c r="K65" s="62"/>
    </row>
    <row r="66" spans="1:11">
      <c r="A66" s="504"/>
      <c r="B66" s="500"/>
      <c r="C66" s="500"/>
      <c r="D66" s="500"/>
      <c r="E66" s="500"/>
      <c r="F66" s="500"/>
      <c r="G66" s="500"/>
      <c r="H66" s="500"/>
      <c r="I66" s="459"/>
      <c r="J66" s="62"/>
      <c r="K66" s="62"/>
    </row>
    <row r="67" spans="1:11">
      <c r="A67" s="504"/>
      <c r="B67" s="500"/>
      <c r="C67" s="500"/>
      <c r="D67" s="500"/>
      <c r="E67" s="500"/>
      <c r="F67" s="500"/>
      <c r="G67" s="500"/>
      <c r="H67" s="500"/>
      <c r="I67" s="459"/>
      <c r="J67" s="62"/>
      <c r="K67" s="62"/>
    </row>
    <row r="68" spans="1:11">
      <c r="A68" s="504"/>
      <c r="B68" s="500"/>
      <c r="C68" s="500"/>
      <c r="D68" s="500"/>
      <c r="E68" s="500"/>
      <c r="F68" s="500"/>
      <c r="G68" s="500"/>
      <c r="H68" s="500"/>
      <c r="I68" s="459"/>
      <c r="J68" s="62"/>
      <c r="K68" s="62"/>
    </row>
    <row r="69" spans="1:11">
      <c r="A69" s="504"/>
      <c r="B69" s="500"/>
      <c r="C69" s="500"/>
      <c r="D69" s="500"/>
      <c r="E69" s="500"/>
      <c r="F69" s="500"/>
      <c r="G69" s="500"/>
      <c r="H69" s="500"/>
      <c r="I69" s="459"/>
      <c r="J69" s="62"/>
      <c r="K69" s="62"/>
    </row>
    <row r="70" spans="1:11">
      <c r="A70" s="504"/>
      <c r="B70" s="500"/>
      <c r="C70" s="500"/>
      <c r="D70" s="500"/>
      <c r="E70" s="500"/>
      <c r="F70" s="500"/>
      <c r="G70" s="500"/>
      <c r="H70" s="500"/>
      <c r="I70" s="459"/>
      <c r="J70" s="62"/>
      <c r="K70" s="62"/>
    </row>
    <row r="71" spans="1:11">
      <c r="A71" s="504"/>
      <c r="B71" s="500"/>
      <c r="C71" s="500"/>
      <c r="D71" s="500"/>
      <c r="E71" s="500"/>
      <c r="F71" s="500"/>
      <c r="G71" s="500"/>
      <c r="H71" s="500"/>
      <c r="I71" s="459"/>
      <c r="J71" s="62"/>
      <c r="K71" s="62"/>
    </row>
    <row r="72" spans="1:11">
      <c r="A72" s="504"/>
      <c r="B72" s="500"/>
      <c r="C72" s="500"/>
      <c r="D72" s="500"/>
      <c r="E72" s="500"/>
      <c r="F72" s="500"/>
      <c r="G72" s="500"/>
      <c r="H72" s="500"/>
      <c r="I72" s="459"/>
      <c r="J72" s="62"/>
      <c r="K72" s="62"/>
    </row>
    <row r="73" spans="1:11">
      <c r="A73" s="504"/>
      <c r="B73" s="500"/>
      <c r="C73" s="500"/>
      <c r="D73" s="500"/>
      <c r="E73" s="500"/>
      <c r="F73" s="500"/>
      <c r="G73" s="500"/>
      <c r="H73" s="500"/>
      <c r="I73" s="459"/>
      <c r="J73" s="62"/>
      <c r="K73" s="62"/>
    </row>
    <row r="74" spans="1:11">
      <c r="A74" s="504"/>
      <c r="B74" s="500"/>
      <c r="C74" s="500"/>
      <c r="D74" s="500"/>
      <c r="E74" s="500"/>
      <c r="F74" s="500"/>
      <c r="G74" s="500"/>
      <c r="H74" s="500"/>
      <c r="I74" s="459"/>
      <c r="J74" s="62"/>
      <c r="K74" s="62"/>
    </row>
    <row r="75" spans="1:11">
      <c r="A75" s="504"/>
      <c r="B75" s="500"/>
      <c r="C75" s="500"/>
      <c r="D75" s="500"/>
      <c r="E75" s="500"/>
      <c r="F75" s="500"/>
      <c r="G75" s="500"/>
      <c r="H75" s="500"/>
      <c r="I75" s="459"/>
      <c r="J75" s="62"/>
      <c r="K75" s="62"/>
    </row>
    <row r="76" spans="1:11">
      <c r="A76" s="504"/>
      <c r="B76" s="500"/>
      <c r="C76" s="500"/>
      <c r="D76" s="500"/>
      <c r="E76" s="500"/>
      <c r="F76" s="500"/>
      <c r="G76" s="500"/>
      <c r="H76" s="500"/>
      <c r="I76" s="459"/>
      <c r="J76" s="62"/>
      <c r="K76" s="62"/>
    </row>
    <row r="77" spans="1:11">
      <c r="A77" s="504"/>
      <c r="B77" s="500"/>
      <c r="C77" s="500"/>
      <c r="D77" s="500"/>
      <c r="E77" s="500"/>
      <c r="F77" s="500"/>
      <c r="G77" s="500"/>
      <c r="H77" s="500"/>
      <c r="I77" s="459"/>
      <c r="J77" s="62"/>
      <c r="K77" s="62"/>
    </row>
    <row r="78" spans="1:11">
      <c r="A78" s="504"/>
      <c r="B78" s="500"/>
      <c r="C78" s="500"/>
      <c r="D78" s="500"/>
      <c r="E78" s="500"/>
      <c r="F78" s="500"/>
      <c r="G78" s="500"/>
      <c r="H78" s="500"/>
      <c r="I78" s="459"/>
      <c r="J78" s="62"/>
      <c r="K78" s="62"/>
    </row>
    <row r="79" spans="1:11">
      <c r="A79" s="504"/>
      <c r="B79" s="500"/>
      <c r="C79" s="500"/>
      <c r="D79" s="500"/>
      <c r="E79" s="500"/>
      <c r="F79" s="500"/>
      <c r="G79" s="500"/>
      <c r="H79" s="500"/>
      <c r="I79" s="459"/>
      <c r="J79" s="62"/>
      <c r="K79" s="62"/>
    </row>
    <row r="80" spans="1:11">
      <c r="A80" s="504"/>
      <c r="B80" s="62"/>
      <c r="C80" s="62"/>
      <c r="D80" s="62"/>
      <c r="E80" s="62"/>
      <c r="F80" s="62"/>
      <c r="G80" s="62"/>
      <c r="H80" s="62"/>
      <c r="I80" s="62"/>
      <c r="J80" s="62"/>
      <c r="K80" s="62"/>
    </row>
    <row r="81" spans="1:11">
      <c r="A81" s="504"/>
      <c r="B81" s="62"/>
      <c r="C81" s="62"/>
      <c r="D81" s="62"/>
      <c r="E81" s="62"/>
      <c r="F81" s="62"/>
      <c r="G81" s="62"/>
      <c r="H81" s="62"/>
      <c r="I81" s="62"/>
      <c r="J81" s="62"/>
      <c r="K81" s="62"/>
    </row>
    <row r="82" spans="1:11" hidden="1">
      <c r="A82" s="504"/>
      <c r="B82" s="62"/>
      <c r="C82" s="62"/>
      <c r="D82" s="62"/>
      <c r="E82" s="62"/>
      <c r="F82" s="62"/>
      <c r="G82" s="62"/>
      <c r="H82" s="62"/>
      <c r="I82" s="62"/>
      <c r="J82" s="62"/>
      <c r="K82" s="62"/>
    </row>
    <row r="83" spans="1:11" hidden="1">
      <c r="B83" s="3"/>
      <c r="C83" s="3"/>
      <c r="D83" s="3"/>
      <c r="E83" s="3"/>
      <c r="F83" s="3"/>
      <c r="G83" s="3"/>
    </row>
    <row r="84" spans="1:11" hidden="1">
      <c r="B84" s="3" t="s">
        <v>449</v>
      </c>
      <c r="C84" s="3"/>
      <c r="D84" s="3"/>
      <c r="E84" s="3"/>
      <c r="F84" s="3"/>
      <c r="G84" s="3"/>
    </row>
    <row r="85" spans="1:11" hidden="1">
      <c r="B85" s="3"/>
      <c r="C85" s="3"/>
      <c r="D85" s="3"/>
      <c r="E85" s="3"/>
      <c r="F85" s="3"/>
      <c r="G85" s="3"/>
    </row>
    <row r="86" spans="1:11" hidden="1">
      <c r="B86" s="77" t="s">
        <v>395</v>
      </c>
      <c r="C86" s="78"/>
      <c r="D86" s="79" t="s">
        <v>437</v>
      </c>
      <c r="E86" s="80" t="s">
        <v>438</v>
      </c>
      <c r="F86" s="81" t="s">
        <v>439</v>
      </c>
      <c r="G86" s="82" t="s">
        <v>97</v>
      </c>
      <c r="H86" s="83" t="s">
        <v>24</v>
      </c>
      <c r="I86" s="84"/>
    </row>
    <row r="87" spans="1:11" hidden="1">
      <c r="B87" s="85">
        <v>2008</v>
      </c>
      <c r="C87" s="86"/>
      <c r="D87" s="87" t="s">
        <v>440</v>
      </c>
      <c r="E87" s="88" t="s">
        <v>441</v>
      </c>
      <c r="F87" s="89" t="s">
        <v>441</v>
      </c>
      <c r="G87" s="90" t="s">
        <v>104</v>
      </c>
      <c r="H87" s="91" t="s">
        <v>104</v>
      </c>
      <c r="I87" s="92"/>
    </row>
    <row r="88" spans="1:11" hidden="1">
      <c r="B88" s="93"/>
      <c r="C88" s="94"/>
      <c r="D88" s="95" t="s">
        <v>442</v>
      </c>
      <c r="E88" s="96" t="s">
        <v>442</v>
      </c>
      <c r="F88" s="97" t="s">
        <v>442</v>
      </c>
      <c r="G88" s="98" t="s">
        <v>442</v>
      </c>
      <c r="H88" s="99"/>
      <c r="I88" s="100"/>
    </row>
    <row r="89" spans="1:11" hidden="1">
      <c r="B89" s="101" t="s">
        <v>202</v>
      </c>
      <c r="C89" s="102" t="s">
        <v>443</v>
      </c>
      <c r="D89" s="87">
        <f>G9</f>
        <v>110419.55387337925</v>
      </c>
      <c r="E89" s="90">
        <f>CUADRO4!D10</f>
        <v>80482.070187407327</v>
      </c>
      <c r="F89" s="87">
        <f>CUADRO4!E10</f>
        <v>13533.104011228004</v>
      </c>
      <c r="G89" s="90">
        <f t="shared" ref="G89:G94" si="0">D89+E89-F89</f>
        <v>177368.52004955854</v>
      </c>
      <c r="H89" s="103">
        <f t="shared" ref="H89:H94" si="1">G89/$G$95</f>
        <v>0.49433701005474312</v>
      </c>
      <c r="I89" s="92"/>
    </row>
    <row r="90" spans="1:11" hidden="1">
      <c r="B90" s="101" t="s">
        <v>26</v>
      </c>
      <c r="C90" s="102" t="s">
        <v>444</v>
      </c>
      <c r="D90" s="87">
        <f>G10</f>
        <v>24794.691052921084</v>
      </c>
      <c r="E90" s="90">
        <f>CUADRO4!D27+CUADRO4!D24+CUADRO4!D26+CUADRO4!D25</f>
        <v>0</v>
      </c>
      <c r="F90" s="87">
        <f>CUADRO4!E27+CUADRO4!E26+CUADRO4!E25+CUADRO4!E24</f>
        <v>5119.5456805600006</v>
      </c>
      <c r="G90" s="90">
        <f t="shared" si="0"/>
        <v>19675.145372361083</v>
      </c>
      <c r="H90" s="103">
        <f t="shared" si="1"/>
        <v>5.4835844224487007E-2</v>
      </c>
      <c r="I90" s="92"/>
    </row>
    <row r="91" spans="1:11" hidden="1">
      <c r="B91" s="101" t="s">
        <v>27</v>
      </c>
      <c r="C91" s="102" t="s">
        <v>445</v>
      </c>
      <c r="D91" s="87">
        <f>G11</f>
        <v>43695.202646857084</v>
      </c>
      <c r="E91" s="90">
        <f>CUADRO4!D21+CUADRO4!D22+CUADRO4!D23</f>
        <v>3242.4683900993996</v>
      </c>
      <c r="F91" s="87">
        <f>CUADRO4!E21+CUADRO4!E22+CUADRO4!E23</f>
        <v>87.12</v>
      </c>
      <c r="G91" s="90">
        <f t="shared" si="0"/>
        <v>46850.55103695648</v>
      </c>
      <c r="H91" s="103">
        <f t="shared" si="1"/>
        <v>0.13057537669342387</v>
      </c>
      <c r="I91" s="92"/>
    </row>
    <row r="92" spans="1:11" hidden="1">
      <c r="B92" s="101" t="s">
        <v>28</v>
      </c>
      <c r="C92" s="30"/>
      <c r="D92" s="87">
        <f>G12</f>
        <v>60846.922145354336</v>
      </c>
      <c r="E92" s="87">
        <f>CUADRO4!D20*2504/860</f>
        <v>2890.0939384799999</v>
      </c>
      <c r="F92" s="87">
        <f>CUADRO4!E20</f>
        <v>0</v>
      </c>
      <c r="G92" s="90">
        <f t="shared" si="0"/>
        <v>63737.016083834336</v>
      </c>
      <c r="H92" s="103">
        <f t="shared" si="1"/>
        <v>0.17763899677287834</v>
      </c>
      <c r="I92" s="92"/>
    </row>
    <row r="93" spans="1:11" hidden="1">
      <c r="B93" s="101" t="s">
        <v>29</v>
      </c>
      <c r="C93" s="30"/>
      <c r="D93" s="87">
        <f>G13</f>
        <v>51169.578324994305</v>
      </c>
      <c r="E93" s="90">
        <f>CUADRO4!D28</f>
        <v>0</v>
      </c>
      <c r="F93" s="87">
        <f>CUADRO4!E28</f>
        <v>0</v>
      </c>
      <c r="G93" s="90">
        <f t="shared" si="0"/>
        <v>51169.578324994305</v>
      </c>
      <c r="H93" s="103">
        <f t="shared" si="1"/>
        <v>0.14261277225446767</v>
      </c>
      <c r="I93" s="92"/>
    </row>
    <row r="94" spans="1:11" hidden="1">
      <c r="B94" s="101" t="s">
        <v>30</v>
      </c>
      <c r="C94" s="30"/>
      <c r="D94" s="87">
        <v>0</v>
      </c>
      <c r="E94" s="88"/>
      <c r="F94" s="89"/>
      <c r="G94" s="90">
        <f t="shared" si="0"/>
        <v>0</v>
      </c>
      <c r="H94" s="103">
        <f t="shared" si="1"/>
        <v>0</v>
      </c>
      <c r="I94" s="92"/>
    </row>
    <row r="95" spans="1:11" hidden="1">
      <c r="B95" s="104" t="s">
        <v>31</v>
      </c>
      <c r="C95" s="105"/>
      <c r="D95" s="106">
        <f>SUM(D89:D94)</f>
        <v>290925.94804350607</v>
      </c>
      <c r="E95" s="107">
        <f>SUM(E89:E94)</f>
        <v>86614.632515986727</v>
      </c>
      <c r="F95" s="106">
        <f>SUM(F89:F94)</f>
        <v>18739.769691788006</v>
      </c>
      <c r="G95" s="107">
        <f>SUM(G89:G94)</f>
        <v>358800.81086770474</v>
      </c>
      <c r="H95" s="108"/>
      <c r="I95" s="109"/>
    </row>
    <row r="96" spans="1:11" hidden="1">
      <c r="B96" s="3"/>
      <c r="C96" s="3"/>
      <c r="D96" s="110"/>
      <c r="E96" s="58"/>
      <c r="F96" s="58"/>
      <c r="G96" s="76"/>
      <c r="H96" s="63"/>
      <c r="I96" s="92"/>
    </row>
    <row r="97" spans="2:8" hidden="1">
      <c r="B97" s="3" t="s">
        <v>446</v>
      </c>
      <c r="C97" s="3"/>
      <c r="D97" s="110"/>
      <c r="E97" s="58"/>
      <c r="F97" s="58"/>
      <c r="G97" s="5"/>
      <c r="H97" s="63"/>
    </row>
    <row r="98" spans="2:8" hidden="1">
      <c r="B98" s="3" t="s">
        <v>447</v>
      </c>
      <c r="C98" s="3"/>
      <c r="D98" s="3"/>
      <c r="E98" s="3"/>
      <c r="F98" s="3"/>
      <c r="G98" s="3"/>
    </row>
    <row r="99" spans="2:8" hidden="1">
      <c r="B99" s="3" t="s">
        <v>448</v>
      </c>
      <c r="C99" s="3"/>
      <c r="D99" s="3"/>
      <c r="E99" s="3"/>
      <c r="F99" s="3"/>
      <c r="G99" s="3"/>
    </row>
    <row r="100" spans="2:8" hidden="1">
      <c r="B100" s="3"/>
      <c r="C100" s="3"/>
      <c r="D100" s="3"/>
      <c r="E100" s="3"/>
      <c r="F100" s="3"/>
      <c r="G100" s="3"/>
    </row>
    <row r="101" spans="2:8" hidden="1">
      <c r="B101" s="3"/>
      <c r="C101" s="3"/>
      <c r="D101" s="3"/>
      <c r="E101" s="3"/>
      <c r="F101" s="3"/>
      <c r="G101" s="3"/>
    </row>
    <row r="102" spans="2:8" hidden="1">
      <c r="B102" s="3"/>
      <c r="C102" s="3"/>
      <c r="D102" s="3"/>
      <c r="E102" s="3"/>
      <c r="F102" s="3"/>
      <c r="G102" s="3"/>
    </row>
    <row r="103" spans="2:8" hidden="1">
      <c r="B103" s="3" t="s">
        <v>772</v>
      </c>
      <c r="C103" s="3" t="s">
        <v>424</v>
      </c>
      <c r="D103" s="3" t="s">
        <v>425</v>
      </c>
      <c r="E103" s="3" t="s">
        <v>104</v>
      </c>
      <c r="F103" s="3"/>
      <c r="G103" s="3"/>
    </row>
    <row r="104" spans="2:8" ht="13.5" hidden="1" thickBot="1">
      <c r="B104" s="3"/>
      <c r="C104" s="3" t="s">
        <v>429</v>
      </c>
      <c r="D104" s="3"/>
      <c r="E104" s="3"/>
      <c r="F104" s="3"/>
      <c r="G104" s="3"/>
    </row>
    <row r="105" spans="2:8" hidden="1">
      <c r="B105" s="3" t="s">
        <v>210</v>
      </c>
      <c r="C105" s="66">
        <f>C9</f>
        <v>1397.41618979028</v>
      </c>
      <c r="D105" s="67">
        <f>D9</f>
        <v>108806.2131723588</v>
      </c>
      <c r="E105" s="68">
        <f>C105+D105</f>
        <v>110203.62936214908</v>
      </c>
      <c r="F105" s="3"/>
      <c r="G105" s="3"/>
    </row>
    <row r="106" spans="2:8" s="3" customFormat="1" ht="13.5" hidden="1" thickBot="1">
      <c r="B106" s="3" t="s">
        <v>436</v>
      </c>
      <c r="C106" s="69">
        <f>(C105/E105)*E106</f>
        <v>-2.7379897514448959</v>
      </c>
      <c r="D106" s="70">
        <f>E106-C106</f>
        <v>-213.18652147872746</v>
      </c>
      <c r="E106" s="71">
        <f>F9</f>
        <v>-215.92451123017236</v>
      </c>
    </row>
    <row r="107" spans="2:8" s="3" customFormat="1" hidden="1">
      <c r="B107" s="3" t="s">
        <v>430</v>
      </c>
      <c r="C107" s="66">
        <f>C10</f>
        <v>19694.880862399998</v>
      </c>
      <c r="D107" s="67">
        <f>D10</f>
        <v>7287.3787551317955</v>
      </c>
      <c r="E107" s="68">
        <f>C107+D107</f>
        <v>26982.259617531792</v>
      </c>
    </row>
    <row r="108" spans="2:8" s="3" customFormat="1" ht="13.5" hidden="1" thickBot="1">
      <c r="B108" s="3" t="s">
        <v>436</v>
      </c>
      <c r="C108" s="69">
        <f>(C107/E107)*E108</f>
        <v>1596.7492296436669</v>
      </c>
      <c r="D108" s="70">
        <f>E108-C108</f>
        <v>590.81933496704346</v>
      </c>
      <c r="E108" s="71">
        <f>F10</f>
        <v>2187.5685646107104</v>
      </c>
    </row>
    <row r="109" spans="2:8" s="3" customFormat="1" hidden="1">
      <c r="B109" s="3" t="s">
        <v>219</v>
      </c>
      <c r="C109" s="66">
        <f>C11</f>
        <v>2764.9146750000004</v>
      </c>
      <c r="D109" s="67">
        <f>D11</f>
        <v>43399.63552044372</v>
      </c>
      <c r="E109" s="68">
        <f>C109+D109</f>
        <v>46164.55019544372</v>
      </c>
    </row>
    <row r="110" spans="2:8" s="3" customFormat="1" ht="13.5" hidden="1" thickBot="1">
      <c r="B110" s="3" t="s">
        <v>436</v>
      </c>
      <c r="C110" s="69">
        <f>(C109/E109)*E110</f>
        <v>147.89563086518103</v>
      </c>
      <c r="D110" s="70">
        <f>E110-C110</f>
        <v>2321.4519177214547</v>
      </c>
      <c r="E110" s="71">
        <f>F11</f>
        <v>2469.3475485866356</v>
      </c>
    </row>
    <row r="111" spans="2:8" s="3" customFormat="1" hidden="1">
      <c r="B111" s="3" t="s">
        <v>405</v>
      </c>
      <c r="C111" s="66">
        <f>C12</f>
        <v>62684.917770026135</v>
      </c>
      <c r="D111" s="67">
        <v>0</v>
      </c>
      <c r="E111" s="68">
        <f>C111+D111</f>
        <v>62684.917770026135</v>
      </c>
    </row>
    <row r="112" spans="2:8" s="3" customFormat="1" ht="13.5" hidden="1" thickBot="1">
      <c r="B112" s="3" t="s">
        <v>436</v>
      </c>
      <c r="C112" s="69">
        <f>E112</f>
        <v>1837.9956246717984</v>
      </c>
      <c r="D112" s="70">
        <v>0</v>
      </c>
      <c r="E112" s="72">
        <v>1837.9956246717984</v>
      </c>
    </row>
    <row r="113" spans="2:5" s="3" customFormat="1" hidden="1">
      <c r="B113" s="3" t="s">
        <v>221</v>
      </c>
      <c r="C113" s="66">
        <v>0</v>
      </c>
      <c r="D113" s="67">
        <v>0</v>
      </c>
      <c r="E113" s="68">
        <v>0</v>
      </c>
    </row>
    <row r="114" spans="2:5" s="3" customFormat="1" ht="13.5" hidden="1" thickBot="1">
      <c r="B114" s="3" t="s">
        <v>431</v>
      </c>
      <c r="C114" s="69">
        <f>C13</f>
        <v>51169.578324994305</v>
      </c>
      <c r="D114" s="70">
        <v>0</v>
      </c>
      <c r="E114" s="71">
        <f>C114</f>
        <v>51169.578324994305</v>
      </c>
    </row>
    <row r="115" spans="2:5" s="3" customFormat="1" hidden="1">
      <c r="B115" s="3" t="s">
        <v>432</v>
      </c>
      <c r="C115" s="66">
        <f>C105-C106+C107-C108+C109-C110+C111-C112+C113+C114</f>
        <v>134131.80532678153</v>
      </c>
      <c r="D115" s="67">
        <f>D105-D106+D107-D108+D109-D110+D111+D113+D114</f>
        <v>156794.14271672454</v>
      </c>
      <c r="E115" s="68">
        <f>E105-E106+E107-E108+E109-E110+E111-E112+E114</f>
        <v>290925.94804350601</v>
      </c>
    </row>
    <row r="116" spans="2:5" s="3" customFormat="1" hidden="1">
      <c r="B116" s="3" t="s">
        <v>433</v>
      </c>
      <c r="C116" s="73">
        <f>CUADRO4!E30</f>
        <v>18739.769691788006</v>
      </c>
      <c r="D116" s="74">
        <f>CUADRO4!D30-CUADRO4!D20+CUADRO4!D20*2504/860</f>
        <v>86614.632515986727</v>
      </c>
      <c r="E116" s="75">
        <f>D116-C116</f>
        <v>67874.862824198717</v>
      </c>
    </row>
    <row r="117" spans="2:5" s="3" customFormat="1" ht="13.5" hidden="1" thickBot="1">
      <c r="B117" s="3" t="s">
        <v>434</v>
      </c>
      <c r="C117" s="69">
        <f>C115-C116</f>
        <v>115392.03563499352</v>
      </c>
      <c r="D117" s="70">
        <f>D115+D116</f>
        <v>243408.77523271128</v>
      </c>
      <c r="E117" s="71">
        <f>E115+E116</f>
        <v>358800.81086770474</v>
      </c>
    </row>
    <row r="118" spans="2:5" s="3" customFormat="1" hidden="1"/>
    <row r="119" spans="2:5" s="3" customFormat="1" hidden="1">
      <c r="B119" s="3" t="s">
        <v>435</v>
      </c>
      <c r="C119" s="3">
        <f>C117/E117</f>
        <v>0.32160472367923465</v>
      </c>
      <c r="D119" s="3">
        <f>D117/E117</f>
        <v>0.67839527632076546</v>
      </c>
      <c r="E119" s="3">
        <v>1</v>
      </c>
    </row>
    <row r="120" spans="2:5" s="3" customFormat="1"/>
    <row r="121" spans="2:5" s="3" customFormat="1"/>
    <row r="122" spans="2:5" s="3" customFormat="1"/>
    <row r="123" spans="2:5" s="3" customFormat="1"/>
    <row r="124" spans="2:5" s="3" customFormat="1"/>
    <row r="125" spans="2:5" s="3" customFormat="1"/>
    <row r="126" spans="2:5" s="3" customFormat="1"/>
    <row r="127" spans="2:5" s="3" customFormat="1"/>
    <row r="128" spans="2:5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</sheetData>
  <phoneticPr fontId="0" type="noConversion"/>
  <hyperlinks>
    <hyperlink ref="I3" location="INDICE!A1" display="VOLVER A INDICE"/>
  </hyperlink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workbookViewId="0">
      <pane ySplit="9" topLeftCell="A10" activePane="bottomLeft" state="frozen"/>
      <selection pane="bottomLeft" activeCell="K7" sqref="K7"/>
    </sheetView>
  </sheetViews>
  <sheetFormatPr baseColWidth="10" defaultRowHeight="12.75" outlineLevelRow="1"/>
  <cols>
    <col min="1" max="1" width="1.85546875" style="297" customWidth="1"/>
    <col min="2" max="2" width="26" style="297" customWidth="1"/>
    <col min="3" max="3" width="15" style="297" customWidth="1"/>
    <col min="4" max="4" width="15.5703125" style="297" customWidth="1"/>
    <col min="5" max="5" width="16.140625" style="297" customWidth="1"/>
    <col min="6" max="6" width="16.5703125" style="297" customWidth="1"/>
    <col min="7" max="7" width="14.28515625" style="297" customWidth="1"/>
    <col min="8" max="8" width="18.140625" style="297" customWidth="1"/>
    <col min="9" max="9" width="14.28515625" style="297" customWidth="1"/>
    <col min="10" max="24" width="11.42578125" style="5"/>
    <col min="25" max="16384" width="11.42578125" style="297"/>
  </cols>
  <sheetData>
    <row r="1" spans="1:13" ht="8.25" customHeight="1" thickBot="1">
      <c r="A1" s="466"/>
      <c r="B1" s="466"/>
      <c r="C1" s="466"/>
      <c r="D1" s="466"/>
      <c r="E1" s="466"/>
      <c r="F1" s="466"/>
      <c r="G1" s="466"/>
      <c r="H1" s="466"/>
      <c r="I1" s="466"/>
      <c r="J1" s="503"/>
    </row>
    <row r="2" spans="1:13" ht="13.5" thickBot="1">
      <c r="A2" s="466"/>
      <c r="B2" s="467"/>
      <c r="C2" s="468"/>
      <c r="D2" s="468"/>
      <c r="E2" s="468"/>
      <c r="F2" s="468"/>
      <c r="G2" s="468"/>
      <c r="H2" s="468"/>
      <c r="I2" s="469"/>
      <c r="J2" s="1104" t="s">
        <v>649</v>
      </c>
      <c r="K2" s="8"/>
      <c r="L2" s="8"/>
    </row>
    <row r="3" spans="1:13" ht="15.75">
      <c r="A3" s="466"/>
      <c r="B3" s="470"/>
      <c r="C3" s="471"/>
      <c r="D3" s="471"/>
      <c r="E3" s="472" t="s">
        <v>69</v>
      </c>
      <c r="F3" s="471"/>
      <c r="G3" s="473"/>
      <c r="H3" s="473"/>
      <c r="I3" s="474"/>
      <c r="J3" s="1105"/>
      <c r="K3" s="8"/>
      <c r="L3" s="8"/>
    </row>
    <row r="4" spans="1:13" ht="15.75">
      <c r="A4" s="466"/>
      <c r="B4" s="475"/>
      <c r="C4" s="476"/>
      <c r="D4" s="476"/>
      <c r="E4" s="477" t="s">
        <v>70</v>
      </c>
      <c r="F4" s="476"/>
      <c r="G4" s="478"/>
      <c r="H4" s="478"/>
      <c r="I4" s="479"/>
      <c r="J4" s="1105"/>
      <c r="K4" s="8"/>
      <c r="L4" s="8"/>
    </row>
    <row r="5" spans="1:13" ht="15.75">
      <c r="A5" s="466"/>
      <c r="B5" s="475"/>
      <c r="C5" s="476"/>
      <c r="D5" s="476"/>
      <c r="E5" s="477"/>
      <c r="F5" s="476"/>
      <c r="G5" s="478"/>
      <c r="H5" s="478"/>
      <c r="I5" s="479"/>
      <c r="J5" s="1105"/>
      <c r="K5" s="8"/>
      <c r="L5" s="8"/>
    </row>
    <row r="6" spans="1:13" ht="15.75">
      <c r="A6" s="466"/>
      <c r="B6" s="475"/>
      <c r="C6" s="476"/>
      <c r="D6" s="476"/>
      <c r="E6" s="477" t="s">
        <v>767</v>
      </c>
      <c r="F6" s="476"/>
      <c r="G6" s="478"/>
      <c r="H6" s="478"/>
      <c r="I6" s="479"/>
      <c r="J6" s="1105"/>
      <c r="K6" s="8"/>
      <c r="L6" s="8"/>
    </row>
    <row r="7" spans="1:13" ht="15.75">
      <c r="A7" s="466"/>
      <c r="B7" s="475"/>
      <c r="C7" s="476"/>
      <c r="D7" s="476"/>
      <c r="E7" s="476"/>
      <c r="F7" s="476"/>
      <c r="G7" s="478"/>
      <c r="H7" s="478"/>
      <c r="I7" s="479"/>
      <c r="J7" s="1105"/>
      <c r="K7" s="8"/>
      <c r="L7" s="8"/>
    </row>
    <row r="8" spans="1:13" ht="15.75">
      <c r="A8" s="466"/>
      <c r="B8" s="475" t="s">
        <v>23</v>
      </c>
      <c r="C8" s="477" t="s">
        <v>45</v>
      </c>
      <c r="D8" s="477" t="s">
        <v>46</v>
      </c>
      <c r="E8" s="477" t="s">
        <v>47</v>
      </c>
      <c r="F8" s="477" t="s">
        <v>67</v>
      </c>
      <c r="G8" s="477" t="s">
        <v>49</v>
      </c>
      <c r="H8" s="477" t="s">
        <v>49</v>
      </c>
      <c r="I8" s="480" t="s">
        <v>49</v>
      </c>
      <c r="J8" s="1105"/>
      <c r="K8" s="8"/>
      <c r="L8" s="8"/>
    </row>
    <row r="9" spans="1:13" ht="16.5" thickBot="1">
      <c r="A9" s="466"/>
      <c r="B9" s="481"/>
      <c r="C9" s="482" t="s">
        <v>50</v>
      </c>
      <c r="D9" s="482"/>
      <c r="E9" s="482"/>
      <c r="F9" s="482" t="s">
        <v>71</v>
      </c>
      <c r="G9" s="482" t="s">
        <v>72</v>
      </c>
      <c r="H9" s="482" t="s">
        <v>73</v>
      </c>
      <c r="I9" s="483" t="s">
        <v>74</v>
      </c>
      <c r="J9" s="494"/>
      <c r="K9" s="8"/>
      <c r="L9" s="8"/>
    </row>
    <row r="10" spans="1:13" ht="16.5" customHeight="1">
      <c r="A10" s="466"/>
      <c r="B10" s="484" t="s">
        <v>93</v>
      </c>
      <c r="C10" s="485">
        <f t="shared" ref="C10:I10" si="0">SUM(C11:C19)</f>
        <v>106267.52348006275</v>
      </c>
      <c r="D10" s="485">
        <f t="shared" si="0"/>
        <v>80482.070187407327</v>
      </c>
      <c r="E10" s="485">
        <f t="shared" si="0"/>
        <v>13533.104011228004</v>
      </c>
      <c r="F10" s="485">
        <f t="shared" si="0"/>
        <v>-2558.1021228239047</v>
      </c>
      <c r="G10" s="485">
        <f t="shared" si="0"/>
        <v>145311.67439104986</v>
      </c>
      <c r="H10" s="485">
        <f t="shared" si="0"/>
        <v>30462.917388016071</v>
      </c>
      <c r="I10" s="486">
        <f t="shared" si="0"/>
        <v>175774.59177906596</v>
      </c>
      <c r="J10" s="494"/>
      <c r="K10" s="7"/>
      <c r="L10" s="7"/>
      <c r="M10" s="7"/>
    </row>
    <row r="11" spans="1:13" ht="16.5" customHeight="1" outlineLevel="1">
      <c r="A11" s="466"/>
      <c r="B11" s="634" t="s">
        <v>75</v>
      </c>
      <c r="C11" s="464">
        <v>20017.104581250002</v>
      </c>
      <c r="D11" s="464">
        <v>6149.7629123174984</v>
      </c>
      <c r="E11" s="464">
        <v>0</v>
      </c>
      <c r="F11" s="464">
        <v>-2889.3640607684988</v>
      </c>
      <c r="G11" s="464">
        <f>CONS_TERAC!D47</f>
        <v>25961.610613416415</v>
      </c>
      <c r="H11" s="464">
        <f>CONS_TERAC!D57</f>
        <v>3094.6209409195867</v>
      </c>
      <c r="I11" s="465">
        <f>CONS_TERAC!D60</f>
        <v>29056.231554336002</v>
      </c>
      <c r="J11" s="494"/>
      <c r="K11" s="420"/>
      <c r="L11" s="420"/>
      <c r="M11" s="420"/>
    </row>
    <row r="12" spans="1:13" ht="16.5" customHeight="1" outlineLevel="1">
      <c r="A12" s="466"/>
      <c r="B12" s="634" t="s">
        <v>76</v>
      </c>
      <c r="C12" s="464">
        <v>41536.246189199999</v>
      </c>
      <c r="D12" s="464">
        <v>54810.134995056011</v>
      </c>
      <c r="E12" s="464">
        <v>5851.4296829520008</v>
      </c>
      <c r="F12" s="464">
        <v>707.58140261902554</v>
      </c>
      <c r="G12" s="464">
        <f>CONS_TERAC!C47</f>
        <v>63585.116292088765</v>
      </c>
      <c r="H12" s="464">
        <f>CONS_TERAC!C57</f>
        <v>26202.253806596196</v>
      </c>
      <c r="I12" s="465">
        <f>CONS_TERAC!C60</f>
        <v>89787.370098684958</v>
      </c>
      <c r="J12" s="494"/>
      <c r="K12" s="420"/>
      <c r="L12" s="420"/>
      <c r="M12" s="420"/>
    </row>
    <row r="13" spans="1:13" ht="16.5" customHeight="1" outlineLevel="1">
      <c r="A13" s="466"/>
      <c r="B13" s="634" t="s">
        <v>811</v>
      </c>
      <c r="C13" s="464">
        <v>24977.250760000003</v>
      </c>
      <c r="D13" s="464">
        <v>4804.122030735999</v>
      </c>
      <c r="E13" s="464">
        <v>6748.3927770560013</v>
      </c>
      <c r="F13" s="464">
        <v>-2698.8282417165638</v>
      </c>
      <c r="G13" s="464">
        <f>CONS_TERAC!E47</f>
        <v>25731.808255396561</v>
      </c>
      <c r="H13" s="464">
        <f>CONS_TERAC!E57</f>
        <v>0</v>
      </c>
      <c r="I13" s="465">
        <f>CONS_TERAC!E60</f>
        <v>25731.808255396561</v>
      </c>
      <c r="J13" s="494"/>
      <c r="K13" s="420"/>
      <c r="L13" s="420"/>
      <c r="M13" s="420"/>
    </row>
    <row r="14" spans="1:13" ht="16.5" customHeight="1" outlineLevel="1">
      <c r="A14" s="466"/>
      <c r="B14" s="634" t="s">
        <v>77</v>
      </c>
      <c r="C14" s="464">
        <v>860.23100790000001</v>
      </c>
      <c r="D14" s="464">
        <v>0</v>
      </c>
      <c r="E14" s="464">
        <v>0</v>
      </c>
      <c r="F14" s="464">
        <v>-16.793812377000108</v>
      </c>
      <c r="G14" s="464">
        <f>CONS_TERAC!F47</f>
        <v>877.02482027700012</v>
      </c>
      <c r="H14" s="464">
        <f>CONS_TERAC!F57</f>
        <v>0</v>
      </c>
      <c r="I14" s="465">
        <f>CONS_TERAC!F60</f>
        <v>877.02482027700012</v>
      </c>
      <c r="J14" s="494"/>
      <c r="K14" s="420"/>
      <c r="L14" s="420"/>
      <c r="M14" s="420"/>
    </row>
    <row r="15" spans="1:13" ht="16.5" customHeight="1" outlineLevel="1">
      <c r="A15" s="466"/>
      <c r="B15" s="634" t="s">
        <v>78</v>
      </c>
      <c r="C15" s="464">
        <v>8118.341263450001</v>
      </c>
      <c r="D15" s="464">
        <v>10898.289731399815</v>
      </c>
      <c r="E15" s="464">
        <v>606.10894322000001</v>
      </c>
      <c r="F15" s="464">
        <v>2366.1004252671341</v>
      </c>
      <c r="G15" s="464">
        <f>CONS_TERAC!G47</f>
        <v>15049.877081445149</v>
      </c>
      <c r="H15" s="464">
        <f>CONS_TERAC!G57</f>
        <v>994.54454491753222</v>
      </c>
      <c r="I15" s="465">
        <f>CONS_TERAC!G60</f>
        <v>16044.42162636268</v>
      </c>
      <c r="J15" s="494"/>
      <c r="K15" s="420"/>
      <c r="L15" s="420"/>
      <c r="M15" s="420"/>
    </row>
    <row r="16" spans="1:13" ht="16.5" customHeight="1" outlineLevel="1">
      <c r="A16" s="466"/>
      <c r="B16" s="634" t="s">
        <v>79</v>
      </c>
      <c r="C16" s="464">
        <v>49.314005999999992</v>
      </c>
      <c r="D16" s="464">
        <v>0</v>
      </c>
      <c r="E16" s="464">
        <v>0</v>
      </c>
      <c r="F16" s="464">
        <v>2.0705386800000052</v>
      </c>
      <c r="G16" s="464">
        <f>CONS_TERAC!H47</f>
        <v>47.243467319999993</v>
      </c>
      <c r="H16" s="464">
        <f>CONS_TERAC!H57</f>
        <v>0</v>
      </c>
      <c r="I16" s="465">
        <f>CONS_TERAC!H60</f>
        <v>47.243467319999993</v>
      </c>
      <c r="J16" s="494"/>
      <c r="K16" s="420"/>
      <c r="L16" s="420"/>
      <c r="M16" s="420"/>
    </row>
    <row r="17" spans="1:13" ht="16.5" customHeight="1" outlineLevel="1">
      <c r="A17" s="466"/>
      <c r="B17" s="634" t="s">
        <v>80</v>
      </c>
      <c r="C17" s="464">
        <v>5676.1243937999998</v>
      </c>
      <c r="D17" s="464">
        <v>3819.7605178980002</v>
      </c>
      <c r="E17" s="464">
        <v>0</v>
      </c>
      <c r="F17" s="464">
        <v>-5.089877028001915</v>
      </c>
      <c r="G17" s="464">
        <f>CONS_TERAC!I47</f>
        <v>9500.9747887260019</v>
      </c>
      <c r="H17" s="464">
        <f>CONS_TERAC!I57</f>
        <v>0</v>
      </c>
      <c r="I17" s="465">
        <f>CONS_TERAC!I60</f>
        <v>9500.9747887260019</v>
      </c>
      <c r="J17" s="494"/>
      <c r="K17" s="420"/>
      <c r="L17" s="420"/>
      <c r="M17" s="420"/>
    </row>
    <row r="18" spans="1:13" ht="16.5" customHeight="1" outlineLevel="1">
      <c r="A18" s="466"/>
      <c r="B18" s="634" t="s">
        <v>81</v>
      </c>
      <c r="C18" s="464">
        <v>1450.9593699999998</v>
      </c>
      <c r="D18" s="464">
        <v>0</v>
      </c>
      <c r="E18" s="464">
        <v>327.17260799999997</v>
      </c>
      <c r="F18" s="464">
        <v>-20.704197500000124</v>
      </c>
      <c r="G18" s="464">
        <f>CONS_TERAC!J47</f>
        <v>1144.4563444999999</v>
      </c>
      <c r="H18" s="464">
        <f>CONS_TERAC!J57</f>
        <v>3.4614999999999993E-2</v>
      </c>
      <c r="I18" s="465">
        <f>CONS_TERAC!J60</f>
        <v>1144.4909594999999</v>
      </c>
      <c r="J18" s="494"/>
      <c r="K18" s="420"/>
      <c r="L18" s="420"/>
      <c r="M18" s="420"/>
    </row>
    <row r="19" spans="1:13" ht="16.5" customHeight="1" outlineLevel="1">
      <c r="A19" s="466"/>
      <c r="B19" s="634" t="s">
        <v>82</v>
      </c>
      <c r="C19" s="464">
        <v>3581.951908462755</v>
      </c>
      <c r="D19" s="464">
        <v>0</v>
      </c>
      <c r="E19" s="464">
        <v>0</v>
      </c>
      <c r="F19" s="464">
        <v>-3.0743000000001097</v>
      </c>
      <c r="G19" s="464">
        <f>CONS_TERAC!K47</f>
        <v>3413.5627278800007</v>
      </c>
      <c r="H19" s="464">
        <f>CONS_TERAC!K57</f>
        <v>171.46348058275498</v>
      </c>
      <c r="I19" s="465">
        <f>CONS_TERAC!K60</f>
        <v>3585.0262084627557</v>
      </c>
      <c r="J19" s="494"/>
      <c r="K19" s="420"/>
      <c r="L19" s="420"/>
      <c r="M19" s="420"/>
    </row>
    <row r="20" spans="1:13" ht="16.5" customHeight="1">
      <c r="A20" s="466"/>
      <c r="B20" s="487" t="s">
        <v>38</v>
      </c>
      <c r="C20" s="485">
        <v>51345.464657242235</v>
      </c>
      <c r="D20" s="485">
        <v>992.60414819999994</v>
      </c>
      <c r="E20" s="485">
        <v>0</v>
      </c>
      <c r="F20" s="485">
        <v>4369.4603287832033</v>
      </c>
      <c r="G20" s="485">
        <f>CONS_TERAC!M47</f>
        <v>47968.608476659028</v>
      </c>
      <c r="H20" s="485">
        <f>CONS_TERAC!M57</f>
        <v>0</v>
      </c>
      <c r="I20" s="486">
        <f>CONS_TERAC!M60</f>
        <v>47968.608476659028</v>
      </c>
      <c r="J20" s="494"/>
      <c r="K20" s="7"/>
      <c r="L20" s="7"/>
      <c r="M20" s="7"/>
    </row>
    <row r="21" spans="1:13" ht="16.5" customHeight="1">
      <c r="A21" s="466"/>
      <c r="B21" s="487" t="s">
        <v>83</v>
      </c>
      <c r="C21" s="485">
        <v>43695.202646857084</v>
      </c>
      <c r="D21" s="485">
        <v>0</v>
      </c>
      <c r="E21" s="485">
        <v>0</v>
      </c>
      <c r="F21" s="485">
        <v>0</v>
      </c>
      <c r="G21" s="485">
        <f>CONS_TERAC!N47</f>
        <v>3992.9470941064492</v>
      </c>
      <c r="H21" s="485">
        <f>CONS_TERAC!N57</f>
        <v>39702.255552750641</v>
      </c>
      <c r="I21" s="486">
        <f>CONS_TERAC!N60</f>
        <v>43695.202646857091</v>
      </c>
      <c r="J21" s="494"/>
      <c r="K21" s="7"/>
      <c r="L21" s="7"/>
      <c r="M21" s="7"/>
    </row>
    <row r="22" spans="1:13" ht="16.5" customHeight="1">
      <c r="A22" s="466"/>
      <c r="B22" s="487" t="s">
        <v>84</v>
      </c>
      <c r="C22" s="485">
        <v>6898.0403370000004</v>
      </c>
      <c r="D22" s="485">
        <v>3242.4683900993996</v>
      </c>
      <c r="E22" s="485">
        <v>87.12</v>
      </c>
      <c r="F22" s="485">
        <v>1057.8392074135734</v>
      </c>
      <c r="G22" s="485">
        <f>CONS_TERAC!O47</f>
        <v>2922.1378696858251</v>
      </c>
      <c r="H22" s="485">
        <f>CONS_TERAC!O57</f>
        <v>6073.4116500000009</v>
      </c>
      <c r="I22" s="486">
        <f>CONS_TERAC!O60</f>
        <v>8995.5495196858265</v>
      </c>
      <c r="J22" s="494"/>
      <c r="K22" s="7"/>
      <c r="L22" s="7"/>
      <c r="M22" s="7"/>
    </row>
    <row r="23" spans="1:13" ht="16.5" customHeight="1">
      <c r="A23" s="466"/>
      <c r="B23" s="487" t="s">
        <v>85</v>
      </c>
      <c r="C23" s="485">
        <v>189.89500000000001</v>
      </c>
      <c r="D23" s="485">
        <v>0</v>
      </c>
      <c r="E23" s="485">
        <v>0</v>
      </c>
      <c r="F23" s="485">
        <v>13.862000000000016</v>
      </c>
      <c r="G23" s="485">
        <f>CONS_TERAC!P47</f>
        <v>176.03299999999999</v>
      </c>
      <c r="H23" s="485">
        <f>CONS_TERAC!P57</f>
        <v>0</v>
      </c>
      <c r="I23" s="486">
        <f>CONS_TERAC!P60</f>
        <v>176.03299999999999</v>
      </c>
      <c r="J23" s="494"/>
      <c r="K23" s="7"/>
      <c r="L23" s="7"/>
      <c r="M23" s="7"/>
    </row>
    <row r="24" spans="1:13" ht="16.5" customHeight="1">
      <c r="A24" s="466"/>
      <c r="B24" s="487" t="s">
        <v>86</v>
      </c>
      <c r="C24" s="485">
        <v>1375.1012838614033</v>
      </c>
      <c r="D24" s="485">
        <v>0</v>
      </c>
      <c r="E24" s="485">
        <v>0</v>
      </c>
      <c r="F24" s="485">
        <v>28.497871286499048</v>
      </c>
      <c r="G24" s="485">
        <f>CONS_TERAC!Q47</f>
        <v>1346.6034125749043</v>
      </c>
      <c r="H24" s="485">
        <f>CONS_TERAC!Q57</f>
        <v>0</v>
      </c>
      <c r="I24" s="486">
        <f>CONS_TERAC!Q60</f>
        <v>1346.6034125749043</v>
      </c>
      <c r="J24" s="494"/>
      <c r="K24" s="7"/>
      <c r="L24" s="7"/>
      <c r="M24" s="7"/>
    </row>
    <row r="25" spans="1:13" ht="16.5" customHeight="1">
      <c r="A25" s="466"/>
      <c r="B25" s="487" t="s">
        <v>87</v>
      </c>
      <c r="C25" s="485">
        <v>1249.9878669999998</v>
      </c>
      <c r="D25" s="485">
        <v>0</v>
      </c>
      <c r="E25" s="485">
        <v>0</v>
      </c>
      <c r="F25" s="485">
        <v>249.45571499999977</v>
      </c>
      <c r="G25" s="485">
        <f>CONS_TERAC!R47</f>
        <v>1000.532152</v>
      </c>
      <c r="H25" s="485">
        <f>CONS_TERAC!R57</f>
        <v>0</v>
      </c>
      <c r="I25" s="486">
        <f>CONS_TERAC!R60</f>
        <v>1000.532152</v>
      </c>
      <c r="J25" s="494"/>
      <c r="K25" s="7"/>
      <c r="L25" s="7"/>
      <c r="M25" s="7"/>
    </row>
    <row r="26" spans="1:13" ht="16.5" customHeight="1">
      <c r="A26" s="466"/>
      <c r="B26" s="487" t="s">
        <v>88</v>
      </c>
      <c r="C26" s="485">
        <v>24615.6730388383</v>
      </c>
      <c r="D26" s="485">
        <v>0</v>
      </c>
      <c r="E26" s="485">
        <v>0</v>
      </c>
      <c r="F26" s="485">
        <v>0</v>
      </c>
      <c r="G26" s="485">
        <f>CONS_TERAC!S47</f>
        <v>6054.8523290900312</v>
      </c>
      <c r="H26" s="485">
        <f>CONS_TERAC!S57</f>
        <v>18560.82070974827</v>
      </c>
      <c r="I26" s="486">
        <f>CONS_TERAC!S60</f>
        <v>24615.6730388383</v>
      </c>
      <c r="J26" s="494"/>
      <c r="K26" s="7"/>
      <c r="L26" s="7"/>
      <c r="M26" s="7"/>
    </row>
    <row r="27" spans="1:13" ht="16.5" customHeight="1">
      <c r="A27" s="466"/>
      <c r="B27" s="487" t="s">
        <v>42</v>
      </c>
      <c r="C27" s="485">
        <v>5888.1760911199999</v>
      </c>
      <c r="D27" s="485">
        <v>0</v>
      </c>
      <c r="E27" s="485">
        <v>5119.5456805600006</v>
      </c>
      <c r="F27" s="485">
        <v>252.27773669999996</v>
      </c>
      <c r="G27" s="485">
        <f>CONS_TERAC!T47</f>
        <v>516.3526738600001</v>
      </c>
      <c r="H27" s="485">
        <f>CONS_TERAC!T57</f>
        <v>0</v>
      </c>
      <c r="I27" s="486">
        <f>CONS_TERAC!T60</f>
        <v>516.3526738600001</v>
      </c>
      <c r="J27" s="494"/>
      <c r="K27" s="7"/>
      <c r="L27" s="7"/>
      <c r="M27" s="7"/>
    </row>
    <row r="28" spans="1:13" ht="16.5" customHeight="1">
      <c r="A28" s="466"/>
      <c r="B28" s="487" t="s">
        <v>29</v>
      </c>
      <c r="C28" s="485">
        <v>51169.578324994305</v>
      </c>
      <c r="D28" s="485">
        <v>0</v>
      </c>
      <c r="E28" s="485">
        <v>0</v>
      </c>
      <c r="F28" s="485">
        <v>0</v>
      </c>
      <c r="G28" s="485">
        <f>CONS_TERAC!V47</f>
        <v>45777.436188357562</v>
      </c>
      <c r="H28" s="485">
        <f>CONS_TERAC!V57</f>
        <v>5392.1421366367413</v>
      </c>
      <c r="I28" s="486">
        <f>CONS_TERAC!V60</f>
        <v>51169.578324994305</v>
      </c>
      <c r="J28" s="494"/>
      <c r="K28" s="7"/>
      <c r="L28" s="7"/>
      <c r="M28" s="7"/>
    </row>
    <row r="29" spans="1:13" ht="16.5" customHeight="1">
      <c r="A29" s="466"/>
      <c r="B29" s="487" t="s">
        <v>30</v>
      </c>
      <c r="C29" s="485">
        <v>0</v>
      </c>
      <c r="D29" s="485">
        <v>0</v>
      </c>
      <c r="E29" s="485">
        <v>0</v>
      </c>
      <c r="F29" s="485">
        <v>0</v>
      </c>
      <c r="G29" s="485">
        <v>0</v>
      </c>
      <c r="H29" s="485">
        <v>0</v>
      </c>
      <c r="I29" s="486">
        <v>0</v>
      </c>
      <c r="J29" s="494"/>
      <c r="K29" s="7"/>
      <c r="L29" s="7"/>
      <c r="M29" s="7"/>
    </row>
    <row r="30" spans="1:13" ht="13.5" thickBot="1">
      <c r="A30" s="466"/>
      <c r="B30" s="488" t="s">
        <v>31</v>
      </c>
      <c r="C30" s="489">
        <f t="shared" ref="C30:I30" si="1">C10+SUM(C20:C29)</f>
        <v>292694.64272697608</v>
      </c>
      <c r="D30" s="489">
        <f t="shared" si="1"/>
        <v>84717.142725706726</v>
      </c>
      <c r="E30" s="489">
        <f t="shared" si="1"/>
        <v>18739.769691788006</v>
      </c>
      <c r="F30" s="489">
        <f t="shared" si="1"/>
        <v>3413.2907363593708</v>
      </c>
      <c r="G30" s="489">
        <f t="shared" si="1"/>
        <v>255067.17758738366</v>
      </c>
      <c r="H30" s="489">
        <f t="shared" si="1"/>
        <v>100191.54743715172</v>
      </c>
      <c r="I30" s="490">
        <f t="shared" si="1"/>
        <v>355258.72502453544</v>
      </c>
      <c r="J30" s="494"/>
      <c r="K30" s="7"/>
      <c r="L30" s="7"/>
      <c r="M30" s="7"/>
    </row>
    <row r="31" spans="1:13">
      <c r="A31" s="466"/>
      <c r="B31" s="491"/>
      <c r="C31" s="492"/>
      <c r="D31" s="492"/>
      <c r="E31" s="492"/>
      <c r="F31" s="492"/>
      <c r="G31" s="492"/>
      <c r="H31" s="492"/>
      <c r="I31" s="492"/>
      <c r="J31" s="502"/>
      <c r="K31" s="8"/>
      <c r="L31" s="8"/>
    </row>
    <row r="32" spans="1:13">
      <c r="A32" s="466"/>
      <c r="B32" s="493" t="s">
        <v>14</v>
      </c>
      <c r="C32" s="420"/>
      <c r="D32" s="420"/>
      <c r="E32" s="420"/>
      <c r="F32" s="420"/>
      <c r="G32" s="494"/>
      <c r="H32" s="420"/>
      <c r="I32" s="420"/>
      <c r="J32" s="494"/>
      <c r="K32" s="8"/>
      <c r="L32" s="8"/>
    </row>
    <row r="33" spans="1:12">
      <c r="A33" s="466"/>
      <c r="B33" s="493" t="s">
        <v>89</v>
      </c>
      <c r="C33" s="420"/>
      <c r="D33" s="420"/>
      <c r="E33" s="420"/>
      <c r="F33" s="420"/>
      <c r="G33" s="420"/>
      <c r="H33" s="420"/>
      <c r="I33" s="420"/>
      <c r="J33" s="494"/>
      <c r="K33" s="8"/>
      <c r="L33" s="8"/>
    </row>
    <row r="34" spans="1:12">
      <c r="A34" s="466"/>
      <c r="B34" s="493" t="s">
        <v>90</v>
      </c>
      <c r="C34" s="420"/>
      <c r="D34" s="420"/>
      <c r="E34" s="420"/>
      <c r="F34" s="420"/>
      <c r="G34" s="420"/>
      <c r="H34" s="420"/>
      <c r="I34" s="495"/>
      <c r="J34" s="1106"/>
      <c r="K34" s="8"/>
      <c r="L34" s="8"/>
    </row>
    <row r="35" spans="1:12">
      <c r="A35" s="466"/>
      <c r="B35" s="496" t="s">
        <v>62</v>
      </c>
      <c r="C35" s="497"/>
      <c r="D35" s="497"/>
      <c r="E35" s="497"/>
      <c r="F35" s="497"/>
      <c r="G35" s="497"/>
      <c r="H35" s="498"/>
      <c r="I35" s="499"/>
      <c r="J35" s="499"/>
      <c r="K35" s="291"/>
      <c r="L35" s="291"/>
    </row>
    <row r="36" spans="1:12">
      <c r="A36" s="466"/>
      <c r="B36" s="496" t="s">
        <v>63</v>
      </c>
      <c r="C36" s="498"/>
      <c r="D36" s="498"/>
      <c r="E36" s="498"/>
      <c r="F36" s="498"/>
      <c r="G36" s="498"/>
      <c r="H36" s="498"/>
      <c r="I36" s="499"/>
      <c r="J36" s="1107"/>
      <c r="K36" s="291"/>
      <c r="L36" s="291"/>
    </row>
    <row r="37" spans="1:12">
      <c r="A37" s="466"/>
      <c r="B37" s="496" t="s">
        <v>91</v>
      </c>
      <c r="C37" s="498"/>
      <c r="D37" s="498"/>
      <c r="E37" s="498"/>
      <c r="F37" s="498"/>
      <c r="G37" s="498"/>
      <c r="H37" s="498"/>
      <c r="I37" s="499"/>
      <c r="J37" s="499"/>
      <c r="K37" s="291"/>
      <c r="L37" s="291"/>
    </row>
    <row r="38" spans="1:12">
      <c r="A38" s="466"/>
      <c r="B38" s="496" t="s">
        <v>65</v>
      </c>
      <c r="C38" s="498"/>
      <c r="D38" s="498"/>
      <c r="E38" s="498"/>
      <c r="F38" s="498"/>
      <c r="G38" s="498"/>
      <c r="H38" s="498"/>
      <c r="I38" s="499"/>
      <c r="J38" s="499"/>
      <c r="K38" s="291"/>
      <c r="L38" s="291"/>
    </row>
    <row r="39" spans="1:12">
      <c r="A39" s="466"/>
      <c r="B39" s="496" t="s">
        <v>92</v>
      </c>
      <c r="C39" s="498"/>
      <c r="D39" s="498"/>
      <c r="E39" s="498"/>
      <c r="F39" s="498"/>
      <c r="G39" s="498"/>
      <c r="H39" s="498"/>
      <c r="I39" s="499"/>
      <c r="J39" s="499"/>
      <c r="K39" s="291"/>
      <c r="L39" s="291"/>
    </row>
    <row r="40" spans="1:12">
      <c r="A40" s="466"/>
      <c r="B40" s="498" t="s">
        <v>34</v>
      </c>
      <c r="C40" s="498"/>
      <c r="D40" s="498"/>
      <c r="E40" s="498"/>
      <c r="F40" s="498"/>
      <c r="G40" s="498"/>
      <c r="H40" s="498"/>
      <c r="I40" s="499"/>
      <c r="J40" s="499"/>
      <c r="K40" s="291"/>
      <c r="L40" s="291"/>
    </row>
    <row r="41" spans="1:12">
      <c r="A41" s="466"/>
      <c r="B41" s="500" t="s">
        <v>769</v>
      </c>
      <c r="C41" s="498"/>
      <c r="D41" s="498"/>
      <c r="E41" s="498"/>
      <c r="F41" s="498"/>
      <c r="G41" s="498"/>
      <c r="H41" s="501"/>
      <c r="I41" s="499"/>
      <c r="J41" s="499"/>
      <c r="K41" s="291"/>
      <c r="L41" s="291"/>
    </row>
    <row r="42" spans="1:12">
      <c r="A42" s="466"/>
      <c r="B42" s="494"/>
      <c r="C42" s="494"/>
      <c r="D42" s="494"/>
      <c r="E42" s="494"/>
      <c r="F42" s="494"/>
      <c r="G42" s="494"/>
      <c r="H42" s="502"/>
      <c r="I42" s="502"/>
      <c r="J42" s="502"/>
      <c r="K42" s="8"/>
      <c r="L42" s="8"/>
    </row>
    <row r="43" spans="1:12">
      <c r="A43" s="466"/>
      <c r="B43" s="494"/>
      <c r="C43" s="494"/>
      <c r="D43" s="494"/>
      <c r="E43" s="494"/>
      <c r="F43" s="494"/>
      <c r="G43" s="494"/>
      <c r="H43" s="494"/>
      <c r="I43" s="494"/>
      <c r="J43" s="494"/>
      <c r="K43" s="8"/>
      <c r="L43" s="8"/>
    </row>
    <row r="44" spans="1:12">
      <c r="A44" s="466"/>
      <c r="B44" s="503"/>
      <c r="C44" s="503"/>
      <c r="D44" s="503"/>
      <c r="E44" s="503"/>
      <c r="F44" s="503"/>
      <c r="G44" s="503"/>
      <c r="H44" s="503"/>
      <c r="I44" s="503"/>
      <c r="J44" s="503"/>
    </row>
    <row r="45" spans="1:12">
      <c r="A45" s="466"/>
      <c r="B45" s="503"/>
      <c r="C45" s="503"/>
      <c r="D45" s="503"/>
      <c r="E45" s="503"/>
      <c r="F45" s="503"/>
      <c r="G45" s="503"/>
      <c r="H45" s="503"/>
      <c r="I45" s="503"/>
      <c r="J45" s="503"/>
    </row>
    <row r="46" spans="1:12">
      <c r="A46" s="466"/>
      <c r="B46" s="503"/>
      <c r="C46" s="503"/>
      <c r="D46" s="503"/>
      <c r="E46" s="503"/>
      <c r="F46" s="503"/>
      <c r="G46" s="503"/>
      <c r="H46" s="503"/>
      <c r="I46" s="503"/>
      <c r="J46" s="503"/>
    </row>
    <row r="47" spans="1:12">
      <c r="B47" s="5"/>
      <c r="C47" s="5"/>
      <c r="D47" s="5"/>
      <c r="E47" s="5"/>
      <c r="F47" s="5"/>
      <c r="G47" s="5"/>
      <c r="H47" s="5"/>
      <c r="I47" s="5"/>
    </row>
    <row r="48" spans="1:12">
      <c r="B48" s="5"/>
      <c r="C48" s="5"/>
      <c r="D48" s="5"/>
      <c r="E48" s="5"/>
      <c r="F48" s="5"/>
      <c r="G48" s="5"/>
      <c r="H48" s="5"/>
      <c r="I48" s="5"/>
    </row>
    <row r="49" spans="2:9">
      <c r="B49" s="5"/>
      <c r="C49" s="5"/>
      <c r="D49" s="5"/>
      <c r="E49" s="5"/>
      <c r="F49" s="5"/>
      <c r="G49" s="5"/>
      <c r="H49" s="5"/>
      <c r="I49" s="5"/>
    </row>
    <row r="50" spans="2:9">
      <c r="B50" s="5"/>
      <c r="C50" s="5"/>
      <c r="D50" s="5"/>
      <c r="E50" s="5"/>
      <c r="F50" s="5"/>
      <c r="G50" s="5"/>
      <c r="H50" s="5"/>
      <c r="I50" s="5"/>
    </row>
    <row r="51" spans="2:9">
      <c r="B51" s="5"/>
      <c r="C51" s="5"/>
      <c r="D51" s="5"/>
      <c r="E51" s="5"/>
      <c r="F51" s="5"/>
      <c r="G51" s="5"/>
      <c r="H51" s="5"/>
      <c r="I51" s="5"/>
    </row>
    <row r="52" spans="2:9">
      <c r="B52" s="5"/>
      <c r="C52" s="5"/>
      <c r="D52" s="5"/>
      <c r="E52" s="5"/>
      <c r="F52" s="5"/>
      <c r="G52" s="5"/>
      <c r="H52" s="5"/>
      <c r="I52" s="5"/>
    </row>
    <row r="53" spans="2:9">
      <c r="B53" s="5"/>
      <c r="C53" s="5"/>
      <c r="D53" s="5"/>
      <c r="E53" s="5"/>
      <c r="F53" s="5"/>
      <c r="G53" s="5"/>
      <c r="H53" s="5"/>
      <c r="I53" s="5"/>
    </row>
    <row r="54" spans="2:9">
      <c r="B54" s="5"/>
      <c r="C54" s="5"/>
      <c r="D54" s="5"/>
      <c r="E54" s="5"/>
      <c r="F54" s="5"/>
      <c r="G54" s="5"/>
      <c r="H54" s="5"/>
      <c r="I54" s="5"/>
    </row>
    <row r="55" spans="2:9">
      <c r="B55" s="5"/>
      <c r="C55" s="5"/>
      <c r="D55" s="5"/>
      <c r="E55" s="5"/>
      <c r="F55" s="5"/>
      <c r="G55" s="5"/>
      <c r="H55" s="5"/>
      <c r="I55" s="5"/>
    </row>
    <row r="56" spans="2:9">
      <c r="B56" s="5"/>
      <c r="C56" s="5"/>
      <c r="D56" s="5"/>
      <c r="E56" s="5"/>
      <c r="F56" s="5"/>
      <c r="G56" s="5"/>
      <c r="H56" s="5"/>
      <c r="I56" s="5"/>
    </row>
    <row r="57" spans="2:9">
      <c r="B57" s="5"/>
      <c r="C57" s="5"/>
      <c r="D57" s="5"/>
      <c r="E57" s="5"/>
      <c r="F57" s="5"/>
      <c r="G57" s="5"/>
      <c r="H57" s="5"/>
      <c r="I57" s="5"/>
    </row>
    <row r="58" spans="2:9" s="5" customFormat="1"/>
    <row r="59" spans="2:9" s="5" customFormat="1"/>
    <row r="60" spans="2:9" s="5" customFormat="1"/>
    <row r="61" spans="2:9" s="5" customFormat="1"/>
    <row r="62" spans="2:9" s="5" customFormat="1"/>
    <row r="63" spans="2:9" s="5" customFormat="1"/>
    <row r="64" spans="2:9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</sheetData>
  <phoneticPr fontId="0" type="noConversion"/>
  <hyperlinks>
    <hyperlink ref="J2" location="INDICE!A1" display="VOLVER A INDICE"/>
  </hyperlinks>
  <pageMargins left="0.75" right="0.75" top="1" bottom="1" header="0" footer="0"/>
  <pageSetup scale="7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workbookViewId="0">
      <pane ySplit="8" topLeftCell="A9" activePane="bottomLeft" state="frozen"/>
      <selection pane="bottomLeft" activeCell="L21" sqref="L21"/>
    </sheetView>
  </sheetViews>
  <sheetFormatPr baseColWidth="10" defaultRowHeight="12.75" outlineLevelRow="1"/>
  <cols>
    <col min="1" max="1" width="2.28515625" style="296" customWidth="1"/>
    <col min="2" max="2" width="27.85546875" style="296" customWidth="1"/>
    <col min="3" max="10" width="11.42578125" style="296"/>
    <col min="11" max="24" width="11.42578125" style="3"/>
    <col min="25" max="16384" width="11.42578125" style="296"/>
  </cols>
  <sheetData>
    <row r="1" spans="1:26" ht="7.5" customHeight="1" thickBot="1">
      <c r="A1" s="504"/>
      <c r="B1" s="504"/>
      <c r="C1" s="504"/>
      <c r="D1" s="504"/>
      <c r="E1" s="504"/>
      <c r="F1" s="504"/>
      <c r="G1" s="504"/>
      <c r="H1" s="504"/>
      <c r="I1" s="504"/>
      <c r="J1" s="504"/>
      <c r="K1" s="62"/>
      <c r="L1" s="62"/>
    </row>
    <row r="2" spans="1:26" ht="13.5" thickBot="1">
      <c r="A2" s="504"/>
      <c r="B2" s="569"/>
      <c r="C2" s="570"/>
      <c r="D2" s="570"/>
      <c r="E2" s="570"/>
      <c r="F2" s="570"/>
      <c r="G2" s="570"/>
      <c r="H2" s="570"/>
      <c r="I2" s="570"/>
      <c r="J2" s="571"/>
      <c r="K2" s="62"/>
      <c r="L2" s="62"/>
    </row>
    <row r="3" spans="1:26" ht="15.75">
      <c r="A3" s="504"/>
      <c r="B3" s="605"/>
      <c r="C3" s="606"/>
      <c r="D3" s="606"/>
      <c r="E3" s="607" t="s">
        <v>94</v>
      </c>
      <c r="F3" s="607"/>
      <c r="G3" s="606"/>
      <c r="H3" s="606"/>
      <c r="I3" s="606"/>
      <c r="J3" s="608"/>
      <c r="K3" s="572" t="s">
        <v>649</v>
      </c>
      <c r="L3" s="62"/>
    </row>
    <row r="4" spans="1:26" ht="15.75">
      <c r="A4" s="504"/>
      <c r="B4" s="609"/>
      <c r="C4" s="610"/>
      <c r="D4" s="610"/>
      <c r="E4" s="611" t="s">
        <v>95</v>
      </c>
      <c r="F4" s="611"/>
      <c r="G4" s="610"/>
      <c r="H4" s="610"/>
      <c r="I4" s="610"/>
      <c r="J4" s="612"/>
      <c r="K4" s="613"/>
      <c r="L4" s="62"/>
    </row>
    <row r="5" spans="1:26" ht="15.75">
      <c r="A5" s="504"/>
      <c r="B5" s="609"/>
      <c r="C5" s="610"/>
      <c r="D5" s="610"/>
      <c r="E5" s="611" t="s">
        <v>772</v>
      </c>
      <c r="F5" s="611"/>
      <c r="G5" s="610"/>
      <c r="H5" s="610"/>
      <c r="I5" s="610"/>
      <c r="J5" s="612"/>
      <c r="K5" s="613"/>
      <c r="L5" s="62"/>
    </row>
    <row r="6" spans="1:26" ht="15.75">
      <c r="A6" s="504"/>
      <c r="B6" s="609"/>
      <c r="C6" s="610"/>
      <c r="D6" s="610"/>
      <c r="E6" s="610"/>
      <c r="F6" s="610"/>
      <c r="G6" s="610"/>
      <c r="H6" s="610"/>
      <c r="I6" s="610"/>
      <c r="J6" s="612"/>
      <c r="K6" s="613"/>
      <c r="L6" s="62"/>
    </row>
    <row r="7" spans="1:26" ht="15.75">
      <c r="A7" s="504"/>
      <c r="B7" s="609" t="s">
        <v>23</v>
      </c>
      <c r="C7" s="611" t="s">
        <v>96</v>
      </c>
      <c r="D7" s="611" t="s">
        <v>96</v>
      </c>
      <c r="E7" s="611" t="s">
        <v>96</v>
      </c>
      <c r="F7" s="611" t="s">
        <v>705</v>
      </c>
      <c r="G7" s="611" t="s">
        <v>97</v>
      </c>
      <c r="H7" s="611" t="s">
        <v>97</v>
      </c>
      <c r="I7" s="611" t="s">
        <v>98</v>
      </c>
      <c r="J7" s="614"/>
      <c r="K7" s="613"/>
      <c r="L7" s="62"/>
    </row>
    <row r="8" spans="1:26" ht="16.5" thickBot="1">
      <c r="A8" s="504"/>
      <c r="B8" s="615"/>
      <c r="C8" s="616" t="s">
        <v>99</v>
      </c>
      <c r="D8" s="616" t="s">
        <v>100</v>
      </c>
      <c r="E8" s="616" t="s">
        <v>101</v>
      </c>
      <c r="F8" s="616" t="s">
        <v>706</v>
      </c>
      <c r="G8" s="616" t="s">
        <v>102</v>
      </c>
      <c r="H8" s="616" t="s">
        <v>103</v>
      </c>
      <c r="I8" s="616" t="s">
        <v>104</v>
      </c>
      <c r="J8" s="617"/>
      <c r="K8" s="618"/>
      <c r="L8" s="62"/>
    </row>
    <row r="9" spans="1:26" ht="16.5" customHeight="1">
      <c r="A9" s="504"/>
      <c r="B9" s="635" t="s">
        <v>105</v>
      </c>
      <c r="C9" s="619">
        <f t="shared" ref="C9:I9" si="0">SUM(C10:C18)</f>
        <v>89436.957822087381</v>
      </c>
      <c r="D9" s="619">
        <f t="shared" si="0"/>
        <v>35828.498567175033</v>
      </c>
      <c r="E9" s="619">
        <f t="shared" si="0"/>
        <v>13243.989828514479</v>
      </c>
      <c r="F9" s="619">
        <f t="shared" si="0"/>
        <v>6802.2281732730007</v>
      </c>
      <c r="G9" s="619">
        <f t="shared" si="0"/>
        <v>145311.67439104986</v>
      </c>
      <c r="H9" s="619">
        <f t="shared" si="0"/>
        <v>30462.917388016071</v>
      </c>
      <c r="I9" s="619">
        <f t="shared" si="0"/>
        <v>175774.59177906596</v>
      </c>
      <c r="J9" s="620"/>
      <c r="K9" s="618"/>
      <c r="L9" s="62"/>
      <c r="Y9" s="3"/>
      <c r="Z9" s="3"/>
    </row>
    <row r="10" spans="1:26" ht="16.5" customHeight="1" outlineLevel="1">
      <c r="A10" s="504"/>
      <c r="B10" s="636" t="s">
        <v>75</v>
      </c>
      <c r="C10" s="621">
        <f>CONS_TERAC!D12</f>
        <v>14990.2366117455</v>
      </c>
      <c r="D10" s="621">
        <f>CONS_TERAC!D26</f>
        <v>9684.0364822079118</v>
      </c>
      <c r="E10" s="621">
        <f>CONS_TERAC!D33</f>
        <v>628.90685346300006</v>
      </c>
      <c r="F10" s="621">
        <f>CONS_TERAC!D44</f>
        <v>658.43066599999997</v>
      </c>
      <c r="G10" s="621">
        <f t="shared" ref="G10:G28" si="1">SUM(C10:F10)</f>
        <v>25961.610613416411</v>
      </c>
      <c r="H10" s="464">
        <f>CONS_TERAC!D57</f>
        <v>3094.6209409195867</v>
      </c>
      <c r="I10" s="621">
        <f t="shared" ref="I10:I28" si="2">G10+H10</f>
        <v>29056.231554335998</v>
      </c>
      <c r="J10" s="622"/>
      <c r="K10" s="623"/>
      <c r="L10" s="62"/>
      <c r="Y10" s="3"/>
      <c r="Z10" s="3"/>
    </row>
    <row r="11" spans="1:26" ht="16.5" customHeight="1" outlineLevel="1">
      <c r="A11" s="504"/>
      <c r="B11" s="636" t="s">
        <v>76</v>
      </c>
      <c r="C11" s="621">
        <f>CONS_TERAC!C12</f>
        <v>39115.354909756679</v>
      </c>
      <c r="D11" s="621">
        <f>CONS_TERAC!C26</f>
        <v>22361.74692975224</v>
      </c>
      <c r="E11" s="621">
        <f>CONS_TERAC!C33</f>
        <v>1815.7249741478397</v>
      </c>
      <c r="F11" s="621">
        <f>CONS_TERAC!C44</f>
        <v>292.28947843200001</v>
      </c>
      <c r="G11" s="621">
        <f t="shared" si="1"/>
        <v>63585.116292088758</v>
      </c>
      <c r="H11" s="464">
        <f>CONS_TERAC!C57</f>
        <v>26202.253806596196</v>
      </c>
      <c r="I11" s="621">
        <f t="shared" si="2"/>
        <v>89787.370098684958</v>
      </c>
      <c r="J11" s="622"/>
      <c r="K11" s="623"/>
      <c r="L11" s="62"/>
      <c r="Y11" s="3"/>
      <c r="Z11" s="3"/>
    </row>
    <row r="12" spans="1:26" ht="16.5" customHeight="1" outlineLevel="1">
      <c r="A12" s="504"/>
      <c r="B12" s="634" t="s">
        <v>811</v>
      </c>
      <c r="C12" s="621">
        <f>CONS_TERAC!E12</f>
        <v>25730.82059459656</v>
      </c>
      <c r="D12" s="621">
        <f>CONS_TERAC!E26</f>
        <v>0</v>
      </c>
      <c r="E12" s="621">
        <f>CONS_TERAC!E33</f>
        <v>0</v>
      </c>
      <c r="F12" s="621">
        <f>CONS_TERAC!E44</f>
        <v>0.98766079999999989</v>
      </c>
      <c r="G12" s="621">
        <f t="shared" si="1"/>
        <v>25731.808255396561</v>
      </c>
      <c r="H12" s="464">
        <f>CONS_TERAC!E57</f>
        <v>0</v>
      </c>
      <c r="I12" s="621">
        <f t="shared" si="2"/>
        <v>25731.808255396561</v>
      </c>
      <c r="J12" s="622"/>
      <c r="K12" s="623"/>
      <c r="L12" s="62"/>
      <c r="Y12" s="3"/>
      <c r="Z12" s="3"/>
    </row>
    <row r="13" spans="1:26" ht="16.5" customHeight="1" outlineLevel="1">
      <c r="A13" s="504"/>
      <c r="B13" s="636" t="s">
        <v>77</v>
      </c>
      <c r="C13" s="621">
        <f>CONS_TERAC!F12</f>
        <v>13.949536500000001</v>
      </c>
      <c r="D13" s="621">
        <f>CONS_TERAC!F26</f>
        <v>285.95282094000004</v>
      </c>
      <c r="E13" s="621">
        <f>CONS_TERAC!F33</f>
        <v>577.12246283700006</v>
      </c>
      <c r="F13" s="621">
        <f>CONS_TERAC!F44</f>
        <v>0</v>
      </c>
      <c r="G13" s="621">
        <f t="shared" si="1"/>
        <v>877.02482027700012</v>
      </c>
      <c r="H13" s="464">
        <f>CONS_TERAC!F57</f>
        <v>0</v>
      </c>
      <c r="I13" s="621">
        <f t="shared" si="2"/>
        <v>877.02482027700012</v>
      </c>
      <c r="J13" s="622"/>
      <c r="K13" s="623"/>
      <c r="L13" s="62"/>
      <c r="Y13" s="3"/>
      <c r="Z13" s="3"/>
    </row>
    <row r="14" spans="1:26" ht="16.5" customHeight="1" outlineLevel="1">
      <c r="A14" s="504"/>
      <c r="B14" s="636" t="s">
        <v>78</v>
      </c>
      <c r="C14" s="621">
        <f>CONS_TERAC!G12</f>
        <v>35.91767244263</v>
      </c>
      <c r="D14" s="621">
        <f>CONS_TERAC!G26</f>
        <v>3475.4786927748787</v>
      </c>
      <c r="E14" s="621">
        <f>CONS_TERAC!G33</f>
        <v>10222.235538066639</v>
      </c>
      <c r="F14" s="621">
        <f>CONS_TERAC!G44</f>
        <v>1316.2451781609998</v>
      </c>
      <c r="G14" s="621">
        <f t="shared" si="1"/>
        <v>15049.877081445149</v>
      </c>
      <c r="H14" s="464">
        <f>CONS_TERAC!G57</f>
        <v>994.54454491753222</v>
      </c>
      <c r="I14" s="621">
        <f t="shared" si="2"/>
        <v>16044.42162636268</v>
      </c>
      <c r="J14" s="622"/>
      <c r="K14" s="623"/>
      <c r="L14" s="62"/>
      <c r="Y14" s="3"/>
      <c r="Z14" s="3"/>
    </row>
    <row r="15" spans="1:26" ht="16.5" customHeight="1" outlineLevel="1">
      <c r="A15" s="504"/>
      <c r="B15" s="636" t="s">
        <v>79</v>
      </c>
      <c r="C15" s="621">
        <f>CONS_TERAC!H12</f>
        <v>47.243467319999993</v>
      </c>
      <c r="D15" s="621">
        <f>CONS_TERAC!H26</f>
        <v>0</v>
      </c>
      <c r="E15" s="621">
        <f>CONS_TERAC!H33</f>
        <v>0</v>
      </c>
      <c r="F15" s="621">
        <f>CONS_TERAC!H44</f>
        <v>0</v>
      </c>
      <c r="G15" s="621">
        <f t="shared" si="1"/>
        <v>47.243467319999993</v>
      </c>
      <c r="H15" s="464">
        <f>CONS_TERAC!H57</f>
        <v>0</v>
      </c>
      <c r="I15" s="621">
        <f t="shared" si="2"/>
        <v>47.243467319999993</v>
      </c>
      <c r="J15" s="622"/>
      <c r="K15" s="623"/>
      <c r="L15" s="62"/>
      <c r="Y15" s="3"/>
      <c r="Z15" s="3"/>
    </row>
    <row r="16" spans="1:26" ht="16.5" customHeight="1" outlineLevel="1">
      <c r="A16" s="504"/>
      <c r="B16" s="636" t="s">
        <v>80</v>
      </c>
      <c r="C16" s="621">
        <f>CONS_TERAC!I12</f>
        <v>9500.9747887260019</v>
      </c>
      <c r="D16" s="621">
        <f>CONS_TERAC!I26</f>
        <v>0</v>
      </c>
      <c r="E16" s="621">
        <f>CONS_TERAC!I33</f>
        <v>0</v>
      </c>
      <c r="F16" s="621">
        <f>CONS_TERAC!I44</f>
        <v>0</v>
      </c>
      <c r="G16" s="621">
        <f t="shared" si="1"/>
        <v>9500.9747887260019</v>
      </c>
      <c r="H16" s="464">
        <f>CONS_TERAC!I57</f>
        <v>0</v>
      </c>
      <c r="I16" s="621">
        <f t="shared" si="2"/>
        <v>9500.9747887260019</v>
      </c>
      <c r="J16" s="622"/>
      <c r="K16" s="623"/>
      <c r="L16" s="62"/>
      <c r="Y16" s="3"/>
      <c r="Z16" s="3"/>
    </row>
    <row r="17" spans="1:26" ht="16.5" customHeight="1" outlineLevel="1">
      <c r="A17" s="504"/>
      <c r="B17" s="636" t="s">
        <v>81</v>
      </c>
      <c r="C17" s="621">
        <f>CONS_TERAC!J12</f>
        <v>2.4602409999999999</v>
      </c>
      <c r="D17" s="621">
        <f>CONS_TERAC!J26</f>
        <v>18.209341500000001</v>
      </c>
      <c r="E17" s="621">
        <f>CONS_TERAC!J33</f>
        <v>0</v>
      </c>
      <c r="F17" s="621">
        <f>CONS_TERAC!J44</f>
        <v>1123.786762</v>
      </c>
      <c r="G17" s="621">
        <f t="shared" si="1"/>
        <v>1144.4563444999999</v>
      </c>
      <c r="H17" s="464">
        <f>CONS_TERAC!J57</f>
        <v>3.4614999999999993E-2</v>
      </c>
      <c r="I17" s="621">
        <f t="shared" si="2"/>
        <v>1144.4909594999999</v>
      </c>
      <c r="J17" s="622"/>
      <c r="K17" s="623"/>
      <c r="L17" s="62"/>
      <c r="Y17" s="3"/>
      <c r="Z17" s="3"/>
    </row>
    <row r="18" spans="1:26" ht="16.5" customHeight="1" outlineLevel="1">
      <c r="A18" s="504"/>
      <c r="B18" s="636" t="s">
        <v>82</v>
      </c>
      <c r="C18" s="621">
        <f>CONS_TERAC!K12</f>
        <v>0</v>
      </c>
      <c r="D18" s="621">
        <f>CONS_TERAC!K26</f>
        <v>3.0743</v>
      </c>
      <c r="E18" s="621">
        <f>CONS_TERAC!K33</f>
        <v>0</v>
      </c>
      <c r="F18" s="621">
        <f>CONS_TERAC!K44</f>
        <v>3410.4884278800005</v>
      </c>
      <c r="G18" s="621">
        <f t="shared" si="1"/>
        <v>3413.5627278800007</v>
      </c>
      <c r="H18" s="464">
        <f>CONS_TERAC!K57</f>
        <v>171.46348058275498</v>
      </c>
      <c r="I18" s="621">
        <f t="shared" si="2"/>
        <v>3585.0262084627557</v>
      </c>
      <c r="J18" s="622"/>
      <c r="K18" s="623"/>
      <c r="L18" s="62"/>
      <c r="Y18" s="3"/>
      <c r="Z18" s="3"/>
    </row>
    <row r="19" spans="1:26" ht="16.5" customHeight="1">
      <c r="A19" s="504"/>
      <c r="B19" s="637" t="s">
        <v>38</v>
      </c>
      <c r="C19" s="619">
        <f>CONS_TERAC!M12</f>
        <v>366.66327980292283</v>
      </c>
      <c r="D19" s="619">
        <f>CONS_TERAC!M26</f>
        <v>31504.953697691853</v>
      </c>
      <c r="E19" s="619">
        <f>CONS_TERAC!M33</f>
        <v>14091.425067648277</v>
      </c>
      <c r="F19" s="619">
        <f>CONS_TERAC!M44</f>
        <v>2005.5664315159718</v>
      </c>
      <c r="G19" s="619">
        <f t="shared" si="1"/>
        <v>47968.608476659028</v>
      </c>
      <c r="H19" s="485">
        <f>CONS_TERAC!M57</f>
        <v>0</v>
      </c>
      <c r="I19" s="619">
        <f t="shared" si="2"/>
        <v>47968.608476659028</v>
      </c>
      <c r="J19" s="622"/>
      <c r="K19" s="623"/>
      <c r="L19" s="62"/>
      <c r="Y19" s="3"/>
      <c r="Z19" s="3"/>
    </row>
    <row r="20" spans="1:26" ht="16.5" customHeight="1">
      <c r="A20" s="504"/>
      <c r="B20" s="637" t="s">
        <v>83</v>
      </c>
      <c r="C20" s="619">
        <f>CONS_TERAC!N12</f>
        <v>0.19040000000000001</v>
      </c>
      <c r="D20" s="619">
        <f>CONS_TERAC!N26</f>
        <v>3948.8956068155503</v>
      </c>
      <c r="E20" s="619">
        <f>CONS_TERAC!N33</f>
        <v>43.861087290898759</v>
      </c>
      <c r="F20" s="619">
        <f>CONS_TERAC!N44</f>
        <v>0</v>
      </c>
      <c r="G20" s="619">
        <f t="shared" si="1"/>
        <v>3992.9470941064492</v>
      </c>
      <c r="H20" s="485">
        <f>CONS_TERAC!N57</f>
        <v>39702.255552750641</v>
      </c>
      <c r="I20" s="619">
        <f t="shared" si="2"/>
        <v>43695.202646857091</v>
      </c>
      <c r="J20" s="622"/>
      <c r="K20" s="623"/>
      <c r="L20" s="62"/>
      <c r="Y20" s="3"/>
      <c r="Z20" s="3"/>
    </row>
    <row r="21" spans="1:26" ht="16.5" customHeight="1">
      <c r="A21" s="504"/>
      <c r="B21" s="637" t="s">
        <v>84</v>
      </c>
      <c r="C21" s="619">
        <f>CONS_TERAC!O12</f>
        <v>0</v>
      </c>
      <c r="D21" s="619">
        <f>CONS_TERAC!O26</f>
        <v>2922.1378696858251</v>
      </c>
      <c r="E21" s="619">
        <f>CONS_TERAC!O33</f>
        <v>0</v>
      </c>
      <c r="F21" s="619">
        <f>CONS_TERAC!O44</f>
        <v>0</v>
      </c>
      <c r="G21" s="619">
        <f t="shared" si="1"/>
        <v>2922.1378696858251</v>
      </c>
      <c r="H21" s="485">
        <f>CONS_TERAC!O57</f>
        <v>6073.4116500000009</v>
      </c>
      <c r="I21" s="619">
        <f t="shared" si="2"/>
        <v>8995.5495196858265</v>
      </c>
      <c r="J21" s="622"/>
      <c r="K21" s="623"/>
      <c r="L21" s="62"/>
      <c r="Y21" s="3"/>
      <c r="Z21" s="3"/>
    </row>
    <row r="22" spans="1:26" ht="16.5" customHeight="1">
      <c r="A22" s="504"/>
      <c r="B22" s="637" t="s">
        <v>85</v>
      </c>
      <c r="C22" s="619">
        <f>CONS_TERAC!P12</f>
        <v>0</v>
      </c>
      <c r="D22" s="619">
        <f>CONS_TERAC!P26</f>
        <v>0</v>
      </c>
      <c r="E22" s="619">
        <f>CONS_TERAC!P33</f>
        <v>0</v>
      </c>
      <c r="F22" s="619">
        <f>CONS_TERAC!P44</f>
        <v>176.03299999999999</v>
      </c>
      <c r="G22" s="619">
        <f t="shared" si="1"/>
        <v>176.03299999999999</v>
      </c>
      <c r="H22" s="485">
        <f>CONS_TERAC!P57</f>
        <v>0</v>
      </c>
      <c r="I22" s="619">
        <f t="shared" si="2"/>
        <v>176.03299999999999</v>
      </c>
      <c r="J22" s="622"/>
      <c r="K22" s="623"/>
      <c r="L22" s="62"/>
      <c r="Y22" s="3"/>
      <c r="Z22" s="3"/>
    </row>
    <row r="23" spans="1:26" ht="16.5" customHeight="1">
      <c r="A23" s="504"/>
      <c r="B23" s="637" t="s">
        <v>40</v>
      </c>
      <c r="C23" s="619">
        <f>CONS_TERAC!Q12</f>
        <v>0</v>
      </c>
      <c r="D23" s="619">
        <f>CONS_TERAC!Q26</f>
        <v>748.90588981446251</v>
      </c>
      <c r="E23" s="619">
        <f>CONS_TERAC!Q33</f>
        <v>254.7344125749043</v>
      </c>
      <c r="F23" s="619">
        <f>CONS_TERAC!Q44</f>
        <v>342.96311018553746</v>
      </c>
      <c r="G23" s="619">
        <f t="shared" si="1"/>
        <v>1346.6034125749043</v>
      </c>
      <c r="H23" s="485">
        <f>CONS_TERAC!Q57</f>
        <v>0</v>
      </c>
      <c r="I23" s="619">
        <f t="shared" si="2"/>
        <v>1346.6034125749043</v>
      </c>
      <c r="J23" s="622"/>
      <c r="K23" s="623"/>
      <c r="L23" s="62"/>
      <c r="Y23" s="3"/>
      <c r="Z23" s="3"/>
    </row>
    <row r="24" spans="1:26" ht="16.5" customHeight="1">
      <c r="A24" s="504"/>
      <c r="B24" s="637" t="s">
        <v>87</v>
      </c>
      <c r="C24" s="619">
        <f>CONS_TERAC!R12</f>
        <v>0</v>
      </c>
      <c r="D24" s="619">
        <f>CONS_TERAC!R26</f>
        <v>175.06315199999997</v>
      </c>
      <c r="E24" s="619">
        <f>CONS_TERAC!R33</f>
        <v>0</v>
      </c>
      <c r="F24" s="619">
        <f>CONS_TERAC!R44</f>
        <v>825.46900000000005</v>
      </c>
      <c r="G24" s="619">
        <f t="shared" si="1"/>
        <v>1000.532152</v>
      </c>
      <c r="H24" s="485">
        <f>CONS_TERAC!R57</f>
        <v>0</v>
      </c>
      <c r="I24" s="619">
        <f t="shared" si="2"/>
        <v>1000.532152</v>
      </c>
      <c r="J24" s="622"/>
      <c r="K24" s="623"/>
      <c r="L24" s="62"/>
      <c r="Y24" s="3"/>
      <c r="Z24" s="3"/>
    </row>
    <row r="25" spans="1:26" ht="16.5" customHeight="1">
      <c r="A25" s="504"/>
      <c r="B25" s="637" t="s">
        <v>88</v>
      </c>
      <c r="C25" s="619">
        <f>CONS_TERAC!S12</f>
        <v>143.62281876539927</v>
      </c>
      <c r="D25" s="619">
        <f>CONS_TERAC!S26</f>
        <v>664.72789555519751</v>
      </c>
      <c r="E25" s="619">
        <f>CONS_TERAC!S33</f>
        <v>5233.8442030654014</v>
      </c>
      <c r="F25" s="619">
        <f>CONS_TERAC!S44</f>
        <v>12.657411704032596</v>
      </c>
      <c r="G25" s="619">
        <f t="shared" si="1"/>
        <v>6054.8523290900312</v>
      </c>
      <c r="H25" s="485">
        <f>CONS_TERAC!S57</f>
        <v>18560.82070974827</v>
      </c>
      <c r="I25" s="619">
        <f t="shared" si="2"/>
        <v>24615.6730388383</v>
      </c>
      <c r="J25" s="622"/>
      <c r="K25" s="623"/>
      <c r="L25" s="62"/>
      <c r="Y25" s="3"/>
      <c r="Z25" s="3"/>
    </row>
    <row r="26" spans="1:26" ht="16.5" customHeight="1">
      <c r="A26" s="504"/>
      <c r="B26" s="637" t="s">
        <v>42</v>
      </c>
      <c r="C26" s="619">
        <f>CONS_TERAC!T12</f>
        <v>0</v>
      </c>
      <c r="D26" s="619">
        <f>CONS_TERAC!T26</f>
        <v>516.3526738600001</v>
      </c>
      <c r="E26" s="619">
        <f>CONS_TERAC!T33</f>
        <v>0</v>
      </c>
      <c r="F26" s="619">
        <f>CONS_TERAC!T44</f>
        <v>0</v>
      </c>
      <c r="G26" s="619">
        <f t="shared" si="1"/>
        <v>516.3526738600001</v>
      </c>
      <c r="H26" s="485">
        <f>CONS_TERAC!T57</f>
        <v>0</v>
      </c>
      <c r="I26" s="619">
        <f t="shared" si="2"/>
        <v>516.3526738600001</v>
      </c>
      <c r="J26" s="622"/>
      <c r="K26" s="623"/>
      <c r="L26" s="62"/>
      <c r="Y26" s="3"/>
      <c r="Z26" s="3"/>
    </row>
    <row r="27" spans="1:26" ht="16.5" customHeight="1">
      <c r="A27" s="504"/>
      <c r="B27" s="637" t="s">
        <v>29</v>
      </c>
      <c r="C27" s="619">
        <f>CONS_TERAC!V12</f>
        <v>0</v>
      </c>
      <c r="D27" s="619">
        <f>CONS_TERAC!V26</f>
        <v>16272.219563176368</v>
      </c>
      <c r="E27" s="619">
        <f>CONS_TERAC!V33</f>
        <v>29505.216625181194</v>
      </c>
      <c r="F27" s="619">
        <f>CONS_TERAC!V44</f>
        <v>0</v>
      </c>
      <c r="G27" s="619">
        <f t="shared" si="1"/>
        <v>45777.436188357562</v>
      </c>
      <c r="H27" s="485">
        <f>CONS_TERAC!V57</f>
        <v>5392.1421366367413</v>
      </c>
      <c r="I27" s="619">
        <f t="shared" si="2"/>
        <v>51169.578324994305</v>
      </c>
      <c r="J27" s="622"/>
      <c r="K27" s="623"/>
      <c r="L27" s="62"/>
      <c r="Y27" s="3"/>
      <c r="Z27" s="3"/>
    </row>
    <row r="28" spans="1:26" ht="16.5" customHeight="1">
      <c r="A28" s="504"/>
      <c r="B28" s="637" t="s">
        <v>30</v>
      </c>
      <c r="C28" s="619">
        <v>0</v>
      </c>
      <c r="D28" s="619">
        <v>0</v>
      </c>
      <c r="E28" s="619">
        <v>0</v>
      </c>
      <c r="F28" s="619">
        <v>0</v>
      </c>
      <c r="G28" s="619">
        <f t="shared" si="1"/>
        <v>0</v>
      </c>
      <c r="H28" s="485">
        <v>0</v>
      </c>
      <c r="I28" s="619">
        <f t="shared" si="2"/>
        <v>0</v>
      </c>
      <c r="J28" s="622"/>
      <c r="K28" s="623"/>
      <c r="L28" s="62"/>
      <c r="Y28" s="3"/>
      <c r="Z28" s="3"/>
    </row>
    <row r="29" spans="1:26">
      <c r="A29" s="504"/>
      <c r="B29" s="638" t="s">
        <v>31</v>
      </c>
      <c r="C29" s="624">
        <f t="shared" ref="C29:I29" si="3">C9+SUM(C19:C28)</f>
        <v>89947.43432065571</v>
      </c>
      <c r="D29" s="624">
        <f t="shared" si="3"/>
        <v>92581.754915774291</v>
      </c>
      <c r="E29" s="624">
        <f t="shared" si="3"/>
        <v>62373.071224275154</v>
      </c>
      <c r="F29" s="624">
        <f t="shared" si="3"/>
        <v>10164.917126678543</v>
      </c>
      <c r="G29" s="624">
        <f t="shared" si="3"/>
        <v>255067.17758738366</v>
      </c>
      <c r="H29" s="624">
        <f t="shared" si="3"/>
        <v>100191.54743715172</v>
      </c>
      <c r="I29" s="624">
        <f t="shared" si="3"/>
        <v>355258.72502453544</v>
      </c>
      <c r="J29" s="625"/>
      <c r="K29" s="623"/>
      <c r="L29" s="62"/>
      <c r="Y29" s="3"/>
      <c r="Z29" s="3"/>
    </row>
    <row r="30" spans="1:26" ht="13.5" thickBot="1">
      <c r="A30" s="504"/>
      <c r="B30" s="626"/>
      <c r="C30" s="627"/>
      <c r="D30" s="627"/>
      <c r="E30" s="627"/>
      <c r="F30" s="627"/>
      <c r="G30" s="627"/>
      <c r="H30" s="627"/>
      <c r="I30" s="627"/>
      <c r="J30" s="628"/>
      <c r="K30" s="623"/>
      <c r="L30" s="62"/>
      <c r="Y30" s="3"/>
      <c r="Z30" s="3"/>
    </row>
    <row r="31" spans="1:26" s="3" customFormat="1">
      <c r="A31" s="62"/>
      <c r="B31" s="493" t="s">
        <v>14</v>
      </c>
      <c r="C31" s="630"/>
      <c r="D31" s="630"/>
      <c r="E31" s="630"/>
      <c r="F31" s="630"/>
      <c r="G31" s="631"/>
      <c r="H31" s="632"/>
      <c r="I31" s="420"/>
      <c r="J31" s="633"/>
      <c r="K31" s="494"/>
      <c r="L31" s="62"/>
    </row>
    <row r="32" spans="1:26" s="3" customFormat="1">
      <c r="A32" s="62"/>
      <c r="B32" s="629" t="s">
        <v>89</v>
      </c>
      <c r="C32" s="630"/>
      <c r="D32" s="630"/>
      <c r="E32" s="630"/>
      <c r="F32" s="630"/>
      <c r="G32" s="630"/>
      <c r="H32" s="630"/>
      <c r="I32" s="630"/>
      <c r="J32" s="630"/>
      <c r="K32" s="632"/>
      <c r="L32" s="62"/>
    </row>
    <row r="33" spans="1:12">
      <c r="A33" s="62"/>
      <c r="B33" s="629" t="s">
        <v>90</v>
      </c>
      <c r="C33" s="630"/>
      <c r="D33" s="630"/>
      <c r="E33" s="630"/>
      <c r="F33" s="630"/>
      <c r="G33" s="630"/>
      <c r="H33" s="630"/>
      <c r="I33" s="630"/>
      <c r="J33" s="630"/>
      <c r="K33" s="632"/>
      <c r="L33" s="62"/>
    </row>
    <row r="34" spans="1:12">
      <c r="A34" s="62"/>
      <c r="B34" s="524" t="s">
        <v>62</v>
      </c>
      <c r="C34" s="532"/>
      <c r="D34" s="533"/>
      <c r="E34" s="533"/>
      <c r="F34" s="533"/>
      <c r="G34" s="533"/>
      <c r="H34" s="497"/>
      <c r="I34" s="500"/>
      <c r="J34" s="459"/>
      <c r="K34" s="459"/>
      <c r="L34" s="62"/>
    </row>
    <row r="35" spans="1:12">
      <c r="A35" s="62"/>
      <c r="B35" s="524" t="s">
        <v>63</v>
      </c>
      <c r="C35" s="500"/>
      <c r="D35" s="500"/>
      <c r="E35" s="500"/>
      <c r="F35" s="500"/>
      <c r="G35" s="500"/>
      <c r="H35" s="500"/>
      <c r="I35" s="500"/>
      <c r="J35" s="459"/>
      <c r="K35" s="459"/>
      <c r="L35" s="62"/>
    </row>
    <row r="36" spans="1:12">
      <c r="A36" s="62"/>
      <c r="B36" s="524" t="s">
        <v>720</v>
      </c>
      <c r="C36" s="500"/>
      <c r="D36" s="500"/>
      <c r="E36" s="500"/>
      <c r="F36" s="500"/>
      <c r="G36" s="500"/>
      <c r="H36" s="500"/>
      <c r="I36" s="500"/>
      <c r="J36" s="459"/>
      <c r="K36" s="459"/>
      <c r="L36" s="62"/>
    </row>
    <row r="37" spans="1:12">
      <c r="A37" s="62"/>
      <c r="B37" s="524" t="s">
        <v>721</v>
      </c>
      <c r="C37" s="500"/>
      <c r="D37" s="500"/>
      <c r="E37" s="500"/>
      <c r="F37" s="500"/>
      <c r="G37" s="500"/>
      <c r="H37" s="500"/>
      <c r="I37" s="500"/>
      <c r="J37" s="459"/>
      <c r="K37" s="459"/>
      <c r="L37" s="62"/>
    </row>
    <row r="38" spans="1:12">
      <c r="A38" s="62"/>
      <c r="B38" s="524" t="s">
        <v>719</v>
      </c>
      <c r="C38" s="500"/>
      <c r="D38" s="500"/>
      <c r="E38" s="500"/>
      <c r="F38" s="500"/>
      <c r="G38" s="500"/>
      <c r="H38" s="500"/>
      <c r="I38" s="500"/>
      <c r="J38" s="459"/>
      <c r="K38" s="459"/>
      <c r="L38" s="62"/>
    </row>
    <row r="39" spans="1:12">
      <c r="A39" s="62"/>
      <c r="B39" s="500" t="s">
        <v>34</v>
      </c>
      <c r="C39" s="500"/>
      <c r="D39" s="500"/>
      <c r="E39" s="500"/>
      <c r="F39" s="500"/>
      <c r="G39" s="500"/>
      <c r="H39" s="500"/>
      <c r="I39" s="500"/>
      <c r="J39" s="459"/>
      <c r="K39" s="459"/>
      <c r="L39" s="62"/>
    </row>
    <row r="40" spans="1:12">
      <c r="A40" s="62"/>
      <c r="B40" s="500" t="s">
        <v>769</v>
      </c>
      <c r="C40" s="500"/>
      <c r="D40" s="500"/>
      <c r="E40" s="500"/>
      <c r="F40" s="500"/>
      <c r="G40" s="500"/>
      <c r="H40" s="500"/>
      <c r="I40" s="500"/>
      <c r="J40" s="459"/>
      <c r="K40" s="459"/>
      <c r="L40" s="62"/>
    </row>
    <row r="41" spans="1:12">
      <c r="A41" s="62"/>
      <c r="B41" s="618"/>
      <c r="C41" s="618"/>
      <c r="D41" s="618"/>
      <c r="E41" s="618"/>
      <c r="F41" s="618"/>
      <c r="G41" s="618"/>
      <c r="H41" s="618"/>
      <c r="I41" s="618"/>
      <c r="J41" s="618"/>
      <c r="K41" s="618"/>
      <c r="L41" s="62"/>
    </row>
    <row r="42" spans="1:12">
      <c r="A42" s="62"/>
      <c r="B42" s="618"/>
      <c r="C42" s="618"/>
      <c r="D42" s="618"/>
      <c r="E42" s="618"/>
      <c r="F42" s="618"/>
      <c r="G42" s="618"/>
      <c r="H42" s="618"/>
      <c r="I42" s="618"/>
      <c r="J42" s="618"/>
      <c r="K42" s="618"/>
      <c r="L42" s="62"/>
    </row>
    <row r="43" spans="1:12">
      <c r="A43" s="62"/>
      <c r="B43" s="618"/>
      <c r="C43" s="618"/>
      <c r="D43" s="618"/>
      <c r="E43" s="618"/>
      <c r="F43" s="618"/>
      <c r="G43" s="618"/>
      <c r="H43" s="618"/>
      <c r="I43" s="618"/>
      <c r="J43" s="618"/>
      <c r="K43" s="618"/>
      <c r="L43" s="62"/>
    </row>
    <row r="44" spans="1:1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</row>
    <row r="45" spans="1:1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</row>
    <row r="46" spans="1:1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</sheetData>
  <phoneticPr fontId="0" type="noConversion"/>
  <hyperlinks>
    <hyperlink ref="K3" location="INDICE!A1" display="VOLVER A INDICE"/>
  </hyperlinks>
  <pageMargins left="0.75" right="0.75" top="1" bottom="1" header="0" footer="0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4</vt:i4>
      </vt:variant>
    </vt:vector>
  </HeadingPairs>
  <TitlesOfParts>
    <vt:vector size="41" baseType="lpstr">
      <vt:lpstr>TAPA</vt:lpstr>
      <vt:lpstr>INTRO</vt:lpstr>
      <vt:lpstr>INDICE</vt:lpstr>
      <vt:lpstr>CUADRO1</vt:lpstr>
      <vt:lpstr>CUADRO2</vt:lpstr>
      <vt:lpstr>CUADRO3</vt:lpstr>
      <vt:lpstr>CUADRO3B</vt:lpstr>
      <vt:lpstr>CUADRO4</vt:lpstr>
      <vt:lpstr>CUADRO5</vt:lpstr>
      <vt:lpstr>CUADRO6</vt:lpstr>
      <vt:lpstr>CUADRO7</vt:lpstr>
      <vt:lpstr>CUADRO8</vt:lpstr>
      <vt:lpstr>CUADRO9</vt:lpstr>
      <vt:lpstr>CUADRO10</vt:lpstr>
      <vt:lpstr>CUADRO11</vt:lpstr>
      <vt:lpstr>CONS_TERAC</vt:lpstr>
      <vt:lpstr>BALANCE</vt:lpstr>
      <vt:lpstr>CUADRO12</vt:lpstr>
      <vt:lpstr>CUADRO13</vt:lpstr>
      <vt:lpstr>CUADRO14</vt:lpstr>
      <vt:lpstr>CUADRO15</vt:lpstr>
      <vt:lpstr>CUADRO16</vt:lpstr>
      <vt:lpstr>CUADRO17</vt:lpstr>
      <vt:lpstr>CUADRO18</vt:lpstr>
      <vt:lpstr>CUADRO19</vt:lpstr>
      <vt:lpstr>CUADRO20</vt:lpstr>
      <vt:lpstr>CONS_U.FIS</vt:lpstr>
      <vt:lpstr>CUADRO21</vt:lpstr>
      <vt:lpstr>CUADRO22</vt:lpstr>
      <vt:lpstr>BAL-OLADE</vt:lpstr>
      <vt:lpstr>BAL-APEC</vt:lpstr>
      <vt:lpstr>BAL-MERCOSUR</vt:lpstr>
      <vt:lpstr>BALANCE_ELECT</vt:lpstr>
      <vt:lpstr>CAPACIDADES</vt:lpstr>
      <vt:lpstr>GENERACION EE</vt:lpstr>
      <vt:lpstr>CUADROA2</vt:lpstr>
      <vt:lpstr>CUADROA3</vt:lpstr>
      <vt:lpstr>CUADRO13!Área_de_impresión</vt:lpstr>
      <vt:lpstr>CUADRO21!Área_de_impresión</vt:lpstr>
      <vt:lpstr>CUADRO4!Área_de_impresión</vt:lpstr>
      <vt:lpstr>INTRO!Área_de_impresión</vt:lpstr>
    </vt:vector>
  </TitlesOfParts>
  <Company>GOBIERNO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SEPULVEDA-H</dc:creator>
  <cp:lastModifiedBy>Kiumarz Goharriz Chahin</cp:lastModifiedBy>
  <cp:lastPrinted>2006-11-10T10:01:36Z</cp:lastPrinted>
  <dcterms:created xsi:type="dcterms:W3CDTF">2006-01-08T23:20:55Z</dcterms:created>
  <dcterms:modified xsi:type="dcterms:W3CDTF">2019-04-15T17:18:56Z</dcterms:modified>
</cp:coreProperties>
</file>